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ILL" sheetId="1" r:id="rId4"/>
    <sheet state="visible" name="Standalone Case" sheetId="2" r:id="rId5"/>
    <sheet state="visible" name="SYNERGY CASE " sheetId="3" r:id="rId6"/>
    <sheet state="visible" name="BENCHMARKS" sheetId="4" r:id="rId7"/>
    <sheet state="hidden" name="Synergy Base Case - old" sheetId="5" r:id="rId8"/>
    <sheet state="visible" name="DEAL COMPS" sheetId="6" r:id="rId9"/>
    <sheet state="visible" name="Pub Comps" sheetId="7" r:id="rId10"/>
    <sheet state="visible" name="FOOTBALL FIELD" sheetId="8" r:id="rId11"/>
    <sheet state="visible" name="bio - Cash Flow" sheetId="9" r:id="rId12"/>
    <sheet state="visible" name="NOLs" sheetId="10" r:id="rId13"/>
    <sheet state="visible" name="BIO - Income Statement (2)" sheetId="11" r:id="rId14"/>
    <sheet state="visible" name="inogen P&amp;L" sheetId="12" r:id="rId15"/>
    <sheet state="visible" name="irhy - P&amp;L" sheetId="13" r:id="rId16"/>
    <sheet state="visible" name="Inogen - Key Metrics" sheetId="14" r:id="rId17"/>
    <sheet state="visible" name="iRythm - Summary" sheetId="15" r:id="rId18"/>
    <sheet state="visible" name="Inogen - P&amp;L" sheetId="16" r:id="rId19"/>
    <sheet state="visible" name="iRythm - P&amp;L" sheetId="17" r:id="rId20"/>
    <sheet state="visible" name="iRythm - Ratios" sheetId="18" r:id="rId21"/>
    <sheet state="visible" name="iRythm - Multiples" sheetId="19" r:id="rId22"/>
    <sheet state="visible" name="trading comps hard copy" sheetId="20" r:id="rId23"/>
    <sheet state="hidden" name="resmed deals" sheetId="21" r:id="rId24"/>
    <sheet state="hidden" name="philips deals" sheetId="22" r:id="rId25"/>
    <sheet state="hidden" name="MGC DIA M&amp;A" sheetId="23" r:id="rId26"/>
    <sheet state="visible" name="mgmt " sheetId="24" r:id="rId27"/>
    <sheet state="hidden" name="ThinkCell" sheetId="25" r:id="rId28"/>
  </sheets>
  <definedNames>
    <definedName name="DPS">#REF!</definedName>
    <definedName localSheetId="5" name="_AUG02">#REF!</definedName>
    <definedName localSheetId="23" name="perp_lev2">#REF!</definedName>
    <definedName localSheetId="5" name="kit">#REF!</definedName>
    <definedName name="TOOLBOX">#REF!</definedName>
    <definedName localSheetId="2" name="CF_begcash">#REF!</definedName>
    <definedName name="_8GG2_">#REF!</definedName>
    <definedName localSheetId="5" name="OPGRPRQ1">#REF!</definedName>
    <definedName localSheetId="5" name="IDP">#REF!</definedName>
    <definedName localSheetId="3" name="_4QTRFIN">#REF!</definedName>
    <definedName localSheetId="23" name="acq_cost_convert_low">#REF!</definedName>
    <definedName name="NewCo3ON">#REF!</definedName>
    <definedName localSheetId="4" name="SIDEntities">#REF!</definedName>
    <definedName localSheetId="5" name="LBOIPOExit1">#REF!</definedName>
    <definedName localSheetId="2" name="_Pg58">#REF!</definedName>
    <definedName localSheetId="5" name="Periods">#REF!</definedName>
    <definedName localSheetId="3" name="Procurementph">#REF!</definedName>
    <definedName localSheetId="23" name="fisher">#REF!</definedName>
    <definedName localSheetId="4" name="MENU">#REF!</definedName>
    <definedName localSheetId="5" name="Subrelated">#REF!</definedName>
    <definedName name="DownlodedOn">'philips deals'!$F$4</definedName>
    <definedName name="codes">#REF!</definedName>
    <definedName localSheetId="5" name="CustRev">#REF!</definedName>
    <definedName localSheetId="5" name="WACC_sen">#REF!</definedName>
    <definedName localSheetId="3" name="Buys">#REF!</definedName>
    <definedName localSheetId="2" name="_GPQ3">#REF!</definedName>
    <definedName localSheetId="4" name="ManagementEBIT">#REF!</definedName>
    <definedName localSheetId="5" name="ccy">#REF!</definedName>
    <definedName localSheetId="23" name="IS_inctaxes">#REF!</definedName>
    <definedName localSheetId="5" name="CF_Other_CA">#REF!</definedName>
    <definedName localSheetId="23" name="_inv2">#REF!</definedName>
    <definedName localSheetId="23" name="PPDIAG2003">#REF!</definedName>
    <definedName localSheetId="3" name="FIGEADQ1">#REF!</definedName>
    <definedName localSheetId="5" name="page5">#REF!</definedName>
    <definedName name="LoanPmt">#REF!</definedName>
    <definedName name="actsummy">#REF!</definedName>
    <definedName localSheetId="5" name="FIGM95">#REF!</definedName>
    <definedName localSheetId="4" name="GPPFINQ3">#REF!</definedName>
    <definedName localSheetId="2" name="AsiaPL">#REF!</definedName>
    <definedName localSheetId="5" name="FINQ1">#REF!</definedName>
    <definedName localSheetId="4" name="CF_straightdebt">#REF!</definedName>
    <definedName localSheetId="3" name="MonthTable">#REF!</definedName>
    <definedName localSheetId="2" name="SmaxFOA">#REF!</definedName>
    <definedName localSheetId="3" name="terminal_year">#REF!</definedName>
    <definedName localSheetId="3" name="QAph">#REF!</definedName>
    <definedName localSheetId="2" name="FINOIQ4">#REF!</definedName>
    <definedName localSheetId="23" name="c_pageswitch">#REF!</definedName>
    <definedName localSheetId="2" name="CF_Inventory">#REF!</definedName>
    <definedName localSheetId="5" name="Graphs_2">#REF!</definedName>
    <definedName localSheetId="23" name="EuropePL">#REF!</definedName>
    <definedName name="BurnhamProdConph">#REF!</definedName>
    <definedName localSheetId="23" name="BkgsByProdline">#REF!</definedName>
    <definedName localSheetId="2" name="BS_AP">#REF!</definedName>
    <definedName localSheetId="4" name="_Pg32">#REF!</definedName>
    <definedName localSheetId="4" name="WDGRPRQ4">#REF!</definedName>
    <definedName name="BEGRSLQ1">#REF!</definedName>
    <definedName localSheetId="23" name="CF_deferredtaxes">#REF!</definedName>
    <definedName name="RF_International">#REF!</definedName>
    <definedName localSheetId="4" name="BkgsByProdline">#REF!</definedName>
    <definedName localSheetId="2" name="TOOL91">#REF!</definedName>
    <definedName name="FIGMQ3">#REF!</definedName>
    <definedName localSheetId="5" name="type">#REF!</definedName>
    <definedName localSheetId="23" name="Expcode">#REF!</definedName>
    <definedName localSheetId="2" name="_1AQTR">#REF!</definedName>
    <definedName localSheetId="2" name="OPEXQ2">#REF!</definedName>
    <definedName name="DATA_UNIT_SEL">#REF!</definedName>
    <definedName localSheetId="3" name="prod">#REF!</definedName>
    <definedName localSheetId="3" name="BEGRSLQ1">#REF!</definedName>
    <definedName localSheetId="3" name="CPGPPREP2004">#REF!</definedName>
    <definedName localSheetId="3" name="product">#REF!</definedName>
    <definedName localSheetId="2" name="IS_goodwill">#REF!</definedName>
    <definedName localSheetId="23" name="op">#REF!</definedName>
    <definedName localSheetId="2" name="MOLD93">#REF!</definedName>
    <definedName localSheetId="23" name="monthly_tot_add_rev">#REF!</definedName>
    <definedName localSheetId="4" name="hrms">#REF!</definedName>
    <definedName localSheetId="2" name="EquityInUnconsolidatedAffiliates">#REF!</definedName>
    <definedName localSheetId="2" name="_Tot98">#REF!</definedName>
    <definedName name="p_highyield_BS">#REF!</definedName>
    <definedName localSheetId="23" name="_4.2">#REF!</definedName>
    <definedName localSheetId="5" name="OPGRPRQ3">#REF!</definedName>
    <definedName localSheetId="23" name="WDOPCOQ2">#REF!</definedName>
    <definedName localSheetId="23" name="_NRQ3">#REF!</definedName>
    <definedName localSheetId="4" name="GPTBTTL">#REF!</definedName>
    <definedName localSheetId="3" name="LC_B_S">#REF!</definedName>
    <definedName localSheetId="3" name="_4.1">#REF!</definedName>
    <definedName localSheetId="5" name="calculations">#REF!</definedName>
    <definedName localSheetId="3" name="CF_Straight_Debt">#REF!</definedName>
    <definedName localSheetId="3" name="IS_deprec">#REF!</definedName>
    <definedName localSheetId="23" name="share_tog">#REF!</definedName>
    <definedName name="IS_inctaxes">#REF!</definedName>
    <definedName name="Rollfwd_USD">#REF!</definedName>
    <definedName name="Indust_graphs">#REF!</definedName>
    <definedName localSheetId="4" name="_1AQTR">#REF!</definedName>
    <definedName localSheetId="5" name="_MAY02">#REF!</definedName>
    <definedName name="NRTBTTL">#REF!</definedName>
    <definedName localSheetId="4" name="DETAIL">#REF!</definedName>
    <definedName localSheetId="3" name="LBOSaleExit1">#REF!</definedName>
    <definedName localSheetId="3" name="matlplan">#REF!</definedName>
    <definedName localSheetId="4" name="A_a">#REF!</definedName>
    <definedName localSheetId="3" name="WDGRPRQ4">#REF!</definedName>
    <definedName localSheetId="4" name="FIGMQ2">#REF!</definedName>
    <definedName localSheetId="3" name="_Pg30">#REF!</definedName>
    <definedName localSheetId="4" name="ParetoBaseCell">#REF!</definedName>
    <definedName name="ChangeInConvertiblePreferredStock">#REF!</definedName>
    <definedName localSheetId="4" name="ServiceIntph">#REF!</definedName>
    <definedName localSheetId="2" name="bs">#REF!</definedName>
    <definedName localSheetId="4" name="PPGPPREP2004">#REF!</definedName>
    <definedName localSheetId="3" name="OPOPCOQ4">#REF!</definedName>
    <definedName localSheetId="2" name="KeepD">#REF!</definedName>
    <definedName localSheetId="23" name="convdebtshares">#REF!</definedName>
    <definedName localSheetId="2" name="Step">#REF!</definedName>
    <definedName localSheetId="4" name="__fcf10">#REF!</definedName>
    <definedName name="CurrentEquityInvestment">#REF!</definedName>
    <definedName localSheetId="4" name="__NRQ2">#REF!</definedName>
    <definedName localSheetId="5" name="DepreciationAndDepletion">#REF!</definedName>
    <definedName localSheetId="4" name="ITph">#REF!</definedName>
    <definedName localSheetId="23" name="_4.9">#REF!</definedName>
    <definedName localSheetId="7" name="wrn.ALLbutPREMIUM.">#REF!</definedName>
    <definedName name="SQL_uplink">#REF!</definedName>
    <definedName localSheetId="2" name="_4.10">#REF!</definedName>
    <definedName localSheetId="2" name="FINOIQ1">#REF!</definedName>
    <definedName name="_4TLQTR">#REF!</definedName>
    <definedName localSheetId="23" name="page2">#REF!</definedName>
    <definedName name="_3QTRFIN">#REF!</definedName>
    <definedName localSheetId="4" name="BurnhamDesp">#REF!</definedName>
    <definedName name="WSABSFY">#REF!</definedName>
    <definedName name="OPOTEXQ2">#REF!</definedName>
    <definedName localSheetId="4" name="WSEBITMY">#REF!</definedName>
    <definedName localSheetId="5" name="Target_ST_Debt">#REF!</definedName>
    <definedName localSheetId="23" name="chk">#REF!</definedName>
    <definedName name="B_a">#REF!</definedName>
    <definedName localSheetId="4" name="CF_Other_CA">#REF!</definedName>
    <definedName localSheetId="2" name="Graphs_2">#REF!</definedName>
    <definedName localSheetId="3" name="ProdControl">#REF!</definedName>
    <definedName localSheetId="5" name="Sub_Name1">#REF!</definedName>
    <definedName localSheetId="2" name="Act_Fcst">#REF!</definedName>
    <definedName localSheetId="4" name="Bonnie">#REF!</definedName>
    <definedName localSheetId="4" name="Year10">#REF!</definedName>
    <definedName localSheetId="5" name="cash_fv">#REF!</definedName>
    <definedName localSheetId="3" name="CF_Depreciation">#REF!</definedName>
    <definedName localSheetId="5" name="_4.5">#REF!</definedName>
    <definedName localSheetId="5" name="FIUNABQ1">#REF!</definedName>
    <definedName localSheetId="4" name="ccy">#REF!</definedName>
    <definedName localSheetId="2" name="Year8">#REF!</definedName>
    <definedName localSheetId="3" name="IS_straightprefdiv">#REF!</definedName>
    <definedName name="CF_Non_Cash_Interest">#REF!</definedName>
    <definedName localSheetId="5" name="ComparableAnalysis">#REF!</definedName>
    <definedName localSheetId="4" name="Spec_graphs">#REF!</definedName>
    <definedName localSheetId="4" name="KeepE">#REF!</definedName>
    <definedName localSheetId="23" name="rev">#REF!</definedName>
    <definedName localSheetId="5" name="PYME">#REF!</definedName>
    <definedName localSheetId="3" name="p_LBO_BS">#REF!</definedName>
    <definedName localSheetId="4" name="p_football">#REF!</definedName>
    <definedName localSheetId="3" name="PL_Convertible_Interest">#REF!</definedName>
    <definedName localSheetId="3" name="fcf_unlev10">#REF!</definedName>
    <definedName name="WDGRSLQ3">#REF!</definedName>
    <definedName localSheetId="2" name="BaseYear">#REF!</definedName>
    <definedName localSheetId="23" name="Bookings_Detail_Area">#REF!</definedName>
    <definedName localSheetId="5" name="CommonCurrency">#REF!</definedName>
    <definedName localSheetId="4" name="BS_Revolver">#REF!</definedName>
    <definedName localSheetId="4" name="_338ÿ_0bot">#REF!</definedName>
    <definedName localSheetId="2" name="Indust_graphs">#REF!</definedName>
    <definedName localSheetId="2" name="cap">#REF!</definedName>
    <definedName localSheetId="2" name="PL_FDEPS">#REF!</definedName>
    <definedName name="EBITQ3">#REF!</definedName>
    <definedName localSheetId="4" name="fcf_lev_terminal3">#REF!</definedName>
    <definedName name="_4.4">#REF!</definedName>
    <definedName name="MinorityInterestInIncome">#REF!</definedName>
    <definedName localSheetId="4" name="E_a">#REF!</definedName>
    <definedName localSheetId="3" name="_1QTRFIN">#REF!</definedName>
    <definedName localSheetId="3" name="QA">#REF!</definedName>
    <definedName localSheetId="2" name="ni_mult5">#REF!</definedName>
    <definedName localSheetId="2" name="Personnel">#REF!</definedName>
    <definedName localSheetId="3" name="Target_prefd">#REF!</definedName>
    <definedName localSheetId="5" name="unlev_fcf_rate">#REF!</definedName>
    <definedName name="EuroRate">#REF!</definedName>
    <definedName name="SumA">#REF!</definedName>
    <definedName localSheetId="5" name="BS_convertdebt">#REF!</definedName>
    <definedName name="convdebtshares">#REF!</definedName>
    <definedName name="_abc">#REF!</definedName>
    <definedName name="_Pg59">#REF!</definedName>
    <definedName localSheetId="4" name="MonthTable">#REF!</definedName>
    <definedName name="fcstsum">#REF!</definedName>
    <definedName localSheetId="5" name="PPGPDIAG2003">#REF!</definedName>
    <definedName localSheetId="23" name="_JUN02">#REF!</definedName>
    <definedName name="Personnelph">#REF!</definedName>
    <definedName localSheetId="4" name="FIGMB3">#REF!</definedName>
    <definedName localSheetId="23" name="TESTMACR">#REF!</definedName>
    <definedName localSheetId="4" name="_Pg35">#REF!</definedName>
    <definedName localSheetId="5" name="BurnhamSales">#REF!</definedName>
    <definedName name="ARPU1">#REF!</definedName>
    <definedName localSheetId="5" name="OPICEXQ2">#REF!</definedName>
    <definedName name="_Pg31">#REF!</definedName>
    <definedName localSheetId="5" name="IS_SGA">#REF!</definedName>
    <definedName localSheetId="3" name="Symbol">#REF!</definedName>
    <definedName localSheetId="5" name="Personnel">#REF!</definedName>
    <definedName localSheetId="4" name="BENTSL92">#REF!</definedName>
    <definedName localSheetId="2" name="TEXT">#REF!</definedName>
    <definedName localSheetId="2" name="_abc">#REF!</definedName>
    <definedName localSheetId="5" name="MO_Intl">#REF!</definedName>
    <definedName localSheetId="5" name="_4.7">#REF!</definedName>
    <definedName localSheetId="4" name="EBITAFFE">#REF!</definedName>
    <definedName localSheetId="2" name="Denomination">#REF!</definedName>
    <definedName localSheetId="4" name="C_a">#REF!</definedName>
    <definedName localSheetId="5" name="p_highyield_FA">#REF!</definedName>
    <definedName localSheetId="3" name="_Pg32">#REF!</definedName>
    <definedName localSheetId="3" name="perp_lev1">#REF!</definedName>
    <definedName localSheetId="5" name="_APR02">#REF!</definedName>
    <definedName localSheetId="4" name="BaseData">#REF!</definedName>
    <definedName localSheetId="3" name="convprefshares">#REF!</definedName>
    <definedName name="BS_Deferred_Taxes">#REF!</definedName>
    <definedName localSheetId="5" name="sensitive">#REF!</definedName>
    <definedName localSheetId="2" name="_rsr2">#REF!</definedName>
    <definedName name="MTDStock">#REF!</definedName>
    <definedName localSheetId="23" name="Matmgtph">#REF!</definedName>
    <definedName localSheetId="5" name="egr">#REF!</definedName>
    <definedName name="CurrentCashInterestRate">#REF!</definedName>
    <definedName localSheetId="4" name="p_Amort">#REF!</definedName>
    <definedName localSheetId="2" name="SGNTSL92">#REF!</definedName>
    <definedName localSheetId="7" name="_DCF2">#REF!</definedName>
    <definedName localSheetId="3" name="TOP10MAR">#REF!</definedName>
    <definedName name="_Pg69">#REF!</definedName>
    <definedName localSheetId="3" name="LoanPmt">#REF!</definedName>
    <definedName localSheetId="5" name="SPGOODS">#REF!</definedName>
    <definedName localSheetId="3" name="SalesMEi">#REF!</definedName>
    <definedName localSheetId="3" name="BldgS4">#REF!</definedName>
    <definedName localSheetId="4" name="_4.1">#REF!</definedName>
    <definedName localSheetId="23" name="ManagementRevenues">#REF!</definedName>
    <definedName localSheetId="23" name="MOLD94">#REF!</definedName>
    <definedName localSheetId="3" name="Smaxapp">#REF!</definedName>
    <definedName localSheetId="2" name="ComparableAnalysis">#REF!</definedName>
    <definedName localSheetId="5" name="OR_ViewProvider_ReportingViews_ExportStorage_OUT_Orders_RND">#REF!</definedName>
    <definedName localSheetId="5" name="WDOPCOQ1">#REF!</definedName>
    <definedName localSheetId="23" name="DEPT">#REF!</definedName>
    <definedName localSheetId="23" name="perp_lev3">#REF!</definedName>
    <definedName localSheetId="3" name="PanlL_Act99_v_00Bud">#REF!</definedName>
    <definedName localSheetId="3" name="FIGM951">#REF!</definedName>
    <definedName localSheetId="3" name="WriteUp_otherCL">#REF!</definedName>
    <definedName localSheetId="2" name="PL_Non_Operating_Expenses">#REF!</definedName>
    <definedName localSheetId="23" name="MOLDED">#REF!</definedName>
    <definedName name="FIGMQ4">#REF!</definedName>
    <definedName localSheetId="4" name="US_UK">#REF!</definedName>
    <definedName localSheetId="3" name="OPNTSLQ3">#REF!</definedName>
    <definedName localSheetId="5" name="_Pg47">#REF!</definedName>
    <definedName name="SMAN">#REF!</definedName>
    <definedName localSheetId="5" name="AsiaAct">#REF!</definedName>
    <definedName localSheetId="2" name="US_UK">#REF!</definedName>
    <definedName name="wrn.packer._.1.">#REF!</definedName>
    <definedName localSheetId="4" name="bs_date">#REF!</definedName>
    <definedName localSheetId="2" name="LC_B_S">#REF!</definedName>
    <definedName localSheetId="2" name="Price_Volume_Swap_Data">#REF!</definedName>
    <definedName localSheetId="23" name="_0.2">#REF!</definedName>
    <definedName name="Bonnie">#REF!</definedName>
    <definedName localSheetId="4" name="CF_deprec">#REF!</definedName>
    <definedName localSheetId="3" name="cover">#REF!</definedName>
    <definedName localSheetId="3" name="CreatedForTitle">#REF!</definedName>
    <definedName localSheetId="23" name="FIGEADQ1">#REF!</definedName>
    <definedName localSheetId="2" name="direct">#REF!</definedName>
    <definedName localSheetId="3" name="EBITAFSE">#REF!</definedName>
    <definedName localSheetId="2" name="Buys">#REF!</definedName>
    <definedName name="PRIOR_YR_QTR">#REF!</definedName>
    <definedName localSheetId="5" name="_Pg28">#REF!</definedName>
    <definedName localSheetId="2" name="mthend1">#REF!</definedName>
    <definedName localSheetId="3" name="EBITAFFE">#REF!</definedName>
    <definedName localSheetId="23" name="EBITAFFE">#REF!</definedName>
    <definedName localSheetId="23" name="NewCo4On">#REF!</definedName>
    <definedName localSheetId="2" name="newname">#REF!</definedName>
    <definedName name="wrn.Hydraulic.">#REF!</definedName>
    <definedName localSheetId="3" name="fcf_unlev_terminal5">#REF!</definedName>
    <definedName localSheetId="5" name="QAph">#REF!</definedName>
    <definedName localSheetId="5" name="NC">#REF!</definedName>
    <definedName localSheetId="4" name="_Pg42">#REF!</definedName>
    <definedName localSheetId="2" name="FIGMQ1">#REF!</definedName>
    <definedName localSheetId="4" name="Year8">#REF!</definedName>
    <definedName localSheetId="5" name="IS_minority">#REF!</definedName>
    <definedName localSheetId="4" name="_226_0_0Datab">#REF!</definedName>
    <definedName name="CustEngph">#REF!</definedName>
    <definedName localSheetId="4" name="_Pg53">#REF!</definedName>
    <definedName localSheetId="2" name="__GPQ2">#REF!</definedName>
    <definedName name="Finance">#REF!</definedName>
    <definedName localSheetId="3" name="_IDP2">#REF!</definedName>
    <definedName name="entry">#REF!</definedName>
    <definedName localSheetId="5" name="Process_graphs">#REF!</definedName>
    <definedName localSheetId="5" name="EBITAFJN">#REF!</definedName>
    <definedName name="IDP">#REF!</definedName>
    <definedName localSheetId="23" name="help">#REF!</definedName>
    <definedName localSheetId="2" name="KeepH">#REF!</definedName>
    <definedName name="_Ops1">#REF!</definedName>
    <definedName localSheetId="23" name="CPTP2004">#REF!</definedName>
    <definedName localSheetId="4" name="spec_switch">#REF!</definedName>
    <definedName name="_SEP02">#REF!</definedName>
    <definedName localSheetId="23" name="RepTable">#REF!</definedName>
    <definedName localSheetId="5" name="Symbol">#REF!</definedName>
    <definedName localSheetId="4" name="_YE3">#REF!</definedName>
    <definedName localSheetId="23" name="__rsr2">#REF!</definedName>
    <definedName localSheetId="4" name="TOP10JUL02">#REF!</definedName>
    <definedName localSheetId="2" name="calculations">#REF!</definedName>
    <definedName localSheetId="3" name="BS_CL">#REF!</definedName>
    <definedName localSheetId="2" name="_4QTRFIN">#REF!</definedName>
    <definedName localSheetId="5" name="ExcessCashrate">#REF!</definedName>
    <definedName localSheetId="5" name="CLOSE">#REF!</definedName>
    <definedName name="Year5">#REF!</definedName>
    <definedName localSheetId="2" name="wc">#REF!</definedName>
    <definedName localSheetId="23" name="Process_details">#REF!</definedName>
    <definedName localSheetId="4" name="ValuationYear">#REF!</definedName>
    <definedName localSheetId="2" name="_4_99_3G">#REF!</definedName>
    <definedName localSheetId="23" name="CPPREP2004">#REF!</definedName>
    <definedName localSheetId="2" name="fisher">#REF!</definedName>
    <definedName localSheetId="23" name="KeepA">#REF!</definedName>
    <definedName localSheetId="23" name="_3AQTR">#REF!</definedName>
    <definedName localSheetId="5" name="page1">#REF!</definedName>
    <definedName localSheetId="5" name="_NRQ1">#REF!</definedName>
    <definedName localSheetId="3" name="GPPTTLQ1">#REF!</definedName>
    <definedName localSheetId="5" name="_GPQ3">#REF!</definedName>
    <definedName localSheetId="3" name="_Pg51">#REF!</definedName>
    <definedName localSheetId="23" name="CF_Non_Cash_Straight_PDividend">#REF!</definedName>
    <definedName localSheetId="3" name="EBITTTL">#REF!</definedName>
    <definedName localSheetId="2" name="fiscal_year">#REF!</definedName>
    <definedName name="disc_years">#REF!</definedName>
    <definedName localSheetId="3" name="_Pg43">#REF!</definedName>
    <definedName localSheetId="23" name="FX_EUR">#REF!</definedName>
    <definedName localSheetId="5" name="Month11">#REF!</definedName>
    <definedName name="_234Graph_E">#REF!</definedName>
    <definedName localSheetId="3" name="Abudget">#REF!</definedName>
    <definedName localSheetId="5" name="CF_Equity_Earnings">#REF!</definedName>
    <definedName localSheetId="4" name="BS_Investments">#REF!</definedName>
    <definedName name="FRA_UK">#REF!</definedName>
    <definedName localSheetId="23" name="_246_4.10">#REF!</definedName>
    <definedName localSheetId="5" name="TargetCompany">#REF!</definedName>
    <definedName name="CF_begcash">#REF!</definedName>
    <definedName localSheetId="3" name="GPFINQ2">#REF!</definedName>
    <definedName localSheetId="23" name="payments">#REF!</definedName>
    <definedName name="BS_receivables">#REF!</definedName>
    <definedName localSheetId="4" name="YECY">#REF!</definedName>
    <definedName localSheetId="5" name="PandL_Act99_v_99FebBud">#REF!</definedName>
    <definedName name="_Pg55">#REF!</definedName>
    <definedName name="Software_amort">#REF!</definedName>
    <definedName name="KeepH">#REF!</definedName>
    <definedName localSheetId="2" name="p_highyield_to">#REF!</definedName>
    <definedName localSheetId="2" name="_Pg57">#REF!</definedName>
    <definedName name="EBITDA_mult4">#REF!</definedName>
    <definedName localSheetId="4" name="FIGMQ4">#REF!</definedName>
    <definedName localSheetId="4" name="__rsr2">#REF!</definedName>
    <definedName localSheetId="2" name="perp_lev1">#REF!</definedName>
    <definedName localSheetId="2" name="FIGEADQ3">#REF!</definedName>
    <definedName localSheetId="4" name="cap">#REF!</definedName>
    <definedName localSheetId="23" name="EOLDef">#REF!</definedName>
    <definedName localSheetId="3" name="GP">#REF!</definedName>
    <definedName localSheetId="23" name="Cashplug">#REF!</definedName>
    <definedName localSheetId="5" name="Number_of_customer">#REF!</definedName>
    <definedName name="_264_4.12">#REF!</definedName>
    <definedName localSheetId="3" name="NRSGTTL">#REF!</definedName>
    <definedName localSheetId="4" name="CF_Non_Cash_Interest">#REF!</definedName>
    <definedName localSheetId="23" name="PPGPDIAG2003">#REF!</definedName>
    <definedName localSheetId="5" name="CF_gwamort">#REF!</definedName>
    <definedName localSheetId="5" name="SBTick">#REF!</definedName>
    <definedName localSheetId="5" name="p_Index">#REF!</definedName>
    <definedName localSheetId="23" name="tf">#REF!</definedName>
    <definedName localSheetId="7" name="x">#REF!</definedName>
    <definedName name="Erl_UK">#REF!</definedName>
    <definedName localSheetId="3" name="RF_International">#REF!</definedName>
    <definedName localSheetId="5" name="PPGPTP2004">#REF!</definedName>
    <definedName name="SBTick">#REF!</definedName>
    <definedName localSheetId="7" name="asdf">#REF!</definedName>
    <definedName localSheetId="4" name="_Pg30">#REF!</definedName>
    <definedName localSheetId="4" name="netcostfcst">#REF!</definedName>
    <definedName localSheetId="23" name="employee_lookup">#REF!</definedName>
    <definedName name="ReleveredBeta">#REF!</definedName>
    <definedName localSheetId="3" name="good">#REF!</definedName>
    <definedName localSheetId="2" name="CF_AR">#REF!</definedName>
    <definedName localSheetId="3" name="_Pg54">#REF!</definedName>
    <definedName localSheetId="23" name="ergd">#REF!</definedName>
    <definedName localSheetId="23" name="pess">#REF!</definedName>
    <definedName localSheetId="4" name="IS_otheropexp">#REF!</definedName>
    <definedName localSheetId="2" name="DisE1M2">#REF!</definedName>
    <definedName localSheetId="5" name="dcfyear">#REF!</definedName>
    <definedName localSheetId="2" name="CF_intangiblesamort">#REF!</definedName>
    <definedName localSheetId="5" name="_CCY2">#REF!</definedName>
    <definedName localSheetId="2" name="WDGRPRQ1">#REF!</definedName>
    <definedName localSheetId="5" name="TL2QTR">#REF!</definedName>
    <definedName localSheetId="23" name="June">#REF!</definedName>
    <definedName localSheetId="5" name="EuropeFcst">#REF!</definedName>
    <definedName localSheetId="3" name="capital">#REF!</definedName>
    <definedName localSheetId="5" name="convdebtshares">#REF!</definedName>
    <definedName localSheetId="3" name="EXP">#REF!</definedName>
    <definedName localSheetId="2" name="TOP10JAN">#REF!</definedName>
    <definedName name="Drucktitel_MI">#REF!</definedName>
    <definedName localSheetId="23" name="EuropeFcst">#REF!</definedName>
    <definedName localSheetId="3" name="Copyright">#REF!</definedName>
    <definedName localSheetId="3" name="_273_4.2">#REF!</definedName>
    <definedName localSheetId="4" name="BurnhamSalesph">#REF!</definedName>
    <definedName localSheetId="4" name="_Pg79">#REF!</definedName>
    <definedName localSheetId="3" name="opcase">#REF!</definedName>
    <definedName localSheetId="2" name="matlfcst">#REF!</definedName>
    <definedName localSheetId="4" name="WDOPCOQ2">#REF!</definedName>
    <definedName localSheetId="5" name="MarketTable">#REF!</definedName>
    <definedName localSheetId="23" name="_Pg59">#REF!</definedName>
    <definedName localSheetId="2" name="fulldept">#REF!</definedName>
    <definedName name="Periodic_Summary">#REF!</definedName>
    <definedName localSheetId="5" name="PrecLowFV">#REF!</definedName>
    <definedName localSheetId="4" name="CF_netinc">#REF!</definedName>
    <definedName localSheetId="2" name="CPHAND2003">#REF!</definedName>
    <definedName localSheetId="23" name="publicityph">#REF!</definedName>
    <definedName localSheetId="2" name="Consol_Elim">#REF!</definedName>
    <definedName localSheetId="2" name="CF_minority">#REF!</definedName>
    <definedName name="M_C_Summary">#REF!</definedName>
    <definedName localSheetId="4" name="PEST_">#REF!</definedName>
    <definedName localSheetId="23" name="wrn.newest.">#REF!</definedName>
    <definedName localSheetId="23" name="CF_Equity_Earnings">#REF!</definedName>
    <definedName name="wrn.wicor.">#REF!</definedName>
    <definedName localSheetId="4" name="bs">#REF!</definedName>
    <definedName localSheetId="23" name="acq_cost_convert_high">#REF!</definedName>
    <definedName localSheetId="4" name="summy97">#REF!</definedName>
    <definedName localSheetId="7" name="wrn.RELEVANTSHEETS.">#REF!</definedName>
    <definedName localSheetId="23" name="wrn.Accr_Dil.">#REF!</definedName>
    <definedName name="p_LBO_returncalcb">#REF!</definedName>
    <definedName localSheetId="2" name="summy97">#REF!</definedName>
    <definedName localSheetId="3" name="total">#REF!</definedName>
    <definedName localSheetId="2" name="DCFBase">#REF!</definedName>
    <definedName localSheetId="4" name="FX_CNY">#REF!</definedName>
    <definedName localSheetId="4" name="A_b">#REF!</definedName>
    <definedName localSheetId="4" name="CPTRAN2004">#REF!</definedName>
    <definedName localSheetId="3" name="Spec_graphs">#REF!</definedName>
    <definedName localSheetId="4" name="Recruitdata">#REF!</definedName>
    <definedName localSheetId="2" name="_Pg73">#REF!</definedName>
    <definedName localSheetId="23" name="CF_begcash">#REF!</definedName>
    <definedName name="FX_AUD">#REF!</definedName>
    <definedName localSheetId="2" name="LME">#REF!</definedName>
    <definedName name="ACCT">#REF!</definedName>
    <definedName localSheetId="3" name="tot">#REF!</definedName>
    <definedName localSheetId="3" name="FIGMQ1">#REF!</definedName>
    <definedName name="OPEXQ1">#REF!</definedName>
    <definedName localSheetId="3" name="YearEndMonth">#REF!</definedName>
    <definedName localSheetId="3" name="erg">#REF!</definedName>
    <definedName localSheetId="2" name="PL_Loss_Preferred">#REF!</definedName>
    <definedName localSheetId="5" name="Systimax">#REF!</definedName>
    <definedName localSheetId="23" name="_Pg75">#REF!</definedName>
    <definedName name="wrn.newest.">#REF!</definedName>
    <definedName localSheetId="23" name="ni_mult">#REF!</definedName>
    <definedName name="OtherNonCashItems">#REF!</definedName>
    <definedName localSheetId="2" name="NewCo2ON">#REF!</definedName>
    <definedName localSheetId="3" name="AVE">#REF!</definedName>
    <definedName localSheetId="2" name="cash_fv">#REF!</definedName>
    <definedName localSheetId="3" name="sort">#REF!</definedName>
    <definedName name="Month2">#REF!</definedName>
    <definedName localSheetId="23" name="_Pg77">#REF!</definedName>
    <definedName name="NewProductSales">#REF!</definedName>
    <definedName localSheetId="3" name="__CCY1">#REF!</definedName>
    <definedName name="IS_othernonopexp">#REF!</definedName>
    <definedName localSheetId="4" name="type">#REF!</definedName>
    <definedName localSheetId="5" name="CashInterestRate">#REF!</definedName>
    <definedName localSheetId="23" name="Subrev">#REF!</definedName>
    <definedName localSheetId="23" name="GPPFINQ2">#REF!</definedName>
    <definedName localSheetId="5" name="BS_AR">#REF!</definedName>
    <definedName localSheetId="3" name="actsumm">#REF!</definedName>
    <definedName localSheetId="5" name="WDOPCOQ2">#REF!</definedName>
    <definedName localSheetId="3" name="_4.2">#REF!</definedName>
    <definedName localSheetId="4" name="_FEB02">#REF!</definedName>
    <definedName localSheetId="5" name="FD">#REF!</definedName>
    <definedName localSheetId="3" name="ReleveredBeta">#REF!</definedName>
    <definedName localSheetId="5" name="ProdMgt">#REF!</definedName>
    <definedName localSheetId="2" name="BS_PPE">#REF!</definedName>
    <definedName localSheetId="5" name="Period">#REF!</definedName>
    <definedName name="perp_lev4">#REF!</definedName>
    <definedName localSheetId="3" name="IDP">#REF!</definedName>
    <definedName name="_2QTR">#REF!</definedName>
    <definedName name="Synergies">#REF!</definedName>
    <definedName localSheetId="23" name="FIGM952">#REF!</definedName>
    <definedName localSheetId="23" name="TOOL92">#REF!</definedName>
    <definedName localSheetId="3" name="FINQ4">#REF!</definedName>
    <definedName localSheetId="3" name="BS_AR">#REF!</definedName>
    <definedName localSheetId="4" name="p_DCF">#REF!</definedName>
    <definedName localSheetId="23" name="GPFINTTL">#REF!</definedName>
    <definedName localSheetId="4" name="entry">#REF!</definedName>
    <definedName name="AsiaPL">#REF!</definedName>
    <definedName localSheetId="3" name="Rollfwd_USD_LC">#REF!</definedName>
    <definedName name="ProdControlph">#REF!</definedName>
    <definedName localSheetId="5" name="PL_Straight_Interest">#REF!</definedName>
    <definedName name="DTA_EXTSLS">#REF!</definedName>
    <definedName localSheetId="2" name="GPPFINQ4">#REF!</definedName>
    <definedName localSheetId="3" name="_4.8">#REF!</definedName>
    <definedName localSheetId="4" name="_Pg65">#REF!</definedName>
    <definedName localSheetId="2" name="Cashbox">#REF!</definedName>
    <definedName localSheetId="2" name="IS_intangamort">#REF!</definedName>
    <definedName localSheetId="2" name="cbo">#REF!</definedName>
    <definedName localSheetId="5" name="_339ÿ__bot">#REF!</definedName>
    <definedName localSheetId="5" name="asdfghjkl">#REF!</definedName>
    <definedName localSheetId="4" name="_4QTR">#REF!</definedName>
    <definedName localSheetId="23" name="_Pg31">#REF!</definedName>
    <definedName name="asd">#REF!</definedName>
    <definedName localSheetId="3" name="perp_lev5">#REF!</definedName>
    <definedName name="US_Ger">#REF!</definedName>
    <definedName localSheetId="3" name="FINOIQ2">#REF!</definedName>
    <definedName localSheetId="23" name="_336_4.9">#REF!</definedName>
    <definedName localSheetId="4" name="ARPU6">#REF!</definedName>
    <definedName localSheetId="4" name="WSEBITFE">#REF!</definedName>
    <definedName name="Revenue">#REF!</definedName>
    <definedName localSheetId="2" name="prefrate">#REF!</definedName>
    <definedName localSheetId="2" name="Discret_PrQtr">#REF!</definedName>
    <definedName localSheetId="23" name="Print1Stop">#REF!</definedName>
    <definedName localSheetId="2" name="EBITQ1">#REF!</definedName>
    <definedName localSheetId="2" name="entry">#REF!</definedName>
    <definedName name="_AUG02">#REF!</definedName>
    <definedName localSheetId="23" name="BIOStock">#REF!</definedName>
    <definedName localSheetId="4" name="monthly_tot_add_rev">#REF!</definedName>
    <definedName localSheetId="2" name="WI_graphs">#REF!</definedName>
    <definedName localSheetId="5" name="CPTP2003">#REF!</definedName>
    <definedName localSheetId="5" name="GPFINQ2">#REF!</definedName>
    <definedName localSheetId="23" name="PandL_Act99_v_99FebBud">#REF!</definedName>
    <definedName localSheetId="2" name="BS_cash">#REF!</definedName>
    <definedName localSheetId="2" name="pess">#REF!</definedName>
    <definedName name="_fcf10">#REF!</definedName>
    <definedName localSheetId="3" name="__CCY2">#REF!</definedName>
    <definedName localSheetId="2" name="kit">#REF!</definedName>
    <definedName localSheetId="4" name="TL2QTR">#REF!</definedName>
    <definedName localSheetId="3" name="PrecedentAnalysis">#REF!</definedName>
    <definedName localSheetId="5" name="KeepH">#REF!</definedName>
    <definedName name="wrn.first2.">#REF!</definedName>
    <definedName localSheetId="5" name="EBITQ4">#REF!</definedName>
    <definedName localSheetId="23" name="EBITDA_mult">#REF!</definedName>
    <definedName name="PL_BasicSO">#REF!</definedName>
    <definedName localSheetId="4" name="Year5">#REF!</definedName>
    <definedName localSheetId="3" name="BS_Minority">#REF!</definedName>
    <definedName localSheetId="4" name="GPFINQ2">#REF!</definedName>
    <definedName localSheetId="7" name="wrn.ALL._.PAGES.">#REF!</definedName>
    <definedName localSheetId="3" name="GPFINQ3">#REF!</definedName>
    <definedName localSheetId="3" name="TL4QTR">#REF!</definedName>
    <definedName localSheetId="5" name="CF_Other">#REF!</definedName>
    <definedName name="Ticker">#REF!</definedName>
    <definedName localSheetId="23" name="CPFREIGHT2003">#REF!</definedName>
    <definedName localSheetId="3" name="CPTRANAE">#REF!</definedName>
    <definedName localSheetId="23" name="FAB">#REF!</definedName>
    <definedName name="NET_DEBT">#REF!</definedName>
    <definedName name="PL_Convertible_Interest">#REF!</definedName>
    <definedName localSheetId="3" name="fcf_lev_terminal2">#REF!</definedName>
    <definedName localSheetId="5" name="TOP10DEC">#REF!</definedName>
    <definedName localSheetId="2" name="QDOPCOQ4">#REF!</definedName>
    <definedName localSheetId="2" name="KeepA">#REF!</definedName>
    <definedName localSheetId="5" name="US_UK">#REF!</definedName>
    <definedName name="FXREV_JPY">#REF!</definedName>
    <definedName localSheetId="5" name="ServiceIntph">#REF!</definedName>
    <definedName localSheetId="2" name="FX_USD">#REF!</definedName>
    <definedName localSheetId="3" name="EquityInvestmentOverwrite">#REF!</definedName>
    <definedName name="PRINT2">#REF!</definedName>
    <definedName localSheetId="5" name="_2QTR">#REF!</definedName>
    <definedName localSheetId="23" name="E_b">#REF!</definedName>
    <definedName localSheetId="2" name="PandL_Act99_v_99FebBud">#REF!</definedName>
    <definedName localSheetId="4" name="__YE2">#REF!</definedName>
    <definedName name="BEGRSLQ2">#REF!</definedName>
    <definedName localSheetId="23" name="FXREV_USD">#REF!</definedName>
    <definedName localSheetId="5" name="CPFREIGHT2004">#REF!</definedName>
    <definedName localSheetId="23" name="_7_99_QS">#REF!</definedName>
    <definedName localSheetId="4" name="RepTable">#REF!</definedName>
    <definedName localSheetId="4" name="TOOL91">#REF!</definedName>
    <definedName name="Costcode">#REF!</definedName>
    <definedName name="Ops">#REF!</definedName>
    <definedName localSheetId="5" name="CPTRAN2004">#REF!</definedName>
    <definedName name="IQRTradingCompsB125">#REF!</definedName>
    <definedName localSheetId="2" name="CPHANDAE">#REF!</definedName>
    <definedName localSheetId="2" name="Calibration">#REF!</definedName>
    <definedName localSheetId="5" name="OPOTEXQ2">#REF!</definedName>
    <definedName localSheetId="5" name="Year4">#REF!</definedName>
    <definedName localSheetId="2" name="WSEBITMY">#REF!</definedName>
    <definedName localSheetId="23" name="PL_Loss_Debt">#REF!</definedName>
    <definedName localSheetId="5" name="_1_0CLOSE_OR">#REF!</definedName>
    <definedName localSheetId="3" name="Balance">#REF!</definedName>
    <definedName localSheetId="23" name="_Pg78">#REF!</definedName>
    <definedName localSheetId="3" name="_Pg78">#REF!</definedName>
    <definedName name="_2_99_3D">#REF!</definedName>
    <definedName localSheetId="5" name="QDOPCOQ4">#REF!</definedName>
    <definedName localSheetId="23" name="KeepG">#REF!</definedName>
    <definedName localSheetId="23" name="StockPrice">#REF!</definedName>
    <definedName name="NRTCRev">#REF!</definedName>
    <definedName localSheetId="23" name="overall_perct">#REF!</definedName>
    <definedName localSheetId="3" name="cash_fv">#REF!</definedName>
    <definedName localSheetId="4" name="CPDIAG2003">#REF!</definedName>
    <definedName localSheetId="2" name="x2lite">#REF!</definedName>
    <definedName name="FINQ1">#REF!</definedName>
    <definedName localSheetId="3" name="FIVARIQ2">#REF!</definedName>
    <definedName name="__IDP2">#REF!</definedName>
    <definedName localSheetId="3" name="cap">#REF!</definedName>
    <definedName localSheetId="4" name="OPOTEXQ3">#REF!</definedName>
    <definedName name="_4.9">#REF!</definedName>
    <definedName localSheetId="3" name="Year5">#REF!</definedName>
    <definedName localSheetId="23" name="STEStock">#REF!</definedName>
    <definedName localSheetId="2" name="CF_Investments">#REF!</definedName>
    <definedName name="wrn.Maine2.">#REF!</definedName>
    <definedName localSheetId="4" name="p_EVA">#REF!</definedName>
    <definedName name="NewCo5ON">#REF!</definedName>
    <definedName localSheetId="3" name="ParetoBaseCell">#REF!</definedName>
    <definedName localSheetId="2" name="WriteUp_otherLTL">#REF!</definedName>
    <definedName localSheetId="5" name="Costcode">#REF!</definedName>
    <definedName localSheetId="5" name="HYP_CODE">#REF!</definedName>
    <definedName name="Disp">#REF!</definedName>
    <definedName localSheetId="23" name="wrn.Hydraulic.">#REF!</definedName>
    <definedName name="_273_4.2">#REF!</definedName>
    <definedName localSheetId="3" name="FIUNABQ2">#REF!</definedName>
    <definedName localSheetId="3" name="NewCo3ON">#REF!</definedName>
    <definedName localSheetId="4" name="Month6">#REF!</definedName>
    <definedName localSheetId="3" name="CLOSE">#REF!</definedName>
    <definedName localSheetId="5" name="PPFREIGHTAE">#REF!</definedName>
    <definedName name="_NRQ4">#REF!</definedName>
    <definedName localSheetId="5" name="EBITTTL">#REF!</definedName>
    <definedName localSheetId="2" name="BS_Other_CA">#REF!</definedName>
    <definedName localSheetId="4" name="GPFINTTL">#REF!</definedName>
    <definedName localSheetId="3" name="KeepG">#REF!</definedName>
    <definedName name="EBITAFMY">#REF!</definedName>
    <definedName localSheetId="3" name="SQL_uplink">#REF!</definedName>
    <definedName localSheetId="4" name="FAB">#REF!</definedName>
    <definedName localSheetId="3" name="_Pg61">#REF!</definedName>
    <definedName localSheetId="4" name="Publicity">#REF!</definedName>
    <definedName name="ERL_US">#REF!</definedName>
    <definedName name="subscriber">#REF!</definedName>
    <definedName name="Burnhamprodcon">#REF!</definedName>
    <definedName name="GPFINQ4">#REF!</definedName>
    <definedName name="BldgS4">#REF!</definedName>
    <definedName localSheetId="4" name="CF_Non_Cash_Straight_PDividend">#REF!</definedName>
    <definedName localSheetId="23" name="DSEXTRACT">#REF!</definedName>
    <definedName localSheetId="3" name="fiscal_year">#REF!</definedName>
    <definedName localSheetId="23" name="Option_Proceeds">#REF!</definedName>
    <definedName localSheetId="5" name="_0.2">#REF!</definedName>
    <definedName localSheetId="23" name="GPFINQ3">#REF!</definedName>
    <definedName localSheetId="3" name="CF_Dividends_Subsidiary">#REF!</definedName>
    <definedName name="but">#REF!</definedName>
    <definedName localSheetId="5" name="netcostdelta">#REF!</definedName>
    <definedName localSheetId="23" name="GPPTBQ1">#REF!</definedName>
    <definedName localSheetId="2" name="E">#REF!</definedName>
    <definedName localSheetId="2" name="cty">#REF!</definedName>
    <definedName localSheetId="4" name="TotalPurchasePrice">#REF!</definedName>
    <definedName localSheetId="5" name="Year9">#REF!</definedName>
    <definedName localSheetId="4" name="StatutoryEBIT">#REF!</definedName>
    <definedName localSheetId="2" name="_Pg74">#REF!</definedName>
    <definedName localSheetId="2" name="_Pg51">#REF!</definedName>
    <definedName localSheetId="2" name="FIGM944">#REF!</definedName>
    <definedName localSheetId="5" name="IQRTradingCompsC25">#REF!</definedName>
    <definedName name="GPSPGTTL">#REF!</definedName>
    <definedName name="Fund_Deficit">#REF!</definedName>
    <definedName localSheetId="4" name="WDCOGSQ2">#REF!</definedName>
    <definedName name="BS_AP">#REF!</definedName>
    <definedName localSheetId="3" name="actsummy">#REF!</definedName>
    <definedName name="DCFBase">#REF!</definedName>
    <definedName localSheetId="5" name="GPPTTLQ2">#REF!</definedName>
    <definedName localSheetId="3" name="_NRQ4">#REF!</definedName>
    <definedName localSheetId="7" name="dd">#REF!</definedName>
    <definedName localSheetId="5" name="F_b">#REF!</definedName>
    <definedName localSheetId="3" name="PPDIAG2003">#REF!</definedName>
    <definedName localSheetId="5" name="Price_Volume_Swap_Data">#REF!</definedName>
    <definedName localSheetId="2" name="share_tog">#REF!</definedName>
    <definedName localSheetId="2" name="Bookings_Detail_Area">#REF!</definedName>
    <definedName localSheetId="23" name="_4QTRFIN">#REF!</definedName>
    <definedName localSheetId="2" name="_FEB02">#REF!</definedName>
    <definedName name="_Pg57">#REF!</definedName>
    <definedName localSheetId="23" name="Month6">#REF!</definedName>
    <definedName localSheetId="23" name="PPDIAG2004">#REF!</definedName>
    <definedName localSheetId="2" name="DTA_EXTSLS">#REF!</definedName>
    <definedName localSheetId="23" name="OtherExchangeRate">#REF!</definedName>
    <definedName name="_327_4.8">#REF!</definedName>
    <definedName localSheetId="2" name="fcf_unlev10">#REF!</definedName>
    <definedName localSheetId="2" name="EBITAFJA">#REF!</definedName>
    <definedName localSheetId="3" name="FIUNABQ1">#REF!</definedName>
    <definedName localSheetId="5" name="Bldg2300">#REF!</definedName>
    <definedName name="CF_Minority_NI">#REF!</definedName>
    <definedName localSheetId="3" name="_4TLQTR">#REF!</definedName>
    <definedName localSheetId="23" name="Cashbox">#REF!</definedName>
    <definedName localSheetId="3" name="c_pageswitch">#REF!</definedName>
    <definedName localSheetId="23" name="ACCT">#REF!</definedName>
    <definedName localSheetId="3" name="WDOPCOQ1">#REF!</definedName>
    <definedName localSheetId="2" name="FXREV_USD">#REF!</definedName>
    <definedName localSheetId="5" name="DollarHeader">#REF!</definedName>
    <definedName localSheetId="2" name="perp_unlev">#REF!</definedName>
    <definedName localSheetId="4" name="cf">#REF!</definedName>
    <definedName localSheetId="4" name="CF_begcash">#REF!</definedName>
    <definedName localSheetId="4" name="DTA_EXTSLS">#REF!</definedName>
    <definedName localSheetId="5" name="EquityInUnconsolidatedAffiliates">#REF!</definedName>
    <definedName localSheetId="2" name="_4QTR">#REF!</definedName>
    <definedName localSheetId="5" name="SmaxFOC">#REF!</definedName>
    <definedName name="PL_Non_Operating_Expenses">#REF!</definedName>
    <definedName localSheetId="5" name="__Ops1">#REF!</definedName>
    <definedName localSheetId="2" name="GPTBQ1">#REF!</definedName>
    <definedName name="_YE4">#REF!</definedName>
    <definedName localSheetId="2" name="TargetCompanyExchangeRate">#REF!</definedName>
    <definedName localSheetId="5" name="p_highyield_Depr">#REF!</definedName>
    <definedName localSheetId="3" name="PL_Straight_PDividend">#REF!</definedName>
    <definedName localSheetId="3" name="Sub_Name1">#REF!</definedName>
    <definedName localSheetId="2" name="MO_Domestic">#REF!</definedName>
    <definedName localSheetId="23" name="BS_Investments">#REF!</definedName>
    <definedName localSheetId="23" name="CF_othernonoper">#REF!</definedName>
    <definedName localSheetId="5" name="SQL_uplink">#REF!</definedName>
    <definedName localSheetId="2" name="CF_NI">#REF!</definedName>
    <definedName name="Mar">#REF!</definedName>
    <definedName localSheetId="2" name="DATA_UNIT_SEL">#REF!</definedName>
    <definedName localSheetId="5" name="Subscribers">#REF!</definedName>
    <definedName name="EBITAFNO">#REF!</definedName>
    <definedName name="_Pg32">#REF!</definedName>
    <definedName localSheetId="2" name="_Pg68">#REF!</definedName>
    <definedName localSheetId="3" name="convdebtshares">#REF!</definedName>
    <definedName localSheetId="5" name="_Pg30">#REF!</definedName>
    <definedName localSheetId="23" name="Highlights">#REF!</definedName>
    <definedName localSheetId="5" name="p_LBO_Amort">#REF!</definedName>
    <definedName localSheetId="4" name="OtherNonCashItems">#REF!</definedName>
    <definedName name="TOP10MAY02">#REF!</definedName>
    <definedName localSheetId="23" name="wrn.All_Sheets.">#REF!</definedName>
    <definedName localSheetId="23" name="C_a">#REF!</definedName>
    <definedName localSheetId="2" name="fcf_unlev_terminal2">#REF!</definedName>
    <definedName localSheetId="5" name="EntityList">#REF!</definedName>
    <definedName localSheetId="2" name="_2QTR">#REF!</definedName>
    <definedName localSheetId="4" name="_4.7">#REF!</definedName>
    <definedName localSheetId="2" name="_3AQTR">#REF!</definedName>
    <definedName localSheetId="3" name="PL_BasicSO">#REF!</definedName>
    <definedName name="CF_Provisions">#REF!</definedName>
    <definedName localSheetId="2" name="PrecLowFV">#REF!</definedName>
    <definedName localSheetId="3" name="dcf_year">#REF!</definedName>
    <definedName name="OPGRPRQ1">#REF!</definedName>
    <definedName name="Year2">#REF!</definedName>
    <definedName localSheetId="3" name="wc">#REF!</definedName>
    <definedName name="Seq_Walk">#REF!</definedName>
    <definedName localSheetId="23" name="proj">#REF!</definedName>
    <definedName name="data">#REF!</definedName>
    <definedName localSheetId="2" name="WDGRSLQ3">#REF!</definedName>
    <definedName localSheetId="23" name="ARPU6">#REF!</definedName>
    <definedName localSheetId="4" name="_225_0.2">#REF!</definedName>
    <definedName localSheetId="2" name="fcf_unlev">#REF!</definedName>
    <definedName localSheetId="23" name="_282_4.3">#REF!</definedName>
    <definedName localSheetId="4" name="PL_XO">#REF!</definedName>
    <definedName name="CPTP2004">#REF!</definedName>
    <definedName localSheetId="5" name="ServiceExtph">#REF!</definedName>
    <definedName localSheetId="2" name="_Pg35">#REF!</definedName>
    <definedName name="susan">#REF!</definedName>
    <definedName name="_255_4.11">#REF!</definedName>
    <definedName localSheetId="3" name="_1_0CLOSE_OR">#REF!</definedName>
    <definedName localSheetId="3" name="NBSCStock">#REF!</definedName>
    <definedName localSheetId="5" name="GPPTBQ1">#REF!</definedName>
    <definedName localSheetId="4" name="FIVARIQ2">#REF!</definedName>
    <definedName localSheetId="5" name="publicityph">#REF!</definedName>
    <definedName localSheetId="3" name="Sports">#REF!</definedName>
    <definedName name="_7_99_QS">#REF!</definedName>
    <definedName localSheetId="23" name="TL1QTR">#REF!</definedName>
    <definedName localSheetId="4" name="CPTRANAE">#REF!</definedName>
    <definedName localSheetId="5" name="BS_AP">#REF!</definedName>
    <definedName localSheetId="2" name="GPPFINTL">#REF!</definedName>
    <definedName localSheetId="4" name="netcostdelta">#REF!</definedName>
    <definedName localSheetId="3" name="IS_minority">#REF!</definedName>
    <definedName localSheetId="5" name="_Pg31">#REF!</definedName>
    <definedName localSheetId="23" name="p_BS">#REF!</definedName>
    <definedName name="_336_4.9">#REF!</definedName>
    <definedName localSheetId="2" name="FIGM941">#REF!</definedName>
    <definedName localSheetId="4" name="Heads">#REF!</definedName>
    <definedName localSheetId="5" name="WSEBITJL">#REF!</definedName>
    <definedName localSheetId="2" name="Assembly">#REF!</definedName>
    <definedName name="_Pg28">#REF!</definedName>
    <definedName localSheetId="2" name="IQRTradingCompsB24">#REF!</definedName>
    <definedName name="_4.5">#REF!</definedName>
    <definedName name="p_LBO_Returns">#REF!</definedName>
    <definedName localSheetId="5" name="bal">#REF!</definedName>
    <definedName localSheetId="4" name="_Pg69">#REF!</definedName>
    <definedName localSheetId="5" name="Print3Start">#REF!</definedName>
    <definedName localSheetId="5" name="p_DCF5">#REF!</definedName>
    <definedName name="Month1">#REF!</definedName>
    <definedName localSheetId="23" name="WriteUp_inventories">#REF!</definedName>
    <definedName name="PPTRANAE">#REF!</definedName>
    <definedName localSheetId="2" name="FIN">#REF!</definedName>
    <definedName localSheetId="2" name="PL_Equity_Earnings">#REF!</definedName>
    <definedName name="GPTTL">#REF!</definedName>
    <definedName name="WI_graphs">#REF!</definedName>
    <definedName localSheetId="2" name="OPEXPTTL">#REF!</definedName>
    <definedName localSheetId="3" name="unlev_fcf_rate">#REF!</definedName>
    <definedName localSheetId="2" name="Rollfwd_USD">#REF!</definedName>
    <definedName localSheetId="23" name="BldgS4">#REF!</definedName>
    <definedName localSheetId="5" name="ni_terminal">#REF!</definedName>
    <definedName localSheetId="2" name="Comp_details">#REF!</definedName>
    <definedName localSheetId="23" name="CF_Other_CA">#REF!</definedName>
    <definedName name="WSEBITMY">#REF!</definedName>
    <definedName name="DateHeader">#REF!</definedName>
    <definedName localSheetId="5" name="WriteUp_receivables">#REF!</definedName>
    <definedName localSheetId="23" name="_Pg67">#REF!</definedName>
    <definedName localSheetId="2" name="CF_Beg_Cash">#REF!</definedName>
    <definedName name="Conversion">#REF!</definedName>
    <definedName localSheetId="23" name="_fcf10">#REF!</definedName>
    <definedName localSheetId="5" name="fcf_unlev_terminal2">#REF!</definedName>
    <definedName localSheetId="23" name="opcase">#REF!</definedName>
    <definedName localSheetId="23" name="____a1">#REF!</definedName>
    <definedName name="PEST">#REF!</definedName>
    <definedName localSheetId="23" name="ProdControlph">#REF!</definedName>
    <definedName localSheetId="3" name="KeepC">#REF!</definedName>
    <definedName localSheetId="23" name="ni_mult3">#REF!</definedName>
    <definedName localSheetId="23" name="WDGRSLQ2">#REF!</definedName>
    <definedName localSheetId="2" name="SP4QTR">#REF!</definedName>
    <definedName localSheetId="5" name="FIGM951">#REF!</definedName>
    <definedName name="summy97">#REF!</definedName>
    <definedName localSheetId="4" name="EBITDA_mult2">#REF!</definedName>
    <definedName name="_Pg51">#REF!</definedName>
    <definedName localSheetId="23" name="TOP10JUN02">#REF!</definedName>
    <definedName localSheetId="4" name="LWBPRINT">#REF!</definedName>
    <definedName name="days2">#REF!</definedName>
    <definedName name="Engineeringph">#REF!</definedName>
    <definedName localSheetId="23" name="gross">#REF!</definedName>
    <definedName localSheetId="23" name="p_highyield_CFS">#REF!</definedName>
    <definedName name="terminal_year">#REF!</definedName>
    <definedName localSheetId="3" name="TOP10APR">#REF!</definedName>
    <definedName localSheetId="4" name="Act_Fcst">#REF!</definedName>
    <definedName localSheetId="4" name="p_highyield_Return">#REF!</definedName>
    <definedName localSheetId="23" name="_6_99_QD">#REF!</definedName>
    <definedName localSheetId="3" name="SIDEntities">#REF!</definedName>
    <definedName localSheetId="5" name="SAL">#REF!</definedName>
    <definedName localSheetId="23" name="BS_payables">#REF!</definedName>
    <definedName localSheetId="3" name="Spec_detail">#REF!</definedName>
    <definedName localSheetId="4" name="NewTaxGW">#REF!</definedName>
    <definedName localSheetId="5" name="BurnhamAdmin">#REF!</definedName>
    <definedName localSheetId="4" name="BurnhamAdminph">#REF!</definedName>
    <definedName localSheetId="4" name="WI_detail">#REF!</definedName>
    <definedName name="prefrate">#REF!</definedName>
    <definedName localSheetId="2" name="WSEBITSE">#REF!</definedName>
    <definedName localSheetId="4" name="fcf_unlev">#REF!</definedName>
    <definedName localSheetId="23" name="FEBFORE">#REF!</definedName>
    <definedName localSheetId="5" name="FX_EUR">#REF!</definedName>
    <definedName localSheetId="5" name="CF_capex">#REF!</definedName>
    <definedName localSheetId="2" name="CF_Other_CL">#REF!</definedName>
    <definedName localSheetId="3" name="BkgsByProdline">#REF!</definedName>
    <definedName localSheetId="3" name="AsiaPL">#REF!</definedName>
    <definedName localSheetId="2" name="fcf_lev_terminal3">#REF!</definedName>
    <definedName localSheetId="5" name="FINOIQ2">#REF!</definedName>
    <definedName localSheetId="23" name="ConversionFactor">#REF!</definedName>
    <definedName localSheetId="23" name="MTDStock">#REF!</definedName>
    <definedName localSheetId="2" name="BldgS4">#REF!</definedName>
    <definedName name="_246_4.10">#REF!</definedName>
    <definedName localSheetId="23" name="_2_99_3D">#REF!</definedName>
    <definedName localSheetId="2" name="WDCOGSQ2">#REF!</definedName>
    <definedName localSheetId="5" name="E_a">#REF!</definedName>
    <definedName localSheetId="5" name="WSEBITJN">#REF!</definedName>
    <definedName name="Print2Start">#REF!</definedName>
    <definedName localSheetId="23" name="wrn.ALL._.SHEETS.">#REF!</definedName>
    <definedName localSheetId="5" name="wtdavgshares">#REF!</definedName>
    <definedName localSheetId="3" name="TESTMACR">#REF!</definedName>
    <definedName name="EquityInvestmentOverwrite">#REF!</definedName>
    <definedName localSheetId="3" name="S_M">#REF!</definedName>
    <definedName name="avg">#REF!</definedName>
    <definedName localSheetId="2" name="PPGPDIAG2003">#REF!</definedName>
    <definedName localSheetId="2" name="p_LBO_IS">#REF!</definedName>
    <definedName localSheetId="3" name="M_C_Summary">#REF!</definedName>
    <definedName localSheetId="2" name="GPPFINQ3">#REF!</definedName>
    <definedName localSheetId="4" name="OPOTEXQ1">#REF!</definedName>
    <definedName localSheetId="3" name="CF_Beg_Cash">#REF!</definedName>
    <definedName localSheetId="4" name="Month5">#REF!</definedName>
    <definedName localSheetId="23" name="sort">#REF!</definedName>
    <definedName localSheetId="23" name="_4.4">#REF!</definedName>
    <definedName localSheetId="3" name="StockUWFee">#REF!</definedName>
    <definedName localSheetId="4" name="hallo_">#REF!</definedName>
    <definedName localSheetId="5" name="TOP10MAR">#REF!</definedName>
    <definedName localSheetId="4" name="Month12">#REF!</definedName>
    <definedName name="wrn.basics.">#REF!</definedName>
    <definedName localSheetId="5" name="_4QTR">#REF!</definedName>
    <definedName localSheetId="2" name="OPEXQ3">#REF!</definedName>
    <definedName localSheetId="23" name="_CCY1">#REF!</definedName>
    <definedName localSheetId="23" name="_GPQ2">#REF!</definedName>
    <definedName localSheetId="23" name="InventoryReport">#REF!</definedName>
    <definedName localSheetId="3" name="OPEXQ2">#REF!</definedName>
    <definedName name="BENTSL92">#REF!</definedName>
    <definedName localSheetId="5" name="mult_sen">#REF!</definedName>
    <definedName name="SUMMARY_BOOK">#REF!</definedName>
    <definedName localSheetId="4" name="YX">#REF!</definedName>
    <definedName localSheetId="5" name="_1AQTR">#REF!</definedName>
    <definedName localSheetId="23" name="Broadcast">#REF!</definedName>
    <definedName localSheetId="3" name="staff">#REF!</definedName>
    <definedName localSheetId="23" name="GP">#REF!</definedName>
    <definedName localSheetId="4" name="_Pg45">#REF!</definedName>
    <definedName localSheetId="4" name="GPSGQ1">#REF!</definedName>
    <definedName localSheetId="4" name="IQRTradingCompsC25">#REF!</definedName>
    <definedName localSheetId="2" name="FXREV_AUD">#REF!</definedName>
    <definedName localSheetId="23" name="KeepC">#REF!</definedName>
    <definedName name="_Pg75">#REF!</definedName>
    <definedName localSheetId="2" name="GPFINQ4">#REF!</definedName>
    <definedName localSheetId="5" name="CF_intangiblesamort">#REF!</definedName>
    <definedName name="CF_AP">#REF!</definedName>
    <definedName localSheetId="3" name="WDNTSLQ1">#REF!</definedName>
    <definedName localSheetId="23" name="fcf_unlev_terminal2">#REF!</definedName>
    <definedName localSheetId="3" name="CPTP2004">#REF!</definedName>
    <definedName localSheetId="23" name="row">#REF!</definedName>
    <definedName localSheetId="3" name="_Pg68">#REF!</definedName>
    <definedName localSheetId="2" name="ServiceExtph">#REF!</definedName>
    <definedName localSheetId="2" name="Year2">#REF!</definedName>
    <definedName name="_Pg48">#REF!</definedName>
    <definedName localSheetId="2" name="_3_99_3D2">#REF!</definedName>
    <definedName localSheetId="7" name="wrn.Print._.All.">#REF!</definedName>
    <definedName localSheetId="2" name="home">#REF!</definedName>
    <definedName localSheetId="3" name="Month12">#REF!</definedName>
    <definedName localSheetId="5" name="TOOL94">#REF!</definedName>
    <definedName localSheetId="4" name="Month10">#REF!</definedName>
    <definedName localSheetId="23" name="BS_cash">#REF!</definedName>
    <definedName localSheetId="23" name="RF_International">#REF!</definedName>
    <definedName localSheetId="2" name="Finance">#REF!</definedName>
    <definedName localSheetId="2" name="OtherNonCashItems">#REF!</definedName>
    <definedName localSheetId="5" name="CF_equity">#REF!</definedName>
    <definedName name="WDNTSLQ3">#REF!</definedName>
    <definedName localSheetId="3" name="BEGSSLQ1">#REF!</definedName>
    <definedName localSheetId="2" name="churn">#REF!</definedName>
    <definedName localSheetId="3" name="LWBSUM">#REF!</definedName>
    <definedName localSheetId="23" name="OPGRPRQ4">#REF!</definedName>
    <definedName localSheetId="5" name="Emaxcable">#REF!</definedName>
    <definedName localSheetId="2" name="FIVARIQ2">#REF!</definedName>
    <definedName localSheetId="2" name="year1996">#REF!</definedName>
    <definedName localSheetId="4" name="NewHYAmount">#REF!</definedName>
    <definedName localSheetId="5" name="_JAN02">#REF!</definedName>
    <definedName localSheetId="2" name="_5_99_3S">#REF!</definedName>
    <definedName localSheetId="5" name="BS_inventories">#REF!</definedName>
    <definedName localSheetId="5" name="jun">#REF!</definedName>
    <definedName localSheetId="5" name="_Pg34">#REF!</definedName>
    <definedName localSheetId="3" name="divestyear">#REF!</definedName>
    <definedName localSheetId="23" name="_4.6">#REF!</definedName>
    <definedName name="InventoryReport">#REF!</definedName>
    <definedName localSheetId="3" name="egr">#REF!</definedName>
    <definedName localSheetId="23" name="_Pg29">#REF!</definedName>
    <definedName localSheetId="3" name="_225_0.2">#REF!</definedName>
    <definedName localSheetId="4" name="Year1">#REF!</definedName>
    <definedName localSheetId="2" name="ExternalData3">#REF!</definedName>
    <definedName localSheetId="2" name="revswitch">#REF!</definedName>
    <definedName name="FXREV_HKD">#REF!</definedName>
    <definedName localSheetId="4" name="S_M">#REF!</definedName>
    <definedName localSheetId="23" name="_291_4.4">#REF!</definedName>
    <definedName localSheetId="5" name="Procurementph">#REF!</definedName>
    <definedName localSheetId="2" name="CF_convertdebt">#REF!</definedName>
    <definedName localSheetId="3" name="MarketTable">#REF!</definedName>
    <definedName localSheetId="5" name="BldgR11">#REF!</definedName>
    <definedName name="ARPU5">#REF!</definedName>
    <definedName localSheetId="3" name="manufacturing">#REF!</definedName>
    <definedName localSheetId="23" name="WSEBITJA">#REF!</definedName>
    <definedName localSheetId="2" name="PrecedentAnalysis">#REF!</definedName>
    <definedName name="LoanInterest">#REF!</definedName>
    <definedName localSheetId="4" name="fcf_unlev_terminal2">#REF!</definedName>
    <definedName localSheetId="5" name="PL_Convertible_PDividend">#REF!</definedName>
    <definedName localSheetId="5" name="Week">#REF!</definedName>
    <definedName localSheetId="2" name="mult_sen">#REF!</definedName>
    <definedName name="ComparableAnalysis">#REF!</definedName>
    <definedName localSheetId="23" name="GPPFINQ4">#REF!</definedName>
    <definedName localSheetId="5" name="_GPQ2">#REF!</definedName>
    <definedName localSheetId="3" name="c_proj_switch">#REF!</definedName>
    <definedName localSheetId="4" name="mo">#REF!</definedName>
    <definedName localSheetId="2" name="Year6">#REF!</definedName>
    <definedName localSheetId="5" name="_234Graph_E">#REF!</definedName>
    <definedName localSheetId="23" name="_NRQ1">#REF!</definedName>
    <definedName localSheetId="4" name="IS_COGS">#REF!</definedName>
    <definedName name="EBITTTL">#REF!</definedName>
    <definedName localSheetId="3" name="DSEXTRACT">#REF!</definedName>
    <definedName localSheetId="4" name="PL_Straight_Interest">#REF!</definedName>
    <definedName localSheetId="23" name="CF_Other">#REF!</definedName>
    <definedName name="mult_sen">#REF!</definedName>
    <definedName name="Spec_detail">#REF!</definedName>
    <definedName localSheetId="2" name="c_date">#REF!</definedName>
    <definedName localSheetId="2" name="IS_intconvert">#REF!</definedName>
    <definedName name="DEPT">#REF!</definedName>
    <definedName localSheetId="3" name="netcostdelta">#REF!</definedName>
    <definedName name="TL2QTR">#REF!</definedName>
    <definedName localSheetId="5" name="SP1QTR">#REF!</definedName>
    <definedName name="MOLD92">#REF!</definedName>
    <definedName localSheetId="5" name="PL_Minority_NI">#REF!</definedName>
    <definedName localSheetId="23" name="SalesAdminph">#REF!</definedName>
    <definedName name="Sales">#REF!</definedName>
    <definedName localSheetId="4" name="IS_intrevolver">#REF!</definedName>
    <definedName name="BS_CL">#REF!</definedName>
    <definedName localSheetId="23" name="FXREV_JPY">#REF!</definedName>
    <definedName localSheetId="23" name="_4_99_3G">#REF!</definedName>
    <definedName localSheetId="5" name="BS_Provisions">#REF!</definedName>
    <definedName localSheetId="4" name="IQRTradingCompsB125">#REF!</definedName>
    <definedName localSheetId="5" name="FIGM941">#REF!</definedName>
    <definedName localSheetId="3" name="VAL">#REF!</definedName>
    <definedName localSheetId="23" name="Year10">#REF!</definedName>
    <definedName localSheetId="5" name="FINQ3">#REF!</definedName>
    <definedName localSheetId="2" name="OPICEXQ3">#REF!</definedName>
    <definedName localSheetId="5" name="__GPQ3">#REF!</definedName>
    <definedName localSheetId="4" name="PandL_Act99_v_99FebBud">#REF!</definedName>
    <definedName localSheetId="23" name="FIGEADQ4">#REF!</definedName>
    <definedName localSheetId="5" name="optim">#REF!</definedName>
    <definedName localSheetId="4" name="CF_NWC">#REF!</definedName>
    <definedName localSheetId="3" name="nrw">#REF!</definedName>
    <definedName localSheetId="5" name="BaseYear">#REF!</definedName>
    <definedName localSheetId="3" name="BS_Revolver">#REF!</definedName>
    <definedName localSheetId="4" name="tot">#REF!</definedName>
    <definedName localSheetId="3" name="FIGM954">#REF!</definedName>
    <definedName localSheetId="5" name="debt_fv">#REF!</definedName>
    <definedName localSheetId="4" name="p_Premium">#REF!</definedName>
    <definedName localSheetId="2" name="Burnhamprodcon">#REF!</definedName>
    <definedName localSheetId="4" name="AsiaPL">#REF!</definedName>
    <definedName localSheetId="3" name="OPPRCO93">#REF!</definedName>
    <definedName localSheetId="3" name="_Pg67">#REF!</definedName>
    <definedName localSheetId="5" name="ACCT">#REF!</definedName>
    <definedName name="ENTITIES">#REF!</definedName>
    <definedName localSheetId="3" name="page3">#REF!</definedName>
    <definedName name="WriteUp_otherCA">#REF!</definedName>
    <definedName localSheetId="23" name="FX_CNY">#REF!</definedName>
    <definedName name="WSEBITJA">#REF!</definedName>
    <definedName localSheetId="3" name="_GPQ4">#REF!</definedName>
    <definedName localSheetId="23" name="OPEXQ3">#REF!</definedName>
    <definedName name="__DCF1">#REF!</definedName>
    <definedName localSheetId="23" name="r_printfunction">#REF!</definedName>
    <definedName name="VAL">#REF!</definedName>
    <definedName localSheetId="5" name="PPTRAN2003">#REF!</definedName>
    <definedName localSheetId="2" name="IS_revenues">#REF!</definedName>
    <definedName localSheetId="5" name="M_C_graphs">#REF!</definedName>
    <definedName localSheetId="23" name="EBITQ4">#REF!</definedName>
    <definedName localSheetId="5" name="SIDICEntities">#REF!</definedName>
    <definedName localSheetId="3" name="FXREV_EUR">#REF!</definedName>
    <definedName localSheetId="5" name="WDNTSLQ2">#REF!</definedName>
    <definedName localSheetId="2" name="FIGEADQ4">#REF!</definedName>
    <definedName name="GPFINQ2">#REF!</definedName>
    <definedName localSheetId="2" name="perp_unlev1">#REF!</definedName>
    <definedName name="Assembly">#REF!</definedName>
    <definedName localSheetId="4" name="EBITQ3">#REF!</definedName>
    <definedName localSheetId="2" name="EBITDA_mult5">#REF!</definedName>
    <definedName localSheetId="5" name="__Tot97">#REF!</definedName>
    <definedName localSheetId="23" name="TOP10JUL02">#REF!</definedName>
    <definedName localSheetId="4" name="GPPTTLQ1">#REF!</definedName>
    <definedName name="Print1Start">#REF!</definedName>
    <definedName localSheetId="5" name="Programming">#REF!</definedName>
    <definedName localSheetId="23" name="daniel1">#REF!</definedName>
    <definedName localSheetId="5" name="cbo">#REF!</definedName>
    <definedName localSheetId="2" name="CPDIAG2004">#REF!</definedName>
    <definedName name="FINOIQ1">#REF!</definedName>
    <definedName localSheetId="5" name="Abudget">#REF!</definedName>
    <definedName name="AsiaAct">#REF!</definedName>
    <definedName localSheetId="4" name="ServiceExt">#REF!</definedName>
    <definedName name="BUProductLines">#REF!</definedName>
    <definedName localSheetId="4" name="_4.10">#REF!</definedName>
    <definedName localSheetId="23" name="main">#REF!</definedName>
    <definedName localSheetId="4" name="EBITDA_mult3">#REF!</definedName>
    <definedName localSheetId="2" name="p_LBO_BS_Adj">#REF!</definedName>
    <definedName name="CPFREIGHT2004">#REF!</definedName>
    <definedName localSheetId="2" name="FXREV_HKD">#REF!</definedName>
    <definedName localSheetId="2" name="base">#REF!</definedName>
    <definedName localSheetId="3" name="Graphs_2">#REF!</definedName>
    <definedName localSheetId="2" name="wen">#REF!</definedName>
    <definedName localSheetId="4" name="OPGRPRQ2">#REF!</definedName>
    <definedName localSheetId="2" name="WDGRSLQ4">#REF!</definedName>
    <definedName localSheetId="2" name="Print2Start">#REF!</definedName>
    <definedName localSheetId="3" name="COLBLANK">#REF!</definedName>
    <definedName localSheetId="2" name="Process_details">#REF!</definedName>
    <definedName localSheetId="5" name="C_b">#REF!</definedName>
    <definedName name="cap">#REF!</definedName>
    <definedName localSheetId="23" name="cash_terminal">#REF!</definedName>
    <definedName localSheetId="3" name="AmortizationOfDeferredFinancingCosts">#REF!</definedName>
    <definedName localSheetId="23" name="Installed">#REF!</definedName>
    <definedName localSheetId="2" name="AdHoc">#REF!</definedName>
    <definedName localSheetId="23" name="_Pg82">#REF!</definedName>
    <definedName localSheetId="5" name="PL_Straight_PDividend">#REF!</definedName>
    <definedName name="StockIssueCostLife">#REF!</definedName>
    <definedName localSheetId="5" name="NewCo3ON">#REF!</definedName>
    <definedName localSheetId="2" name="_3QTRFIN">#REF!</definedName>
    <definedName localSheetId="23" name="__NRQ1">#REF!</definedName>
    <definedName localSheetId="3" name="Price_Volume_Swap_Data">#REF!</definedName>
    <definedName localSheetId="3" name="Smaxcable">#REF!</definedName>
    <definedName localSheetId="23" name="NetIncomeToCommon">#REF!</definedName>
    <definedName localSheetId="4" name="PRINT2">#REF!</definedName>
    <definedName name="wrn.Site._.Report.">#REF!</definedName>
    <definedName name="NewHYYear">#REF!</definedName>
    <definedName name="cover">#REF!</definedName>
    <definedName localSheetId="23" name="__fcf10">#REF!</definedName>
    <definedName localSheetId="5" name="__rsr2">#REF!</definedName>
    <definedName name="_Pg61">#REF!</definedName>
    <definedName localSheetId="23" name="p_highyield_IS">#REF!</definedName>
    <definedName name="page1">#REF!</definedName>
    <definedName localSheetId="23" name="Salesph">#REF!</definedName>
    <definedName localSheetId="5" name="_4.12">#REF!</definedName>
    <definedName localSheetId="2" name="DSEXTRACT">#REF!</definedName>
    <definedName localSheetId="4" name="CF_revolver">#REF!</definedName>
    <definedName name="WDOPCOQ1">#REF!</definedName>
    <definedName name="big">#REF!</definedName>
    <definedName localSheetId="2" name="perp_lev2">#REF!</definedName>
    <definedName localSheetId="7" name="wrn.All_Sheets.">#REF!</definedName>
    <definedName localSheetId="2" name="Broadcast">#REF!</definedName>
    <definedName localSheetId="3" name="Print3Stop">#REF!</definedName>
    <definedName localSheetId="2" name="_255_4.11">#REF!</definedName>
    <definedName localSheetId="4" name="matlplan">#REF!</definedName>
    <definedName name="perp_unlev1">#REF!</definedName>
    <definedName localSheetId="3" name="BS_Investments">#REF!</definedName>
    <definedName localSheetId="3" name="ni_mult">#REF!</definedName>
    <definedName localSheetId="3" name="p_LBO_SO">#REF!</definedName>
    <definedName localSheetId="4" name="perp_unlev5">#REF!</definedName>
    <definedName localSheetId="23" name="OPOPCOQ3">#REF!</definedName>
    <definedName localSheetId="2" name="Despatchph">#REF!</definedName>
    <definedName localSheetId="4" name="disc_years">#REF!</definedName>
    <definedName localSheetId="23" name="Print2Stop">#REF!</definedName>
    <definedName localSheetId="4" name="__CCY2">#REF!</definedName>
    <definedName localSheetId="5" name="FXREV_JPY">#REF!</definedName>
    <definedName name="Engineering">#REF!</definedName>
    <definedName name="Mil">#REF!</definedName>
    <definedName localSheetId="4" name="_NRQ1">#REF!</definedName>
    <definedName name="Month7">#REF!</definedName>
    <definedName localSheetId="3" name="__fcf5">#REF!</definedName>
    <definedName localSheetId="3" name="__NRQ2">#REF!</definedName>
    <definedName localSheetId="5" name="OPEXQ3">#REF!</definedName>
    <definedName localSheetId="5" name="NRSGTTL">#REF!</definedName>
    <definedName localSheetId="4" name="DEPT">#REF!</definedName>
    <definedName localSheetId="5" name="NAME">#REF!</definedName>
    <definedName localSheetId="2" name="ValuationMultiple">#REF!</definedName>
    <definedName localSheetId="5" name="Burnhamprod">#REF!</definedName>
    <definedName localSheetId="5" name="_336_4.9">#REF!</definedName>
    <definedName name="wrn.Pump.">#REF!</definedName>
    <definedName localSheetId="2" name="IQRTradingCompsA25">#REF!</definedName>
    <definedName localSheetId="4" name="Costcode">#REF!</definedName>
    <definedName localSheetId="2" name="TL3QTR">#REF!</definedName>
    <definedName localSheetId="23" name="SumB">#REF!</definedName>
    <definedName localSheetId="2" name="publicityph">#REF!</definedName>
    <definedName localSheetId="3" name="as">#REF!</definedName>
    <definedName localSheetId="4" name="TOP10NOV">#REF!</definedName>
    <definedName localSheetId="2" name="_6_99_QD">#REF!</definedName>
    <definedName name="FIGM95">#REF!</definedName>
    <definedName name="YECY">#REF!</definedName>
    <definedName localSheetId="4" name="Denomination">#REF!</definedName>
    <definedName localSheetId="2" name="DiscountYears">#REF!</definedName>
    <definedName localSheetId="5" name="CF_Straight_Preferred">#REF!</definedName>
    <definedName localSheetId="23" name="BurnhamSales">#REF!</definedName>
    <definedName localSheetId="23" name="BS_Revolver">#REF!</definedName>
    <definedName localSheetId="5" name="EBITDA_mult">#REF!</definedName>
    <definedName localSheetId="4" name="movedata">#REF!</definedName>
    <definedName localSheetId="2" name="list">#REF!</definedName>
    <definedName localSheetId="7" name="wrn.Filter.">#REF!</definedName>
    <definedName localSheetId="2" name="_309_4.6">#REF!</definedName>
    <definedName localSheetId="3" name="NotesBNewIssue">#REF!</definedName>
    <definedName localSheetId="23" name="Databaserevenue">#REF!</definedName>
    <definedName localSheetId="5" name="FX_AUD">#REF!</definedName>
    <definedName localSheetId="23" name="_Pg36">#REF!</definedName>
    <definedName localSheetId="4" name="IS_SGA">#REF!</definedName>
    <definedName localSheetId="5" name="list">#REF!</definedName>
    <definedName localSheetId="3" name="TL1QTR">#REF!</definedName>
    <definedName name="PL_Amortization">#REF!</definedName>
    <definedName localSheetId="23" name="churn">#REF!</definedName>
    <definedName name="GPPTTLTL">#REF!</definedName>
    <definedName localSheetId="5" name="GPPFINQ4">#REF!</definedName>
    <definedName localSheetId="23" name="_Sort">#REF!</definedName>
    <definedName localSheetId="5" name="EBITQ1">#REF!</definedName>
    <definedName localSheetId="4" name="FRA_Ger">#REF!</definedName>
    <definedName localSheetId="23" name="p_Index">#REF!</definedName>
    <definedName localSheetId="2" name="FINQ1">#REF!</definedName>
    <definedName localSheetId="23" name="FIGEADQ3">#REF!</definedName>
    <definedName name="OPOPCOQ2">#REF!</definedName>
    <definedName localSheetId="5" name="CF_Deferred_Taxes">#REF!</definedName>
    <definedName localSheetId="5" name="Broadcast">#REF!</definedName>
    <definedName localSheetId="3" name="NRTCRev">#REF!</definedName>
    <definedName localSheetId="2" name="salesandmktg">#REF!</definedName>
    <definedName localSheetId="5" name="BLANK">#REF!</definedName>
    <definedName localSheetId="23" name="FullTakeRate">#REF!</definedName>
    <definedName localSheetId="3" name="GPFINQ1">#REF!</definedName>
    <definedName localSheetId="2" name="EuropePL">#REF!</definedName>
    <definedName localSheetId="23" name="home">#REF!</definedName>
    <definedName localSheetId="5" name="PPTP2003">#REF!</definedName>
    <definedName localSheetId="23" name="netcostplan">#REF!</definedName>
    <definedName localSheetId="5" name="Target_LT_Debt">#REF!</definedName>
    <definedName localSheetId="2" name="Year4">#REF!</definedName>
    <definedName name="term_year">#REF!</definedName>
    <definedName localSheetId="23" name="AsiaPL">#REF!</definedName>
    <definedName localSheetId="23" name="big">#REF!</definedName>
    <definedName localSheetId="4" name="Disp">#REF!</definedName>
    <definedName localSheetId="4" name="writeupdeprec">#REF!</definedName>
    <definedName localSheetId="23" name="fcstsum">#REF!</definedName>
    <definedName name="p_highyield_Return">#REF!</definedName>
    <definedName localSheetId="5" name="CF_Convertible_Debt">#REF!</definedName>
    <definedName name="home">#REF!</definedName>
    <definedName name="KeepG">#REF!</definedName>
    <definedName name="Year6">#REF!</definedName>
    <definedName localSheetId="23" name="LC_B_S">#REF!</definedName>
    <definedName name="MonthsRange">#REF!</definedName>
    <definedName localSheetId="3" name="ARPU4">#REF!</definedName>
    <definedName localSheetId="23" name="bs">#REF!</definedName>
    <definedName localSheetId="23" name="CPDIAG2003">#REF!</definedName>
    <definedName localSheetId="23" name="bal">#REF!</definedName>
    <definedName localSheetId="23" name="Software_amort">#REF!</definedName>
    <definedName name="StockUWFee">#REF!</definedName>
    <definedName localSheetId="3" name="Forecast">#REF!</definedName>
    <definedName localSheetId="23" name="BS_straightpref">#REF!</definedName>
    <definedName localSheetId="5" name="cf">#REF!</definedName>
    <definedName name="SumB">#REF!</definedName>
    <definedName name="Years">#REF!</definedName>
    <definedName localSheetId="5" name="Sports">#REF!</definedName>
    <definedName localSheetId="2" name="_Pg53">#REF!</definedName>
    <definedName localSheetId="2" name="actsumm">#REF!</definedName>
    <definedName name="SmaxFOA">#REF!</definedName>
    <definedName name="ExcessCashrate">#REF!</definedName>
    <definedName localSheetId="5" name="StockIssueDate">#REF!</definedName>
    <definedName localSheetId="23" name="_b2">#REF!</definedName>
    <definedName localSheetId="3" name="CF_NI">#REF!</definedName>
    <definedName localSheetId="2" name="_338ÿ_0bot">#REF!</definedName>
    <definedName localSheetId="5" name="EBITAFJA">#REF!</definedName>
    <definedName localSheetId="5" name="CPPREP2003">#REF!</definedName>
    <definedName localSheetId="5" name="GPPTTLQ1">#REF!</definedName>
    <definedName localSheetId="5" name="PRIOR_YR_QTR">#REF!</definedName>
    <definedName localSheetId="4" name="Year7">#REF!</definedName>
    <definedName name="BS_Revolver">#REF!</definedName>
    <definedName localSheetId="4" name="divestproceeds">#REF!</definedName>
    <definedName name="term_value">#REF!</definedName>
    <definedName localSheetId="23" name="Synergies">#REF!</definedName>
    <definedName localSheetId="23" name="p_LBO_BS_Adj">#REF!</definedName>
    <definedName localSheetId="23" name="LBOIPOExit2">#REF!</definedName>
    <definedName localSheetId="4" name="TOOL94">#REF!</definedName>
    <definedName localSheetId="23" name="_Pg49">#REF!</definedName>
    <definedName localSheetId="23" name="WDGRPRQ1">#REF!</definedName>
    <definedName localSheetId="4" name="EBITDA_mult">#REF!</definedName>
    <definedName localSheetId="2" name="_234Graph_B">#REF!</definedName>
    <definedName localSheetId="3" name="_228_0__Datab">#REF!</definedName>
    <definedName name="p_Premium">#REF!</definedName>
    <definedName localSheetId="2" name="Sales">#REF!</definedName>
    <definedName localSheetId="5" name="IS_intrevolver">#REF!</definedName>
    <definedName localSheetId="5" name="TESTMACR">#REF!</definedName>
    <definedName localSheetId="5" name="FIGMQ2">#REF!</definedName>
    <definedName localSheetId="5" name="EXP">#REF!</definedName>
    <definedName localSheetId="3" name="_318_4.7">#REF!</definedName>
    <definedName localSheetId="23" name="SUMMARY_BOOK">#REF!</definedName>
    <definedName localSheetId="23" name="wrn.Print._.All.">#REF!</definedName>
    <definedName name="Sub_Name3">#REF!</definedName>
    <definedName localSheetId="23" name="_YE1">#REF!</definedName>
    <definedName localSheetId="4" name="OR_ViewProvider_ReportingViews_ExportStorage_OUT_Orders_RND">#REF!</definedName>
    <definedName localSheetId="3" name="AdHoc">#REF!</definedName>
    <definedName name="Burnhamprod">#REF!</definedName>
    <definedName localSheetId="23" name="__AVE2">#REF!</definedName>
    <definedName localSheetId="4" name="ConversionFactor">#REF!</definedName>
    <definedName localSheetId="23" name="ALL">#REF!</definedName>
    <definedName name="EBITDA_mult1">#REF!</definedName>
    <definedName localSheetId="2" name="CF_gwamort">#REF!</definedName>
    <definedName name="AsiaPY">#REF!</definedName>
    <definedName localSheetId="5" name="ERL_US">#REF!</definedName>
    <definedName localSheetId="23" name="PPTRAN2003">#REF!</definedName>
    <definedName localSheetId="5" name="MENU">#REF!</definedName>
    <definedName name="fcf_unlev_terminal4">#REF!</definedName>
    <definedName localSheetId="2" name="Disp">#REF!</definedName>
    <definedName localSheetId="23" name="CF_Investments">#REF!</definedName>
    <definedName localSheetId="4" name="BS_cash">#REF!</definedName>
    <definedName localSheetId="2" name="CurrentEquityInvestment">#REF!</definedName>
    <definedName localSheetId="23" name="FIUNABQ3">#REF!</definedName>
    <definedName name="__123Graph_B">#REF!</definedName>
    <definedName name="WACC">#REF!</definedName>
    <definedName localSheetId="4" name="big">#REF!</definedName>
    <definedName localSheetId="2" name="BIOStock">#REF!</definedName>
    <definedName name="BS_otherLTL">#REF!</definedName>
    <definedName name="IS_intangamort">#REF!</definedName>
    <definedName localSheetId="3" name="EBITAFMA">#REF!</definedName>
    <definedName localSheetId="23" name="IQRTradingCompsA25">#REF!</definedName>
    <definedName name="TOP10AUG02">#REF!</definedName>
    <definedName localSheetId="23" name="KeepD">#REF!</definedName>
    <definedName localSheetId="5" name="C_a">#REF!</definedName>
    <definedName localSheetId="23" name="Copyright">#REF!</definedName>
    <definedName localSheetId="5" name="MinorityInterestInIncome">#REF!</definedName>
    <definedName localSheetId="23" name="p_Amort">#REF!</definedName>
    <definedName localSheetId="5" name="TOP10FEB">#REF!</definedName>
    <definedName localSheetId="5" name="OPNTSLQ1">#REF!</definedName>
    <definedName localSheetId="23" name="EBITQ2">#REF!</definedName>
    <definedName localSheetId="2" name="Status">#REF!</definedName>
    <definedName localSheetId="4" name="tar">#REF!</definedName>
    <definedName name="BurnhamEng">#REF!</definedName>
    <definedName localSheetId="3" name="CF_Investments">#REF!</definedName>
    <definedName name="FIGM96">#REF!</definedName>
    <definedName localSheetId="2" name="FSHStock">#REF!</definedName>
    <definedName localSheetId="2" name="IS_inctaxes">#REF!</definedName>
    <definedName localSheetId="5" name="Spec_detail">#REF!</definedName>
    <definedName localSheetId="4" name="CurrentCashInterestRate">#REF!</definedName>
    <definedName localSheetId="23" name="BS_straightdebt">#REF!</definedName>
    <definedName localSheetId="4" name="EBITAFAP">#REF!</definedName>
    <definedName localSheetId="3" name="_4.7">#REF!</definedName>
    <definedName localSheetId="4" name="TOP10FEB">#REF!</definedName>
    <definedName localSheetId="3" name="p_LBO_Returns">#REF!</definedName>
    <definedName localSheetId="5" name="WDCOGSQ2">#REF!</definedName>
    <definedName localSheetId="2" name="_CCY1">#REF!</definedName>
    <definedName localSheetId="4" name="EBITAFMY">#REF!</definedName>
    <definedName localSheetId="3" name="DATA_UNIT_SEL">#REF!</definedName>
    <definedName localSheetId="4" name="KeepA">#REF!</definedName>
    <definedName localSheetId="3" name="LoanDate">#REF!</definedName>
    <definedName localSheetId="5" name="CPDIAG2003">#REF!</definedName>
    <definedName localSheetId="5" name="dollars">#REF!</definedName>
    <definedName localSheetId="5" name="_2AQTR">#REF!</definedName>
    <definedName name="_Pg53">#REF!</definedName>
    <definedName localSheetId="4" name="Conversion">#REF!</definedName>
    <definedName name="Bookings_Detail_Area">#REF!</definedName>
    <definedName localSheetId="23" name="_8GG2_">#REF!</definedName>
    <definedName localSheetId="5" name="__AVE2">#REF!</definedName>
    <definedName name="FX_USD">#REF!</definedName>
    <definedName localSheetId="23" name="page5">#REF!</definedName>
    <definedName localSheetId="23" name="_3QTRFIN">#REF!</definedName>
    <definedName localSheetId="3" name="PPTP2004">#REF!</definedName>
    <definedName localSheetId="5" name="PL_FDEPS">#REF!</definedName>
    <definedName localSheetId="5" name="FIGEADQ2">#REF!</definedName>
    <definedName localSheetId="3" name="CPPREP2003">#REF!</definedName>
    <definedName localSheetId="5" name="invoice_choices">#REF!</definedName>
    <definedName localSheetId="3" name="_338ÿ_0bot">#REF!</definedName>
    <definedName name="ab">#REF!</definedName>
    <definedName localSheetId="2" name="EBITDA_mult2">#REF!</definedName>
    <definedName localSheetId="3" name="AsiaPY">#REF!</definedName>
    <definedName localSheetId="23" name="WriteUp_otherCL">#REF!</definedName>
    <definedName localSheetId="2" name="SmaxFOC">#REF!</definedName>
    <definedName localSheetId="2" name="SQL_uplink">#REF!</definedName>
    <definedName localSheetId="23" name="FXREV_AUD">#REF!</definedName>
    <definedName localSheetId="23" name="BS_PPE">#REF!</definedName>
    <definedName localSheetId="23" name="wtdavgshares">#REF!</definedName>
    <definedName localSheetId="4" name="WSEBITSE">#REF!</definedName>
    <definedName localSheetId="3" name="Productstructure">#REF!</definedName>
    <definedName localSheetId="4" name="Finance">#REF!</definedName>
    <definedName name="unlev_fcf_rate">#REF!</definedName>
    <definedName localSheetId="4" name="PPHAND2004">#REF!</definedName>
    <definedName localSheetId="4" name="NewCo2ON">#REF!</definedName>
    <definedName localSheetId="2" name="_MAR02">#REF!</definedName>
    <definedName localSheetId="2" name="_Pg54">#REF!</definedName>
    <definedName localSheetId="23" name="OPOTEXQ2">#REF!</definedName>
    <definedName localSheetId="2" name="help">#REF!</definedName>
    <definedName localSheetId="5" name="BS_straightdebt">#REF!</definedName>
    <definedName localSheetId="5" name="WriteUp_otherCA">#REF!</definedName>
    <definedName name="_GPQ2">#REF!</definedName>
    <definedName name="overall_perct">#REF!</definedName>
    <definedName localSheetId="3" name="ServiceIntph">#REF!</definedName>
    <definedName localSheetId="5" name="r_printfunction">#REF!</definedName>
    <definedName localSheetId="2" name="LookUpRange">#REF!</definedName>
    <definedName localSheetId="23" name="grossQ">#REF!</definedName>
    <definedName name="EntityList">#REF!</definedName>
    <definedName localSheetId="23" name="CPPREP2003">#REF!</definedName>
    <definedName name="TOP10JUN02">#REF!</definedName>
    <definedName localSheetId="5" name="OPICEXQ3">#REF!</definedName>
    <definedName localSheetId="4" name="Installedph">#REF!</definedName>
    <definedName name="__CCY1">#REF!</definedName>
    <definedName localSheetId="23" name="wrn">#REF!</definedName>
    <definedName localSheetId="4" name="BS_inventories">#REF!</definedName>
    <definedName localSheetId="23" name="ni_terminal">#REF!</definedName>
    <definedName localSheetId="2" name="Category">#REF!</definedName>
    <definedName name="INSTRUMENTS">#REF!</definedName>
    <definedName localSheetId="5" name="convprefrate">#REF!</definedName>
    <definedName localSheetId="3" name="shos">#REF!</definedName>
    <definedName localSheetId="2" name="term_year">#REF!</definedName>
    <definedName localSheetId="2" name="IS_minority">#REF!</definedName>
    <definedName localSheetId="5" name="Bookings_Detail_Area">#REF!</definedName>
    <definedName localSheetId="2" name="KeepF">#REF!</definedName>
    <definedName name="CPPREP2004">#REF!</definedName>
    <definedName localSheetId="3" name="PPDIAG2004">#REF!</definedName>
    <definedName localSheetId="3" name="BS_deferredcomp">#REF!</definedName>
    <definedName localSheetId="23" name="perp_lev5">#REF!</definedName>
    <definedName localSheetId="3" name="Elim_b">#REF!</definedName>
    <definedName localSheetId="3" name="ServiceExtph">#REF!</definedName>
    <definedName localSheetId="4" name="_4QTRFIN">#REF!</definedName>
    <definedName localSheetId="2" name="page1">#REF!</definedName>
    <definedName localSheetId="3" name="XY">#REF!</definedName>
    <definedName localSheetId="23" name="FIVARIQ2">#REF!</definedName>
    <definedName localSheetId="4" name="Print2Stop">#REF!</definedName>
    <definedName localSheetId="4" name="MarketTable">#REF!</definedName>
    <definedName localSheetId="4" name="ValuationMultiple">#REF!</definedName>
    <definedName localSheetId="23" name="BS_Straight_Preferred">#REF!</definedName>
    <definedName localSheetId="5" name="BS_otherCA">#REF!</definedName>
    <definedName localSheetId="2" name="_Pg59">#REF!</definedName>
    <definedName localSheetId="4" name="employee_lookup">#REF!</definedName>
    <definedName localSheetId="4" name="WDNTSLQ2">#REF!</definedName>
    <definedName localSheetId="23" name="CurrentEquityInvestment">#REF!</definedName>
    <definedName localSheetId="5" name="pess">#REF!</definedName>
    <definedName localSheetId="23" name="_MAR02">#REF!</definedName>
    <definedName name="LC_B_S">#REF!</definedName>
    <definedName name="page2">#REF!</definedName>
    <definedName localSheetId="3" name="OPICEXQ2">#REF!</definedName>
    <definedName localSheetId="5" name="CPGPDIAG2003">#REF!</definedName>
    <definedName localSheetId="23" name="ImpliedFX">#REF!</definedName>
    <definedName name="YearEndMonth">#REF!</definedName>
    <definedName localSheetId="4" name="HYP_CODE">#REF!</definedName>
    <definedName localSheetId="3" name="_291_4.4">#REF!</definedName>
    <definedName localSheetId="2" name="StatutoryRevenues">#REF!</definedName>
    <definedName localSheetId="23" name="Assembly">#REF!</definedName>
    <definedName localSheetId="4" name="Assemblyph">#REF!</definedName>
    <definedName localSheetId="4" name="CF_Straight_Preferred">#REF!</definedName>
    <definedName localSheetId="23" name="Calibrationph">#REF!</definedName>
    <definedName localSheetId="3" name="IS_othernonopexp">#REF!</definedName>
    <definedName name="_IDP2">#REF!</definedName>
    <definedName localSheetId="5" name="CF_Other_CL">#REF!</definedName>
    <definedName localSheetId="5" name="OPPRCO93">#REF!</definedName>
    <definedName localSheetId="3" name="BS_cash">#REF!</definedName>
    <definedName localSheetId="3" name="CPFREIGHT2003">#REF!</definedName>
    <definedName name="DCF">#REF!</definedName>
    <definedName localSheetId="23" name="TargetCompanyCurrency">#REF!</definedName>
    <definedName localSheetId="4" name="AdHoc">#REF!</definedName>
    <definedName localSheetId="2" name="GPPSGTL">#REF!</definedName>
    <definedName name="c_pathswitch">#REF!</definedName>
    <definedName localSheetId="3" name="KeepD">#REF!</definedName>
    <definedName localSheetId="2" name="MOLDED">#REF!</definedName>
    <definedName localSheetId="5" name="Procurement">#REF!</definedName>
    <definedName localSheetId="5" name="CF_Non_Cash_Charges">#REF!</definedName>
    <definedName localSheetId="2" name="cash_terminal">#REF!</definedName>
    <definedName localSheetId="5" name="offer_case">#REF!</definedName>
    <definedName localSheetId="23" name="MinorityInterestInIncome">#REF!</definedName>
    <definedName localSheetId="23" name="n">#REF!</definedName>
    <definedName localSheetId="23" name="_4.1">#REF!</definedName>
    <definedName localSheetId="23" name="BurnhamAdminph">#REF!</definedName>
    <definedName name="_2AQTR">#REF!</definedName>
    <definedName name="actuals">#REF!</definedName>
    <definedName localSheetId="2" name="WSEBITMA">#REF!</definedName>
    <definedName localSheetId="3" name="OtherExchangeRate">#REF!</definedName>
    <definedName localSheetId="5" name="perp_unlev3">#REF!</definedName>
    <definedName localSheetId="4" name="SGNTSL92">#REF!</definedName>
    <definedName localSheetId="23" name="_Pg57">#REF!</definedName>
    <definedName localSheetId="23" name="page7">#REF!</definedName>
    <definedName name="EQUITY">#REF!</definedName>
    <definedName name="SP4QTR">#REF!</definedName>
    <definedName localSheetId="2" name="NONINSTRUMENTS">#REF!</definedName>
    <definedName localSheetId="23" name="FIGMB2">#REF!</definedName>
    <definedName localSheetId="23" name="optim">#REF!</definedName>
    <definedName localSheetId="23" name="OPPRCO93">#REF!</definedName>
    <definedName localSheetId="4" name="PPDIAG2004">#REF!</definedName>
    <definedName localSheetId="2" name="ChangeInStraightPreferredStock">#REF!</definedName>
    <definedName name="StockPrice">#REF!</definedName>
    <definedName localSheetId="2" name="YearEndMonth">#REF!</definedName>
    <definedName localSheetId="5" name="CurrentCashInterestRate">#REF!</definedName>
    <definedName name="RepTable">#REF!</definedName>
    <definedName localSheetId="3" name="IS_inctaxes">#REF!</definedName>
    <definedName name="sort">#REF!</definedName>
    <definedName localSheetId="3" name="Assembly">#REF!</definedName>
    <definedName localSheetId="23" name="Month9">#REF!</definedName>
    <definedName localSheetId="3" name="month_close">#REF!</definedName>
    <definedName localSheetId="5" name="WDGRSLQ2">#REF!</definedName>
    <definedName localSheetId="3" name="EBITAFOC">#REF!</definedName>
    <definedName name="NotesBNewIssue">#REF!</definedName>
    <definedName localSheetId="3" name="chki">#REF!</definedName>
    <definedName localSheetId="5" name="_Pg35">#REF!</definedName>
    <definedName localSheetId="2" name="fcf_lev_terminal5">#REF!</definedName>
    <definedName localSheetId="5" name="_Pg66">#REF!</definedName>
    <definedName localSheetId="23" name="_Pg58">#REF!</definedName>
    <definedName localSheetId="2" name="Installedph">#REF!</definedName>
    <definedName localSheetId="2" name="bs_date">#REF!</definedName>
    <definedName localSheetId="3" name="overall_perct">#REF!</definedName>
    <definedName localSheetId="5" name="LC_B_S">#REF!</definedName>
    <definedName localSheetId="5" name="EVERYTHI">#REF!</definedName>
    <definedName localSheetId="2" name="Graph2">#REF!</definedName>
    <definedName localSheetId="5" name="IS_otheropexp">#REF!</definedName>
    <definedName localSheetId="2" name="WSEBITDE">#REF!</definedName>
    <definedName localSheetId="3" name="FX_USD">#REF!</definedName>
    <definedName localSheetId="2" name="CF_Deferred_Taxes">#REF!</definedName>
    <definedName localSheetId="3" name="FIGEADQ4">#REF!</definedName>
    <definedName localSheetId="3" name="PIDENTITIES">#REF!</definedName>
    <definedName localSheetId="5" name="Govt">#REF!</definedName>
    <definedName localSheetId="4" name="p_highyield_BS">#REF!</definedName>
    <definedName localSheetId="3" name="eu">#REF!</definedName>
    <definedName localSheetId="4" name="terminal_year">#REF!</definedName>
    <definedName localSheetId="23" name="_237_4.1">#REF!</definedName>
    <definedName localSheetId="23" name="ComparableAnalysis">#REF!</definedName>
    <definedName localSheetId="7" name="but">#REF!</definedName>
    <definedName localSheetId="4" name="_4_99_3G">#REF!</definedName>
    <definedName localSheetId="4" name="BS_Straight_Debt">#REF!</definedName>
    <definedName localSheetId="3" name="OPEXQ1">#REF!</definedName>
    <definedName localSheetId="5" name="FRA_UK">#REF!</definedName>
    <definedName localSheetId="7" name="wrn.Total.">#REF!</definedName>
    <definedName name="Calibrationph">#REF!</definedName>
    <definedName name="Ben_US">#REF!</definedName>
    <definedName localSheetId="23" name="EXP">#REF!</definedName>
    <definedName localSheetId="3" name="spread">#REF!</definedName>
    <definedName localSheetId="4" name="ImpliedFX">#REF!</definedName>
    <definedName localSheetId="3" name="WSEBITSE">#REF!</definedName>
    <definedName localSheetId="23" name="GPPFINQ3">#REF!</definedName>
    <definedName name="CPDIAG2004">#REF!</definedName>
    <definedName localSheetId="5" name="Tbudget">#REF!</definedName>
    <definedName localSheetId="23" name="EuropeAct">#REF!</definedName>
    <definedName name="WriteUp_payables">#REF!</definedName>
    <definedName localSheetId="3" name="LBOIPOExit2">#REF!</definedName>
    <definedName name="wrn.ISCG._.model.">#REF!</definedName>
    <definedName localSheetId="23" name="fcf_lev_terminal2">#REF!</definedName>
    <definedName localSheetId="5" name="CF_othernonoper">#REF!</definedName>
    <definedName localSheetId="23" name="BUProductLines">#REF!</definedName>
    <definedName localSheetId="23" name="EquityInvestmentOverwrite">#REF!</definedName>
    <definedName localSheetId="3" name="GPPSGQ1">#REF!</definedName>
    <definedName localSheetId="5" name="fcf_lev_terminal2">#REF!</definedName>
    <definedName localSheetId="23" name="FINOIQ4">#REF!</definedName>
    <definedName localSheetId="5" name="CashInterestRateOverwrite">#REF!</definedName>
    <definedName localSheetId="3" name="_Pg49">#REF!</definedName>
    <definedName localSheetId="5" name="_6_99_QD">#REF!</definedName>
    <definedName localSheetId="5" name="MSU_PRICE">#REF!</definedName>
    <definedName localSheetId="5" name="Sept">#REF!</definedName>
    <definedName localSheetId="3" name="_Pg37">#REF!</definedName>
    <definedName localSheetId="3" name="BENTSL92">#REF!</definedName>
    <definedName localSheetId="3" name="detail97">#REF!</definedName>
    <definedName localSheetId="5" name="MOLD91">#REF!</definedName>
    <definedName name="_Pg30">#REF!</definedName>
    <definedName name="WDGRPRQ1">#REF!</definedName>
    <definedName localSheetId="4" name="_abc">#REF!</definedName>
    <definedName localSheetId="23" name="cap">#REF!</definedName>
    <definedName localSheetId="2" name="StockProceeds">#REF!</definedName>
    <definedName localSheetId="5" name="EBITAFOC">#REF!</definedName>
    <definedName localSheetId="5" name="CPTP2004">#REF!</definedName>
    <definedName localSheetId="23" name="Emaxcable">#REF!</definedName>
    <definedName localSheetId="2" name="BS_otherCL">#REF!</definedName>
    <definedName localSheetId="4" name="CPTP2004">#REF!</definedName>
    <definedName localSheetId="3" name="_2TLQTR">#REF!</definedName>
    <definedName localSheetId="3" name="WDOPCOQ2">#REF!</definedName>
    <definedName name="Costsub">#REF!</definedName>
    <definedName localSheetId="4" name="Installed">#REF!</definedName>
    <definedName localSheetId="3" name="OPEXQ3">#REF!</definedName>
    <definedName localSheetId="3" name="CustRev">#REF!</definedName>
    <definedName localSheetId="3" name="_YE1">#REF!</definedName>
    <definedName name="EINGABE">#REF!</definedName>
    <definedName localSheetId="4" name="BS_AR">#REF!</definedName>
    <definedName name="BS_convertpref">#REF!</definedName>
    <definedName localSheetId="4" name="NBSCStock">#REF!</definedName>
    <definedName localSheetId="2" name="__IDP2">#REF!</definedName>
    <definedName localSheetId="2" name="_2QTRFIN">#REF!</definedName>
    <definedName name="monthly_tot_add_rev">#REF!</definedName>
    <definedName localSheetId="4" name="shos">#REF!</definedName>
    <definedName localSheetId="2" name="business">#REF!</definedName>
    <definedName localSheetId="5" name="Print1Start">#REF!</definedName>
    <definedName name="OtherCurrency">#REF!</definedName>
    <definedName localSheetId="3" name="BaseData">#REF!</definedName>
    <definedName localSheetId="4" name="Synergies">#REF!</definedName>
    <definedName localSheetId="23" name="CPHAND2004">#REF!</definedName>
    <definedName localSheetId="2" name="p_EVA">#REF!</definedName>
    <definedName localSheetId="23" name="F_b">#REF!</definedName>
    <definedName localSheetId="4" name="StockProceeds">#REF!</definedName>
    <definedName localSheetId="5" name="_FEB02">#REF!</definedName>
    <definedName localSheetId="4" name="_GPQ2">#REF!</definedName>
    <definedName localSheetId="3" name="BurnhamEngph">#REF!</definedName>
    <definedName localSheetId="5" name="BUSumNames">#REF!</definedName>
    <definedName localSheetId="5" name="Costsub">#REF!</definedName>
    <definedName localSheetId="5" name="PRINT">#REF!</definedName>
    <definedName name="CPGPDIAG2004">#REF!</definedName>
    <definedName name="Year10">#REF!</definedName>
    <definedName localSheetId="3" name="E_b">#REF!</definedName>
    <definedName name="BS_Equity">#REF!</definedName>
    <definedName localSheetId="23" name="BurnhamDespph">#REF!</definedName>
    <definedName localSheetId="5" name="KeepG">#REF!</definedName>
    <definedName localSheetId="23" name="GPPSGTL">#REF!</definedName>
    <definedName localSheetId="23" name="total">#REF!</definedName>
    <definedName localSheetId="23" name="BS_Provisions">#REF!</definedName>
    <definedName localSheetId="4" name="BS_otherCA">#REF!</definedName>
    <definedName localSheetId="2" name="value_date">#REF!</definedName>
    <definedName localSheetId="4" name="c_proj_switch">#REF!</definedName>
    <definedName name="Procurement">#REF!</definedName>
    <definedName localSheetId="2" name="PL_Loss_Debt">#REF!</definedName>
    <definedName name="CPPREP2003">#REF!</definedName>
    <definedName localSheetId="23" name="Status">#REF!</definedName>
    <definedName name="NewCo1ON">#REF!</definedName>
    <definedName localSheetId="4" name="CF_Dividends_Subsidiary">#REF!</definedName>
    <definedName localSheetId="4" name="PPGPTP2004">#REF!</definedName>
    <definedName localSheetId="2" name="opcase">#REF!</definedName>
    <definedName localSheetId="4" name="_318_4.7">#REF!</definedName>
    <definedName localSheetId="2" name="TOP10MAR">#REF!</definedName>
    <definedName localSheetId="2" name="PPGPDIAG2004">#REF!</definedName>
    <definedName name="OPEXQ3">#REF!</definedName>
    <definedName localSheetId="3" name="PRIOR_YR_QTR">#REF!</definedName>
    <definedName localSheetId="23" name="BS_otherLTA">#REF!</definedName>
    <definedName localSheetId="5" name="BS_Convertible_Debt">#REF!</definedName>
    <definedName localSheetId="5" name="AsiaPL">#REF!</definedName>
    <definedName localSheetId="3" name="help">#REF!</definedName>
    <definedName name="PPGPDIAG2004">#REF!</definedName>
    <definedName localSheetId="2" name="__fcf5">#REF!</definedName>
    <definedName name="IS_SGA">#REF!</definedName>
    <definedName localSheetId="3" name="__YE3">#REF!</definedName>
    <definedName localSheetId="2" name="modemref">#REF!</definedName>
    <definedName localSheetId="2" name="ACROS">#REF!</definedName>
    <definedName localSheetId="4" name="_2AQTR">#REF!</definedName>
    <definedName name="BS_AR">#REF!</definedName>
    <definedName localSheetId="3" name="CF_Amortization">#REF!</definedName>
    <definedName localSheetId="2" name="Cashplug">#REF!</definedName>
    <definedName localSheetId="2" name="NC">#REF!</definedName>
    <definedName localSheetId="5" name="matlfcst">#REF!</definedName>
    <definedName name="_4.6">#REF!</definedName>
    <definedName localSheetId="2" name="CPGPDIAG2004">#REF!</definedName>
    <definedName localSheetId="2" name="p_highyield_Return">#REF!</definedName>
    <definedName localSheetId="3" name="Sub_Name2">#REF!</definedName>
    <definedName name="_Pg34">#REF!</definedName>
    <definedName localSheetId="3" name="Terminal">#REF!</definedName>
    <definedName localSheetId="5" name="Ops">#REF!</definedName>
    <definedName name="EBITAFAU">#REF!</definedName>
    <definedName localSheetId="4" name="_Tot98">#REF!</definedName>
    <definedName localSheetId="5" name="FX_USD">#REF!</definedName>
    <definedName name="_Pg56">#REF!</definedName>
    <definedName localSheetId="23" name="WSEBITOC">#REF!</definedName>
    <definedName localSheetId="3" name="TOOL92">#REF!</definedName>
    <definedName localSheetId="5" name="perp_unlev4">#REF!</definedName>
    <definedName localSheetId="5" name="wen">#REF!</definedName>
    <definedName localSheetId="4" name="acq_cost_convert_high">#REF!</definedName>
    <definedName localSheetId="4" name="_Pg72">#REF!</definedName>
    <definedName name="_GPQ4">#REF!</definedName>
    <definedName localSheetId="4" name="WriteUp_payables">#REF!</definedName>
    <definedName localSheetId="5" name="_237_4.1">#REF!</definedName>
    <definedName name="fcf_lev_terminal2">#REF!</definedName>
    <definedName localSheetId="4" name="TOTALIT">#REF!</definedName>
    <definedName localSheetId="5" name="_3_99_3D2">#REF!</definedName>
    <definedName name="_4QTR">#REF!</definedName>
    <definedName localSheetId="23" name="perp_unlev1">#REF!</definedName>
    <definedName localSheetId="2" name="DeferredTaxes">#REF!</definedName>
    <definedName name="TOP10OCT">#REF!</definedName>
    <definedName name="BUSumNames">#REF!</definedName>
    <definedName localSheetId="5" name="fcf_unlev10">#REF!</definedName>
    <definedName localSheetId="5" name="NonCashInterestRate">#REF!</definedName>
    <definedName localSheetId="23" name="dollars">#REF!</definedName>
    <definedName localSheetId="4" name="WSEBITOC">#REF!</definedName>
    <definedName name="NONINSTRUMENTS">#REF!</definedName>
    <definedName localSheetId="4" name="OPOPCOQ1">#REF!</definedName>
    <definedName localSheetId="4" name="Occupancyphnt">#REF!</definedName>
    <definedName localSheetId="3" name="Systimax">#REF!</definedName>
    <definedName localSheetId="4" name="p_highyield_CFS">#REF!</definedName>
    <definedName localSheetId="2" name="CPPREP2003">#REF!</definedName>
    <definedName name="EBITDA_mult2">#REF!</definedName>
    <definedName localSheetId="2" name="WDNTSLQ1">#REF!</definedName>
    <definedName localSheetId="23" name="calculations">#REF!</definedName>
    <definedName localSheetId="3" name="Indust_detail">#REF!</definedName>
    <definedName localSheetId="4" name="EBITAFAU">#REF!</definedName>
    <definedName localSheetId="2" name="EBITDA_mult4">#REF!</definedName>
    <definedName name="aaaaa">#REF!</definedName>
    <definedName localSheetId="4" name="WSEBITNO">#REF!</definedName>
    <definedName name="PPTRAN2004">#REF!</definedName>
    <definedName localSheetId="5" name="page8">#REF!</definedName>
    <definedName localSheetId="23" name="shos">#REF!</definedName>
    <definedName localSheetId="2" name="acq_cost_convert_high">#REF!</definedName>
    <definedName localSheetId="4" name="RF_Domestic">#REF!</definedName>
    <definedName localSheetId="5" name="Print3Stop">#REF!</definedName>
    <definedName localSheetId="2" name="NewTaxGW">#REF!</definedName>
    <definedName localSheetId="2" name="BS_Inventory">#REF!</definedName>
    <definedName localSheetId="2" name="_300_4.5">#REF!</definedName>
    <definedName localSheetId="4" name="_CCY2">#REF!</definedName>
    <definedName localSheetId="2" name="OR_ViewProvider_ReportingViews_ExportStorage_OUT_Orders_RND">#REF!</definedName>
    <definedName localSheetId="3" name="NonCashInterestRate">#REF!</definedName>
    <definedName localSheetId="2" name="BS_commonequity">#REF!</definedName>
    <definedName name="abc">#REF!</definedName>
    <definedName localSheetId="23" name="BS_convertpref">#REF!</definedName>
    <definedName localSheetId="23" name="WDOPCOQ3">#REF!</definedName>
    <definedName localSheetId="23" name="Ticker">#REF!</definedName>
    <definedName localSheetId="2" name="StockPrice">#REF!</definedName>
    <definedName localSheetId="23" name="Test">#REF!</definedName>
    <definedName localSheetId="2" name="SAL">#REF!</definedName>
    <definedName localSheetId="5" name="SalesMEi">#REF!</definedName>
    <definedName localSheetId="5" name="USD_B_S">#REF!</definedName>
    <definedName localSheetId="3" name="PRINT1">#REF!</definedName>
    <definedName localSheetId="5" name="DATA_UNIT_SEL">#REF!</definedName>
    <definedName localSheetId="2" name="TESTMACR">#REF!</definedName>
    <definedName localSheetId="23" name="OPNTSL93">#REF!</definedName>
    <definedName localSheetId="2" name="BS_Provisions">#REF!</definedName>
    <definedName localSheetId="5" name="CPTRANAE">#REF!</definedName>
    <definedName localSheetId="5" name="home">#REF!</definedName>
    <definedName localSheetId="23" name="_Pg52">#REF!</definedName>
    <definedName name="GPTBQ1">#REF!</definedName>
    <definedName localSheetId="4" name="Sports2">#REF!</definedName>
    <definedName localSheetId="4" name="PrecedentAnalysis">#REF!</definedName>
    <definedName localSheetId="4" name="LBOIPOExit1">#REF!</definedName>
    <definedName localSheetId="2" name="PRIOR_YR_QTR">#REF!</definedName>
    <definedName localSheetId="23" name="PPTP2004">#REF!</definedName>
    <definedName name="NewHYIssue">#REF!</definedName>
    <definedName localSheetId="23" name="wc">#REF!</definedName>
    <definedName localSheetId="3" name="OPEXPTTL">#REF!</definedName>
    <definedName localSheetId="5" name="BIOStock">#REF!</definedName>
    <definedName localSheetId="3" name="IQRTradingCompsE32">#REF!</definedName>
    <definedName localSheetId="3" name="Month11">#REF!</definedName>
    <definedName name="CF_Other">#REF!</definedName>
    <definedName localSheetId="3" name="TOOLBOX">#REF!</definedName>
    <definedName name="ProdControl">#REF!</definedName>
    <definedName name="MoQtr">#REF!</definedName>
    <definedName localSheetId="23" name="WDCOGSQ1">#REF!</definedName>
    <definedName localSheetId="23" name="DCF">#REF!</definedName>
    <definedName localSheetId="23" name="M_C_detail">#REF!</definedName>
    <definedName localSheetId="3" name="depreciation">#REF!</definedName>
    <definedName localSheetId="3" name="WriteUp_payables">#REF!</definedName>
    <definedName localSheetId="23" name="__CCY1">#REF!</definedName>
    <definedName name="staff">#REF!</definedName>
    <definedName name="Year7">#REF!</definedName>
    <definedName localSheetId="23" name="WriteUp_otherCA">#REF!</definedName>
    <definedName localSheetId="3" name="OPGRPRQ1">#REF!</definedName>
    <definedName localSheetId="5" name="BurnhamEng">#REF!</definedName>
    <definedName localSheetId="23" name="Month5">#REF!</definedName>
    <definedName localSheetId="3" name="p_LBO_DebtB">#REF!</definedName>
    <definedName localSheetId="7" name="Mil">#REF!</definedName>
    <definedName localSheetId="23" name="PrecLowFV">#REF!</definedName>
    <definedName localSheetId="3" name="SAL">#REF!</definedName>
    <definedName name="p_DCF5">#REF!</definedName>
    <definedName localSheetId="23" name="_GPQ4">#REF!</definedName>
    <definedName localSheetId="3" name="Act_Fcst">#REF!</definedName>
    <definedName name="PL_Loss_Preferred">#REF!</definedName>
    <definedName localSheetId="4" name="_2_99_3D">#REF!</definedName>
    <definedName localSheetId="4" name="IS_inctaxes">#REF!</definedName>
    <definedName name="_4.11">#REF!</definedName>
    <definedName localSheetId="3" name="BS_goodwill">#REF!</definedName>
    <definedName localSheetId="3" name="IT">#REF!</definedName>
    <definedName localSheetId="2" name="EOLDef">#REF!</definedName>
    <definedName localSheetId="2" name="PPHANDAE">#REF!</definedName>
    <definedName localSheetId="5" name="PPTRANAE">#REF!</definedName>
    <definedName name="wtdavgshares">#REF!</definedName>
    <definedName localSheetId="3" name="Graph2">#REF!</definedName>
    <definedName localSheetId="2" name="EVERYTHI">#REF!</definedName>
    <definedName localSheetId="2" name="Sub_Name2">#REF!</definedName>
    <definedName localSheetId="3" name="_Pg31">#REF!</definedName>
    <definedName name="_JUL02">#REF!</definedName>
    <definedName localSheetId="23" name="product">#REF!</definedName>
    <definedName localSheetId="4" name="STEStock">#REF!</definedName>
    <definedName localSheetId="4" name="_336_4.9">#REF!</definedName>
    <definedName localSheetId="5" name="AdHoc">#REF!</definedName>
    <definedName localSheetId="2" name="_CCY2">#REF!</definedName>
    <definedName localSheetId="5" name="AsiaFcst">#REF!</definedName>
    <definedName localSheetId="23" name="LWBPRINT">#REF!</definedName>
    <definedName localSheetId="5" name="StatutoryEBIT">#REF!</definedName>
    <definedName localSheetId="3" name="ergd">#REF!</definedName>
    <definedName localSheetId="4" name="_Pg43">#REF!</definedName>
    <definedName localSheetId="23" name="FXREV_EUR">#REF!</definedName>
    <definedName localSheetId="23" name="BUSumNames">#REF!</definedName>
    <definedName localSheetId="5" name="base">#REF!</definedName>
    <definedName localSheetId="23" name="PL_Amortization">#REF!</definedName>
    <definedName localSheetId="4" name="staff">#REF!</definedName>
    <definedName name="WDNTSLQ1">#REF!</definedName>
    <definedName localSheetId="2" name="_Tot97">#REF!</definedName>
    <definedName localSheetId="5" name="QTRLOOK">#REF!</definedName>
    <definedName localSheetId="5" name="FIUNABQ4">#REF!</definedName>
    <definedName name="IS_intexisting">#REF!</definedName>
    <definedName name="EBITAFJL">#REF!</definedName>
    <definedName localSheetId="4" name="matldelta">#REF!</definedName>
    <definedName localSheetId="3" name="CF_gwamort">#REF!</definedName>
    <definedName localSheetId="4" name="_Pg40">#REF!</definedName>
    <definedName localSheetId="2" name="FYE1NetRevenues">#REF!</definedName>
    <definedName localSheetId="3" name="OtherNonCashItems">#REF!</definedName>
    <definedName name="BaseYear">#REF!</definedName>
    <definedName localSheetId="23" name="CAVP4">#REF!</definedName>
    <definedName localSheetId="3" name="DeferredTaxes">#REF!</definedName>
    <definedName name="Dec">#REF!</definedName>
    <definedName localSheetId="2" name="Rollfwd_USD_LC">#REF!</definedName>
    <definedName localSheetId="5" name="_MAR02">#REF!</definedName>
    <definedName localSheetId="5" name="BurnhamProdConph">#REF!</definedName>
    <definedName localSheetId="4" name="ARPU4">#REF!</definedName>
    <definedName localSheetId="5" name="Buys">#REF!</definedName>
    <definedName name="LoanAmount">#REF!</definedName>
    <definedName localSheetId="4" name="GPPFINQ1">#REF!</definedName>
    <definedName localSheetId="23" name="Year9">#REF!</definedName>
    <definedName localSheetId="5" name="_abc">#REF!</definedName>
    <definedName localSheetId="4" name="PPTRAN2004">#REF!</definedName>
    <definedName localSheetId="23" name="FormatFix">#REF!</definedName>
    <definedName name="B">#REF!</definedName>
    <definedName localSheetId="23" name="IS_straightprefdiv">#REF!</definedName>
    <definedName localSheetId="5" name="subscriber">#REF!</definedName>
    <definedName localSheetId="23" name="AsiaFcst">#REF!</definedName>
    <definedName name="SP1QTR">#REF!</definedName>
    <definedName localSheetId="4" name="EBITQ1">#REF!</definedName>
    <definedName name="WSEBITSE">#REF!</definedName>
    <definedName localSheetId="3" name="FullData">#REF!</definedName>
    <definedName localSheetId="3" name="F_b">#REF!</definedName>
    <definedName localSheetId="2" name="_JUL02">#REF!</definedName>
    <definedName localSheetId="5" name="Personnelph">#REF!</definedName>
    <definedName name="page3">#REF!</definedName>
    <definedName localSheetId="23" name="as">#REF!</definedName>
    <definedName localSheetId="3" name="GPPTBTL">#REF!</definedName>
    <definedName localSheetId="3" name="_JUL02">#REF!</definedName>
    <definedName localSheetId="2" name="ExchangeRate2">#REF!</definedName>
    <definedName localSheetId="4" name="PY">#REF!</definedName>
    <definedName localSheetId="5" name="fisher">#REF!</definedName>
    <definedName localSheetId="5" name="PEST_">#REF!</definedName>
    <definedName localSheetId="3" name="CPGPDIAG2003">#REF!</definedName>
    <definedName localSheetId="23" name="FX_HKD">#REF!</definedName>
    <definedName localSheetId="3" name="WDGRSLQ4">#REF!</definedName>
    <definedName name="Sub_Name1">#REF!</definedName>
    <definedName localSheetId="5" name="p_BS">#REF!</definedName>
    <definedName localSheetId="23" name="Year3">#REF!</definedName>
    <definedName localSheetId="5" name="LC_Pand_L">#REF!</definedName>
    <definedName localSheetId="3" name="CF_minority">#REF!</definedName>
    <definedName localSheetId="3" name="LME">#REF!</definedName>
    <definedName localSheetId="3" name="gross">#REF!</definedName>
    <definedName localSheetId="5" name="__YE2">#REF!</definedName>
    <definedName localSheetId="2" name="__NRQ3">#REF!</definedName>
    <definedName localSheetId="4" name="DollarHeader">#REF!</definedName>
    <definedName name="BS_deferredcomp">#REF!</definedName>
    <definedName localSheetId="2" name="Periodic_Summary">#REF!</definedName>
    <definedName name="FIUNABQ2">#REF!</definedName>
    <definedName localSheetId="3" name="GPPTTLQ3">#REF!</definedName>
    <definedName name="WSEBITJN">#REF!</definedName>
    <definedName name="new">#REF!</definedName>
    <definedName localSheetId="5" name="WDGRPRQ3">#REF!</definedName>
    <definedName localSheetId="3" name="LBOIPOExit1">#REF!</definedName>
    <definedName name="IS_intincome">#REF!</definedName>
    <definedName localSheetId="3" name="_4.3">#REF!</definedName>
    <definedName localSheetId="4" name="_7_99_QS">#REF!</definedName>
    <definedName localSheetId="2" name="Week">#REF!</definedName>
    <definedName localSheetId="2" name="PAGE6">#REF!</definedName>
    <definedName localSheetId="3" name="IS_intangamort">#REF!</definedName>
    <definedName localSheetId="4" name="ni_mult3">#REF!</definedName>
    <definedName localSheetId="4" name="basedata1">#REF!</definedName>
    <definedName localSheetId="23" name="YX">#REF!</definedName>
    <definedName localSheetId="4" name="Despatch">#REF!</definedName>
    <definedName localSheetId="23" name="PRINT2">#REF!</definedName>
    <definedName localSheetId="5" name="CF_deferredtaxes">#REF!</definedName>
    <definedName localSheetId="3" name="LWBPRINT">#REF!</definedName>
    <definedName localSheetId="4" name="Rollfwd_USD">#REF!</definedName>
    <definedName name="CostOfEquity">#REF!</definedName>
    <definedName localSheetId="5" name="QA">#REF!</definedName>
    <definedName name="_Pg66">#REF!</definedName>
    <definedName localSheetId="2" name="PanlL_Act99_v_00Bud">#REF!</definedName>
    <definedName localSheetId="4" name="actualdtl">#REF!</definedName>
    <definedName localSheetId="23" name="Bear">#REF!</definedName>
    <definedName localSheetId="4" name="Print1Start">#REF!</definedName>
    <definedName localSheetId="3" name="Comp_graphs">#REF!</definedName>
    <definedName localSheetId="2" name="Emaxapp">#REF!</definedName>
    <definedName localSheetId="2" name="_339ÿ__bot">#REF!</definedName>
    <definedName localSheetId="4" name="ni_mult4">#REF!</definedName>
    <definedName localSheetId="3" name="ExRate">#REF!</definedName>
    <definedName localSheetId="4" name="FIGEADQ2">#REF!</definedName>
    <definedName localSheetId="23" name="CPTRAN2003">#REF!</definedName>
    <definedName localSheetId="4" name="c_pathswitch">#REF!</definedName>
    <definedName localSheetId="23" name="ExternalData3">#REF!</definedName>
    <definedName localSheetId="4" name="ReleveredBeta">#REF!</definedName>
    <definedName localSheetId="5" name="EBITDA_mult1">#REF!</definedName>
    <definedName localSheetId="23" name="_2AQTR">#REF!</definedName>
    <definedName localSheetId="7" name="crane">#REF!</definedName>
    <definedName localSheetId="3" name="_4SPQTR">#REF!</definedName>
    <definedName localSheetId="23" name="WACC_sen">#REF!</definedName>
    <definedName localSheetId="23" name="BEGRSLQ2">#REF!</definedName>
    <definedName name="CF_Amortization">#REF!</definedName>
    <definedName localSheetId="4" name="FXREV_JPY">#REF!</definedName>
    <definedName localSheetId="5" name="_4.9">#REF!</definedName>
    <definedName localSheetId="2" name="ARPU4">#REF!</definedName>
    <definedName localSheetId="3" name="Control">#REF!</definedName>
    <definedName name="ServiceExt">#REF!</definedName>
    <definedName localSheetId="2" name="PPPREP2004">#REF!</definedName>
    <definedName localSheetId="4" name="IQRTradingCompsB24">#REF!</definedName>
    <definedName localSheetId="4" name="__Tot98">#REF!</definedName>
    <definedName localSheetId="23" name="__Tot98">#REF!</definedName>
    <definedName localSheetId="3" name="Burnhamprod">#REF!</definedName>
    <definedName name="__AVE2">#REF!</definedName>
    <definedName name="FINQ2">#REF!</definedName>
    <definedName localSheetId="3" name="CPDIAG2003">#REF!</definedName>
    <definedName localSheetId="23" name="Primestar">#REF!</definedName>
    <definedName localSheetId="23" name="matlfcst">#REF!</definedName>
    <definedName localSheetId="23" name="ENTITIES">#REF!</definedName>
    <definedName name="KeepE">#REF!</definedName>
    <definedName name="pess">#REF!</definedName>
    <definedName localSheetId="2" name="NewHYAmount">#REF!</definedName>
    <definedName localSheetId="2" name="C_a">#REF!</definedName>
    <definedName name="__YE1">#REF!</definedName>
    <definedName localSheetId="2" name="Ben_US">#REF!</definedName>
    <definedName name="_4.12">#REF!</definedName>
    <definedName localSheetId="2" name="Primestar">#REF!</definedName>
    <definedName localSheetId="5" name="FIGMQ3">#REF!</definedName>
    <definedName localSheetId="5" name="PL_Amortization">#REF!</definedName>
    <definedName localSheetId="4" name="__YE3">#REF!</definedName>
    <definedName name="_NOV01">#REF!</definedName>
    <definedName localSheetId="4" name="WDGRPRQ2">#REF!</definedName>
    <definedName localSheetId="3" name="avgQ">#REF!</definedName>
    <definedName localSheetId="5" name="WDCOGSQ4">#REF!</definedName>
    <definedName localSheetId="23" name="NAME">#REF!</definedName>
    <definedName localSheetId="3" name="CF_Provisions">#REF!</definedName>
    <definedName localSheetId="4" name="DPS">#REF!</definedName>
    <definedName name="Tax_Amortization">#REF!</definedName>
    <definedName localSheetId="3" name="NewHYYear">#REF!</definedName>
    <definedName name="STR">#REF!</definedName>
    <definedName localSheetId="5" name="_4.11">#REF!</definedName>
    <definedName localSheetId="23" name="DepreciationAndDepletion">#REF!</definedName>
    <definedName localSheetId="3" name="ChangeInStraightPreferredStock">#REF!</definedName>
    <definedName localSheetId="4" name="FormatFix">#REF!</definedName>
    <definedName localSheetId="2" name="BS_CL">#REF!</definedName>
    <definedName localSheetId="23" name="BS_CL">#REF!</definedName>
    <definedName localSheetId="3" name="OPICEXQ1">#REF!</definedName>
    <definedName localSheetId="5" name="_4.6">#REF!</definedName>
    <definedName localSheetId="4" name="TOOL93">#REF!</definedName>
    <definedName localSheetId="5" name="ACROS">#REF!</definedName>
    <definedName name="BS_otherCL">#REF!</definedName>
    <definedName localSheetId="23" name="SAL">#REF!</definedName>
    <definedName localSheetId="2" name="TL1QTR">#REF!</definedName>
    <definedName localSheetId="2" name="_4.8">#REF!</definedName>
    <definedName localSheetId="5" name="movedata">#REF!</definedName>
    <definedName localSheetId="3" name="GPPFINTL">#REF!</definedName>
    <definedName localSheetId="4" name="ex">#REF!</definedName>
    <definedName name="StatutoryEBIT">#REF!</definedName>
    <definedName localSheetId="4" name="_227_0_0Datab">#REF!</definedName>
    <definedName localSheetId="2" name="Sub_Name1">#REF!</definedName>
    <definedName localSheetId="5" name="FXREV_USD">#REF!</definedName>
    <definedName localSheetId="23" name="US_UK">#REF!</definedName>
    <definedName localSheetId="2" name="SBTick">#REF!</definedName>
    <definedName localSheetId="5" name="p_Premium">#REF!</definedName>
    <definedName localSheetId="4" name="_Pg68">#REF!</definedName>
    <definedName localSheetId="3" name="churn">#REF!</definedName>
    <definedName localSheetId="5" name="EBITAFDE">#REF!</definedName>
    <definedName localSheetId="5" name="BurnhamDespph">#REF!</definedName>
    <definedName localSheetId="2" name="payments">#REF!</definedName>
    <definedName localSheetId="5" name="EBITAFAU">#REF!</definedName>
    <definedName localSheetId="23" name="_4.3">#REF!</definedName>
    <definedName localSheetId="23" name="_NRQ2">#REF!</definedName>
    <definedName name="Frequency">#REF!</definedName>
    <definedName localSheetId="5" name="lev_fcf_rate">#REF!</definedName>
    <definedName localSheetId="3" name="GPTBTTL">#REF!</definedName>
    <definedName localSheetId="3" name="Comp_details">#REF!</definedName>
    <definedName localSheetId="5" name="SalesAdminph">#REF!</definedName>
    <definedName localSheetId="2" name="Month2">#REF!</definedName>
    <definedName localSheetId="2" name="BS_goodwill">#REF!</definedName>
    <definedName localSheetId="5" name="StockProceeds">#REF!</definedName>
    <definedName localSheetId="4" name="SBTick">#REF!</definedName>
    <definedName localSheetId="3" name="EBITQ1">#REF!</definedName>
    <definedName localSheetId="2" name="Productstructure">#REF!</definedName>
    <definedName name="newname">#REF!</definedName>
    <definedName localSheetId="4" name="rd">#REF!</definedName>
    <definedName localSheetId="2" name="CPGPPREP2004">#REF!</definedName>
    <definedName localSheetId="2" name="jun">#REF!</definedName>
    <definedName localSheetId="23" name="_JUL02">#REF!</definedName>
    <definedName localSheetId="5" name="CF_Minority_NI">#REF!</definedName>
    <definedName localSheetId="4" name="egr">#REF!</definedName>
    <definedName localSheetId="2" name="_4.11">#REF!</definedName>
    <definedName name="z">#REF!</definedName>
    <definedName localSheetId="3" name="Month1">#REF!</definedName>
    <definedName localSheetId="4" name="_Pg49">#REF!</definedName>
    <definedName localSheetId="5" name="GPPTTLQ4">#REF!</definedName>
    <definedName localSheetId="4" name="Print2Start">#REF!</definedName>
    <definedName localSheetId="3" name="ni_mult2">#REF!</definedName>
    <definedName localSheetId="3" name="EINGABE">#REF!</definedName>
    <definedName name="GPFINQ3">#REF!</definedName>
    <definedName name="TargetCompanyCurrency">#REF!</definedName>
    <definedName localSheetId="23" name="perp_unlev2">#REF!</definedName>
    <definedName localSheetId="5" name="Comp_details">#REF!</definedName>
    <definedName localSheetId="3" name="PL_Non_Operating_Expenses">#REF!</definedName>
    <definedName name="p_football">#REF!</definedName>
    <definedName name="WDCOGSQ3">#REF!</definedName>
    <definedName localSheetId="5" name="OPOPCOQ4">#REF!</definedName>
    <definedName localSheetId="2" name="NewHYYear">#REF!</definedName>
    <definedName name="DownloadedOn">'philips deals'!$F$4</definedName>
    <definedName localSheetId="23" name="NewHYAmount">#REF!</definedName>
    <definedName localSheetId="5" name="_JUN02">#REF!</definedName>
    <definedName localSheetId="3" name="Month4">#REF!</definedName>
    <definedName localSheetId="23" name="EINGABE">#REF!</definedName>
    <definedName localSheetId="23" name="CF_Minority_NI">#REF!</definedName>
    <definedName localSheetId="2" name="FAB">#REF!</definedName>
    <definedName localSheetId="3" name="Subrelated">#REF!</definedName>
    <definedName localSheetId="2" name="CF_Convertible_Preferred">#REF!</definedName>
    <definedName localSheetId="2" name="credits">#REF!</definedName>
    <definedName localSheetId="4" name="MatMgt">#REF!</definedName>
    <definedName name="Despatch">#REF!</definedName>
    <definedName localSheetId="2" name="PPFREIGHTAE">#REF!</definedName>
    <definedName localSheetId="2" name="FX_BRL">#REF!</definedName>
    <definedName name="p_LBO_CF">#REF!</definedName>
    <definedName localSheetId="2" name="Year7">#REF!</definedName>
    <definedName localSheetId="2" name="CommonCurrency">#REF!</definedName>
    <definedName name="WDCOGSQ1">#REF!</definedName>
    <definedName name="PYME">#REF!</definedName>
    <definedName localSheetId="2" name="Transducersph">#REF!</definedName>
    <definedName localSheetId="4" name="GPPSGTL">#REF!</definedName>
    <definedName localSheetId="4" name="NewHYIssue">#REF!</definedName>
    <definedName name="fcf_lev_terminal5">#REF!</definedName>
    <definedName localSheetId="5" name="Target_prefd">#REF!</definedName>
    <definedName localSheetId="23" name="value_date">#REF!</definedName>
    <definedName localSheetId="23" name="QTR_END_SEL">#REF!</definedName>
    <definedName localSheetId="3" name="IQRTradingCompsA25">#REF!</definedName>
    <definedName localSheetId="23" name="COLBLANK">#REF!</definedName>
    <definedName localSheetId="3" name="x2lite">#REF!</definedName>
    <definedName localSheetId="23" name="Actual">#REF!</definedName>
    <definedName name="_Pg77">#REF!</definedName>
    <definedName localSheetId="23" name="OPNTSLQ2">#REF!</definedName>
    <definedName localSheetId="5" name="ex">#REF!</definedName>
    <definedName name="_Pg72">#REF!</definedName>
    <definedName localSheetId="4" name="BaseYear">#REF!</definedName>
    <definedName name="perp_unlev5">#REF!</definedName>
    <definedName localSheetId="3" name="lev_fcf_rate">#REF!</definedName>
    <definedName localSheetId="2" name="offer_case">#REF!</definedName>
    <definedName localSheetId="23" name="WI_detail">#REF!</definedName>
    <definedName name="acq_cost_convert_high">#REF!</definedName>
    <definedName name="Week">#REF!</definedName>
    <definedName localSheetId="5" name="MO_Domestic">#REF!</definedName>
    <definedName localSheetId="23" name="_Pg79">#REF!</definedName>
    <definedName localSheetId="2" name="NRTTL">#REF!</definedName>
    <definedName localSheetId="5" name="Status">#REF!</definedName>
    <definedName localSheetId="4" name="Primestar">#REF!</definedName>
    <definedName localSheetId="4" name="EBITAFJL">#REF!</definedName>
    <definedName localSheetId="2" name="c_proj_switch">#REF!</definedName>
    <definedName localSheetId="4" name="EBITDA_mult1">#REF!</definedName>
    <definedName localSheetId="3" name="Process_graphs">#REF!</definedName>
    <definedName name="Other">#REF!</definedName>
    <definedName localSheetId="2" name="Salesph">#REF!</definedName>
    <definedName localSheetId="23" name="wrn.merge.">#REF!</definedName>
    <definedName localSheetId="5" name="WriteUp_otherLTL">#REF!</definedName>
    <definedName localSheetId="4" name="CurrentEquityInvestment">#REF!</definedName>
    <definedName localSheetId="5" name="_4SPQTR">#REF!</definedName>
    <definedName localSheetId="3" name="GPPFINQ2">#REF!</definedName>
    <definedName localSheetId="23" name="EuropePY">#REF!</definedName>
    <definedName name="CPTRANAE">#REF!</definedName>
    <definedName localSheetId="4" name="_339ÿ__bot">#REF!</definedName>
    <definedName localSheetId="4" name="CPGPPREP2003">#REF!</definedName>
    <definedName localSheetId="3" name="r_printfunction">#REF!</definedName>
    <definedName name="Emaxapp">#REF!</definedName>
    <definedName localSheetId="4" name="MO_Domestic">#REF!</definedName>
    <definedName localSheetId="23" name="week1">#REF!</definedName>
    <definedName localSheetId="3" name="Year10">#REF!</definedName>
    <definedName localSheetId="23" name="Vitality">#REF!</definedName>
    <definedName localSheetId="2" name="CPTRANAE">#REF!</definedName>
    <definedName localSheetId="23" name="PPGPPREP2004">#REF!</definedName>
    <definedName localSheetId="2" name="_2AQTR">#REF!</definedName>
    <definedName localSheetId="3" name="A_a">#REF!</definedName>
    <definedName name="S_M">#REF!</definedName>
    <definedName localSheetId="3" name="Costcode">#REF!</definedName>
    <definedName localSheetId="23" name="OPGRPRQ3">#REF!</definedName>
    <definedName localSheetId="4" name="Fund_Deficit">#REF!</definedName>
    <definedName localSheetId="7" name="CAVP4">#REF!</definedName>
    <definedName name="BLANK">#REF!</definedName>
    <definedName name="Month11">#REF!</definedName>
    <definedName localSheetId="4" name="EBITDA_mult5">#REF!</definedName>
    <definedName localSheetId="3" name="fcf_lev_terminal5">#REF!</definedName>
    <definedName localSheetId="5" name="PL_Interest_Income">#REF!</definedName>
    <definedName localSheetId="3" name="OPGRPRQ2">#REF!</definedName>
    <definedName localSheetId="2" name="TOP10FEB">#REF!</definedName>
    <definedName localSheetId="23" name="_Pg30">#REF!</definedName>
    <definedName localSheetId="2" name="CPFREIGHT2003">#REF!</definedName>
    <definedName name="NRTTL">#REF!</definedName>
    <definedName localSheetId="3" name="_4.9">#REF!</definedName>
    <definedName localSheetId="5" name="FIGM953">#REF!</definedName>
    <definedName localSheetId="5" name="Process_details">#REF!</definedName>
    <definedName name="wrn.Hydraulic2.">#REF!</definedName>
    <definedName localSheetId="2" name="page9">#REF!</definedName>
    <definedName name="CF_gwamort">#REF!</definedName>
    <definedName localSheetId="23" name="Print2Start">#REF!</definedName>
    <definedName localSheetId="3" name="_CCY2">#REF!</definedName>
    <definedName localSheetId="3" name="DisE1M2">#REF!</definedName>
    <definedName localSheetId="23" name="CF_revolver">#REF!</definedName>
    <definedName localSheetId="5" name="FIGM944">#REF!</definedName>
    <definedName localSheetId="3" name="DAVESPIECE">#REF!</definedName>
    <definedName localSheetId="2" name="BECStock">#REF!</definedName>
    <definedName localSheetId="5" name="_Pg57">#REF!</definedName>
    <definedName localSheetId="3" name="_1AQTR">#REF!</definedName>
    <definedName localSheetId="2" name="costs">#REF!</definedName>
    <definedName localSheetId="3" name="basedata1">#REF!</definedName>
    <definedName name="ProdMgt">#REF!</definedName>
    <definedName name="Year4">#REF!</definedName>
    <definedName localSheetId="23" name="Consol_Elim">#REF!</definedName>
    <definedName localSheetId="23" name="p_highyield_to">#REF!</definedName>
    <definedName localSheetId="5" name="ExRate">#REF!</definedName>
    <definedName localSheetId="4" name="nrw">#REF!</definedName>
    <definedName localSheetId="4" name="BS_receivables">#REF!</definedName>
    <definedName localSheetId="2" name="NAME">#REF!</definedName>
    <definedName localSheetId="5" name="portion">#REF!</definedName>
    <definedName localSheetId="5" name="FIGMQ4">#REF!</definedName>
    <definedName name="Smaxcable">#REF!</definedName>
    <definedName localSheetId="5" name="ARPU6">#REF!</definedName>
    <definedName localSheetId="4" name="_0.2">#REF!</definedName>
    <definedName localSheetId="2" name="_8GG2_">#REF!</definedName>
    <definedName localSheetId="5" name="ARPU1">#REF!</definedName>
    <definedName localSheetId="2" name="GPPTBTL">#REF!</definedName>
    <definedName name="summ_of_add_rev">#REF!</definedName>
    <definedName localSheetId="2" name="FIGM96">#REF!</definedName>
    <definedName name="EBITDA_mult3">#REF!</definedName>
    <definedName localSheetId="5" name="Installedph">#REF!</definedName>
    <definedName localSheetId="2" name="proj">#REF!</definedName>
    <definedName name="IQRTradingCompsA25">#REF!</definedName>
    <definedName localSheetId="3" name="KeepE">#REF!</definedName>
    <definedName localSheetId="2" name="IS_SGA">#REF!</definedName>
    <definedName localSheetId="4" name="GPPTTLQ2">#REF!</definedName>
    <definedName name="_1AQTR">#REF!</definedName>
    <definedName localSheetId="5" name="prod">#REF!</definedName>
    <definedName localSheetId="2" name="_IDP2">#REF!</definedName>
    <definedName name="hod">#REF!</definedName>
    <definedName localSheetId="23" name="ni_mult5">#REF!</definedName>
    <definedName localSheetId="3" name="wen">#REF!</definedName>
    <definedName localSheetId="4" name="EuropePL">#REF!</definedName>
    <definedName localSheetId="3" name="ACCT">#REF!</definedName>
    <definedName localSheetId="23" name="convpricedebt">#REF!</definedName>
    <definedName localSheetId="23" name="PL_Convertible_PDividend">#REF!</definedName>
    <definedName localSheetId="2" name="Print3Start">#REF!</definedName>
    <definedName localSheetId="2" name="CurrentCashInterestRate">#REF!</definedName>
    <definedName name="PL_Minority_NI">#REF!</definedName>
    <definedName localSheetId="4" name="calculations">#REF!</definedName>
    <definedName name="BurnhamEngph">#REF!</definedName>
    <definedName localSheetId="3" name="WDCOGSQ3">#REF!</definedName>
    <definedName localSheetId="3" name="FSHStock">#REF!</definedName>
    <definedName localSheetId="4" name="debt_terminal">#REF!</definedName>
    <definedName localSheetId="3" name="CF_otheroper">#REF!</definedName>
    <definedName localSheetId="3" name="INSTRUMENTS">#REF!</definedName>
    <definedName localSheetId="5" name="FullTakeRate">#REF!</definedName>
    <definedName localSheetId="5" name="DiscountYears">#REF!</definedName>
    <definedName localSheetId="5" name="PPHAND2003">#REF!</definedName>
    <definedName localSheetId="3" name="OtherCurrency">#REF!</definedName>
    <definedName localSheetId="2" name="IS_convprefdiv">#REF!</definedName>
    <definedName name="_2TLQTR">#REF!</definedName>
    <definedName localSheetId="2" name="mo">#REF!</definedName>
    <definedName name="_338ÿ_0bot">#REF!</definedName>
    <definedName localSheetId="5" name="perp_lev2">#REF!</definedName>
    <definedName localSheetId="2" name="WDOPCOQ3">#REF!</definedName>
    <definedName localSheetId="3" name="_Pg39">#REF!</definedName>
    <definedName localSheetId="5" name="actualdtl">#REF!</definedName>
    <definedName localSheetId="4" name="WriteUP_PPE">#REF!</definedName>
    <definedName localSheetId="5" name="_Pg27">#REF!</definedName>
    <definedName localSheetId="3" name="modemref">#REF!</definedName>
    <definedName localSheetId="4" name="perp_lev">#REF!</definedName>
    <definedName localSheetId="2" name="SalesAdmin">#REF!</definedName>
    <definedName localSheetId="23" name="_1AQTR">#REF!</definedName>
    <definedName localSheetId="3" name="Costsub">#REF!</definedName>
    <definedName localSheetId="2" name="BldgR11">#REF!</definedName>
    <definedName localSheetId="4" name="_SEP02">#REF!</definedName>
    <definedName localSheetId="23" name="PPGPTP2004">#REF!</definedName>
    <definedName localSheetId="2" name="OPOTEXQ3">#REF!</definedName>
    <definedName localSheetId="23" name="_Pg47">#REF!</definedName>
    <definedName localSheetId="4" name="days2">#REF!</definedName>
    <definedName localSheetId="23" name="CompTaxRate">#REF!</definedName>
    <definedName localSheetId="5" name="BS_otherLTA">#REF!</definedName>
    <definedName localSheetId="5" name="PL_Rent">#REF!</definedName>
    <definedName localSheetId="2" name="DAVESPIECE">#REF!</definedName>
    <definedName localSheetId="4" name="Month1">#REF!</definedName>
    <definedName localSheetId="2" name="_AUG02">#REF!</definedName>
    <definedName localSheetId="3" name="_1QTR">#REF!</definedName>
    <definedName localSheetId="4" name="subscriber">#REF!</definedName>
    <definedName localSheetId="23" name="NewHYYear">#REF!</definedName>
    <definedName localSheetId="4" name="options">#REF!</definedName>
    <definedName localSheetId="4" name="_Pg62">#REF!</definedName>
    <definedName localSheetId="4" name="Print3Stop">#REF!</definedName>
    <definedName name="HYP_CODE">#REF!</definedName>
    <definedName localSheetId="4" name="p_LBO_returncalcb">#REF!</definedName>
    <definedName name="prod">#REF!</definedName>
    <definedName localSheetId="4" name="WSEBITAU">#REF!</definedName>
    <definedName name="OPNTSLQ2">#REF!</definedName>
    <definedName localSheetId="4" name="_NRQ2">#REF!</definedName>
    <definedName localSheetId="23" name="_273_4.2">#REF!</definedName>
    <definedName localSheetId="23" name="B">#REF!</definedName>
    <definedName localSheetId="2" name="p_DCF">#REF!</definedName>
    <definedName localSheetId="5" name="GPPFINTL">#REF!</definedName>
    <definedName localSheetId="2" name="NOTES">#REF!</definedName>
    <definedName localSheetId="23" name="rptCS">#REF!</definedName>
    <definedName name="main">#REF!</definedName>
    <definedName localSheetId="4" name="TargetCompanyCurrency">#REF!</definedName>
    <definedName name="_CCY1">#REF!</definedName>
    <definedName localSheetId="4" name="credits">#REF!</definedName>
    <definedName localSheetId="2" name="_4.5">#REF!</definedName>
    <definedName localSheetId="2" name="acq_cost_convert_low">#REF!</definedName>
    <definedName localSheetId="2" name="EntityList">#REF!</definedName>
    <definedName localSheetId="23" name="FSHStock">#REF!</definedName>
    <definedName localSheetId="23" name="SGNTSL92">#REF!</definedName>
    <definedName localSheetId="3" name="WDNTSLQ3">#REF!</definedName>
    <definedName localSheetId="2" name="NewCo1ON">#REF!</definedName>
    <definedName localSheetId="23" name="Revenue">#REF!</definedName>
    <definedName localSheetId="5" name="DeferredTaxes">#REF!</definedName>
    <definedName localSheetId="3" name="perp_unlev">#REF!</definedName>
    <definedName name="WSEBITAP">#REF!</definedName>
    <definedName localSheetId="3" name="AsiaAct">#REF!</definedName>
    <definedName localSheetId="4" name="CustEng">#REF!</definedName>
    <definedName localSheetId="4" name="LC_B_S">#REF!</definedName>
    <definedName localSheetId="5" name="perp_unlev1">#REF!</definedName>
    <definedName localSheetId="3" name="sensitive">#REF!</definedName>
    <definedName localSheetId="5" name="tot">#REF!</definedName>
    <definedName localSheetId="7" name="wrn.Site._.Report.">#REF!</definedName>
    <definedName localSheetId="23" name="__IDP2">#REF!</definedName>
    <definedName localSheetId="5" name="IQRTradingCompsE32">#REF!</definedName>
    <definedName localSheetId="23" name="WSEBITMY">#REF!</definedName>
    <definedName localSheetId="23" name="NewTaxGW">#REF!</definedName>
    <definedName name="PRINT_TITLES_MI">#REF!</definedName>
    <definedName name="TOOL94">#REF!</definedName>
    <definedName localSheetId="2" name="S_M">#REF!</definedName>
    <definedName localSheetId="5" name="ExternalData3">#REF!</definedName>
    <definedName localSheetId="5" name="summ_of_add_rev">#REF!</definedName>
    <definedName localSheetId="2" name="FIGEADQ2">#REF!</definedName>
    <definedName localSheetId="3" name="DiscountYears">#REF!</definedName>
    <definedName localSheetId="23" name="_NRQ4">#REF!</definedName>
    <definedName localSheetId="3" name="FIGM941">#REF!</definedName>
    <definedName localSheetId="4" name="Emaxapp">#REF!</definedName>
    <definedName localSheetId="23" name="QDOPCOQ4">#REF!</definedName>
    <definedName localSheetId="4" name="Matmgtph">#REF!</definedName>
    <definedName localSheetId="5" name="Conversion">#REF!</definedName>
    <definedName name="SmaxFOC">#REF!</definedName>
    <definedName localSheetId="4" name="CPTRAN2003">#REF!</definedName>
    <definedName name="FYE1EBITDA">#REF!</definedName>
    <definedName name="r_printfunction">#REF!</definedName>
    <definedName localSheetId="2" name="KeyAccts_Table">#REF!</definedName>
    <definedName localSheetId="4" name="PPFREIGHT2003">#REF!</definedName>
    <definedName localSheetId="5" name="FINQ2">#REF!</definedName>
    <definedName name="D">#REF!</definedName>
    <definedName name="WDOPCOQ3">#REF!</definedName>
    <definedName localSheetId="23" name="BS_otherCA">#REF!</definedName>
    <definedName localSheetId="23" name="TL3QTR">#REF!</definedName>
    <definedName name="Number_of_customer">#REF!</definedName>
    <definedName localSheetId="5" name="PrecHighFV">#REF!</definedName>
    <definedName localSheetId="7" name="wrn.All_Models.">#REF!</definedName>
    <definedName name="FX_HKD">#REF!</definedName>
    <definedName localSheetId="5" name="BS_Minority">#REF!</definedName>
    <definedName localSheetId="2" name="WDNTSLQ3">#REF!</definedName>
    <definedName name="p_LBO_IS">#REF!</definedName>
    <definedName localSheetId="2" name="_1QTR">#REF!</definedName>
    <definedName localSheetId="23" name="AmortizationOfDeferredFinancingCosts">#REF!</definedName>
    <definedName localSheetId="5" name="_Ops1">#REF!</definedName>
    <definedName localSheetId="3" name="WSEBITAP">#REF!</definedName>
    <definedName localSheetId="2" name="_4.9">#REF!</definedName>
    <definedName localSheetId="23" name="BS_discontoper">#REF!</definedName>
    <definedName localSheetId="4" name="EuropeAct">#REF!</definedName>
    <definedName localSheetId="4" name="MoQtr">#REF!</definedName>
    <definedName localSheetId="2" name="Month9">#REF!</definedName>
    <definedName localSheetId="5" name="Year11">#REF!</definedName>
    <definedName localSheetId="4" name="MOLD92">#REF!</definedName>
    <definedName localSheetId="2" name="p_LBO_DebtB">#REF!</definedName>
    <definedName localSheetId="3" name="EOLDef">#REF!</definedName>
    <definedName localSheetId="4" name="EBITDA_mult4">#REF!</definedName>
    <definedName localSheetId="23" name="BS_Minority">#REF!</definedName>
    <definedName localSheetId="23" name="_Pg34">#REF!</definedName>
    <definedName localSheetId="3" name="WDCOGSQ2">#REF!</definedName>
    <definedName localSheetId="3" name="ni_mult4">#REF!</definedName>
    <definedName name="IS_goodwill">#REF!</definedName>
    <definedName localSheetId="5" name="BENTSL92">#REF!</definedName>
    <definedName localSheetId="23" name="p_football">#REF!</definedName>
    <definedName localSheetId="3" name="Month2">#REF!</definedName>
    <definedName name="p_highyield_IS">#REF!</definedName>
    <definedName localSheetId="5" name="Balance">#REF!</definedName>
    <definedName localSheetId="5" name="_Pg48">#REF!</definedName>
    <definedName localSheetId="2" name="PrecHighFV">#REF!</definedName>
    <definedName localSheetId="23" name="p_highyield_Return">#REF!</definedName>
    <definedName localSheetId="23" name="p_EVA">#REF!</definedName>
    <definedName localSheetId="5" name="options">#REF!</definedName>
    <definedName localSheetId="2" name="FXREV_EUR">#REF!</definedName>
    <definedName localSheetId="5" name="Publicity">#REF!</definedName>
    <definedName name="FXREV_AUD">#REF!</definedName>
    <definedName localSheetId="4" name="fcf_unlev10">#REF!</definedName>
    <definedName name="Year1">#REF!</definedName>
    <definedName localSheetId="5" name="_2TLQTR">#REF!</definedName>
    <definedName localSheetId="4" name="NotesNewIssue">#REF!</definedName>
    <definedName localSheetId="3" name="page4">#REF!</definedName>
    <definedName localSheetId="4" name="LBOSaleExit1">#REF!</definedName>
    <definedName localSheetId="23" name="egr">#REF!</definedName>
    <definedName localSheetId="5" name="p_LBO_DebtB">#REF!</definedName>
    <definedName localSheetId="5" name="Month4">#REF!</definedName>
    <definedName name="debt_fv">#REF!</definedName>
    <definedName localSheetId="23" name="_inv3">#REF!</definedName>
    <definedName localSheetId="2" name="BS_deferredcomp">#REF!</definedName>
    <definedName localSheetId="5" name="Sub_Name2">#REF!</definedName>
    <definedName localSheetId="23" name="MOLD93">#REF!</definedName>
    <definedName localSheetId="23" name="KeepF">#REF!</definedName>
    <definedName localSheetId="3" name="FINQ2">#REF!</definedName>
    <definedName localSheetId="4" name="BS_CL">#REF!</definedName>
    <definedName localSheetId="4" name="FD">#REF!</definedName>
    <definedName name="cash_fv">#REF!</definedName>
    <definedName localSheetId="3" name="GPPTTLTL">#REF!</definedName>
    <definedName localSheetId="5" name="CanadianRate">#REF!</definedName>
    <definedName localSheetId="4" name="FIGMB4">#REF!</definedName>
    <definedName name="JulLaunchMonth1">#REF!</definedName>
    <definedName localSheetId="3" name="prefrate">#REF!</definedName>
    <definedName localSheetId="2" name="_264_4.12">#REF!</definedName>
    <definedName name="LBOIPOExit1">#REF!</definedName>
    <definedName name="bs_date">#REF!</definedName>
    <definedName localSheetId="23" name="_255_4.11">#REF!</definedName>
    <definedName localSheetId="4" name="SalesMEiph">#REF!</definedName>
    <definedName localSheetId="2" name="NewTaxIntangibles">#REF!</definedName>
    <definedName localSheetId="2" name="Subrelated">#REF!</definedName>
    <definedName localSheetId="4" name="StatusCodes">#REF!</definedName>
    <definedName localSheetId="3" name="_CCY1">#REF!</definedName>
    <definedName localSheetId="3" name="TargetCompanyExchangeRate">#REF!</definedName>
    <definedName localSheetId="4" name="LoanPmt">#REF!</definedName>
    <definedName localSheetId="2" name="_Pg41">#REF!</definedName>
    <definedName localSheetId="23" name="z">#REF!</definedName>
    <definedName localSheetId="4" name="SumA">#REF!</definedName>
    <definedName name="CF_Dividends">#REF!</definedName>
    <definedName localSheetId="4" name="OPOPCOQ3">#REF!</definedName>
    <definedName localSheetId="3" name="Quarterly_Sum">#REF!</definedName>
    <definedName localSheetId="2" name="_4.6">#REF!</definedName>
    <definedName localSheetId="2" name="Transducers">#REF!</definedName>
    <definedName localSheetId="3" name="DCFBase">#REF!</definedName>
    <definedName localSheetId="4" name="SIDParentEntities">#REF!</definedName>
    <definedName localSheetId="2" name="OtherExchangeRate">#REF!</definedName>
    <definedName localSheetId="2" name="CF_Dividends_Subsidiary">#REF!</definedName>
    <definedName localSheetId="2" name="OPOPCOQ1">#REF!</definedName>
    <definedName localSheetId="3" name="IS_SGA">#REF!</definedName>
    <definedName localSheetId="2" name="_227_0_0Datab">#REF!</definedName>
    <definedName localSheetId="23" name="wrn.Maine2.">#REF!</definedName>
    <definedName localSheetId="5" name="sort">#REF!</definedName>
    <definedName localSheetId="3" name="BS_Equity">#REF!</definedName>
    <definedName localSheetId="2" name="Sports">#REF!</definedName>
    <definedName localSheetId="5" name="p_Amort">#REF!</definedName>
    <definedName localSheetId="2" name="FIGMQ3">#REF!</definedName>
    <definedName localSheetId="23" name="EBITDA_mult3">#REF!</definedName>
    <definedName localSheetId="23" name="WDGRPRQ4">#REF!</definedName>
    <definedName localSheetId="23" name="page4">#REF!</definedName>
    <definedName localSheetId="2" name="CPPREP2004">#REF!</definedName>
    <definedName localSheetId="5" name="FXREV_AUD">#REF!</definedName>
    <definedName localSheetId="2" name="BUSumNames">#REF!</definedName>
    <definedName localSheetId="3" name="TOOL94">#REF!</definedName>
    <definedName localSheetId="5" name="WSEBITAP">#REF!</definedName>
    <definedName localSheetId="3" name="EBITQ2">#REF!</definedName>
    <definedName localSheetId="2" name="COLBLANK">#REF!</definedName>
    <definedName localSheetId="23" name="JulLaunchMonth1">#REF!</definedName>
    <definedName localSheetId="2" name="convprefshares">#REF!</definedName>
    <definedName name="OPOPCOQ3">#REF!</definedName>
    <definedName localSheetId="23" name="XY">#REF!</definedName>
    <definedName name="BS_Straight_Debt">#REF!</definedName>
    <definedName name="MENU">#REF!</definedName>
    <definedName localSheetId="5" name="__GPQ2">#REF!</definedName>
    <definedName name="DETAIL">#REF!</definedName>
    <definedName localSheetId="3" name="page2">#REF!</definedName>
    <definedName localSheetId="2" name="BS_convertdebt">#REF!</definedName>
    <definedName localSheetId="4" name="CPHANDAE">#REF!</definedName>
    <definedName name="dcf_year">#REF!</definedName>
    <definedName name="matlfcst">#REF!</definedName>
    <definedName name="GPPTBQ1">#REF!</definedName>
    <definedName name="FIGMQ2">#REF!</definedName>
    <definedName localSheetId="5" name="CF_revolver">#REF!</definedName>
    <definedName localSheetId="5" name="GPPSGQ1">#REF!</definedName>
    <definedName name="NRSGTTL">#REF!</definedName>
    <definedName localSheetId="3" name="matldelta">#REF!</definedName>
    <definedName localSheetId="2" name="FIUNABQ4">#REF!</definedName>
    <definedName localSheetId="2" name="_Pg37">#REF!</definedName>
    <definedName localSheetId="23" name="BENTSL92">#REF!</definedName>
    <definedName localSheetId="3" name="commondiv">#REF!</definedName>
    <definedName localSheetId="23" name="OPOPCOQ2">#REF!</definedName>
    <definedName name="_Tot98">#REF!</definedName>
    <definedName localSheetId="2" name="Symbol">#REF!</definedName>
    <definedName localSheetId="5" name="capital">#REF!</definedName>
    <definedName localSheetId="3" name="IQRTradingCompsD32">#REF!</definedName>
    <definedName localSheetId="5" name="__YE1">#REF!</definedName>
    <definedName localSheetId="23" name="Procurementph">#REF!</definedName>
    <definedName localSheetId="5" name="NewCo5ON">#REF!</definedName>
    <definedName localSheetId="3" name="MO_Domestic">#REF!</definedName>
    <definedName localSheetId="4" name="Elim_b">#REF!</definedName>
    <definedName localSheetId="4" name="EBITAFMA">#REF!</definedName>
    <definedName localSheetId="3" name="Occupancyphnt">#REF!</definedName>
    <definedName localSheetId="3" name="CF_Other_CL">#REF!</definedName>
    <definedName localSheetId="23" name="CanadianRate">#REF!</definedName>
    <definedName localSheetId="5" name="FXREV_EUR">#REF!</definedName>
    <definedName name="_4.3">#REF!</definedName>
    <definedName localSheetId="23" name="CF_equity">#REF!</definedName>
    <definedName localSheetId="5" name="LWBPRINT">#REF!</definedName>
    <definedName localSheetId="23" name="StockIssueDate">#REF!</definedName>
    <definedName localSheetId="23" name="WSABSFY">#REF!</definedName>
    <definedName localSheetId="2" name="Serviceint">#REF!</definedName>
    <definedName localSheetId="5" name="erg">#REF!</definedName>
    <definedName localSheetId="4" name="_2TLQTR">#REF!</definedName>
    <definedName localSheetId="3" name="PPGPPREP2004">#REF!</definedName>
    <definedName localSheetId="5" name="_3TLQTR">#REF!</definedName>
    <definedName localSheetId="5" name="__NRQ4">#REF!</definedName>
    <definedName name="Recruitdata">#REF!</definedName>
    <definedName localSheetId="3" name="BS_straightdebt">#REF!</definedName>
    <definedName name="CF_Convertible_Debt">#REF!</definedName>
    <definedName name="MinorityInterests">#REF!</definedName>
    <definedName localSheetId="3" name="BUProductLines">#REF!</definedName>
    <definedName name="_3QTR">#REF!</definedName>
    <definedName name="FIVARIQ2">#REF!</definedName>
    <definedName localSheetId="5" name="TOTALIT">#REF!</definedName>
    <definedName localSheetId="3" name="Consol_Elim">#REF!</definedName>
    <definedName localSheetId="2" name="CF_Depreciation">#REF!</definedName>
    <definedName localSheetId="23" name="MonthTable">#REF!</definedName>
    <definedName localSheetId="4" name="__GPQ4">#REF!</definedName>
    <definedName localSheetId="5" name="p_LBO_returncalc">#REF!</definedName>
    <definedName localSheetId="3" name="MinorityInterestInIncome">#REF!</definedName>
    <definedName localSheetId="3" name="OPOTEXQ3">#REF!</definedName>
    <definedName localSheetId="4" name="BldgS4">#REF!</definedName>
    <definedName localSheetId="3" name="CPHANDAE">#REF!</definedName>
    <definedName localSheetId="4" name="DiscountYears">#REF!</definedName>
    <definedName name="OPGRPRQ4">#REF!</definedName>
    <definedName localSheetId="3" name="Print_Area_MI">#REF!</definedName>
    <definedName localSheetId="3" name="GPSGQ1">#REF!</definedName>
    <definedName localSheetId="2" name="EBITAFDE">#REF!</definedName>
    <definedName name="Comp_details">#REF!</definedName>
    <definedName localSheetId="3" name="TargetCompanyCurrency">#REF!</definedName>
    <definedName name="PAGE6">#REF!</definedName>
    <definedName localSheetId="4" name="CF_Beg_Cash">#REF!</definedName>
    <definedName localSheetId="23" name="Tbudget">#REF!</definedName>
    <definedName localSheetId="2" name="Year1">#REF!</definedName>
    <definedName name="is">#REF!</definedName>
    <definedName name="tf">#REF!</definedName>
    <definedName localSheetId="23" name="TOP10DEC">#REF!</definedName>
    <definedName localSheetId="3" name="BS_inventories">#REF!</definedName>
    <definedName localSheetId="5" name="CF_commondiv">#REF!</definedName>
    <definedName name="__GPQ2">#REF!</definedName>
    <definedName localSheetId="2" name="WACC_sen">#REF!</definedName>
    <definedName localSheetId="5" name="NewHYIssue">#REF!</definedName>
    <definedName localSheetId="23" name="MO_Domestic">#REF!</definedName>
    <definedName localSheetId="23" name="PL_Non_Operating_Expenses">#REF!</definedName>
    <definedName localSheetId="5" name="IS_intincome">#REF!</definedName>
    <definedName localSheetId="23" name="Conversion">#REF!</definedName>
    <definedName name="PIDENTITIES">#REF!</definedName>
    <definedName localSheetId="5" name="FX_HKD">#REF!</definedName>
    <definedName localSheetId="2" name="OPGRPRQ2">#REF!</definedName>
    <definedName localSheetId="2" name="SP2QTR">#REF!</definedName>
    <definedName localSheetId="2" name="rptCS">#REF!</definedName>
    <definedName localSheetId="4" name="MOLD93">#REF!</definedName>
    <definedName localSheetId="23" name="Step">#REF!</definedName>
    <definedName localSheetId="23" name="Period">#REF!</definedName>
    <definedName localSheetId="4" name="TargetCompany">#REF!</definedName>
    <definedName localSheetId="3" name="Target_ST_Debt">#REF!</definedName>
    <definedName localSheetId="3" name="FINQ1">#REF!</definedName>
    <definedName localSheetId="2" name="PEST_">#REF!</definedName>
    <definedName localSheetId="4" name="EuropePY">#REF!</definedName>
    <definedName localSheetId="2" name="plandtl">#REF!</definedName>
    <definedName localSheetId="2" name="_YE3">#REF!</definedName>
    <definedName localSheetId="5" name="DNEXStock">#REF!</definedName>
    <definedName localSheetId="2" name="Year9">#REF!</definedName>
    <definedName localSheetId="5" name="Int">#REF!</definedName>
    <definedName localSheetId="2" name="LWBPRINT">#REF!</definedName>
    <definedName localSheetId="23" name="Personnel">#REF!</definedName>
    <definedName localSheetId="23" name="newname">#REF!</definedName>
    <definedName localSheetId="4" name="CF_Equity_Earnings">#REF!</definedName>
    <definedName name="EBITAFJA">#REF!</definedName>
    <definedName localSheetId="23" name="__YE2">#REF!</definedName>
    <definedName localSheetId="4" name="FX_EUR">#REF!</definedName>
    <definedName localSheetId="4" name="AmortizationOfDeferredFinancingCosts">#REF!</definedName>
    <definedName localSheetId="23" name="avgQ">#REF!</definedName>
    <definedName name="CF_othernonoper">#REF!</definedName>
    <definedName localSheetId="5" name="Transducers">#REF!</definedName>
    <definedName localSheetId="2" name="AmortizationOfDeferredFinancingCosts">#REF!</definedName>
    <definedName localSheetId="23" name="Ke">#REF!</definedName>
    <definedName localSheetId="4" name="OPEXQ2">#REF!</definedName>
    <definedName localSheetId="23" name="Subrelated">#REF!</definedName>
    <definedName localSheetId="4" name="CF_Provisions">#REF!</definedName>
    <definedName localSheetId="4" name="OPICEXQ4">#REF!</definedName>
    <definedName name="_Pg67">#REF!</definedName>
    <definedName name="base">#REF!</definedName>
    <definedName localSheetId="4" name="GPPFINTL">#REF!</definedName>
    <definedName localSheetId="3" name="_SEP02">#REF!</definedName>
    <definedName localSheetId="7" name="_b2">#REF!</definedName>
    <definedName localSheetId="5" name="Graphs">#REF!</definedName>
    <definedName localSheetId="5" name="date_close">#REF!</definedName>
    <definedName localSheetId="3" name="OPGRPRQ3">#REF!</definedName>
    <definedName localSheetId="2" name="fcf_unlev5">#REF!</definedName>
    <definedName localSheetId="3" name="p_LBO_IS">#REF!</definedName>
    <definedName localSheetId="3" name="tf">#REF!</definedName>
    <definedName localSheetId="4" name="newname">#REF!</definedName>
    <definedName localSheetId="5" name="_Pg62">#REF!</definedName>
    <definedName localSheetId="4" name="CashInterestRate">#REF!</definedName>
    <definedName localSheetId="4" name="StockIssueDate">#REF!</definedName>
    <definedName localSheetId="5" name="OPNTSL93">#REF!</definedName>
    <definedName localSheetId="3" name="perp_unlev4">#REF!</definedName>
    <definedName localSheetId="2" name="Comp_graphs">#REF!</definedName>
    <definedName localSheetId="3" name="WSEBITJN">#REF!</definedName>
    <definedName name="Month9">#REF!</definedName>
    <definedName localSheetId="23" name="LBOSaleExit1">#REF!</definedName>
    <definedName localSheetId="2" name="FIGM951">#REF!</definedName>
    <definedName localSheetId="4" name="page4">#REF!</definedName>
    <definedName localSheetId="5" name="FIGMBD">#REF!</definedName>
    <definedName localSheetId="5" name="Elim_a">#REF!</definedName>
    <definedName localSheetId="5" name="ValuationMultiple">#REF!</definedName>
    <definedName localSheetId="3" name="Finance">#REF!</definedName>
    <definedName name="OtherExchangeRate">#REF!</definedName>
    <definedName localSheetId="3" name="hrms">#REF!</definedName>
    <definedName localSheetId="4" name="MiscRev">#REF!</definedName>
    <definedName localSheetId="3" name="p_LBO_Debt">#REF!</definedName>
    <definedName localSheetId="2" name="Vitality">#REF!</definedName>
    <definedName name="movedata">#REF!</definedName>
    <definedName localSheetId="3" name="p_Options">#REF!</definedName>
    <definedName localSheetId="2" name="ACCT">#REF!</definedName>
    <definedName localSheetId="4" name="publicityph">#REF!</definedName>
    <definedName localSheetId="4" name="Category">#REF!</definedName>
    <definedName name="TOP10FEB">#REF!</definedName>
    <definedName localSheetId="23" name="StockUWFee">#REF!</definedName>
    <definedName name="year1996">#REF!</definedName>
    <definedName localSheetId="5" name="TOP10JUL02">#REF!</definedName>
    <definedName localSheetId="23" name="TOP10MAR">#REF!</definedName>
    <definedName localSheetId="23" name="A_b">#REF!</definedName>
    <definedName localSheetId="3" name="PPPREP2004">#REF!</definedName>
    <definedName localSheetId="2" name="PL_Convertible_PDividend">#REF!</definedName>
    <definedName name="PPTP2004">#REF!</definedName>
    <definedName localSheetId="2" name="QTRLOOK">#REF!</definedName>
    <definedName localSheetId="5" name="OPOTEXQ4">#REF!</definedName>
    <definedName localSheetId="3" name="IS_intincome">#REF!</definedName>
    <definedName localSheetId="5" name="big">#REF!</definedName>
    <definedName localSheetId="5" name="_DEC01">#REF!</definedName>
    <definedName localSheetId="3" name="PL_Equity_Earnings">#REF!</definedName>
    <definedName localSheetId="5" name="TOOL91">#REF!</definedName>
    <definedName localSheetId="23" name="convprefrate">#REF!</definedName>
    <definedName localSheetId="2" name="sensitive">#REF!</definedName>
    <definedName localSheetId="4" name="CustRev">#REF!</definedName>
    <definedName localSheetId="23" name="_Pg61">#REF!</definedName>
    <definedName localSheetId="2" name="matldelta">#REF!</definedName>
    <definedName localSheetId="5" name="Terminal">#REF!</definedName>
    <definedName localSheetId="5" name="STEStock">#REF!</definedName>
    <definedName localSheetId="4" name="IS_intincome">#REF!</definedName>
    <definedName localSheetId="3" name="_Pg40">#REF!</definedName>
    <definedName localSheetId="5" name="_Pg77">#REF!</definedName>
    <definedName localSheetId="4" name="WDGRPRQ3">#REF!</definedName>
    <definedName name="_OCT01">#REF!</definedName>
    <definedName localSheetId="2" name="PRINT_TITLES_MI">#REF!</definedName>
    <definedName localSheetId="3" name="Month6">#REF!</definedName>
    <definedName localSheetId="5" name="_Pg45">#REF!</definedName>
    <definedName localSheetId="5" name="GPSGQ1">#REF!</definedName>
    <definedName localSheetId="3" name="OPOTEXQ1">#REF!</definedName>
    <definedName name="divestyear">#REF!</definedName>
    <definedName localSheetId="5" name="Print1Stop">#REF!</definedName>
    <definedName localSheetId="2" name="egr">#REF!</definedName>
    <definedName localSheetId="4" name="chk">#REF!</definedName>
    <definedName localSheetId="5" name="_Pg61">#REF!</definedName>
    <definedName localSheetId="23" name="SP2QTR">#REF!</definedName>
    <definedName localSheetId="2" name="NetDebt">#REF!</definedName>
    <definedName localSheetId="5" name="CF_Beg_Cash">#REF!</definedName>
    <definedName localSheetId="23" name="direct">#REF!</definedName>
    <definedName localSheetId="23" name="terminal_year">#REF!</definedName>
    <definedName localSheetId="3" name="CPFREIGHT2004">#REF!</definedName>
    <definedName localSheetId="3" name="optim">#REF!</definedName>
    <definedName localSheetId="2" name="Years">#REF!</definedName>
    <definedName localSheetId="4" name="fisher">#REF!</definedName>
    <definedName localSheetId="4" name="summ_of_add_rev">#REF!</definedName>
    <definedName localSheetId="5" name="CF_minority">#REF!</definedName>
    <definedName localSheetId="4" name="CF_Minority_NI">#REF!</definedName>
    <definedName localSheetId="2" name="TOP10MAY02">#REF!</definedName>
    <definedName localSheetId="5" name="_rsr2">#REF!</definedName>
    <definedName localSheetId="3" name="NC">#REF!</definedName>
    <definedName localSheetId="2" name="_225_0.2">#REF!</definedName>
    <definedName localSheetId="4" name="p_LBO_Summary">#REF!</definedName>
    <definedName localSheetId="4" name="__GPQ3">#REF!</definedName>
    <definedName localSheetId="3" name="E_a">#REF!</definedName>
    <definedName localSheetId="3" name="TOP10JUN02">#REF!</definedName>
    <definedName name="US_UK">#REF!</definedName>
    <definedName localSheetId="4" name="HSNTSL92">#REF!</definedName>
    <definedName localSheetId="3" name="STR">#REF!</definedName>
    <definedName localSheetId="23" name="rd">#REF!</definedName>
    <definedName localSheetId="2" name="B">#REF!</definedName>
    <definedName localSheetId="23" name="Elim_b">#REF!</definedName>
    <definedName name="p_LBO_Debt">#REF!</definedName>
    <definedName localSheetId="3" name="EBITAFJN">#REF!</definedName>
    <definedName localSheetId="4" name="PL_Minority_NI">#REF!</definedName>
    <definedName localSheetId="4" name="SMAN">#REF!</definedName>
    <definedName localSheetId="3" name="SBTick">#REF!</definedName>
    <definedName localSheetId="3" name="p_highyield_Depr">#REF!</definedName>
    <definedName name="BS_Convertible_Debt">#REF!</definedName>
    <definedName localSheetId="2" name="_Pg76">#REF!</definedName>
    <definedName localSheetId="23" name="FIN">#REF!</definedName>
    <definedName localSheetId="23" name="DeferredTaxes">#REF!</definedName>
    <definedName localSheetId="7" name="a">#REF!</definedName>
    <definedName localSheetId="3" name="MinorityInterests">#REF!</definedName>
    <definedName localSheetId="3" name="BUSumNames">#REF!</definedName>
    <definedName localSheetId="4" name="Broadcast">#REF!</definedName>
    <definedName localSheetId="4" name="MinorityInterestInIncome">#REF!</definedName>
    <definedName localSheetId="4" name="_291_4.4">#REF!</definedName>
    <definedName localSheetId="5" name="PPPREP2004">#REF!</definedName>
    <definedName name="FIGM952">#REF!</definedName>
    <definedName localSheetId="2" name="p_highyield_FA">#REF!</definedName>
    <definedName name="revswitch">#REF!</definedName>
    <definedName localSheetId="7" name="wrn.first4.">#REF!</definedName>
    <definedName localSheetId="4" name="IQRTradingCompsE32">#REF!</definedName>
    <definedName localSheetId="2" name="SIDEntities">#REF!</definedName>
    <definedName name="asdf">#REF!</definedName>
    <definedName localSheetId="5" name="_YE4">#REF!</definedName>
    <definedName localSheetId="3" name="Targetname">#REF!</definedName>
    <definedName localSheetId="23" name="Year11">#REF!</definedName>
    <definedName localSheetId="5" name="FIGM952">#REF!</definedName>
    <definedName localSheetId="23" name="EBITQ3">#REF!</definedName>
    <definedName localSheetId="3" name="Subscribers">#REF!</definedName>
    <definedName localSheetId="5" name="FIGMQ1">#REF!</definedName>
    <definedName localSheetId="5" name="_291_4.4">#REF!</definedName>
    <definedName localSheetId="5" name="ni_mult4">#REF!</definedName>
    <definedName name="EuropeAct">#REF!</definedName>
    <definedName localSheetId="23" name="PEST">#REF!</definedName>
    <definedName localSheetId="4" name="_1_0CLOSE_OR">#REF!</definedName>
    <definedName localSheetId="3" name="FINOIQ1">#REF!</definedName>
    <definedName localSheetId="2" name="Burnhamprod">#REF!</definedName>
    <definedName localSheetId="23" name="BEGRSLQ3">#REF!</definedName>
    <definedName localSheetId="23" name="Procurement">#REF!</definedName>
    <definedName localSheetId="2" name="asdfghjkl">#REF!</definedName>
    <definedName localSheetId="5" name="IS_COGS">#REF!</definedName>
    <definedName localSheetId="23" name="NRTTL">#REF!</definedName>
    <definedName name="CF_Non_Cash_Straight_PDividend">#REF!</definedName>
    <definedName localSheetId="5" name="c_pageswitch">#REF!</definedName>
    <definedName localSheetId="3" name="PPFREIGHT2003">#REF!</definedName>
    <definedName localSheetId="3" name="page7">#REF!</definedName>
    <definedName localSheetId="2" name="WDGRPRQ3">#REF!</definedName>
    <definedName localSheetId="23" name="BEGRSLQ4">#REF!</definedName>
    <definedName localSheetId="23" name="CreatedForTitle">#REF!</definedName>
    <definedName localSheetId="23" name="CF_AP">#REF!</definedName>
    <definedName localSheetId="3" name="_Pg52">#REF!</definedName>
    <definedName localSheetId="2" name="ReleveredBeta">#REF!</definedName>
    <definedName localSheetId="2" name="prod">#REF!</definedName>
    <definedName localSheetId="3" name="WI_graphs">#REF!</definedName>
    <definedName localSheetId="3" name="BldgR11">#REF!</definedName>
    <definedName localSheetId="23" name="type">#REF!</definedName>
    <definedName localSheetId="5" name="Rollfwd_USD">#REF!</definedName>
    <definedName localSheetId="4" name="year1996">#REF!</definedName>
    <definedName localSheetId="2" name="ARPU1">#REF!</definedName>
    <definedName name="perp_lev_sen">#REF!</definedName>
    <definedName name="ServiceIntph">#REF!</definedName>
    <definedName localSheetId="3" name="divestcash">#REF!</definedName>
    <definedName name="IS_revenues">#REF!</definedName>
    <definedName localSheetId="3" name="EuroRate">#REF!</definedName>
    <definedName localSheetId="2" name="Print3Stop">#REF!</definedName>
    <definedName localSheetId="4" name="_4.9">#REF!</definedName>
    <definedName localSheetId="4" name="FIGM942">#REF!</definedName>
    <definedName localSheetId="2" name="NewCo5ON">#REF!</definedName>
    <definedName localSheetId="23" name="Despatchph">#REF!</definedName>
    <definedName name="BkgsByProdline">#REF!</definedName>
    <definedName name="CashInterestRateOverwrite">#REF!</definedName>
    <definedName localSheetId="23" name="ICS">#REF!</definedName>
    <definedName localSheetId="23" name="_Pg55">#REF!</definedName>
    <definedName localSheetId="5" name="PY">#REF!</definedName>
    <definedName localSheetId="3" name="perp_unlev3">#REF!</definedName>
    <definedName name="fcf_lev_terminal3">#REF!</definedName>
    <definedName localSheetId="3" name="__YE1">#REF!</definedName>
    <definedName localSheetId="2" name="RF_Domestic">#REF!</definedName>
    <definedName localSheetId="4" name="SP3QTR">#REF!</definedName>
    <definedName localSheetId="2" name="actsummy">#REF!</definedName>
    <definedName localSheetId="5" name="_Pg68">#REF!</definedName>
    <definedName name="StockProceeds">#REF!</definedName>
    <definedName localSheetId="23" name="Smaxapp">#REF!</definedName>
    <definedName localSheetId="3" name="_8GG2_">#REF!</definedName>
    <definedName localSheetId="2" name="_Pg28">#REF!</definedName>
    <definedName localSheetId="4" name="wen">#REF!</definedName>
    <definedName localSheetId="5" name="_Pg79">#REF!</definedName>
    <definedName localSheetId="4" name="Highlights">#REF!</definedName>
    <definedName localSheetId="23" name="offer_case">#REF!</definedName>
    <definedName localSheetId="23" name="Productstructure">#REF!</definedName>
    <definedName localSheetId="5" name="ICS">#REF!</definedName>
    <definedName localSheetId="3" name="ALL">#REF!</definedName>
    <definedName localSheetId="2" name="convprefrate">#REF!</definedName>
    <definedName localSheetId="2" name="Ops">#REF!</definedName>
    <definedName localSheetId="2" name="BEGRSLQ2">#REF!</definedName>
    <definedName localSheetId="3" name="_Pg74">#REF!</definedName>
    <definedName localSheetId="23" name="HSNTSL92">#REF!</definedName>
    <definedName localSheetId="2" name="OPNTSLQ2">#REF!</definedName>
    <definedName localSheetId="3" name="PL_Minority_NI">#REF!</definedName>
    <definedName localSheetId="3" name="p_highyield_to">#REF!</definedName>
    <definedName localSheetId="5" name="TOP10MAY02">#REF!</definedName>
    <definedName localSheetId="3" name="FINOIQ3">#REF!</definedName>
    <definedName name="perp_lev1">#REF!</definedName>
    <definedName localSheetId="23" name="IS_deprec">#REF!</definedName>
    <definedName localSheetId="4" name="erg">#REF!</definedName>
    <definedName localSheetId="4" name="_4.8">#REF!</definedName>
    <definedName localSheetId="3" name="Option_Proceeds">#REF!</definedName>
    <definedName name="GPPTTLQ1">#REF!</definedName>
    <definedName localSheetId="5" name="WDGRPRQ2">#REF!</definedName>
    <definedName localSheetId="3" name="desc">#REF!</definedName>
    <definedName name="perp_unlev4">#REF!</definedName>
    <definedName name="BS_Straight_Preferred">#REF!</definedName>
    <definedName localSheetId="3" name="FormatFix">#REF!</definedName>
    <definedName name="SIDParentEntities">#REF!</definedName>
    <definedName name="_4.7">#REF!</definedName>
    <definedName name="c_dateswitch">#REF!</definedName>
    <definedName name="mo">#REF!</definedName>
    <definedName localSheetId="4" name="convdebtshares">#REF!</definedName>
    <definedName localSheetId="5" name="OtherNonCashItems">#REF!</definedName>
    <definedName localSheetId="4" name="B_b">#REF!</definedName>
    <definedName localSheetId="5" name="EBITDA_mult4">#REF!</definedName>
    <definedName name="CanadianRate">#REF!</definedName>
    <definedName localSheetId="2" name="Matmgtph">#REF!</definedName>
    <definedName localSheetId="3" name="ENTITIES">#REF!</definedName>
    <definedName localSheetId="2" name="NET_DEBT">#REF!</definedName>
    <definedName name="EBITAFFE">#REF!</definedName>
    <definedName name="OPGRPRQ3">#REF!</definedName>
    <definedName localSheetId="23" name="wrn.AllModels.">#REF!</definedName>
    <definedName localSheetId="23" name="wrn.TransPrcd_123.">#REF!</definedName>
    <definedName name="perp_lev3">#REF!</definedName>
    <definedName localSheetId="4" name="BUNames">#REF!</definedName>
    <definedName localSheetId="2" name="GPSGQ1">#REF!</definedName>
    <definedName localSheetId="4" name="FINOIQ3">#REF!</definedName>
    <definedName localSheetId="5" name="_309_4.6">#REF!</definedName>
    <definedName localSheetId="4" name="cty">#REF!</definedName>
    <definedName localSheetId="2" name="_JAN02">#REF!</definedName>
    <definedName localSheetId="23" name="EBITDA_mult4">#REF!</definedName>
    <definedName localSheetId="3" name="_Key1">#REF!</definedName>
    <definedName localSheetId="4" name="p_LBO_BS_Adj">#REF!</definedName>
    <definedName localSheetId="4" name="WDGRSLQ4">#REF!</definedName>
    <definedName localSheetId="23" name="actsummy">#REF!</definedName>
    <definedName localSheetId="2" name="p_Premium">#REF!</definedName>
    <definedName localSheetId="23" name="StockProceeds">#REF!</definedName>
    <definedName localSheetId="3" name="Despatch">#REF!</definedName>
    <definedName localSheetId="2" name="fcf_unlev_terminal5">#REF!</definedName>
    <definedName localSheetId="23" name="WDGRPRQ3">#REF!</definedName>
    <definedName localSheetId="3" name="_336_4.9">#REF!</definedName>
    <definedName localSheetId="4" name="_4.12">#REF!</definedName>
    <definedName localSheetId="5" name="Year8">#REF!</definedName>
    <definedName localSheetId="23" name="dcfyear">#REF!</definedName>
    <definedName localSheetId="2" name="DepreciationAndDepletion">#REF!</definedName>
    <definedName localSheetId="3" name="mthend1">#REF!</definedName>
    <definedName localSheetId="4" name="PL_Non_Operating_Expenses">#REF!</definedName>
    <definedName localSheetId="5" name="hallo_">#REF!</definedName>
    <definedName localSheetId="5" name="p_LBO_BS_Adj">#REF!</definedName>
    <definedName localSheetId="3" name="StatutoryRevenues">#REF!</definedName>
    <definedName localSheetId="5" name="convprefshares">#REF!</definedName>
    <definedName localSheetId="2" name="TOP10APR">#REF!</definedName>
    <definedName localSheetId="2" name="WDGRPRQ2">#REF!</definedName>
    <definedName name="LBOSaleExit2">#REF!</definedName>
    <definedName localSheetId="2" name="FINQ4">#REF!</definedName>
    <definedName localSheetId="4" name="_IDP2">#REF!</definedName>
    <definedName localSheetId="7" name="wrn.A_VALUATION.">#REF!</definedName>
    <definedName name="EXP">#REF!</definedName>
    <definedName localSheetId="3" name="mult_sen">#REF!</definedName>
    <definedName localSheetId="3" name="newname">#REF!</definedName>
    <definedName localSheetId="4" name="Year9">#REF!</definedName>
    <definedName localSheetId="5" name="BS_deferredcomp">#REF!</definedName>
    <definedName name="OPICEXQ1">#REF!</definedName>
    <definedName localSheetId="5" name="June">#REF!</definedName>
    <definedName localSheetId="2" name="EuropeAct">#REF!</definedName>
    <definedName localSheetId="3" name="Calibrationph">#REF!</definedName>
    <definedName localSheetId="3" name="CF_netinc">#REF!</definedName>
    <definedName localSheetId="4" name="NonCashInterestRate">#REF!</definedName>
    <definedName localSheetId="5" name="BkgsByProdline">#REF!</definedName>
    <definedName localSheetId="4" name="GPPFINQ2">#REF!</definedName>
    <definedName localSheetId="2" name="WriteUP_PPE">#REF!</definedName>
    <definedName localSheetId="3" name="CF_deprec">#REF!</definedName>
    <definedName name="TOP10DEC">#REF!</definedName>
    <definedName localSheetId="23" name="AsiaPY">#REF!</definedName>
    <definedName localSheetId="5" name="EINGABE">#REF!</definedName>
    <definedName localSheetId="4" name="GPPTBQ1">#REF!</definedName>
    <definedName name="StatutoryRevenues">#REF!</definedName>
    <definedName localSheetId="5" name="debt_terminal">#REF!</definedName>
    <definedName localSheetId="2" name="BS_inventories">#REF!</definedName>
    <definedName localSheetId="3" name="ni_mult5">#REF!</definedName>
    <definedName name="share_tog">#REF!</definedName>
    <definedName localSheetId="5" name="Matmgtph">#REF!</definedName>
    <definedName localSheetId="3" name="CF_Non_Cash_Interest">#REF!</definedName>
    <definedName localSheetId="5" name="depreciation">#REF!</definedName>
    <definedName localSheetId="5" name="Exchangemax">#REF!</definedName>
    <definedName localSheetId="3" name="EuropePY">#REF!</definedName>
    <definedName localSheetId="5" name="BS_Deferred_Taxes">#REF!</definedName>
    <definedName localSheetId="3" name="GPPFINQ3">#REF!</definedName>
    <definedName localSheetId="5" name="FIGEADQ1">#REF!</definedName>
    <definedName localSheetId="4" name="Symbol">#REF!</definedName>
    <definedName localSheetId="3" name="StockPrice">#REF!</definedName>
    <definedName localSheetId="3" name="Salesph">#REF!</definedName>
    <definedName localSheetId="3" name="_3AQTR">#REF!</definedName>
    <definedName localSheetId="4" name="r_printfunction">#REF!</definedName>
    <definedName localSheetId="23" name="ab">#REF!</definedName>
    <definedName localSheetId="5" name="FIGEADQ3">#REF!</definedName>
    <definedName name="PRINT">#REF!</definedName>
    <definedName localSheetId="4" name="value_date">#REF!</definedName>
    <definedName localSheetId="3" name="NOTES">#REF!</definedName>
    <definedName localSheetId="3" name="Personnelph">#REF!</definedName>
    <definedName localSheetId="4" name="WDOPCOQ3">#REF!</definedName>
    <definedName name="FIGEADQ2">#REF!</definedName>
    <definedName localSheetId="2" name="Sports2">#REF!</definedName>
    <definedName localSheetId="4" name="_327_4.8">#REF!</definedName>
    <definedName localSheetId="2" name="EBITQ3">#REF!</definedName>
    <definedName localSheetId="23" name="_Pg32">#REF!</definedName>
    <definedName localSheetId="3" name="TOP10OCT">#REF!</definedName>
    <definedName localSheetId="4" name="NRTBTTL">#REF!</definedName>
    <definedName localSheetId="3" name="GPTBQ1">#REF!</definedName>
    <definedName localSheetId="23" name="BS_Straight_Debt">#REF!</definedName>
    <definedName localSheetId="4" name="PPTRANAE">#REF!</definedName>
    <definedName name="_4.2">#REF!</definedName>
    <definedName localSheetId="23" name="wrn.TOOL.">#REF!</definedName>
    <definedName localSheetId="5" name="BurnhamProdph">#REF!</definedName>
    <definedName localSheetId="4" name="_JUN02">#REF!</definedName>
    <definedName localSheetId="3" name="FXREV_BRL">#REF!</definedName>
    <definedName localSheetId="7" name="wrn.bullshit1.">#REF!</definedName>
    <definedName localSheetId="3" name="Govt">#REF!</definedName>
    <definedName localSheetId="5" name="Month5">#REF!</definedName>
    <definedName name="KeepD">#REF!</definedName>
    <definedName localSheetId="5" name="Sports2">#REF!</definedName>
    <definedName localSheetId="23" name="OPICEXQ1">#REF!</definedName>
    <definedName localSheetId="5" name="TargetCompanyExchangeRate">#REF!</definedName>
    <definedName localSheetId="4" name="FIGM951">#REF!</definedName>
    <definedName localSheetId="3" name="Sports2">#REF!</definedName>
    <definedName localSheetId="23" name="DAVESPIECE">#REF!</definedName>
    <definedName name="EBITQ2">#REF!</definedName>
    <definedName localSheetId="2" name="BurnhamSales">#REF!</definedName>
    <definedName localSheetId="23" name="Year4">#REF!</definedName>
    <definedName localSheetId="23" name="fcf_lev_terminal3">#REF!</definedName>
    <definedName localSheetId="23" name="wrn.Site._.Report.">#REF!</definedName>
    <definedName localSheetId="3" name="ConversionFactor">#REF!</definedName>
    <definedName name="PPPREP2004">#REF!</definedName>
    <definedName name="Int">#REF!</definedName>
    <definedName name="_291_4.4">#REF!</definedName>
    <definedName name="_225_0.2">#REF!</definedName>
    <definedName localSheetId="2" name="CF_Dividends">#REF!</definedName>
    <definedName localSheetId="5" name="fcf_lev_terminal4">#REF!</definedName>
    <definedName localSheetId="2" name="IQRTradingCompsE32">#REF!</definedName>
    <definedName localSheetId="2" name="NRTCRev">#REF!</definedName>
    <definedName localSheetId="3" name="CF_AR">#REF!</definedName>
    <definedName name="QTRLOOK">#REF!</definedName>
    <definedName localSheetId="5" name="Subrev">#REF!</definedName>
    <definedName name="AVE">#REF!</definedName>
    <definedName localSheetId="3" name="c_SSBswitch">#REF!</definedName>
    <definedName localSheetId="23" name="VAL">#REF!</definedName>
    <definedName name="CPGPTP2004">#REF!</definedName>
    <definedName localSheetId="2" name="product">#REF!</definedName>
    <definedName name="perp_lev">#REF!</definedName>
    <definedName localSheetId="2" name="Heads">#REF!</definedName>
    <definedName localSheetId="3" name="_309_4.6">#REF!</definedName>
    <definedName localSheetId="2" name="OPICEXQ2">#REF!</definedName>
    <definedName localSheetId="2" name="mincash">#REF!</definedName>
    <definedName localSheetId="3" name="OPNTSLQ4">#REF!</definedName>
    <definedName name="DisE1M2">#REF!</definedName>
    <definedName localSheetId="3" name="Databaserevenue">#REF!</definedName>
    <definedName localSheetId="23" name="Sports2">#REF!</definedName>
    <definedName localSheetId="4" name="Calibration">#REF!</definedName>
    <definedName localSheetId="5" name="fcf_lev_terminal3">#REF!</definedName>
    <definedName name="_Pg43">#REF!</definedName>
    <definedName localSheetId="2" name="Recruitdata">#REF!</definedName>
    <definedName name="OPICEXQ4">#REF!</definedName>
    <definedName localSheetId="5" name="_Pg43">#REF!</definedName>
    <definedName localSheetId="4" name="PANREAC">#REF!</definedName>
    <definedName localSheetId="5" name="PPHAND2004">#REF!</definedName>
    <definedName localSheetId="23" name="_Pg46">#REF!</definedName>
    <definedName localSheetId="4" name="OPGRPRQ1">#REF!</definedName>
    <definedName localSheetId="3" name="p_CFS">#REF!</definedName>
    <definedName localSheetId="5" name="_Pg73">#REF!</definedName>
    <definedName localSheetId="7" name="wrn.newest.">#REF!</definedName>
    <definedName localSheetId="4" name="FINQ4">#REF!</definedName>
    <definedName localSheetId="2" name="PL_99A_v_99F">#REF!</definedName>
    <definedName localSheetId="2" name="Directors">#REF!</definedName>
    <definedName localSheetId="5" name="_Pg78">#REF!</definedName>
    <definedName localSheetId="3" name="FAB">#REF!</definedName>
    <definedName localSheetId="3" name="_AUG02">#REF!</definedName>
    <definedName localSheetId="7" name="Seq_Walk">#REF!</definedName>
    <definedName localSheetId="23" name="S_M">#REF!</definedName>
    <definedName localSheetId="3" name="ImpliedFX">#REF!</definedName>
    <definedName localSheetId="4" name="BS_USD">#REF!</definedName>
    <definedName localSheetId="5" name="p_CFS">#REF!</definedName>
    <definedName localSheetId="5" name="CPGPPREP2003">#REF!</definedName>
    <definedName localSheetId="23" name="CF_convertdebt">#REF!</definedName>
    <definedName localSheetId="2" name="CashInterestRate">#REF!</definedName>
    <definedName localSheetId="23" name="Installedph">#REF!</definedName>
    <definedName localSheetId="5" name="_1QTR">#REF!</definedName>
    <definedName name="nrw">#REF!</definedName>
    <definedName localSheetId="5" name="_Pg53">#REF!</definedName>
    <definedName localSheetId="2" name="convpricedebt">#REF!</definedName>
    <definedName localSheetId="23" name="MatMgt">#REF!</definedName>
    <definedName localSheetId="4" name="_Pg51">#REF!</definedName>
    <definedName localSheetId="4" name="_Pg60">#REF!</definedName>
    <definedName localSheetId="2" name="FX_CNY">#REF!</definedName>
    <definedName localSheetId="3" name="Financeph">#REF!</definedName>
    <definedName localSheetId="4" name="month_close">#REF!</definedName>
    <definedName localSheetId="23" name="FIGMQ1">#REF!</definedName>
    <definedName name="n">#REF!</definedName>
    <definedName localSheetId="3" name="Year9">#REF!</definedName>
    <definedName localSheetId="5" name="wc">#REF!</definedName>
    <definedName name="ValuationYear">#REF!</definedName>
    <definedName localSheetId="4" name="EBITAFJA">#REF!</definedName>
    <definedName name="ergd">#REF!</definedName>
    <definedName name="__Ops1">#REF!</definedName>
    <definedName localSheetId="3" name="Conversion">#REF!</definedName>
    <definedName name="FX_YEN">#REF!</definedName>
    <definedName localSheetId="5" name="_Pg81">#REF!</definedName>
    <definedName localSheetId="2" name="Graphs">#REF!</definedName>
    <definedName localSheetId="3" name="TargetCompany">#REF!</definedName>
    <definedName localSheetId="3" name="PY">#REF!</definedName>
    <definedName localSheetId="7" name="wrn.packer._.1.">#REF!</definedName>
    <definedName localSheetId="23" name="Target_LT_Debt">#REF!</definedName>
    <definedName localSheetId="3" name="ManagementEBIT">#REF!</definedName>
    <definedName name="row">#REF!</definedName>
    <definedName localSheetId="5" name="ni_mult">#REF!</definedName>
    <definedName name="BS_convertdebt">#REF!</definedName>
    <definedName name="GPPFINQ3">#REF!</definedName>
    <definedName localSheetId="3" name="WDCOGSQ1">#REF!</definedName>
    <definedName localSheetId="3" name="NONINSTRUMENTS">#REF!</definedName>
    <definedName localSheetId="23" name="but">#REF!</definedName>
    <definedName localSheetId="23" name="BurnhamAdmin">#REF!</definedName>
    <definedName localSheetId="2" name="EBITTABL">#REF!</definedName>
    <definedName localSheetId="4" name="_CCY1">#REF!</definedName>
    <definedName localSheetId="23" name="CPHANDAE">#REF!</definedName>
    <definedName localSheetId="5" name="p_highyield_BS">#REF!</definedName>
    <definedName localSheetId="2" name="_4.3">#REF!</definedName>
    <definedName name="desc">#REF!</definedName>
    <definedName localSheetId="3" name="_rsr2">#REF!</definedName>
    <definedName localSheetId="4" name="CF_Investments">#REF!</definedName>
    <definedName localSheetId="2" name="__GPQ3">#REF!</definedName>
    <definedName localSheetId="23" name="OPOPCOQ1">#REF!</definedName>
    <definedName localSheetId="23" name="term_value">#REF!</definedName>
    <definedName localSheetId="4" name="BS_Equity">#REF!</definedName>
    <definedName localSheetId="3" name="Synergies">#REF!</definedName>
    <definedName name="fisher">#REF!</definedName>
    <definedName localSheetId="23" name="kit">#REF!</definedName>
    <definedName localSheetId="2" name="Process_graphs">#REF!</definedName>
    <definedName localSheetId="23" name="EBITAFMA">#REF!</definedName>
    <definedName localSheetId="5" name="CompTaxRate">#REF!</definedName>
    <definedName localSheetId="2" name="B_a">#REF!</definedName>
    <definedName localSheetId="2" name="WDGRSLQ1">#REF!</definedName>
    <definedName localSheetId="7" name="n">#REF!</definedName>
    <definedName localSheetId="4" name="c_pageswitch">#REF!</definedName>
    <definedName localSheetId="23" name="_Pg45">#REF!</definedName>
    <definedName localSheetId="2" name="Month10">#REF!</definedName>
    <definedName name="wrn.ipovalue.">#REF!</definedName>
    <definedName name="ni_mult4">#REF!</definedName>
    <definedName localSheetId="3" name="_fcf5">#REF!</definedName>
    <definedName name="DepreciationAndDepletion">#REF!</definedName>
    <definedName name="CPGPTP2003">#REF!</definedName>
    <definedName localSheetId="23" name="SalesAdmin">#REF!</definedName>
    <definedName localSheetId="2" name="CF_Non_Cash_Straight_PDividend">#REF!</definedName>
    <definedName localSheetId="3" name="Sub_Name3">#REF!</definedName>
    <definedName localSheetId="3" name="__Ops1">#REF!</definedName>
    <definedName localSheetId="4" name="CustEngph">#REF!</definedName>
    <definedName localSheetId="4" name="KeepF">#REF!</definedName>
    <definedName localSheetId="3" name="divestproceeds">#REF!</definedName>
    <definedName name="_NRQ1">#REF!</definedName>
    <definedName name="FEBFORE">#REF!</definedName>
    <definedName localSheetId="5" name="Financeph">#REF!</definedName>
    <definedName localSheetId="2" name="is">#REF!</definedName>
    <definedName localSheetId="2" name="p_Tax">#REF!</definedName>
    <definedName localSheetId="5" name="p_EVA">#REF!</definedName>
    <definedName localSheetId="2" name="TOP10JUL02">#REF!</definedName>
    <definedName localSheetId="4" name="ExcessCashrate">#REF!</definedName>
    <definedName localSheetId="23" name="TOP10APR">#REF!</definedName>
    <definedName localSheetId="4" name="BS_Straight_Preferred">#REF!</definedName>
    <definedName localSheetId="23" name="p_LBO_Amort">#REF!</definedName>
    <definedName localSheetId="4" name="BS_Minority">#REF!</definedName>
    <definedName localSheetId="23" name="LoanInterest">#REF!</definedName>
    <definedName localSheetId="23" name="TOP10AUG02">#REF!</definedName>
    <definedName localSheetId="5" name="A_b">#REF!</definedName>
    <definedName localSheetId="5" name="ARPU5">#REF!</definedName>
    <definedName name="SalesMEiph">#REF!</definedName>
    <definedName localSheetId="5" name="Dec">#REF!</definedName>
    <definedName localSheetId="5" name="terminal_year">#REF!</definedName>
    <definedName localSheetId="2" name="Despatch">#REF!</definedName>
    <definedName localSheetId="23" name="dcf_year">#REF!</definedName>
    <definedName localSheetId="2" name="_Pg67">#REF!</definedName>
    <definedName localSheetId="4" name="al">#REF!</definedName>
    <definedName localSheetId="5" name="_4.3">#REF!</definedName>
    <definedName localSheetId="5" name="FSHStock">#REF!</definedName>
    <definedName localSheetId="3" name="perp_lev4">#REF!</definedName>
    <definedName localSheetId="3" name="_DEC01">#REF!</definedName>
    <definedName localSheetId="2" name="Mar">#REF!</definedName>
    <definedName name="Denomination">#REF!</definedName>
    <definedName localSheetId="2" name="BUProductLines">#REF!</definedName>
    <definedName localSheetId="4" name="CPGPPREP2004">#REF!</definedName>
    <definedName localSheetId="2" name="WSABSFY">#REF!</definedName>
    <definedName localSheetId="3" name="CF_Non_Cash_Straight_PDividend">#REF!</definedName>
    <definedName localSheetId="5" name="TOOL92">#REF!</definedName>
    <definedName localSheetId="3" name="CF_Other">#REF!</definedName>
    <definedName name="netcostfcst">#REF!</definedName>
    <definedName localSheetId="4" name="TOP10APR">#REF!</definedName>
    <definedName localSheetId="23" name="x2lite">#REF!</definedName>
    <definedName localSheetId="2" name="movedata">#REF!</definedName>
    <definedName localSheetId="3" name="M_C_graphs">#REF!</definedName>
    <definedName localSheetId="4" name="WDCOGSQ3">#REF!</definedName>
    <definedName localSheetId="3" name="_226_0_0Datab">#REF!</definedName>
    <definedName name="_DCF2">#REF!</definedName>
    <definedName name="CPGPPREP2004">#REF!</definedName>
    <definedName localSheetId="2" name="_NRQ4">#REF!</definedName>
    <definedName localSheetId="2" name="OPOTEXQ2">#REF!</definedName>
    <definedName localSheetId="4" name="p_LBO_IS">#REF!</definedName>
    <definedName localSheetId="23" name="PL_BasicSO">#REF!</definedName>
    <definedName localSheetId="2" name="_NRQ3">#REF!</definedName>
    <definedName localSheetId="4" name="ni_mult">#REF!</definedName>
    <definedName localSheetId="23" name="ServiceIntph">#REF!</definedName>
    <definedName localSheetId="5" name="JulLaunchMonth1">#REF!</definedName>
    <definedName localSheetId="5" name="TOP10APR">#REF!</definedName>
    <definedName localSheetId="23" name="tar">#REF!</definedName>
    <definedName localSheetId="23" name="Graphs_2">#REF!</definedName>
    <definedName localSheetId="23" name="_3_99_3D2">#REF!</definedName>
    <definedName localSheetId="2" name="TL2QTR">#REF!</definedName>
    <definedName localSheetId="2" name="PPTRAN2003">#REF!</definedName>
    <definedName localSheetId="2" name="CF_Amortization">#REF!</definedName>
    <definedName localSheetId="2" name="Year5">#REF!</definedName>
    <definedName localSheetId="2" name="XY">#REF!</definedName>
    <definedName localSheetId="4" name="convpricepref">#REF!</definedName>
    <definedName name="p_Index">#REF!</definedName>
    <definedName localSheetId="2" name="data">#REF!</definedName>
    <definedName localSheetId="5" name="Denomination">#REF!</definedName>
    <definedName localSheetId="2" name="_Pg80">#REF!</definedName>
    <definedName localSheetId="5" name="perp_unlev">#REF!</definedName>
    <definedName name="wrn.all._.gulp._.sheets.">#REF!</definedName>
    <definedName localSheetId="5" name="p_highyield_to">#REF!</definedName>
    <definedName localSheetId="2" name="QTR_END_SEL">#REF!</definedName>
    <definedName localSheetId="2" name="debt_fv">#REF!</definedName>
    <definedName localSheetId="3" name="CF_begcash">#REF!</definedName>
    <definedName name="_Pg37">#REF!</definedName>
    <definedName localSheetId="3" name="_GPQ1">#REF!</definedName>
    <definedName localSheetId="2" name="year_close">#REF!</definedName>
    <definedName localSheetId="3" name="employee_lookup">#REF!</definedName>
    <definedName localSheetId="5" name="OPGRPRQ4">#REF!</definedName>
    <definedName localSheetId="23" name="FIGEADQ2">#REF!</definedName>
    <definedName localSheetId="3" name="summy97">#REF!</definedName>
    <definedName name="Target_prefd">#REF!</definedName>
    <definedName localSheetId="2" name="ExchangeRate1">#REF!</definedName>
    <definedName localSheetId="2" name="Occupancyphnt">#REF!</definedName>
    <definedName localSheetId="23" name="a">#REF!</definedName>
    <definedName localSheetId="5" name="SGNTSL92">#REF!</definedName>
    <definedName localSheetId="5" name="Ke">#REF!</definedName>
    <definedName localSheetId="23" name="Week">#REF!</definedName>
    <definedName localSheetId="23" name="CF_Non_Cash_Charges">#REF!</definedName>
    <definedName localSheetId="4" name="M_C_graphs">#REF!</definedName>
    <definedName localSheetId="2" name="dcf_year">#REF!</definedName>
    <definedName localSheetId="5" name="FIGMB2">#REF!</definedName>
    <definedName localSheetId="2" name="OPGRPRQ4">#REF!</definedName>
    <definedName localSheetId="23" name="BS_deferredcomp">#REF!</definedName>
    <definedName localSheetId="23" name="unlev_fcf_rate">#REF!</definedName>
    <definedName localSheetId="4" name="BurnhamProdConph">#REF!</definedName>
    <definedName localSheetId="2" name="_Pg61">#REF!</definedName>
    <definedName name="_NRQ2">#REF!</definedName>
    <definedName localSheetId="2" name="Consol">#REF!</definedName>
    <definedName localSheetId="3" name="Print2Start">#REF!</definedName>
    <definedName localSheetId="3" name="_JUN02">#REF!</definedName>
    <definedName localSheetId="3" name="CPFREIGHTAE">#REF!</definedName>
    <definedName localSheetId="7" name="wrn.AllModels.">#REF!</definedName>
    <definedName localSheetId="23" name="AVE">#REF!</definedName>
    <definedName localSheetId="23" name="CF_Dividends_Subsidiary">#REF!</definedName>
    <definedName localSheetId="3" name="_YE3">#REF!</definedName>
    <definedName localSheetId="5" name="_Pg82">#REF!</definedName>
    <definedName localSheetId="2" name="MOLD94">#REF!</definedName>
    <definedName localSheetId="7" name="____a1">#REF!</definedName>
    <definedName localSheetId="23" name="_Pg76">#REF!</definedName>
    <definedName localSheetId="3" name="FINQ3">#REF!</definedName>
    <definedName name="wrn.first3.">#REF!</definedName>
    <definedName localSheetId="4" name="OPOTEXQ4">#REF!</definedName>
    <definedName name="debt_terminal">#REF!</definedName>
    <definedName localSheetId="2" name="Emaxcable">#REF!</definedName>
    <definedName localSheetId="2" name="Dec">#REF!</definedName>
    <definedName name="month_close">#REF!</definedName>
    <definedName localSheetId="2" name="GPFINQ3">#REF!</definedName>
    <definedName localSheetId="5" name="Calibration">#REF!</definedName>
    <definedName name="Comp_graphs">#REF!</definedName>
    <definedName name="_FEB02">#REF!</definedName>
    <definedName localSheetId="3" name="Ke">#REF!</definedName>
    <definedName localSheetId="4" name="__IDP2">#REF!</definedName>
    <definedName localSheetId="23" name="_Tot98">#REF!</definedName>
    <definedName localSheetId="23" name="OC">#REF!</definedName>
    <definedName localSheetId="4" name="CF_Straight_Debt">#REF!</definedName>
    <definedName localSheetId="23" name="Month8">#REF!</definedName>
    <definedName localSheetId="5" name="Databaserevenue">#REF!</definedName>
    <definedName name="Subrev">#REF!</definedName>
    <definedName localSheetId="2" name="ex">#REF!</definedName>
    <definedName localSheetId="23" name="fcf_unlev5">#REF!</definedName>
    <definedName name="XY">#REF!</definedName>
    <definedName localSheetId="3" name="netcostplan">#REF!</definedName>
    <definedName localSheetId="5" name="StatutoryRevenues">#REF!</definedName>
    <definedName localSheetId="2" name="FD">#REF!</definedName>
    <definedName localSheetId="2" name="IS_intrevolver">#REF!</definedName>
    <definedName localSheetId="3" name="PYME">#REF!</definedName>
    <definedName localSheetId="2" name="EBITAFMA">#REF!</definedName>
    <definedName localSheetId="3" name="PPGPDIAG2004">#REF!</definedName>
    <definedName name="EBITQ4">#REF!</definedName>
    <definedName localSheetId="23" name="_Pg65">#REF!</definedName>
    <definedName name="x">#REF!</definedName>
    <definedName localSheetId="4" name="OPGRPRQ4">#REF!</definedName>
    <definedName name="vwr">#REF!</definedName>
    <definedName localSheetId="23" name="CF_netinc">#REF!</definedName>
    <definedName localSheetId="23" name="Burnhamprod">#REF!</definedName>
    <definedName localSheetId="4" name="ergd">#REF!</definedName>
    <definedName localSheetId="4" name="depreciation">#REF!</definedName>
    <definedName localSheetId="3" name="OPOPCOQ1">#REF!</definedName>
    <definedName localSheetId="2" name="CPGPTP2004">#REF!</definedName>
    <definedName localSheetId="2" name="HYP_CODE">#REF!</definedName>
    <definedName localSheetId="5" name="CF_Amortization">#REF!</definedName>
    <definedName localSheetId="23" name="FRA_UK">#REF!</definedName>
    <definedName localSheetId="23" name="dd">#REF!</definedName>
    <definedName name="HSNTSL92">#REF!</definedName>
    <definedName localSheetId="5" name="EBITAFMA">#REF!</definedName>
    <definedName localSheetId="5" name="StockPrice">#REF!</definedName>
    <definedName localSheetId="5" name="Ben_US">#REF!</definedName>
    <definedName localSheetId="3" name="ComparableAnalysis">#REF!</definedName>
    <definedName name="Balance">#REF!</definedName>
    <definedName localSheetId="2" name="FIGM94">#REF!</definedName>
    <definedName name="FIGMQ1">#REF!</definedName>
    <definedName localSheetId="3" name="NewProductSales">#REF!</definedName>
    <definedName localSheetId="5" name="Synergies">#REF!</definedName>
    <definedName localSheetId="5" name="WDNTSLQ4">#REF!</definedName>
    <definedName name="_APR02">#REF!</definedName>
    <definedName localSheetId="3" name="BS_Other_CA">#REF!</definedName>
    <definedName name="Forecast">#REF!</definedName>
    <definedName localSheetId="23" name="Bonnie">#REF!</definedName>
    <definedName localSheetId="2" name="USD_B_S">#REF!</definedName>
    <definedName localSheetId="23" name="__YE4">#REF!</definedName>
    <definedName localSheetId="3" name="FXREV_USD">#REF!</definedName>
    <definedName localSheetId="23" name="IS_otheropexp">#REF!</definedName>
    <definedName localSheetId="5" name="Other">#REF!</definedName>
    <definedName localSheetId="4" name="CF_AP">#REF!</definedName>
    <definedName localSheetId="4" name="_Pg52">#REF!</definedName>
    <definedName localSheetId="23" name="avg">#REF!</definedName>
    <definedName localSheetId="5" name="FIGMB4">#REF!</definedName>
    <definedName localSheetId="2" name="WDOPCOQ4">#REF!</definedName>
    <definedName name="page4">#REF!</definedName>
    <definedName name="rptCS">#REF!</definedName>
    <definedName localSheetId="3" name="MoQtr">#REF!</definedName>
    <definedName localSheetId="3" name="IS_intconvert">#REF!</definedName>
    <definedName localSheetId="23" name="_Pg73">#REF!</definedName>
    <definedName name="CF_revolver">#REF!</definedName>
    <definedName localSheetId="2" name="_234Graph_E">#REF!</definedName>
    <definedName name="__GPQ4">#REF!</definedName>
    <definedName localSheetId="3" name="pess">#REF!</definedName>
    <definedName localSheetId="3" name="EntityList">#REF!</definedName>
    <definedName localSheetId="3" name="OC">#REF!</definedName>
    <definedName localSheetId="2" name="ARPU5">#REF!</definedName>
    <definedName localSheetId="3" name="Print1Stop">#REF!</definedName>
    <definedName localSheetId="3" name="__GPQ3">#REF!</definedName>
    <definedName localSheetId="23" name="IDP">#REF!</definedName>
    <definedName localSheetId="23" name="__Tot97">#REF!</definedName>
    <definedName localSheetId="23" name="Bldg2300">#REF!</definedName>
    <definedName localSheetId="4" name="EBITQ4">#REF!</definedName>
    <definedName localSheetId="4" name="Quarter">#REF!</definedName>
    <definedName localSheetId="2" name="Synergies">#REF!</definedName>
    <definedName localSheetId="3" name="fcf_unlev_terminal2">#REF!</definedName>
    <definedName localSheetId="3" name="Print3Start">#REF!</definedName>
    <definedName localSheetId="3" name="convpricepref">#REF!</definedName>
    <definedName name="PPPREP2003">#REF!</definedName>
    <definedName localSheetId="2" name="WriteUp_otherCL">#REF!</definedName>
    <definedName localSheetId="3" name="CF_AP">#REF!</definedName>
    <definedName localSheetId="4" name="TOOLBOX">#REF!</definedName>
    <definedName localSheetId="23" name="PPPREP2004">#REF!</definedName>
    <definedName localSheetId="4" name="Transducers">#REF!</definedName>
    <definedName name="_GPQ3">#REF!</definedName>
    <definedName name="FullData">#REF!</definedName>
    <definedName localSheetId="2" name="Month3">#REF!</definedName>
    <definedName localSheetId="4" name="CommonCurrency">#REF!</definedName>
    <definedName localSheetId="2" name="_Pg46">#REF!</definedName>
    <definedName localSheetId="2" name="CreatedFor">#REF!</definedName>
    <definedName localSheetId="2" name="EuropeFcst">#REF!</definedName>
    <definedName localSheetId="4" name="Ben_US">#REF!</definedName>
    <definedName localSheetId="23" name="_Pg80">#REF!</definedName>
    <definedName localSheetId="2" name="_YE4">#REF!</definedName>
    <definedName localSheetId="7" name="wrn.Maine2.">#REF!</definedName>
    <definedName localSheetId="4" name="_1QTR">#REF!</definedName>
    <definedName localSheetId="23" name="Fund_Deficit">#REF!</definedName>
    <definedName localSheetId="4" name="Cashplug">#REF!</definedName>
    <definedName localSheetId="23" name="_FEB02">#REF!</definedName>
    <definedName localSheetId="2" name="Other">#REF!</definedName>
    <definedName name="invoice_choices">#REF!</definedName>
    <definedName localSheetId="4" name="ExitYear">#REF!</definedName>
    <definedName localSheetId="3" name="LC_Pand_L">#REF!</definedName>
    <definedName localSheetId="5" name="__YE4">#REF!</definedName>
    <definedName localSheetId="2" name="fcf_unlev_terminal3">#REF!</definedName>
    <definedName name="_JAN02">#REF!</definedName>
    <definedName localSheetId="4" name="WI_graphs">#REF!</definedName>
    <definedName localSheetId="7" name="_inv3">#REF!</definedName>
    <definedName localSheetId="2" name="TotalPurchasePrice">#REF!</definedName>
    <definedName localSheetId="7" name="wrn.Complete.">#REF!</definedName>
    <definedName localSheetId="5" name="c_date">#REF!</definedName>
    <definedName localSheetId="4" name="WDGRPRQ1">#REF!</definedName>
    <definedName name="asdfghjkl">#REF!</definedName>
    <definedName localSheetId="5" name="EBITAFNO">#REF!</definedName>
    <definedName localSheetId="23" name="Spec_graphs">#REF!</definedName>
    <definedName name="SAL">#REF!</definedName>
    <definedName localSheetId="3" name="PPTRAN2003">#REF!</definedName>
    <definedName localSheetId="5" name="EBITAFFE">#REF!</definedName>
    <definedName localSheetId="5" name="EOLDef">#REF!</definedName>
    <definedName localSheetId="3" name="options">#REF!</definedName>
    <definedName name="Act_Fcst">#REF!</definedName>
    <definedName localSheetId="7" name="new">#REF!</definedName>
    <definedName localSheetId="4" name="main">#REF!</definedName>
    <definedName localSheetId="4" name="Dec">#REF!</definedName>
    <definedName localSheetId="2" name="ERL_US">#REF!</definedName>
    <definedName localSheetId="5" name="WriteUp_payables">#REF!</definedName>
    <definedName localSheetId="2" name="FIGM954">#REF!</definedName>
    <definedName localSheetId="5" name="fcf_unlev">#REF!</definedName>
    <definedName localSheetId="4" name="C_b">#REF!</definedName>
    <definedName localSheetId="5" name="PL_Convertible_Interest">#REF!</definedName>
    <definedName localSheetId="23" name="PPTRANAE">#REF!</definedName>
    <definedName localSheetId="3" name="rev">#REF!</definedName>
    <definedName localSheetId="2" name="Option_Proceeds">#REF!</definedName>
    <definedName localSheetId="23" name="CF_Depreciation">#REF!</definedName>
    <definedName name="optim">#REF!</definedName>
    <definedName localSheetId="23" name="CF_capex">#REF!</definedName>
    <definedName localSheetId="23" name="PL_FDEPS">#REF!</definedName>
    <definedName localSheetId="4" name="base">#REF!</definedName>
    <definedName localSheetId="4" name="page2">#REF!</definedName>
    <definedName name="EBITQ1">#REF!</definedName>
    <definedName localSheetId="3" name="fcf_unlev_terminal1">#REF!</definedName>
    <definedName localSheetId="3" name="BS_receivables">#REF!</definedName>
    <definedName name="FD">#REF!</definedName>
    <definedName localSheetId="23" name="desc">#REF!</definedName>
    <definedName localSheetId="2" name="_APR02">#REF!</definedName>
    <definedName localSheetId="4" name="Target_LT_Debt">#REF!</definedName>
    <definedName localSheetId="23" name="susan">#REF!</definedName>
    <definedName localSheetId="4" name="GPPTTLTL">#REF!</definedName>
    <definedName localSheetId="2" name="ni_mult_sen">#REF!</definedName>
    <definedName localSheetId="4" name="WriteUp_receivables">#REF!</definedName>
    <definedName name="p_LBO_BS">#REF!</definedName>
    <definedName localSheetId="3" name="__YE2">#REF!</definedName>
    <definedName name="Graph2">#REF!</definedName>
    <definedName localSheetId="4" name="p_LBO_DebtB">#REF!</definedName>
    <definedName localSheetId="23" name="BurnhamEng">#REF!</definedName>
    <definedName name="CF_Beg_Cash">#REF!</definedName>
    <definedName localSheetId="4" name="_4.4">#REF!</definedName>
    <definedName localSheetId="23" name="SumA">#REF!</definedName>
    <definedName localSheetId="2" name="FIGMQ2">#REF!</definedName>
    <definedName localSheetId="4" name="CompTaxRate">#REF!</definedName>
    <definedName localSheetId="3" name="ChangeInDeferredCompensation">#REF!</definedName>
    <definedName localSheetId="4" name="p_highyield_to">#REF!</definedName>
    <definedName localSheetId="4" name="EVERYTHI">#REF!</definedName>
    <definedName localSheetId="3" name="PL_99A_v_99F">#REF!</definedName>
    <definedName localSheetId="4" name="spread">#REF!</definedName>
    <definedName localSheetId="23" name="FINQ3">#REF!</definedName>
    <definedName localSheetId="3" name="p_EVA">#REF!</definedName>
    <definedName localSheetId="23" name="FIGM944">#REF!</definedName>
    <definedName name="ChangeInDeferredCompensation">#REF!</definedName>
    <definedName localSheetId="5" name="Print2Stop">#REF!</definedName>
    <definedName localSheetId="23" name="KeyAccts_Table">#REF!</definedName>
    <definedName localSheetId="23" name="Year8">#REF!</definedName>
    <definedName localSheetId="5" name="page3">#REF!</definedName>
    <definedName localSheetId="23" name="Years">#REF!</definedName>
    <definedName localSheetId="2" name="Abudget">#REF!</definedName>
    <definedName localSheetId="4" name="Process_details">#REF!</definedName>
    <definedName name="TEXT">#REF!</definedName>
    <definedName name="p_LBO_Summary">#REF!</definedName>
    <definedName localSheetId="3" name="BS_deferredtaxes">#REF!</definedName>
    <definedName localSheetId="23" name="wrn.packer._.1.">#REF!</definedName>
    <definedName localSheetId="23" name="WriteUP_PPE">#REF!</definedName>
    <definedName localSheetId="5" name="Copyright">#REF!</definedName>
    <definedName localSheetId="2" name="OPICEXQ1">#REF!</definedName>
    <definedName localSheetId="5" name="BS_payables">#REF!</definedName>
    <definedName localSheetId="5" name="AsiaPY">#REF!</definedName>
    <definedName localSheetId="2" name="Month1">#REF!</definedName>
    <definedName localSheetId="5" name="BS_CL">#REF!</definedName>
    <definedName localSheetId="4" name="Number_of_customer">#REF!</definedName>
    <definedName localSheetId="2" name="CF_Straight_Debt">#REF!</definedName>
    <definedName localSheetId="4" name="JulLaunchMonth1">#REF!</definedName>
    <definedName name="_Pg80">#REF!</definedName>
    <definedName localSheetId="2" name="BS_receivables">#REF!</definedName>
    <definedName localSheetId="3" name="portion">#REF!</definedName>
    <definedName localSheetId="23" name="hrms">#REF!</definedName>
    <definedName localSheetId="23" name="TOP10NOV">#REF!</definedName>
    <definedName name="Subscribers">#REF!</definedName>
    <definedName localSheetId="3" name="WDNTSLQ4">#REF!</definedName>
    <definedName name="NC">#REF!</definedName>
    <definedName localSheetId="5" name="CurrentEquityInvestment">#REF!</definedName>
    <definedName name="IS_deprec">#REF!</definedName>
    <definedName localSheetId="2" name="FRA_Ger">#REF!</definedName>
    <definedName localSheetId="5" name="_318_4.7">#REF!</definedName>
    <definedName localSheetId="5" name="WSEBITAU">#REF!</definedName>
    <definedName localSheetId="5" name="BurnhamEngph">#REF!</definedName>
    <definedName localSheetId="4" name="FIGEADQ3">#REF!</definedName>
    <definedName localSheetId="4" name="Bookings_Detail_Area">#REF!</definedName>
    <definedName localSheetId="4" name="Erl_UK">#REF!</definedName>
    <definedName localSheetId="23" name="OfferPrice">#REF!</definedName>
    <definedName localSheetId="4" name="FIGMQ3">#REF!</definedName>
    <definedName localSheetId="23" name="FX_USD">#REF!</definedName>
    <definedName localSheetId="2" name="Engineering">#REF!</definedName>
    <definedName localSheetId="23" name="CF_Amortization">#REF!</definedName>
    <definedName localSheetId="4" name="vwr">#REF!</definedName>
    <definedName localSheetId="4" name="row">#REF!</definedName>
    <definedName name="CF_Non_Cash_Charges">#REF!</definedName>
    <definedName localSheetId="4" name="Other">#REF!</definedName>
    <definedName localSheetId="3" name="kit">#REF!</definedName>
    <definedName name="PPTRAN2003">#REF!</definedName>
    <definedName localSheetId="3" name="_Pg60">#REF!</definedName>
    <definedName localSheetId="23" name="SEK">#REF!</definedName>
    <definedName localSheetId="3" name="FIGM95">#REF!</definedName>
    <definedName localSheetId="3" name="_282_4.3">#REF!</definedName>
    <definedName name="LBOSaleExit1">#REF!</definedName>
    <definedName localSheetId="3" name="StatutoryEBIT">#REF!</definedName>
    <definedName localSheetId="5" name="ConversionFactor">#REF!</definedName>
    <definedName localSheetId="3" name="c_date">#REF!</definedName>
    <definedName localSheetId="3" name="StockProceeds">#REF!</definedName>
    <definedName name="wrn.ALL._.PAGES.">#REF!</definedName>
    <definedName localSheetId="23" name="_Pg71">#REF!</definedName>
    <definedName localSheetId="5" name="DateHeader">#REF!</definedName>
    <definedName name="ValuationMultiple">#REF!</definedName>
    <definedName localSheetId="2" name="TL4QTR">#REF!</definedName>
    <definedName localSheetId="23" name="IS_intconvert">#REF!</definedName>
    <definedName localSheetId="2" name="CF_NWC">#REF!</definedName>
    <definedName localSheetId="2" name="_Pg60">#REF!</definedName>
    <definedName localSheetId="3" name="FIGM944">#REF!</definedName>
    <definedName localSheetId="5" name="OPNTSLQ3">#REF!</definedName>
    <definedName localSheetId="2" name="month_close">#REF!</definedName>
    <definedName localSheetId="23" name="BS_Equity">#REF!</definedName>
    <definedName name="_1QTRFIN">#REF!</definedName>
    <definedName localSheetId="2" name="BurnhamAdmin">#REF!</definedName>
    <definedName name="BS_otherLTA">#REF!</definedName>
    <definedName localSheetId="5" name="OtherCurrency">#REF!</definedName>
    <definedName localSheetId="23" name="Transducersph">#REF!</definedName>
    <definedName localSheetId="5" name="avg">#REF!</definedName>
    <definedName name="GPPSGQ1">#REF!</definedName>
    <definedName localSheetId="3" name="FIGMB4">#REF!</definedName>
    <definedName localSheetId="5" name="FX_CNY">#REF!</definedName>
    <definedName localSheetId="7" name="hod">#REF!</definedName>
    <definedName localSheetId="4" name="_APR02">#REF!</definedName>
    <definedName name="IQRTradingCompsB24">#REF!</definedName>
    <definedName localSheetId="4" name="CPTP2003">#REF!</definedName>
    <definedName localSheetId="4" name="FullTakeRate">#REF!</definedName>
    <definedName localSheetId="5" name="GPFINQ3">#REF!</definedName>
    <definedName localSheetId="4" name="QAph">#REF!</definedName>
    <definedName localSheetId="2" name="MTDStock">#REF!</definedName>
    <definedName localSheetId="23" name="fcf_unlev">#REF!</definedName>
    <definedName localSheetId="3" name="WACC_sen">#REF!</definedName>
    <definedName localSheetId="23" name="BS_Other_LTLiabilities">#REF!</definedName>
    <definedName localSheetId="4" name="WSABSFY">#REF!</definedName>
    <definedName localSheetId="23" name="CLOSE">#REF!</definedName>
    <definedName localSheetId="3" name="WSEBITNO">#REF!</definedName>
    <definedName name="BS_Convertible_Preferred">#REF!</definedName>
    <definedName name="IS_convprefdiv">#REF!</definedName>
    <definedName localSheetId="5" name="DilutedShares">#REF!</definedName>
    <definedName name="WSEBITMA">#REF!</definedName>
    <definedName localSheetId="3" name="BS_straightpref">#REF!</definedName>
    <definedName localSheetId="3" name="value_date">#REF!</definedName>
    <definedName name="ConversionFactor">#REF!</definedName>
    <definedName localSheetId="4" name="ky">#REF!</definedName>
    <definedName name="convdebtrate">#REF!</definedName>
    <definedName localSheetId="23" name="fcf_lev_terminal4">#REF!</definedName>
    <definedName name="capital">#REF!</definedName>
    <definedName localSheetId="2" name="debt_terminal">#REF!</definedName>
    <definedName localSheetId="2" name="CF_Equity_Earnings">#REF!</definedName>
    <definedName localSheetId="3" name="_227_0_0Datab">#REF!</definedName>
    <definedName localSheetId="3" name="PL_Loss_Preferred">#REF!</definedName>
    <definedName localSheetId="5" name="_Pg59">#REF!</definedName>
    <definedName localSheetId="23" name="NewCo5ON">#REF!</definedName>
    <definedName name="PL_99A_v_99F">#REF!</definedName>
    <definedName localSheetId="5" name="BS_Revolver">#REF!</definedName>
    <definedName localSheetId="2" name="SPGOODS">#REF!</definedName>
    <definedName localSheetId="4" name="GPPTTLQ3">#REF!</definedName>
    <definedName name="ARPU2">#REF!</definedName>
    <definedName localSheetId="23" name="plandtl">#REF!</definedName>
    <definedName localSheetId="5" name="_2_99_3D">#REF!</definedName>
    <definedName localSheetId="4" name="Status">#REF!</definedName>
    <definedName localSheetId="5" name="BS_commonequity">#REF!</definedName>
    <definedName localSheetId="3" name="BEGRSLQ3">#REF!</definedName>
    <definedName localSheetId="2" name="Test">#REF!</definedName>
    <definedName name="CPHAND2004">#REF!</definedName>
    <definedName localSheetId="2" name="SalesMEi">#REF!</definedName>
    <definedName name="__Tot98">#REF!</definedName>
    <definedName localSheetId="4" name="acq_cost_convert_low">#REF!</definedName>
    <definedName localSheetId="3" name="_Pg42">#REF!</definedName>
    <definedName localSheetId="4" name="Personnelph">#REF!</definedName>
    <definedName localSheetId="2" name="date_close">#REF!</definedName>
    <definedName localSheetId="2" name="WSEBITOC">#REF!</definedName>
    <definedName localSheetId="3" name="EBITAFNO">#REF!</definedName>
    <definedName localSheetId="23" name="_4TLQTR">#REF!</definedName>
    <definedName name="spec_switch">#REF!</definedName>
    <definedName name="grossQ">#REF!</definedName>
    <definedName localSheetId="23" name="WDGRPRQ2">#REF!</definedName>
    <definedName localSheetId="2" name="ValuationYear">#REF!</definedName>
    <definedName name="_4QTRFIN">#REF!</definedName>
    <definedName localSheetId="5" name="c_dateswitch">#REF!</definedName>
    <definedName localSheetId="3" name="rd">#REF!</definedName>
    <definedName name="_Pg49">#REF!</definedName>
    <definedName localSheetId="2" name="__Ops1">#REF!</definedName>
    <definedName name="PanlL_Act99_v_00Bud">#REF!</definedName>
    <definedName localSheetId="4" name="_Pg57">#REF!</definedName>
    <definedName localSheetId="23" name="PL_Loss_Preferred">#REF!</definedName>
    <definedName name="RF_Domestic">#REF!</definedName>
    <definedName localSheetId="4" name="p_LBO_BS">#REF!</definedName>
    <definedName localSheetId="3" name="_4.5">#REF!</definedName>
    <definedName localSheetId="3" name="YX">#REF!</definedName>
    <definedName name="BS_commonequity">#REF!</definedName>
    <definedName localSheetId="2" name="FX_AUD">#REF!</definedName>
    <definedName localSheetId="3" name="BS_Convertible_Preferred">#REF!</definedName>
    <definedName localSheetId="3" name="MOLD93">#REF!</definedName>
    <definedName localSheetId="4" name="page9">#REF!</definedName>
    <definedName name="_Pg60">#REF!</definedName>
    <definedName localSheetId="5" name="Year6">#REF!</definedName>
    <definedName localSheetId="2" name="WSEBITJL">#REF!</definedName>
    <definedName localSheetId="3" name="_4.6">#REF!</definedName>
    <definedName localSheetId="3" name="Denomination">#REF!</definedName>
    <definedName localSheetId="23" name="SmaxFOC">#REF!</definedName>
    <definedName localSheetId="4" name="Month2">#REF!</definedName>
    <definedName localSheetId="23" name="Buys">#REF!</definedName>
    <definedName localSheetId="2" name="EBITAFJL">#REF!</definedName>
    <definedName localSheetId="23" name="WDGRSLQ1">#REF!</definedName>
    <definedName localSheetId="23" name="DollarHeader">#REF!</definedName>
    <definedName localSheetId="4" name="_Pg28">#REF!</definedName>
    <definedName localSheetId="4" name="cbo">#REF!</definedName>
    <definedName localSheetId="5" name="CPTRAN2003">#REF!</definedName>
    <definedName localSheetId="2" name="_4.1">#REF!</definedName>
    <definedName name="Terminal">#REF!</definedName>
    <definedName name="Cashplug">#REF!</definedName>
    <definedName name="EOLDef">#REF!</definedName>
    <definedName localSheetId="4" name="NetDebt">#REF!</definedName>
    <definedName localSheetId="23" name="wen">#REF!</definedName>
    <definedName localSheetId="5" name="IS_straightprefdiv">#REF!</definedName>
    <definedName localSheetId="5" name="EuroRate">#REF!</definedName>
    <definedName localSheetId="4" name="ExternalData3">#REF!</definedName>
    <definedName localSheetId="3" name="CF_convertdebt">#REF!</definedName>
    <definedName localSheetId="5" name="rev">#REF!</definedName>
    <definedName localSheetId="2" name="ergd">#REF!</definedName>
    <definedName localSheetId="2" name="BurnhamSalesph">#REF!</definedName>
    <definedName name="Ben_Ger">#REF!</definedName>
    <definedName localSheetId="4" name="FIGEADQ1">#REF!</definedName>
    <definedName localSheetId="23" name="CF_Beg_Cash">#REF!</definedName>
    <definedName localSheetId="2" name="BurnhamProdConph">#REF!</definedName>
    <definedName localSheetId="23" name="convpricepref">#REF!</definedName>
    <definedName localSheetId="2" name="OPEXQ1">#REF!</definedName>
    <definedName localSheetId="23" name="NewTaxIntangibles">#REF!</definedName>
    <definedName name="Emaxcable">#REF!</definedName>
    <definedName localSheetId="2" name="AVE">#REF!</definedName>
    <definedName localSheetId="3" name="EQUITY">#REF!</definedName>
    <definedName localSheetId="23" name="subscriber">#REF!</definedName>
    <definedName localSheetId="4" name="Burnhamprodcon">#REF!</definedName>
    <definedName localSheetId="3" name="BS_Other_LTAssets">#REF!</definedName>
    <definedName localSheetId="7" name="__DCF1">#REF!</definedName>
    <definedName name="TOOL92">#REF!</definedName>
    <definedName localSheetId="3" name="Vitality">#REF!</definedName>
    <definedName localSheetId="2" name="OPICEXQ4">#REF!</definedName>
    <definedName localSheetId="4" name="WriteUp_otherCL">#REF!</definedName>
    <definedName localSheetId="4" name="salesandmktg">#REF!</definedName>
    <definedName name="C_a">#REF!</definedName>
    <definedName localSheetId="23" name="_2TLQTR">#REF!</definedName>
    <definedName localSheetId="4" name="EBITQ2">#REF!</definedName>
    <definedName localSheetId="3" name="_339ÿ__bot">#REF!</definedName>
    <definedName name="_318_4.7">#REF!</definedName>
    <definedName localSheetId="3" name="_7_99_QS">#REF!</definedName>
    <definedName localSheetId="5" name="Year5">#REF!</definedName>
    <definedName localSheetId="5" name="SumB">#REF!</definedName>
    <definedName localSheetId="23" name="NET_DEBT">#REF!</definedName>
    <definedName localSheetId="2" name="BS_AR">#REF!</definedName>
    <definedName localSheetId="3" name="entry">#REF!</definedName>
    <definedName localSheetId="3" name="DPS">#REF!</definedName>
    <definedName localSheetId="2" name="ExcessCashrate">#REF!</definedName>
    <definedName name="WDGRPRQ2">#REF!</definedName>
    <definedName localSheetId="5" name="PRINT_TITLES_MI">#REF!</definedName>
    <definedName localSheetId="2" name="Tax_Amortization">#REF!</definedName>
    <definedName localSheetId="23" name="p_LBO_returncalc">#REF!</definedName>
    <definedName name="_Pg73">#REF!</definedName>
    <definedName localSheetId="2" name="p_LBO_returncalc">#REF!</definedName>
    <definedName name="fcf_unlev_terminal5">#REF!</definedName>
    <definedName name="_4SPQTR">#REF!</definedName>
    <definedName localSheetId="4" name="GPPFINQ4">#REF!</definedName>
    <definedName localSheetId="5" name="ServiceExt">#REF!</definedName>
    <definedName localSheetId="4" name="fcstsum">#REF!</definedName>
    <definedName localSheetId="3" name="CF_Dividends">#REF!</definedName>
    <definedName localSheetId="4" name="PRINT_TITLES_MI">#REF!</definedName>
    <definedName name="FX_BRL">#REF!</definedName>
    <definedName localSheetId="4" name="TOP10JUN02">#REF!</definedName>
    <definedName localSheetId="2" name="_GPQ1">#REF!</definedName>
    <definedName localSheetId="3" name="publicityph">#REF!</definedName>
    <definedName localSheetId="23" name="cbo">#REF!</definedName>
    <definedName localSheetId="2" name="GPTBTTL">#REF!</definedName>
    <definedName localSheetId="23" name="wrn.ALLbutPREMIUM.">#REF!</definedName>
    <definedName localSheetId="3" name="PEST">#REF!</definedName>
    <definedName name="Vitality">#REF!</definedName>
    <definedName localSheetId="4" name="perp_lev3">#REF!</definedName>
    <definedName localSheetId="5" name="Comp_graphs">#REF!</definedName>
    <definedName localSheetId="23" name="perp_unlev_sen">#REF!</definedName>
    <definedName localSheetId="4" name="SP4QTR">#REF!</definedName>
    <definedName localSheetId="2" name="OPNTSLQ4">#REF!</definedName>
    <definedName localSheetId="4" name="__GPQ1">#REF!</definedName>
    <definedName localSheetId="2" name="TOTALIT">#REF!</definedName>
    <definedName localSheetId="5" name="main">#REF!</definedName>
    <definedName localSheetId="23" name="CF_Deferred_Taxes">#REF!</definedName>
    <definedName name="perp_unlev2">#REF!</definedName>
    <definedName localSheetId="23" name="GPPSGQ1">#REF!</definedName>
    <definedName localSheetId="7" name="B">#REF!</definedName>
    <definedName localSheetId="23" name="StatusCodes">#REF!</definedName>
    <definedName localSheetId="2" name="_Pg47">#REF!</definedName>
    <definedName localSheetId="23" name="Smaxcable">#REF!</definedName>
    <definedName localSheetId="3" name="ccy">#REF!</definedName>
    <definedName localSheetId="4" name="WriteUp_inventories">#REF!</definedName>
    <definedName localSheetId="3" name="PPGPDIAG2003">#REF!</definedName>
    <definedName localSheetId="5" name="Primestar">#REF!</definedName>
    <definedName localSheetId="3" name="ExternalData3">#REF!</definedName>
    <definedName localSheetId="2" name="CF_Convertible_Debt">#REF!</definedName>
    <definedName name="writeupdeprec">#REF!</definedName>
    <definedName localSheetId="3" name="p_Premium">#REF!</definedName>
    <definedName localSheetId="23" name="__Ops1">#REF!</definedName>
    <definedName localSheetId="2" name="DPS">#REF!</definedName>
    <definedName localSheetId="3" name="_4.11">#REF!</definedName>
    <definedName localSheetId="5" name="Ticker">#REF!</definedName>
    <definedName localSheetId="23" name="p_Tax">#REF!</definedName>
    <definedName localSheetId="5" name="PL_Loss_Preferred">#REF!</definedName>
    <definedName localSheetId="5" name="NotesNewIssue">#REF!</definedName>
    <definedName localSheetId="4" name="ARPU3">#REF!</definedName>
    <definedName localSheetId="3" name="Revenue">#REF!</definedName>
    <definedName localSheetId="23" name="IS_intincome">#REF!</definedName>
    <definedName name="wrn.VALUATION.">#REF!</definedName>
    <definedName localSheetId="23" name="OPGRPRQ1">#REF!</definedName>
    <definedName name="ExRate">#REF!</definedName>
    <definedName localSheetId="5" name="Graph2">#REF!</definedName>
    <definedName localSheetId="23" name="USD_B_S">#REF!</definedName>
    <definedName localSheetId="23" name="SP3QTR">#REF!</definedName>
    <definedName localSheetId="2" name="row">#REF!</definedName>
    <definedName localSheetId="3" name="SP1QTR">#REF!</definedName>
    <definedName localSheetId="2" name="perp_lev">#REF!</definedName>
    <definedName localSheetId="3" name="Month3">#REF!</definedName>
    <definedName name="as">#REF!</definedName>
    <definedName name="WDGRPRQ3">#REF!</definedName>
    <definedName name="_inv3">#REF!</definedName>
    <definedName name="NBSCStock">#REF!</definedName>
    <definedName localSheetId="3" name="EBITDA_mult1">#REF!</definedName>
    <definedName localSheetId="4" name="Period">#REF!</definedName>
    <definedName localSheetId="5" name="KeepB">#REF!</definedName>
    <definedName localSheetId="2" name="LC_Pand_L">#REF!</definedName>
    <definedName localSheetId="5" name="IQRTradingCompsB125">#REF!</definedName>
    <definedName localSheetId="23" name="IS_SGA">#REF!</definedName>
    <definedName localSheetId="4" name="Terminal">#REF!</definedName>
    <definedName name="ExternalData3">#REF!</definedName>
    <definedName localSheetId="23" name="EBITAFSE">#REF!</definedName>
    <definedName localSheetId="3" name="DollarHeader">#REF!</definedName>
    <definedName localSheetId="4" name="Ticker">#REF!</definedName>
    <definedName name="KeepF">#REF!</definedName>
    <definedName localSheetId="23" name="wrn.first2.">#REF!</definedName>
    <definedName localSheetId="4" name="FXREV_BRL">#REF!</definedName>
    <definedName localSheetId="2" name="EBITQ2">#REF!</definedName>
    <definedName localSheetId="23" name="LC_Pand_L">#REF!</definedName>
    <definedName localSheetId="3" name="TOP10JAN">#REF!</definedName>
    <definedName localSheetId="3" name="_Pg66">#REF!</definedName>
    <definedName localSheetId="5" name="OPEXQ4">#REF!</definedName>
    <definedName localSheetId="2" name="BS_straightdebt">#REF!</definedName>
    <definedName localSheetId="4" name="perp_unlev1">#REF!</definedName>
    <definedName localSheetId="23" name="Target_prefd">#REF!</definedName>
    <definedName localSheetId="4" name="Directorsph">#REF!</definedName>
    <definedName localSheetId="5" name="term_year">#REF!</definedName>
    <definedName localSheetId="4" name="Comp_details">#REF!</definedName>
    <definedName localSheetId="2" name="Minimum_Cash">#REF!</definedName>
    <definedName localSheetId="23" name="base">#REF!</definedName>
    <definedName localSheetId="3" name="NRTTL">#REF!</definedName>
    <definedName localSheetId="4" name="convprefrate">#REF!</definedName>
    <definedName localSheetId="4" name="WSEBITJA">#REF!</definedName>
    <definedName name="cash_terminal">#REF!</definedName>
    <definedName name="____DCF1">#REF!</definedName>
    <definedName localSheetId="5" name="al">#REF!</definedName>
    <definedName localSheetId="2" name="_Pg56">#REF!</definedName>
    <definedName localSheetId="3" name="_NRQ2">#REF!</definedName>
    <definedName localSheetId="2" name="BS_deferredtaxes">#REF!</definedName>
    <definedName localSheetId="23" name="M_C_Summary">#REF!</definedName>
    <definedName localSheetId="5" name="EBITQ2">#REF!</definedName>
    <definedName localSheetId="23" name="p_LBO_DebtB">#REF!</definedName>
    <definedName localSheetId="3" name="June">#REF!</definedName>
    <definedName localSheetId="7" name="asd">#REF!</definedName>
    <definedName localSheetId="3" name="WDGRSLQ2">#REF!</definedName>
    <definedName name="rd">#REF!</definedName>
    <definedName localSheetId="5" name="Smaxapp">#REF!</definedName>
    <definedName localSheetId="23" name="Erl_UK">#REF!</definedName>
    <definedName localSheetId="5" name="HSNTSL92">#REF!</definedName>
    <definedName localSheetId="3" name="EBITAFAU">#REF!</definedName>
    <definedName name="E_b">#REF!</definedName>
    <definedName localSheetId="23" name="mthend1">#REF!</definedName>
    <definedName localSheetId="3" name="spec_switch">#REF!</definedName>
    <definedName localSheetId="4" name="_YE1">#REF!</definedName>
    <definedName localSheetId="2" name="Month5">#REF!</definedName>
    <definedName name="FIGM953">#REF!</definedName>
    <definedName localSheetId="2" name="Netsub">#REF!</definedName>
    <definedName localSheetId="2" name="monthly_tot_add_rev">#REF!</definedName>
    <definedName localSheetId="5" name="matldelta">#REF!</definedName>
    <definedName name="Print3Stop">#REF!</definedName>
    <definedName localSheetId="4" name="Month8">#REF!</definedName>
    <definedName localSheetId="2" name="p_LBO_Amort">#REF!</definedName>
    <definedName localSheetId="5" name="bs">#REF!</definedName>
    <definedName localSheetId="3" name="WSEBITJL">#REF!</definedName>
    <definedName localSheetId="4" name="__NRQ4">#REF!</definedName>
    <definedName localSheetId="5" name="NewCo4On">#REF!</definedName>
    <definedName name="Spec_graphs">#REF!</definedName>
    <definedName localSheetId="5" name="value_date">#REF!</definedName>
    <definedName localSheetId="2" name="perp_lev_sen">#REF!</definedName>
    <definedName name="_1_0CLOSE_OR">#REF!</definedName>
    <definedName localSheetId="3" name="DEPT">#REF!</definedName>
    <definedName localSheetId="4" name="BS_PPE">#REF!</definedName>
    <definedName localSheetId="5" name="price">#REF!</definedName>
    <definedName localSheetId="3" name="salesandmktg">#REF!</definedName>
    <definedName localSheetId="2" name="TOP10DEC">#REF!</definedName>
    <definedName localSheetId="2" name="hallo_">#REF!</definedName>
    <definedName localSheetId="2" name="_DEC01">#REF!</definedName>
    <definedName localSheetId="2" name="tot">#REF!</definedName>
    <definedName localSheetId="2" name="CLOSE">#REF!</definedName>
    <definedName localSheetId="23" name="_234Graph_B">#REF!</definedName>
    <definedName localSheetId="23" name="EBITAFAU">#REF!</definedName>
    <definedName localSheetId="4" name="PPPREP2004">#REF!</definedName>
    <definedName localSheetId="4" name="IS_intconvert">#REF!</definedName>
    <definedName localSheetId="3" name="PL_Rent">#REF!</definedName>
    <definedName localSheetId="4" name="_Pg73">#REF!</definedName>
    <definedName localSheetId="2" name="DilutedShares">#REF!</definedName>
    <definedName localSheetId="3" name="LoanAmount">#REF!</definedName>
    <definedName localSheetId="4" name="OPNTSLQ3">#REF!</definedName>
    <definedName name="_Pg68">#REF!</definedName>
    <definedName localSheetId="5" name="BS_Straight_Debt">#REF!</definedName>
    <definedName name="perp_unlev3">#REF!</definedName>
    <definedName localSheetId="4" name="Goodwill">#REF!</definedName>
    <definedName localSheetId="23" name="PL_XO">#REF!</definedName>
    <definedName localSheetId="2" name="MOLD92">#REF!</definedName>
    <definedName localSheetId="23" name="Costsub">#REF!</definedName>
    <definedName localSheetId="23" name="mincash">#REF!</definedName>
    <definedName localSheetId="2" name="LWBSUM">#REF!</definedName>
    <definedName localSheetId="5" name="BECStock">#REF!</definedName>
    <definedName localSheetId="5" name="PL_BasicSO">#REF!</definedName>
    <definedName localSheetId="3" name="PPFREIGHT2004">#REF!</definedName>
    <definedName localSheetId="23" name="new">#REF!</definedName>
    <definedName localSheetId="2" name="PY">#REF!</definedName>
    <definedName localSheetId="3" name="bal">#REF!</definedName>
    <definedName name="NonCashInterestExpense">#REF!</definedName>
    <definedName localSheetId="2" name="CustRev">#REF!</definedName>
    <definedName localSheetId="5" name="PRINT2">#REF!</definedName>
    <definedName localSheetId="3" name="_4.4">#REF!</definedName>
    <definedName localSheetId="5" name="spec_switch">#REF!</definedName>
    <definedName name="ALL">#REF!</definedName>
    <definedName localSheetId="4" name="overall_perct">#REF!</definedName>
    <definedName localSheetId="23" name="WSEBITJN">#REF!</definedName>
    <definedName localSheetId="5" name="BS_intangibles">#REF!</definedName>
    <definedName name="_Pg62">#REF!</definedName>
    <definedName localSheetId="3" name="c_dateswitch">#REF!</definedName>
    <definedName localSheetId="23" name="WSEBITSE">#REF!</definedName>
    <definedName localSheetId="3" name="USD_B_S">#REF!</definedName>
    <definedName localSheetId="3" name="Heads">#REF!</definedName>
    <definedName localSheetId="3" name="E">#REF!</definedName>
    <definedName localSheetId="3" name="BS_commonequity">#REF!</definedName>
    <definedName localSheetId="23" name="Year6">#REF!</definedName>
    <definedName localSheetId="2" name="_282_4.3">#REF!</definedName>
    <definedName localSheetId="2" name="StockUWFee">#REF!</definedName>
    <definedName localSheetId="3" name="_NRQ3">#REF!</definedName>
    <definedName localSheetId="23" name="Month10">#REF!</definedName>
    <definedName localSheetId="5" name="RepTable">#REF!</definedName>
    <definedName localSheetId="3" name="_Pg70">#REF!</definedName>
    <definedName localSheetId="3" name="Quarter">#REF!</definedName>
    <definedName name="hallo_">#REF!</definedName>
    <definedName localSheetId="5" name="SIDParentEntities">#REF!</definedName>
    <definedName localSheetId="23" name="EVERYTHI">#REF!</definedName>
    <definedName localSheetId="4" name="NRTCRev">#REF!</definedName>
    <definedName localSheetId="7" name="wrn.first3.">#REF!</definedName>
    <definedName localSheetId="4" name="SalesMEi">#REF!</definedName>
    <definedName localSheetId="2" name="PPGPTP2004">#REF!</definedName>
    <definedName localSheetId="5" name="FIGM96">#REF!</definedName>
    <definedName localSheetId="4" name="BUSumNames">#REF!</definedName>
    <definedName localSheetId="3" name="subscriber">#REF!</definedName>
    <definedName localSheetId="23" name="BS_Deferred_Taxes">#REF!</definedName>
    <definedName localSheetId="3" name="IS_convprefdiv">#REF!</definedName>
    <definedName localSheetId="2" name="p_LBO_CF">#REF!</definedName>
    <definedName localSheetId="5" name="ky">#REF!</definedName>
    <definedName localSheetId="2" name="Assemblyph">#REF!</definedName>
    <definedName localSheetId="3" name="CreatedFor">#REF!</definedName>
    <definedName localSheetId="2" name="page2">#REF!</definedName>
    <definedName localSheetId="5" name="LWBSUM">#REF!</definedName>
    <definedName localSheetId="23" name="houy">#REF!</definedName>
    <definedName localSheetId="2" name="M_C_Summary">#REF!</definedName>
    <definedName localSheetId="2" name="_337ÿ_0bot">#REF!</definedName>
    <definedName localSheetId="4" name="_Pg74">#REF!</definedName>
    <definedName name="TOOL93">#REF!</definedName>
    <definedName localSheetId="23" name="AsiaAct">#REF!</definedName>
    <definedName localSheetId="23" name="IQRTradingCompsE32">#REF!</definedName>
    <definedName name="p_LBO_returncalc">#REF!</definedName>
    <definedName localSheetId="5" name="c_SSBswitch">#REF!</definedName>
    <definedName name="PPGPTP2003">#REF!</definedName>
    <definedName name="FIGMB4">#REF!</definedName>
    <definedName localSheetId="3" name="CF_Minority_NI">#REF!</definedName>
    <definedName localSheetId="23" name="PPHANDAE">#REF!</definedName>
    <definedName localSheetId="5" name="ChangeInDeferredCompensation">#REF!</definedName>
    <definedName localSheetId="23" name="xyz">#REF!</definedName>
    <definedName localSheetId="3" name="BurnhamDesp">#REF!</definedName>
    <definedName localSheetId="3" name="perp_lev">#REF!</definedName>
    <definedName localSheetId="2" name="shos">#REF!</definedName>
    <definedName name="p_highyield_FA">#REF!</definedName>
    <definedName localSheetId="4" name="PRIOR_YR_QTR">#REF!</definedName>
    <definedName localSheetId="5" name="GPFINTTL">#REF!</definedName>
    <definedName name="_Pg27">#REF!</definedName>
    <definedName localSheetId="23" name="BS_Other_CA">#REF!</definedName>
    <definedName localSheetId="2" name="PPGPTP2003">#REF!</definedName>
    <definedName name="EBITAFAP">#REF!</definedName>
    <definedName localSheetId="2" name="_fcf5">#REF!</definedName>
    <definedName localSheetId="3" name="_Pg82">#REF!</definedName>
    <definedName localSheetId="5" name="_4.4">#REF!</definedName>
    <definedName localSheetId="4" name="_234Graph_B">#REF!</definedName>
    <definedName localSheetId="7" name="wrn.Hydraulic.">#REF!</definedName>
    <definedName localSheetId="4" name="FEBFORE">#REF!</definedName>
    <definedName localSheetId="2" name="KeepE">#REF!</definedName>
    <definedName localSheetId="2" name="BS_Equity">#REF!</definedName>
    <definedName localSheetId="23" name="Programming">#REF!</definedName>
    <definedName localSheetId="23" name="Terminal">#REF!</definedName>
    <definedName localSheetId="2" name="OPOPCOQ2">#REF!</definedName>
    <definedName name="_4_99_3G">#REF!</definedName>
    <definedName localSheetId="2" name="FIGM943">#REF!</definedName>
    <definedName localSheetId="2" name="erg">#REF!</definedName>
    <definedName localSheetId="23" name="EquityValueMinusFirmValue">#REF!</definedName>
    <definedName name="SalesAdmin">#REF!</definedName>
    <definedName localSheetId="23" name="_Pg39">#REF!</definedName>
    <definedName localSheetId="23" name="_2QTRFIN">#REF!</definedName>
    <definedName localSheetId="5" name="perp_lev5">#REF!</definedName>
    <definedName localSheetId="23" name="TL2QTR">#REF!</definedName>
    <definedName localSheetId="5" name="IQRTradingCompsD32">#REF!</definedName>
    <definedName localSheetId="23" name="jun">#REF!</definedName>
    <definedName localSheetId="3" name="WDNTSLQ2">#REF!</definedName>
    <definedName localSheetId="3" name="Personnel">#REF!</definedName>
    <definedName localSheetId="4" name="QTR_END_SEL">#REF!</definedName>
    <definedName localSheetId="3" name="CF_Convertible_Debt">#REF!</definedName>
    <definedName localSheetId="4" name="Databaserevenue">#REF!</definedName>
    <definedName localSheetId="5" name="ImpliedFX">#REF!</definedName>
    <definedName localSheetId="5" name="WDOPCOQ4">#REF!</definedName>
    <definedName localSheetId="4" name="_Pg34">#REF!</definedName>
    <definedName localSheetId="2" name="convdebtshares">#REF!</definedName>
    <definedName localSheetId="4" name="LC_Pand_L">#REF!</definedName>
    <definedName name="FIGM941">#REF!</definedName>
    <definedName localSheetId="3" name="IS_COGS">#REF!</definedName>
    <definedName localSheetId="4" name="_4.6">#REF!</definedName>
    <definedName localSheetId="3" name="ExitYear">#REF!</definedName>
    <definedName localSheetId="5" name="TOP10OCT">#REF!</definedName>
    <definedName name="chk">#REF!</definedName>
    <definedName localSheetId="5" name="FINQ4">#REF!</definedName>
    <definedName name="price">#REF!</definedName>
    <definedName localSheetId="2" name="_Pg40">#REF!</definedName>
    <definedName localSheetId="5" name="_Pg69">#REF!</definedName>
    <definedName localSheetId="3" name="_Pg46">#REF!</definedName>
    <definedName localSheetId="2" name="optim">#REF!</definedName>
    <definedName localSheetId="23" name="EBITAFAP">#REF!</definedName>
    <definedName localSheetId="23" name="wrn.HEAT.">#REF!</definedName>
    <definedName localSheetId="23" name="wrn.ISCG._.model.">#REF!</definedName>
    <definedName name="p_EVA">#REF!</definedName>
    <definedName localSheetId="4" name="_300_4.5">#REF!</definedName>
    <definedName localSheetId="2" name="_Pg48">#REF!</definedName>
    <definedName localSheetId="3" name="PPPREP2003">#REF!</definedName>
    <definedName localSheetId="5" name="salesandmktg">#REF!</definedName>
    <definedName localSheetId="5" name="WDGRPRQ4">#REF!</definedName>
    <definedName localSheetId="2" name="_Pg72">#REF!</definedName>
    <definedName localSheetId="2" name="ITph">#REF!</definedName>
    <definedName name="BS_Other_LTAssets">#REF!</definedName>
    <definedName localSheetId="4" name="Assembly">#REF!</definedName>
    <definedName localSheetId="5" name="Actual">#REF!</definedName>
    <definedName localSheetId="5" name="_234Graph_B">#REF!</definedName>
    <definedName localSheetId="2" name="__GPQ1">#REF!</definedName>
    <definedName localSheetId="4" name="ProdMgt">#REF!</definedName>
    <definedName localSheetId="5" name="ValuationYear">#REF!</definedName>
    <definedName localSheetId="2" name="BS_otherCA">#REF!</definedName>
    <definedName name="EVERYTHI">#REF!</definedName>
    <definedName name="ARPU6">#REF!</definedName>
    <definedName name="_Pg52">#REF!</definedName>
    <definedName localSheetId="3" name="CommonCurrency">#REF!</definedName>
    <definedName name="GPPTTLQ2">#REF!</definedName>
    <definedName localSheetId="3" name="CompTaxRate">#REF!</definedName>
    <definedName localSheetId="23" name="SCENARIOS">#REF!</definedName>
    <definedName localSheetId="7" name="wrn.Pump.">#REF!</definedName>
    <definedName name="PL_FDEPS">#REF!</definedName>
    <definedName localSheetId="4" name="CPGPTP2003">#REF!</definedName>
    <definedName name="opcase">#REF!</definedName>
    <definedName localSheetId="4" name="data">#REF!</definedName>
    <definedName localSheetId="2" name="FIGMB1">#REF!</definedName>
    <definedName localSheetId="4" name="Quarterly_Sum">#REF!</definedName>
    <definedName name="_337ÿ_0bot">#REF!</definedName>
    <definedName name="CPTRAN2003">#REF!</definedName>
    <definedName localSheetId="2" name="_318_4.7">#REF!</definedName>
    <definedName localSheetId="23" name="Engineering">#REF!</definedName>
    <definedName localSheetId="23" name="netcostfcst">#REF!</definedName>
    <definedName localSheetId="4" name="capital">#REF!</definedName>
    <definedName localSheetId="3" name="FYE1NetRevenues">#REF!</definedName>
    <definedName name="churn">#REF!</definedName>
    <definedName localSheetId="23" name="INSTRUMENTS">#REF!</definedName>
    <definedName localSheetId="23" name="Year5">#REF!</definedName>
    <definedName localSheetId="23" name="Seq_Walk">#REF!</definedName>
    <definedName localSheetId="3" name="BS_intangibles">#REF!</definedName>
    <definedName localSheetId="2" name="WSEBITNO">#REF!</definedName>
    <definedName localSheetId="5" name="BEGRSLQ4">#REF!</definedName>
    <definedName localSheetId="23" name="Dec">#REF!</definedName>
    <definedName localSheetId="2" name="CF_othernonoper">#REF!</definedName>
    <definedName localSheetId="5" name="_Pg41">#REF!</definedName>
    <definedName localSheetId="4" name="grossQ">#REF!</definedName>
    <definedName name="fulldept">#REF!</definedName>
    <definedName localSheetId="2" name="FIGMBD">#REF!</definedName>
    <definedName localSheetId="4" name="CF_capex">#REF!</definedName>
    <definedName name="SIDICEntities">#REF!</definedName>
    <definedName localSheetId="2" name="MatMgt">#REF!</definedName>
    <definedName localSheetId="4" name="PL_Equity_Earnings">#REF!</definedName>
    <definedName localSheetId="23" name="_Pg66">#REF!</definedName>
    <definedName localSheetId="5" name="_338ÿ_0bot">#REF!</definedName>
    <definedName localSheetId="4" name="NRTTL">#REF!</definedName>
    <definedName name="Expcode">#REF!</definedName>
    <definedName localSheetId="23" name="LoanAmount">#REF!</definedName>
    <definedName localSheetId="4" name="NewHYYear">#REF!</definedName>
    <definedName localSheetId="3" name="ChangeInCommonEquity">#REF!</definedName>
    <definedName localSheetId="7" name="wrn.VALUATION.">#REF!</definedName>
    <definedName localSheetId="3" name="WSEBITDE">#REF!</definedName>
    <definedName localSheetId="3" name="FEBFORE">#REF!</definedName>
    <definedName localSheetId="2" name="Expcode">#REF!</definedName>
    <definedName localSheetId="4" name="TL3QTR">#REF!</definedName>
    <definedName localSheetId="23" name="BEGSSLQ1">#REF!</definedName>
    <definedName localSheetId="5" name="IS_othernonopexp">#REF!</definedName>
    <definedName localSheetId="7" name="wrn.TOOL.">#REF!</definedName>
    <definedName localSheetId="3" name="OR_ViewProvider_ReportingViews_ExportStorage_OUT_Orders_RND">#REF!</definedName>
    <definedName localSheetId="3" name="_Pg41">#REF!</definedName>
    <definedName localSheetId="5" name="MatMgt">#REF!</definedName>
    <definedName localSheetId="3" name="YECY">#REF!</definedName>
    <definedName localSheetId="2" name="__NRQ4">#REF!</definedName>
    <definedName localSheetId="3" name="CF_straightdebt">#REF!</definedName>
    <definedName localSheetId="23" name="wrn.A_VALUATION.">#REF!</definedName>
    <definedName name="OPOPCOQ4">#REF!</definedName>
    <definedName localSheetId="2" name="GPFINQ1">#REF!</definedName>
    <definedName localSheetId="23" name="EBITAFJN">#REF!</definedName>
    <definedName localSheetId="5" name="KeepF">#REF!</definedName>
    <definedName localSheetId="23" name="Indust_graphs">#REF!</definedName>
    <definedName localSheetId="3" name="TEXT">#REF!</definedName>
    <definedName localSheetId="2" name="BS_intangibles">#REF!</definedName>
    <definedName name="proj">#REF!</definedName>
    <definedName name="wrn.ALLbutPREMIUM.">#REF!</definedName>
    <definedName localSheetId="23" name="Graph2">#REF!</definedName>
    <definedName name="OPOTEXQ1">#REF!</definedName>
    <definedName localSheetId="7" name="xyz">#REF!</definedName>
    <definedName localSheetId="2" name="netcostplan">#REF!</definedName>
    <definedName localSheetId="2" name="CF_otheroper">#REF!</definedName>
    <definedName localSheetId="23" name="WDNTSLQ4">#REF!</definedName>
    <definedName localSheetId="23" name="matlplan">#REF!</definedName>
    <definedName name="Matmgtph">#REF!</definedName>
    <definedName localSheetId="2" name="Drucktitel_MI">#REF!</definedName>
    <definedName name="CF_Other_CA">#REF!</definedName>
    <definedName name="fcf_lev_terminal4">#REF!</definedName>
    <definedName localSheetId="4" name="US_Ger">#REF!</definedName>
    <definedName localSheetId="3" name="BS_Straight_Preferred">#REF!</definedName>
    <definedName localSheetId="2" name="GP">#REF!</definedName>
    <definedName localSheetId="5" name="Calibrationph">#REF!</definedName>
    <definedName localSheetId="23" name="p_LBO_Debt">#REF!</definedName>
    <definedName localSheetId="5" name="NewTaxGW">#REF!</definedName>
    <definedName localSheetId="2" name="NotesNewIssue">#REF!</definedName>
    <definedName name="FINOIQ4">#REF!</definedName>
    <definedName localSheetId="5" name="_NOV01">#REF!</definedName>
    <definedName localSheetId="3" name="_Pg73">#REF!</definedName>
    <definedName localSheetId="3" name="Bldg2300">#REF!</definedName>
    <definedName name="KeepA">#REF!</definedName>
    <definedName localSheetId="5" name="_4QTRFIN">#REF!</definedName>
    <definedName localSheetId="23" name="OPNTSLQ3">#REF!</definedName>
    <definedName name="p_LBO_Amort">#REF!</definedName>
    <definedName localSheetId="4" name="Indust_detail">#REF!</definedName>
    <definedName localSheetId="4" name="_246_4.10">#REF!</definedName>
    <definedName localSheetId="23" name="NewCo2ON">#REF!</definedName>
    <definedName localSheetId="4" name="IS_intexisting">#REF!</definedName>
    <definedName localSheetId="23" name="ValuationYear">#REF!</definedName>
    <definedName localSheetId="3" name="WSEBITOC">#REF!</definedName>
    <definedName localSheetId="2" name="Goodwill">#REF!</definedName>
    <definedName localSheetId="23" name="CF_gwamort">#REF!</definedName>
    <definedName localSheetId="2" name="options">#REF!</definedName>
    <definedName localSheetId="23" name="perp_lev4">#REF!</definedName>
    <definedName localSheetId="2" name="Indust_detail">#REF!</definedName>
    <definedName localSheetId="2" name="EBITAFOC">#REF!</definedName>
    <definedName localSheetId="3" name="BurnhamDespph">#REF!</definedName>
    <definedName localSheetId="2" name="STR">#REF!</definedName>
    <definedName localSheetId="4" name="EINGABE">#REF!</definedName>
    <definedName localSheetId="5" name="cap">#REF!</definedName>
    <definedName localSheetId="5" name="WSEBITOC">#REF!</definedName>
    <definedName localSheetId="2" name="SumA">#REF!</definedName>
    <definedName localSheetId="4" name="FIGM952">#REF!</definedName>
    <definedName localSheetId="4" name="BS_otherLTA">#REF!</definedName>
    <definedName name="fcf_unlev">#REF!</definedName>
    <definedName localSheetId="23" name="FINQ1">#REF!</definedName>
    <definedName localSheetId="3" name="OPNTSLQ2">#REF!</definedName>
    <definedName localSheetId="5" name="SumA">#REF!</definedName>
    <definedName localSheetId="3" name="WDGRPRQ3">#REF!</definedName>
    <definedName localSheetId="4" name="CF_Other_CL">#REF!</definedName>
    <definedName localSheetId="4" name="Years">#REF!</definedName>
    <definedName localSheetId="7" name="wrn.first2.">#REF!</definedName>
    <definedName localSheetId="23" name="Indust_detail">#REF!</definedName>
    <definedName localSheetId="2" name="WACC">#REF!</definedName>
    <definedName name="A_b">#REF!</definedName>
    <definedName localSheetId="5" name="page2">#REF!</definedName>
    <definedName localSheetId="5" name="Recruitdata">#REF!</definedName>
    <definedName name="fiscal_year">#REF!</definedName>
    <definedName localSheetId="4" name="_GPQ4">#REF!</definedName>
    <definedName localSheetId="5" name="Sub_Name3">#REF!</definedName>
    <definedName localSheetId="5" name="Year10">#REF!</definedName>
    <definedName localSheetId="3" name="hallo_">#REF!</definedName>
    <definedName localSheetId="3" name="JulLaunchMonth1">#REF!</definedName>
    <definedName localSheetId="4" name="wtdavgshares">#REF!</definedName>
    <definedName localSheetId="23" name="Recruitdata">#REF!</definedName>
    <definedName localSheetId="3" name="_3QTR">#REF!</definedName>
    <definedName localSheetId="4" name="GPSPGTTL">#REF!</definedName>
    <definedName localSheetId="23" name="Publicity">#REF!</definedName>
    <definedName localSheetId="3" name="_Pg76">#REF!</definedName>
    <definedName localSheetId="2" name="WriteUp_otherLTA">#REF!</definedName>
    <definedName localSheetId="2" name="KeepC">#REF!</definedName>
    <definedName localSheetId="23" name="NotesNewIssue">#REF!</definedName>
    <definedName localSheetId="2" name="tar">#REF!</definedName>
    <definedName localSheetId="23" name="MOLD91">#REF!</definedName>
    <definedName localSheetId="3" name="Year6">#REF!</definedName>
    <definedName localSheetId="5" name="YX">#REF!</definedName>
    <definedName localSheetId="23" name="BurnhamSalesph">#REF!</definedName>
    <definedName localSheetId="3" name="ICS">#REF!</definedName>
    <definedName localSheetId="2" name="Terminal">#REF!</definedName>
    <definedName localSheetId="3" name="Year7">#REF!</definedName>
    <definedName name="__NRQ3">#REF!</definedName>
    <definedName name="CF_commondiv">#REF!</definedName>
    <definedName localSheetId="4" name="Software_amort">#REF!</definedName>
    <definedName localSheetId="23" name="Amortization">#REF!</definedName>
    <definedName localSheetId="5" name="YECY">#REF!</definedName>
    <definedName localSheetId="4" name="TL4QTR">#REF!</definedName>
    <definedName name="BurnhamSales">#REF!</definedName>
    <definedName localSheetId="5" name="SalesMEiph">#REF!</definedName>
    <definedName localSheetId="23" name="PrecHighFV">#REF!</definedName>
    <definedName localSheetId="5" name="TOP10SEP02">#REF!</definedName>
    <definedName name="DilutedShares">#REF!</definedName>
    <definedName name="FYE1NetRevenues">#REF!</definedName>
    <definedName localSheetId="23" name="staff">#REF!</definedName>
    <definedName localSheetId="4" name="FIUNABQ1">#REF!</definedName>
    <definedName name="Year9">#REF!</definedName>
    <definedName localSheetId="3" name="CashInterestRate">#REF!</definedName>
    <definedName name="p_highyield_CFS">#REF!</definedName>
    <definedName localSheetId="4" name="_237_4.1">#REF!</definedName>
    <definedName localSheetId="3" name="perp_unlev_sen">#REF!</definedName>
    <definedName localSheetId="5" name="susan">#REF!</definedName>
    <definedName localSheetId="23" name="Discret_PrQtr">#REF!</definedName>
    <definedName name="Salesph">#REF!</definedName>
    <definedName localSheetId="2" name="FINQ2">#REF!</definedName>
    <definedName localSheetId="5" name="CustEng">#REF!</definedName>
    <definedName localSheetId="2" name="ConversionFactor">#REF!</definedName>
    <definedName localSheetId="3" name="Serviceint">#REF!</definedName>
    <definedName localSheetId="3" name="BUNames">#REF!</definedName>
    <definedName name="wrn.Total.">#REF!</definedName>
    <definedName localSheetId="4" name="Tbudget">#REF!</definedName>
    <definedName localSheetId="23" name="__YE3">#REF!</definedName>
    <definedName name="__YE3">#REF!</definedName>
    <definedName localSheetId="3" name="QTR_END_SEL">#REF!</definedName>
    <definedName localSheetId="4" name="NOTES">#REF!</definedName>
    <definedName name="wrn.All_Models.">#REF!</definedName>
    <definedName localSheetId="2" name="BurnhamEngph">#REF!</definedName>
    <definedName localSheetId="4" name="actsummy">#REF!</definedName>
    <definedName localSheetId="4" name="Year4">#REF!</definedName>
    <definedName localSheetId="23" name="Rollfwd_USD_LC">#REF!</definedName>
    <definedName localSheetId="4" name="EquityInvestmentOverwrite">#REF!</definedName>
    <definedName localSheetId="4" name="PPHANDAE">#REF!</definedName>
    <definedName localSheetId="5" name="BS_USD">#REF!</definedName>
    <definedName localSheetId="5" name="FIGM954">#REF!</definedName>
    <definedName localSheetId="2" name="fcf_lev_terminal2">#REF!</definedName>
    <definedName localSheetId="2" name="_GPQ4">#REF!</definedName>
    <definedName localSheetId="4" name="p_CFS">#REF!</definedName>
    <definedName localSheetId="4" name="_4.11">#REF!</definedName>
    <definedName localSheetId="5" name="ni_mult1">#REF!</definedName>
    <definedName localSheetId="5" name="__GPQ4">#REF!</definedName>
    <definedName name="progCOS">#REF!</definedName>
    <definedName localSheetId="4" name="CF_Convertible_Debt">#REF!</definedName>
    <definedName localSheetId="23" name="NetDebt">#REF!</definedName>
    <definedName localSheetId="5" name="_227_0_0Datab">#REF!</definedName>
    <definedName name="CPHANDAE">#REF!</definedName>
    <definedName localSheetId="23" name="SMAN">#REF!</definedName>
    <definedName name="__GPQ3">#REF!</definedName>
    <definedName localSheetId="3" name="Indust_graphs">#REF!</definedName>
    <definedName name="PPDIAG2004">#REF!</definedName>
    <definedName localSheetId="4" name="TEXT">#REF!</definedName>
    <definedName localSheetId="23" name="_1_0CLOSE_OR">#REF!</definedName>
    <definedName name="payments">#REF!</definedName>
    <definedName name="actsumm">#REF!</definedName>
    <definedName name="Abudget">#REF!</definedName>
    <definedName localSheetId="4" name="IT">#REF!</definedName>
    <definedName localSheetId="23" name="Goodwill">#REF!</definedName>
    <definedName name="Heads">#REF!</definedName>
    <definedName localSheetId="23" name="EQUITY">#REF!</definedName>
    <definedName localSheetId="23" name="PPHAND2003">#REF!</definedName>
    <definedName localSheetId="23" name="p_DCF5">#REF!</definedName>
    <definedName localSheetId="5" name="c_proj_switch">#REF!</definedName>
    <definedName localSheetId="4" name="manufacturing">#REF!</definedName>
    <definedName localSheetId="21" name="CreatedFor">'philips deals'!$F$5</definedName>
    <definedName localSheetId="3" name="BS_otherCL">#REF!</definedName>
    <definedName localSheetId="2" name="C_b">#REF!</definedName>
    <definedName name="Month6">#REF!</definedName>
    <definedName localSheetId="23" name="_YE4">#REF!</definedName>
    <definedName localSheetId="23" name="LME">#REF!</definedName>
    <definedName localSheetId="5" name="_225_0.2">#REF!</definedName>
    <definedName localSheetId="3" name="debt_fv">#REF!</definedName>
    <definedName localSheetId="2" name="Print1Stop">#REF!</definedName>
    <definedName localSheetId="2" name="_Pg77">#REF!</definedName>
    <definedName localSheetId="2" name="WDCOGSQ1">#REF!</definedName>
    <definedName name="WriteUp_otherCL">#REF!</definedName>
    <definedName localSheetId="5" name="TotalPurchasePrice">#REF!</definedName>
    <definedName name="MOLDED">#REF!</definedName>
    <definedName localSheetId="5" name="BS_Straight_Preferred">#REF!</definedName>
    <definedName localSheetId="2" name="Personnelph">#REF!</definedName>
    <definedName name="wrn.Filter.">#REF!</definedName>
    <definedName localSheetId="3" name="_Pg65">#REF!</definedName>
    <definedName localSheetId="4" name="GPPSGQ1">#REF!</definedName>
    <definedName localSheetId="4" name="PL_FDEPS">#REF!</definedName>
    <definedName localSheetId="2" name="WSEBITJA">#REF!</definedName>
    <definedName localSheetId="4" name="Test">#REF!</definedName>
    <definedName name="AbilityToPayCalc">#REF!</definedName>
    <definedName localSheetId="2" name="op">#REF!</definedName>
    <definedName localSheetId="4" name="DNEXStock">#REF!</definedName>
    <definedName localSheetId="23" name="CF_Dividends">#REF!</definedName>
    <definedName localSheetId="23" name="SPGOODS">#REF!</definedName>
    <definedName name="fcf_unlev_terminal2">#REF!</definedName>
    <definedName localSheetId="3" name="Transducersph">#REF!</definedName>
    <definedName localSheetId="4" name="_Pg27">#REF!</definedName>
    <definedName localSheetId="4" name="Ben_Ger">#REF!</definedName>
    <definedName localSheetId="4" name="product">#REF!</definedName>
    <definedName name="TotalPurchasePrice">#REF!</definedName>
    <definedName localSheetId="5" name="_Pg56">#REF!</definedName>
    <definedName localSheetId="4" name="MOLDED">#REF!</definedName>
    <definedName name="June">#REF!</definedName>
    <definedName localSheetId="23" name="writeupdeprec">#REF!</definedName>
    <definedName name="CF_Convertible_Preferred">#REF!</definedName>
    <definedName localSheetId="5" name="NRTCRev">#REF!</definedName>
    <definedName localSheetId="3" name="BS_convertpref">#REF!</definedName>
    <definedName localSheetId="4" name="June">#REF!</definedName>
    <definedName name="_Pg74">#REF!</definedName>
    <definedName localSheetId="4" name="mthend1">#REF!</definedName>
    <definedName localSheetId="4" name="PPGPPREP2003">#REF!</definedName>
    <definedName name="USD_B_S">#REF!</definedName>
    <definedName localSheetId="23" name="QA">#REF!</definedName>
    <definedName localSheetId="23" name="PIDENTITIES">#REF!</definedName>
    <definedName localSheetId="3" name="_4.10">#REF!</definedName>
    <definedName localSheetId="2" name="MOLD91">#REF!</definedName>
    <definedName localSheetId="7" name="aaaaa">#REF!</definedName>
    <definedName localSheetId="3" name="DateHeader">#REF!</definedName>
    <definedName localSheetId="23" name="_1QTR">#REF!</definedName>
    <definedName localSheetId="23" name="Print1Start">#REF!</definedName>
    <definedName localSheetId="7" name="Bear">#REF!</definedName>
    <definedName localSheetId="23" name="OPOPCOQ4">#REF!</definedName>
    <definedName localSheetId="3" name="fcf_lev_terminal4">#REF!</definedName>
    <definedName name="SEK">#REF!</definedName>
    <definedName localSheetId="23" name="PL_Rent">#REF!</definedName>
    <definedName localSheetId="4" name="PL_Amortization">#REF!</definedName>
    <definedName localSheetId="23" name="_APR02">#REF!</definedName>
    <definedName localSheetId="3" name="CPGPPREP2003">#REF!</definedName>
    <definedName localSheetId="4" name="term_value">#REF!</definedName>
    <definedName name="date_close">#REF!</definedName>
    <definedName localSheetId="6" name="aa">#REF!</definedName>
    <definedName localSheetId="23" name="ServiceExtph">#REF!</definedName>
    <definedName localSheetId="23" name="Exchangemax">#REF!</definedName>
    <definedName localSheetId="4" name="avgQ">#REF!</definedName>
    <definedName localSheetId="23" name="Minimum_Cash">#REF!</definedName>
    <definedName localSheetId="3" name="Highlights">#REF!</definedName>
    <definedName localSheetId="5" name="p_Options">#REF!</definedName>
    <definedName localSheetId="5" name="CF_Straight_Debt">#REF!</definedName>
    <definedName name="EuropePY">#REF!</definedName>
    <definedName localSheetId="2" name="overall_perct">#REF!</definedName>
    <definedName localSheetId="2" name="CF_capex">#REF!</definedName>
    <definedName name="Productstructure">#REF!</definedName>
    <definedName localSheetId="2" name="INSTRUMENTS">#REF!</definedName>
    <definedName localSheetId="5" name="STR">#REF!</definedName>
    <definedName localSheetId="23" name="_rsr2">#REF!</definedName>
    <definedName localSheetId="5" name="FX_BRL">#REF!</definedName>
    <definedName localSheetId="5" name="CF_Convertible_Preferred">#REF!</definedName>
    <definedName localSheetId="3" name="PPGPTP2004">#REF!</definedName>
    <definedName localSheetId="5" name="Mar">#REF!</definedName>
    <definedName localSheetId="3" name="matlfcst">#REF!</definedName>
    <definedName name="actualdtl">#REF!</definedName>
    <definedName localSheetId="4" name="modemref">#REF!</definedName>
    <definedName localSheetId="3" name="_Pg27">#REF!</definedName>
    <definedName localSheetId="3" name="perp_lev3">#REF!</definedName>
    <definedName localSheetId="2" name="actuals">#REF!</definedName>
    <definedName localSheetId="2" name="IS_intexisting">#REF!</definedName>
    <definedName name="AmortizationOfDeferredFinancingCosts">#REF!</definedName>
    <definedName localSheetId="5" name="NewProductSales">#REF!</definedName>
    <definedName localSheetId="23" name="Control">#REF!</definedName>
    <definedName localSheetId="2" name="grossQ">#REF!</definedName>
    <definedName localSheetId="2" name="eu">#REF!</definedName>
    <definedName name="p_highyield_to">#REF!</definedName>
    <definedName localSheetId="4" name="FIGM94">#REF!</definedName>
    <definedName name="wrn.AllModels.">#REF!</definedName>
    <definedName name="ManagementEBIT">#REF!</definedName>
    <definedName localSheetId="3" name="mincash">#REF!</definedName>
    <definedName localSheetId="5" name="CF_Depreciation">#REF!</definedName>
    <definedName name="p_LBO_SO">#REF!</definedName>
    <definedName name="Period">#REF!</definedName>
    <definedName localSheetId="23" name="_5_99_3S">#REF!</definedName>
    <definedName localSheetId="4" name="ICS">#REF!</definedName>
    <definedName name="jun">#REF!</definedName>
    <definedName localSheetId="3" name="_Pg55">#REF!</definedName>
    <definedName localSheetId="2" name="LBOIPOExit1">#REF!</definedName>
    <definedName localSheetId="23" name="CPGPTP2003">#REF!</definedName>
    <definedName localSheetId="4" name="ChangeInConvertiblePreferredStock">#REF!</definedName>
    <definedName localSheetId="2" name="perp_lev3">#REF!</definedName>
    <definedName localSheetId="4" name="FXREV_EUR">#REF!</definedName>
    <definedName name="ChangeInStraightPreferredStock">#REF!</definedName>
    <definedName localSheetId="2" name="Govt">#REF!</definedName>
    <definedName localSheetId="3" name="Consol">#REF!</definedName>
    <definedName localSheetId="5" name="_Pg80">#REF!</definedName>
    <definedName localSheetId="5" name="ReleveredBeta">#REF!</definedName>
    <definedName localSheetId="3" name="MENU">#REF!</definedName>
    <definedName localSheetId="5" name="IS_convprefdiv">#REF!</definedName>
    <definedName localSheetId="3" name="TOTALIT">#REF!</definedName>
    <definedName name="cbo">#REF!</definedName>
    <definedName name="TOP10MAR">#REF!</definedName>
    <definedName localSheetId="3" name="price">#REF!</definedName>
    <definedName localSheetId="3" name="_Pg28">#REF!</definedName>
    <definedName localSheetId="2" name="ExRate">#REF!</definedName>
    <definedName localSheetId="5" name="NBSCStock">#REF!</definedName>
    <definedName localSheetId="3" name="EBITDA_mult4">#REF!</definedName>
    <definedName localSheetId="4" name="WACC">#REF!</definedName>
    <definedName localSheetId="5" name="__NRQ2">#REF!</definedName>
    <definedName localSheetId="3" name="WriteUp_receivables">#REF!</definedName>
    <definedName localSheetId="3" name="OR_ViewProvider_ReportingViews_ExportStorage_OUT_CoG_RND">#REF!</definedName>
    <definedName localSheetId="2" name="FXREV_BRL">#REF!</definedName>
    <definedName localSheetId="3" name="CF_Convertible_Preferred">#REF!</definedName>
    <definedName name="egr">#REF!</definedName>
    <definedName localSheetId="5" name="is">#REF!</definedName>
    <definedName localSheetId="23" name="_Pg28">#REF!</definedName>
    <definedName localSheetId="23" name="manufacturing">#REF!</definedName>
    <definedName localSheetId="2" name="LoanInterest">#REF!</definedName>
    <definedName localSheetId="3" name="EBITTABL">#REF!</definedName>
    <definedName localSheetId="4" name="_228_0__Datab">#REF!</definedName>
    <definedName name="xyz">#REF!</definedName>
    <definedName name="Targetname">#REF!</definedName>
    <definedName localSheetId="4" name="fcf_unlev_terminal4">#REF!</definedName>
    <definedName localSheetId="4" name="asdfghjkl">#REF!</definedName>
    <definedName name="perp_unlev">#REF!</definedName>
    <definedName localSheetId="4" name="p_LBO_CF">#REF!</definedName>
    <definedName localSheetId="4" name="PL_Convertible_PDividend">#REF!</definedName>
    <definedName name="FXREV_BRL">#REF!</definedName>
    <definedName name="FINQ4">#REF!</definedName>
    <definedName localSheetId="4" name="lev_fcf_rate">#REF!</definedName>
    <definedName localSheetId="2" name="OPGRPRQ3">#REF!</definedName>
    <definedName localSheetId="5" name="_Pg55">#REF!</definedName>
    <definedName localSheetId="3" name="Directorsph">#REF!</definedName>
    <definedName localSheetId="5" name="ARPU3">#REF!</definedName>
    <definedName localSheetId="2" name="F_b">#REF!</definedName>
    <definedName name="BS_PPE">#REF!</definedName>
    <definedName name="WDGRPRQ4">#REF!</definedName>
    <definedName localSheetId="23" name="OPOTEXQ1">#REF!</definedName>
    <definedName localSheetId="23" name="ARPU2">#REF!</definedName>
    <definedName localSheetId="3" name="data">#REF!</definedName>
    <definedName localSheetId="4" name="dcf_year">#REF!</definedName>
    <definedName localSheetId="4" name="EBITAFDE">#REF!</definedName>
    <definedName localSheetId="7" name="_a1">#REF!</definedName>
    <definedName localSheetId="2" name="spread">#REF!</definedName>
    <definedName localSheetId="4" name="NET_DEBT">#REF!</definedName>
    <definedName localSheetId="4" name="Forecast">#REF!</definedName>
    <definedName localSheetId="4" name="p_LBO_returncalc">#REF!</definedName>
    <definedName localSheetId="23" name="IS_goodwill">#REF!</definedName>
    <definedName localSheetId="4" name="commondiv">#REF!</definedName>
    <definedName name="ICS">#REF!</definedName>
    <definedName localSheetId="3" name="TotalPurchasePrice">#REF!</definedName>
    <definedName localSheetId="23" name="ni_mult_sen">#REF!</definedName>
    <definedName localSheetId="23" name="OPOTEXQ4">#REF!</definedName>
    <definedName localSheetId="5" name="EuropePL">#REF!</definedName>
    <definedName localSheetId="4" name="Personnel">#REF!</definedName>
    <definedName localSheetId="3" name="CF_intangiblesamort">#REF!</definedName>
    <definedName localSheetId="4" name="IS_straightprefdiv">#REF!</definedName>
    <definedName localSheetId="3" name="ky">#REF!</definedName>
    <definedName name="GPSGQ1">#REF!</definedName>
    <definedName localSheetId="3" name="week1">#REF!</definedName>
    <definedName localSheetId="2" name="p_highyield_CFS">#REF!</definedName>
    <definedName localSheetId="5" name="_8GG2_">#REF!</definedName>
    <definedName localSheetId="5" name="Consol">#REF!</definedName>
    <definedName localSheetId="2" name="disc_years">#REF!</definedName>
    <definedName localSheetId="4" name="perp_unlev">#REF!</definedName>
    <definedName localSheetId="23" name="_Pg43">#REF!</definedName>
    <definedName localSheetId="23" name="BS_Other_LTAssets">#REF!</definedName>
    <definedName localSheetId="3" name="NewCo2ON">#REF!</definedName>
    <definedName localSheetId="5" name="Month1">#REF!</definedName>
    <definedName localSheetId="4" name="PrecLowFV">#REF!</definedName>
    <definedName localSheetId="3" name="_Pg72">#REF!</definedName>
    <definedName localSheetId="3" name="p_LBO_BS_Adj">#REF!</definedName>
    <definedName localSheetId="23" name="_Pg69">#REF!</definedName>
    <definedName localSheetId="4" name="PL_Straight_PDividend">#REF!</definedName>
    <definedName localSheetId="3" name="MOLDED">#REF!</definedName>
    <definedName localSheetId="3" name="__fcf10">#REF!</definedName>
    <definedName localSheetId="2" name="Copyright">#REF!</definedName>
    <definedName localSheetId="2" name="__GPQ4">#REF!</definedName>
    <definedName localSheetId="23" name="IQRTradingCompsD32">#REF!</definedName>
    <definedName localSheetId="23" name="_Pg41">#REF!</definedName>
    <definedName localSheetId="23" name="GPPTTLTL">#REF!</definedName>
    <definedName localSheetId="23" name="ExRate">#REF!</definedName>
    <definedName localSheetId="2" name="LBOIPOExit2">#REF!</definedName>
    <definedName localSheetId="5" name="DSEXTRACT">#REF!</definedName>
    <definedName localSheetId="23" name="NRSGTTL">#REF!</definedName>
    <definedName localSheetId="4" name="ProdMgtph">#REF!</definedName>
    <definedName localSheetId="4" name="PanlL_Act99_v_00Bud">#REF!</definedName>
    <definedName localSheetId="23" name="SP1QTR">#REF!</definedName>
    <definedName localSheetId="5" name="_Pg70">#REF!</definedName>
    <definedName localSheetId="5" name="PRINT1">#REF!</definedName>
    <definedName localSheetId="5" name="ni_mult3">#REF!</definedName>
    <definedName localSheetId="4" name="PL_99A_v_99F">#REF!</definedName>
    <definedName localSheetId="3" name="EVERYTHI">#REF!</definedName>
    <definedName localSheetId="23" name="TOOL91">#REF!</definedName>
    <definedName localSheetId="3" name="__IDP2">#REF!</definedName>
    <definedName localSheetId="3" name="FIGMB3">#REF!</definedName>
    <definedName name="BS_Investments">#REF!</definedName>
    <definedName localSheetId="4" name="RF_International">#REF!</definedName>
    <definedName localSheetId="5" name="_3AQTR">#REF!</definedName>
    <definedName localSheetId="5" name="PrecedentAnalysis">#REF!</definedName>
    <definedName localSheetId="5" name="codes">#REF!</definedName>
    <definedName name="FX_EUR">#REF!</definedName>
    <definedName localSheetId="3" name="business">#REF!</definedName>
    <definedName localSheetId="4" name="IS_minority">#REF!</definedName>
    <definedName localSheetId="4" name="LookUpRange">#REF!</definedName>
    <definedName localSheetId="4" name="__NRQ1">#REF!</definedName>
    <definedName localSheetId="5" name="_Pg37">#REF!</definedName>
    <definedName localSheetId="3" name="_Pg38">#REF!</definedName>
    <definedName localSheetId="2" name="CostsOfDebt">#REF!</definedName>
    <definedName localSheetId="23" name="ValuationMultiple">#REF!</definedName>
    <definedName name="p_DCF">#REF!</definedName>
    <definedName localSheetId="4" name="GPPTTLQ4">#REF!</definedName>
    <definedName name="FAB">#REF!</definedName>
    <definedName localSheetId="2" name="_4.7">#REF!</definedName>
    <definedName localSheetId="23" name="vwr">#REF!</definedName>
    <definedName localSheetId="2" name="Installed">#REF!</definedName>
    <definedName localSheetId="3" name="CurrentCashInterestRate">#REF!</definedName>
    <definedName localSheetId="2" name="MonthTable">#REF!</definedName>
    <definedName localSheetId="4" name="is">#REF!</definedName>
    <definedName localSheetId="23" name="wrn.All_Models.">#REF!</definedName>
    <definedName name="MonthTable">#REF!</definedName>
    <definedName localSheetId="23" name="prod">#REF!</definedName>
    <definedName localSheetId="5" name="perp_lev4">#REF!</definedName>
    <definedName name="OPOTEXQ3">#REF!</definedName>
    <definedName localSheetId="2" name="BS_payables">#REF!</definedName>
    <definedName localSheetId="4" name="susan">#REF!</definedName>
    <definedName localSheetId="2" name="WSEBITFE">#REF!</definedName>
    <definedName localSheetId="3" name="TOP10NOV">#REF!</definedName>
    <definedName localSheetId="2" name="PRINT2">#REF!</definedName>
    <definedName localSheetId="23" name="wrn.bullshit1.">#REF!</definedName>
    <definedName localSheetId="2" name="p_football">#REF!</definedName>
    <definedName localSheetId="3" name="Burnhamprodcon">#REF!</definedName>
    <definedName localSheetId="3" name="FX_HKD">#REF!</definedName>
    <definedName localSheetId="3" name="calculations">#REF!</definedName>
    <definedName localSheetId="5" name="IS_deprec">#REF!</definedName>
    <definedName localSheetId="23" name="CPGPPREP2004">#REF!</definedName>
    <definedName localSheetId="3" name="_337ÿ_0bot">#REF!</definedName>
    <definedName localSheetId="23" name="OtherCurrency">#REF!</definedName>
    <definedName name="PL_XO">#REF!</definedName>
    <definedName localSheetId="3" name="PPGPTP2003">#REF!</definedName>
    <definedName localSheetId="23" name="_Pg51">#REF!</definedName>
    <definedName localSheetId="4" name="Expcode">#REF!</definedName>
    <definedName localSheetId="5" name="InventoryReport">#REF!</definedName>
    <definedName localSheetId="23" name="IS_intangamort">#REF!</definedName>
    <definedName localSheetId="5" name="BurnhamAdminph">#REF!</definedName>
    <definedName localSheetId="4" name="_3TLQTR">#REF!</definedName>
    <definedName localSheetId="23" name="FIUNABQ2">#REF!</definedName>
    <definedName localSheetId="4" name="direct">#REF!</definedName>
    <definedName localSheetId="2" name="Int">#REF!</definedName>
    <definedName localSheetId="3" name="WDCOGSQ4">#REF!</definedName>
    <definedName localSheetId="3" name="_3_99_3D2">#REF!</definedName>
    <definedName name="CF_deferredtaxes">#REF!</definedName>
    <definedName localSheetId="23" name="NewCo1ON">#REF!</definedName>
    <definedName localSheetId="3" name="Fund_Deficit">#REF!</definedName>
    <definedName localSheetId="23" name="_Key1">#REF!</definedName>
    <definedName localSheetId="23" name="PL_Interest_Income">#REF!</definedName>
    <definedName localSheetId="3" name="EBITDA_mult2">#REF!</definedName>
    <definedName localSheetId="5" name="Emaxapp">#REF!</definedName>
    <definedName name="EBITDA_mult5">#REF!</definedName>
    <definedName localSheetId="2" name="BurnhamAdminph">#REF!</definedName>
    <definedName localSheetId="5" name="LBOSaleExit2">#REF!</definedName>
    <definedName localSheetId="3" name="NetDebt">#REF!</definedName>
    <definedName localSheetId="5" name="LoanDate">#REF!</definedName>
    <definedName localSheetId="4" name="FIGMB2">#REF!</definedName>
    <definedName localSheetId="4" name="CF_equity">#REF!</definedName>
    <definedName name="depreciation">#REF!</definedName>
    <definedName localSheetId="5" name="Productstructure">#REF!</definedName>
    <definedName name="__123Graph_A">#REF!</definedName>
    <definedName localSheetId="2" name="fcf_unlev_terminal4">#REF!</definedName>
    <definedName localSheetId="2" name="Systimax">#REF!</definedName>
    <definedName localSheetId="4" name="_Pg59">#REF!</definedName>
    <definedName localSheetId="4" name="FINQ1">#REF!</definedName>
    <definedName localSheetId="23" name="_4.7">#REF!</definedName>
    <definedName localSheetId="2" name="netcostfcst">#REF!</definedName>
    <definedName name="wrn.Accr_Dil.">#REF!</definedName>
    <definedName localSheetId="23" name="_337ÿ_0bot">#REF!</definedName>
    <definedName localSheetId="4" name="DeferredTaxes">#REF!</definedName>
    <definedName name="BIOStock">#REF!</definedName>
    <definedName localSheetId="5" name="OPOPCOQ3">#REF!</definedName>
    <definedName name="____b2">#REF!</definedName>
    <definedName localSheetId="4" name="perp_unlev_sen">#REF!</definedName>
    <definedName localSheetId="2" name="WDCOGSQ4">#REF!</definedName>
    <definedName localSheetId="4" name="costs">#REF!</definedName>
    <definedName localSheetId="4" name="PPTP2004">#REF!</definedName>
    <definedName localSheetId="23" name="_Pg68">#REF!</definedName>
    <definedName localSheetId="2" name="_Pg30">#REF!</definedName>
    <definedName name="PrecedentAnalysis">#REF!</definedName>
    <definedName localSheetId="3" name="ACROS">#REF!</definedName>
    <definedName localSheetId="4" name="BEGRSLQ4">#REF!</definedName>
    <definedName localSheetId="5" name="p_LBO_returncalcb">#REF!</definedName>
    <definedName localSheetId="5" name="_Sort">#REF!</definedName>
    <definedName localSheetId="4" name="Costsub">#REF!</definedName>
    <definedName name="wrn.bullshit1.">#REF!</definedName>
    <definedName localSheetId="3" name="FIGEADQ2">#REF!</definedName>
    <definedName localSheetId="4" name="_4.2">#REF!</definedName>
    <definedName localSheetId="3" name="FIN">#REF!</definedName>
    <definedName name="F_a">#REF!</definedName>
    <definedName localSheetId="5" name="spread">#REF!</definedName>
    <definedName localSheetId="4" name="ERL_US">#REF!</definedName>
    <definedName localSheetId="2" name="p_highyield_Depr">#REF!</definedName>
    <definedName localSheetId="3" name="DTA_EXTSLS">#REF!</definedName>
    <definedName localSheetId="23" name="GPSGQ1">#REF!</definedName>
    <definedName localSheetId="4" name="BS_deferredtaxes">#REF!</definedName>
    <definedName localSheetId="2" name="MO_Intl">#REF!</definedName>
    <definedName localSheetId="5" name="CF_Provisions">#REF!</definedName>
    <definedName localSheetId="5" name="YearEndMonth">#REF!</definedName>
    <definedName localSheetId="5" name="Rollfwd_USD_LC">#REF!</definedName>
    <definedName localSheetId="4" name="Week">#REF!</definedName>
    <definedName name="ITph">#REF!</definedName>
    <definedName name="BurnhamAdminph">#REF!</definedName>
    <definedName localSheetId="23" name="CPTRANAE">#REF!</definedName>
    <definedName name="IS_straightprefdiv">#REF!</definedName>
    <definedName localSheetId="2" name="basedata1">#REF!</definedName>
    <definedName localSheetId="2" name="PYME">#REF!</definedName>
    <definedName name="TOP10JUL02">#REF!</definedName>
    <definedName localSheetId="4" name="CPFREIGHTAE">#REF!</definedName>
    <definedName localSheetId="2" name="SIDICEntities">#REF!</definedName>
    <definedName localSheetId="5" name="_Pg39">#REF!</definedName>
    <definedName localSheetId="4" name="CanadianRate">#REF!</definedName>
    <definedName localSheetId="3" name="QDOPCOQ4">#REF!</definedName>
    <definedName name="_4.10">#REF!</definedName>
    <definedName name="BS_Minority">#REF!</definedName>
    <definedName localSheetId="3" name="p_DCF5">#REF!</definedName>
    <definedName name="wrn.All_Sheets.">#REF!</definedName>
    <definedName localSheetId="5" name="_5_99_3S">#REF!</definedName>
    <definedName localSheetId="5" name="MoQtr">#REF!</definedName>
    <definedName localSheetId="5" name="__CCY1">#REF!</definedName>
    <definedName name="IQRTradingCompsD32">#REF!</definedName>
    <definedName localSheetId="23" name="MENU">#REF!</definedName>
    <definedName name="_Pg35">#REF!</definedName>
    <definedName localSheetId="3" name="abc">#REF!</definedName>
    <definedName name="ccy">#REF!</definedName>
    <definedName localSheetId="3" name="CPGPTP2003">#REF!</definedName>
    <definedName localSheetId="2" name="EBITAFNO">#REF!</definedName>
    <definedName localSheetId="3" name="_5_99_3S">#REF!</definedName>
    <definedName localSheetId="2" name="ni_mult1">#REF!</definedName>
    <definedName localSheetId="4" name="CPGPDIAG2004">#REF!</definedName>
    <definedName localSheetId="3" name="Frequency">#REF!</definedName>
    <definedName name="_0.2">#REF!</definedName>
    <definedName name="PPHAND2003">#REF!</definedName>
    <definedName name="M_C_detail">#REF!</definedName>
    <definedName localSheetId="4" name="SalesAdminph">#REF!</definedName>
    <definedName name="OPOTEXQ4">#REF!</definedName>
    <definedName localSheetId="4" name="LoanTerm">#REF!</definedName>
    <definedName localSheetId="4" name="YearEndMonth">#REF!</definedName>
    <definedName localSheetId="5" name="Month6">#REF!</definedName>
    <definedName localSheetId="2" name="FIUNABQ3">#REF!</definedName>
    <definedName localSheetId="5" name="_NRQ3">#REF!</definedName>
    <definedName name="STEStock">#REF!</definedName>
    <definedName localSheetId="23" name="QAph">#REF!</definedName>
    <definedName localSheetId="23" name="asdf">#REF!</definedName>
    <definedName localSheetId="3" name="HSNTSL92">#REF!</definedName>
    <definedName localSheetId="4" name="QDOPCOQ4">#REF!</definedName>
    <definedName localSheetId="23" name="CF_straightdebt">#REF!</definedName>
    <definedName name="Primestar">#REF!</definedName>
    <definedName localSheetId="4" name="_Pg61">#REF!</definedName>
    <definedName localSheetId="3" name="BS_otherLTA">#REF!</definedName>
    <definedName name="FIGM951">#REF!</definedName>
    <definedName localSheetId="2" name="__YE2">#REF!</definedName>
    <definedName localSheetId="5" name="fcf_unlev_terminal3">#REF!</definedName>
    <definedName localSheetId="4" name="MOLD91">#REF!</definedName>
    <definedName localSheetId="23" name="asdfghjkl">#REF!</definedName>
    <definedName name="DSEXTRACT">#REF!</definedName>
    <definedName localSheetId="5" name="Despatchph">#REF!</definedName>
    <definedName localSheetId="2" name="_4AQTR">#REF!</definedName>
    <definedName localSheetId="2" name="_NRQ1">#REF!</definedName>
    <definedName localSheetId="5" name="Year1">#REF!</definedName>
    <definedName localSheetId="5" name="Software_amort">#REF!</definedName>
    <definedName name="_inv2">#REF!</definedName>
    <definedName localSheetId="3" name="_Pg59">#REF!</definedName>
    <definedName localSheetId="3" name="US_UK">#REF!</definedName>
    <definedName localSheetId="5" name="DisE1M2">#REF!</definedName>
    <definedName localSheetId="5" name="OPNTSLQ4">#REF!</definedName>
    <definedName localSheetId="2" name="netcostdelta">#REF!</definedName>
    <definedName localSheetId="2" name="ENTITIES">#REF!</definedName>
    <definedName localSheetId="3" name="fcf_unlev5">#REF!</definedName>
    <definedName localSheetId="2" name="CreatedForTitle">#REF!</definedName>
    <definedName name="PPHAND2004">#REF!</definedName>
    <definedName localSheetId="2" name="BaseData">#REF!</definedName>
    <definedName localSheetId="5" name="__CCY2">#REF!</definedName>
    <definedName name="CF_Inventory">#REF!</definedName>
    <definedName localSheetId="5" name="_IDP2">#REF!</definedName>
    <definedName localSheetId="23" name="CF_otheroper">#REF!</definedName>
    <definedName localSheetId="3" name="WDOPCOQ3">#REF!</definedName>
    <definedName localSheetId="4" name="ACCT">#REF!</definedName>
    <definedName localSheetId="5" name="_Pg51">#REF!</definedName>
    <definedName localSheetId="2" name="al">#REF!</definedName>
    <definedName localSheetId="23" name="LoanDate">#REF!</definedName>
    <definedName localSheetId="4" name="cash_terminal">#REF!</definedName>
    <definedName localSheetId="4" name="OPICEXQ2">#REF!</definedName>
    <definedName localSheetId="2" name="BS_Deferred_Taxes">#REF!</definedName>
    <definedName localSheetId="2" name="Software_amort">#REF!</definedName>
    <definedName localSheetId="23" name="ky">#REF!</definedName>
    <definedName name="costs">#REF!</definedName>
    <definedName localSheetId="3" name="page9">#REF!</definedName>
    <definedName localSheetId="5" name="WDNTSLQ1">#REF!</definedName>
    <definedName localSheetId="4" name="OPOPCOQ4">#REF!</definedName>
    <definedName localSheetId="4" name="Step">#REF!</definedName>
    <definedName localSheetId="23" name="debt_fv">#REF!</definedName>
    <definedName localSheetId="2" name="NewCo3ON">#REF!</definedName>
    <definedName localSheetId="3" name="Ticker">#REF!</definedName>
    <definedName localSheetId="3" name="EBITDA_mult">#REF!</definedName>
    <definedName localSheetId="4" name="B">#REF!</definedName>
    <definedName localSheetId="4" name="__Ops1">#REF!</definedName>
    <definedName localSheetId="2" name="Smaxapp">#REF!</definedName>
    <definedName localSheetId="2" name="BEGRSLQ4">#REF!</definedName>
    <definedName name="_AVE2">#REF!</definedName>
    <definedName localSheetId="5" name="perp_unlev_sen">#REF!</definedName>
    <definedName localSheetId="2" name="PPTRANAE">#REF!</definedName>
    <definedName name="LWBSUM">#REF!</definedName>
    <definedName localSheetId="4" name="BS_Inventory">#REF!</definedName>
    <definedName localSheetId="5" name="_NRQ4">#REF!</definedName>
    <definedName localSheetId="23" name="_Pg70">#REF!</definedName>
    <definedName localSheetId="5" name="GPTBQ1">#REF!</definedName>
    <definedName localSheetId="4" name="_Tot97">#REF!</definedName>
    <definedName localSheetId="4" name="Periods">#REF!</definedName>
    <definedName name="_YE2">#REF!</definedName>
    <definedName localSheetId="2" name="_Pg43">#REF!</definedName>
    <definedName name="KeepB">#REF!</definedName>
    <definedName localSheetId="23" name="ven">#REF!</definedName>
    <definedName name="OPOPCOQ1">#REF!</definedName>
    <definedName name="Graphs_2">#REF!</definedName>
    <definedName localSheetId="2" name="WDCOGSQ3">#REF!</definedName>
    <definedName localSheetId="5" name="CF_Dividends">#REF!</definedName>
    <definedName localSheetId="5" name="WSEBITMY">#REF!</definedName>
    <definedName localSheetId="3" name="Month10">#REF!</definedName>
    <definedName localSheetId="4" name="BurnhamDespph">#REF!</definedName>
    <definedName localSheetId="2" name="Sub_Name3">#REF!</definedName>
    <definedName localSheetId="2" name="CF_equity">#REF!</definedName>
    <definedName name="Broadcast">#REF!</definedName>
    <definedName localSheetId="23" name="revswitch">#REF!</definedName>
    <definedName localSheetId="4" name="CLOSE">#REF!</definedName>
    <definedName localSheetId="5" name="WDCOGSQ1">#REF!</definedName>
    <definedName localSheetId="2" name="rd">#REF!</definedName>
    <definedName localSheetId="4" name="Minimum_Cash">#REF!</definedName>
    <definedName localSheetId="3" name="p_LBO_Tax">#REF!</definedName>
    <definedName localSheetId="4" name="GPTTL">#REF!</definedName>
    <definedName localSheetId="4" name="fcf_unlev_terminal3">#REF!</definedName>
    <definedName localSheetId="4" name="avg">#REF!</definedName>
    <definedName localSheetId="5" name="Discret_PrQtr">#REF!</definedName>
    <definedName localSheetId="4" name="total">#REF!</definedName>
    <definedName localSheetId="23" name="FINQ4">#REF!</definedName>
    <definedName localSheetId="2" name="FIGMB3">#REF!</definedName>
    <definedName localSheetId="4" name="FIGMQ1">#REF!</definedName>
    <definedName localSheetId="4" name="FX_BRL">#REF!</definedName>
    <definedName localSheetId="4" name="PPFREIGHT2004">#REF!</definedName>
    <definedName localSheetId="23" name="OtherNonCashItems">#REF!</definedName>
    <definedName localSheetId="4" name="Despatchph">#REF!</definedName>
    <definedName localSheetId="2" name="NewProductSales">#REF!</definedName>
    <definedName localSheetId="5" name="GPPFINQ2">#REF!</definedName>
    <definedName localSheetId="3" name="_Pg44">#REF!</definedName>
    <definedName localSheetId="23" name="_339ÿ__bot">#REF!</definedName>
    <definedName localSheetId="5" name="CPHAND2003">#REF!</definedName>
    <definedName name="Year3">#REF!</definedName>
    <definedName localSheetId="23" name="Sales">#REF!</definedName>
    <definedName localSheetId="5" name="_7_99_QS">#REF!</definedName>
    <definedName localSheetId="23" name="perp_unlev">#REF!</definedName>
    <definedName localSheetId="5" name="abc">#REF!</definedName>
    <definedName localSheetId="23" name="_Pg53">#REF!</definedName>
    <definedName localSheetId="4" name="KeepH">#REF!</definedName>
    <definedName localSheetId="4" name="CostsOfDebt">#REF!</definedName>
    <definedName localSheetId="2" name="CPFREIGHT2004">#REF!</definedName>
    <definedName localSheetId="23" name="DCFBase">#REF!</definedName>
    <definedName localSheetId="3" name="A_b">#REF!</definedName>
    <definedName localSheetId="4" name="PL_Interest_Income">#REF!</definedName>
    <definedName localSheetId="5" name="DEPT">#REF!</definedName>
    <definedName localSheetId="4" name="Discret_PrQtr">#REF!</definedName>
    <definedName localSheetId="4" name="PIDENTITIES">#REF!</definedName>
    <definedName localSheetId="3" name="PL_Loss_Debt">#REF!</definedName>
    <definedName name="AdHoc">#REF!</definedName>
    <definedName localSheetId="23" name="StatutoryEBIT">#REF!</definedName>
    <definedName name="_DEC01">#REF!</definedName>
    <definedName localSheetId="3" name="FIGM94">#REF!</definedName>
    <definedName localSheetId="3" name="_GPQ2">#REF!</definedName>
    <definedName localSheetId="3" name="BIOStock">#REF!</definedName>
    <definedName localSheetId="3" name="FX_CNY">#REF!</definedName>
    <definedName localSheetId="2" name="WSEBITJN">#REF!</definedName>
    <definedName localSheetId="23" name="FD">#REF!</definedName>
    <definedName localSheetId="4" name="CF_Dividends">#REF!</definedName>
    <definedName localSheetId="2" name="bal">#REF!</definedName>
    <definedName localSheetId="2" name="DollarHeader">#REF!</definedName>
    <definedName localSheetId="3" name="_APR02">#REF!</definedName>
    <definedName localSheetId="5" name="PIDENTITIES">#REF!</definedName>
    <definedName localSheetId="4" name="IS_goodwill">#REF!</definedName>
    <definedName localSheetId="23" name="GPFINQ1">#REF!</definedName>
    <definedName localSheetId="23" name="GPTBQ1">#REF!</definedName>
    <definedName localSheetId="2" name="_Pg78">#REF!</definedName>
    <definedName localSheetId="2" name="DateHeader">#REF!</definedName>
    <definedName localSheetId="4" name="Amortization">#REF!</definedName>
    <definedName localSheetId="2" name="__AVE2">#REF!</definedName>
    <definedName localSheetId="3" name="Year3">#REF!</definedName>
    <definedName localSheetId="5" name="TOP10JUN02">#REF!</definedName>
    <definedName localSheetId="23" name="CPFREIGHTAE">#REF!</definedName>
    <definedName localSheetId="5" name="progCOS">#REF!</definedName>
    <definedName localSheetId="23" name="PPFREIGHT2003">#REF!</definedName>
    <definedName localSheetId="23" name="OPEXQ2">#REF!</definedName>
    <definedName localSheetId="2" name="OPOPCOQ3">#REF!</definedName>
    <definedName localSheetId="5" name="p_LBO_Returns">#REF!</definedName>
    <definedName localSheetId="23" name="Print_Area_MI">#REF!</definedName>
    <definedName localSheetId="3" name="Year11">#REF!</definedName>
    <definedName localSheetId="23" name="WDNTSLQ2">#REF!</definedName>
    <definedName name="al">#REF!</definedName>
    <definedName localSheetId="4" name="p_LBO_Tax">#REF!</definedName>
    <definedName localSheetId="23" name="CashInterestRate">#REF!</definedName>
    <definedName localSheetId="4" name="c_date">#REF!</definedName>
    <definedName localSheetId="2" name="page4">#REF!</definedName>
    <definedName localSheetId="3" name="NewTaxGW">#REF!</definedName>
    <definedName name="FINOIQ3">#REF!</definedName>
    <definedName localSheetId="4" name="Subrelated">#REF!</definedName>
    <definedName name="MatMgt">#REF!</definedName>
    <definedName localSheetId="4" name="CF_Other">#REF!</definedName>
    <definedName localSheetId="23" name="WDCOGSQ3">#REF!</definedName>
    <definedName localSheetId="2" name="c_pathswitch">#REF!</definedName>
    <definedName name="_1QTR">#REF!</definedName>
    <definedName localSheetId="3" name="HYP_CODE">#REF!</definedName>
    <definedName localSheetId="4" name="FIGM953">#REF!</definedName>
    <definedName name="chki">#REF!</definedName>
    <definedName localSheetId="4" name="Elim_a">#REF!</definedName>
    <definedName localSheetId="5" name="_YE1">#REF!</definedName>
    <definedName name="NewHYAmount">#REF!</definedName>
    <definedName localSheetId="3" name="Month7">#REF!</definedName>
    <definedName localSheetId="5" name="Tax_Amortization">#REF!</definedName>
    <definedName localSheetId="2" name="Highlights">#REF!</definedName>
    <definedName localSheetId="5" name="EquityInvestmentOverwrite">#REF!</definedName>
    <definedName localSheetId="2" name="_228_0__Datab">#REF!</definedName>
    <definedName localSheetId="23" name="Drucktitel_MI">#REF!</definedName>
    <definedName name="_4.1">#REF!</definedName>
    <definedName localSheetId="23" name="Quarter">#REF!</definedName>
    <definedName name="QTR_END_SEL">#REF!</definedName>
    <definedName localSheetId="5" name="Engineeringph">#REF!</definedName>
    <definedName localSheetId="5" name="ChangeInConvertiblePreferredStock">#REF!</definedName>
    <definedName localSheetId="23" name="GPPTTLQ4">#REF!</definedName>
    <definedName localSheetId="2" name="RepTable">#REF!</definedName>
    <definedName localSheetId="23" name="Print3Stop">#REF!</definedName>
    <definedName localSheetId="3" name="perp_lev_sen">#REF!</definedName>
    <definedName localSheetId="3" name="_Tot97">#REF!</definedName>
    <definedName localSheetId="5" name="KeepD">#REF!</definedName>
    <definedName localSheetId="3" name="SIDParentEntities">#REF!</definedName>
    <definedName name="_Pg39">#REF!</definedName>
    <definedName name="OPICEXQ3">#REF!</definedName>
    <definedName localSheetId="5" name="FIUNABQ3">#REF!</definedName>
    <definedName localSheetId="23" name="FXREV_HKD">#REF!</definedName>
    <definedName localSheetId="3" name="NAME">#REF!</definedName>
    <definedName localSheetId="3" name="p_Amort">#REF!</definedName>
    <definedName name="GPFINTTL">#REF!</definedName>
    <definedName localSheetId="2" name="Bonnie">#REF!</definedName>
    <definedName name="IS_otheropexp">#REF!</definedName>
    <definedName localSheetId="3" name="NewCo5ON">#REF!</definedName>
    <definedName localSheetId="4" name="GPFINQ4">#REF!</definedName>
    <definedName localSheetId="23" name="fulldept">#REF!</definedName>
    <definedName name="matlplan">#REF!</definedName>
    <definedName localSheetId="23" name="FIGMB4">#REF!</definedName>
    <definedName localSheetId="4" name="WDOPCOQ4">#REF!</definedName>
    <definedName localSheetId="23" name="MOLD92">#REF!</definedName>
    <definedName localSheetId="5" name="BS_Convertible_Preferred">#REF!</definedName>
    <definedName localSheetId="5" name="QTR_END_SEL">#REF!</definedName>
    <definedName localSheetId="23" name="FIGM953">#REF!</definedName>
    <definedName localSheetId="23" name="FX_AUD">#REF!</definedName>
    <definedName localSheetId="23" name="BurnhamProdph">#REF!</definedName>
    <definedName localSheetId="2" name="fcstsum">#REF!</definedName>
    <definedName localSheetId="2" name="Costcode">#REF!</definedName>
    <definedName localSheetId="4" name="_OCT01">#REF!</definedName>
    <definedName localSheetId="5" name="_Pg58">#REF!</definedName>
    <definedName localSheetId="4" name="Graphs_2">#REF!</definedName>
    <definedName localSheetId="4" name="ven">#REF!</definedName>
    <definedName localSheetId="3" name="dcfyear">#REF!</definedName>
    <definedName localSheetId="5" name="Years">#REF!</definedName>
    <definedName localSheetId="23" name="date_close">#REF!</definedName>
    <definedName localSheetId="5" name="XY">#REF!</definedName>
    <definedName localSheetId="2" name="PPTP2003">#REF!</definedName>
    <definedName localSheetId="23" name="OPGRPRQ2">#REF!</definedName>
    <definedName localSheetId="2" name="CustEngph">#REF!</definedName>
    <definedName name="SCENARIOS">#REF!</definedName>
    <definedName localSheetId="5" name="LoanInterest">#REF!</definedName>
    <definedName localSheetId="5" name="Month3">#REF!</definedName>
    <definedName localSheetId="4" name="CF_deferredtaxes">#REF!</definedName>
    <definedName localSheetId="4" name="LME">#REF!</definedName>
    <definedName localSheetId="5" name="netcostplan">#REF!</definedName>
    <definedName localSheetId="2" name="_291_4.4">#REF!</definedName>
    <definedName localSheetId="23" name="__GPQ2">#REF!</definedName>
    <definedName localSheetId="5" name="dcf_year">#REF!</definedName>
    <definedName localSheetId="3" name="_Pg48">#REF!</definedName>
    <definedName localSheetId="2" name="EBITAFMY">#REF!</definedName>
    <definedName localSheetId="3" name="CF_NWC">#REF!</definedName>
    <definedName localSheetId="5" name="CPFREIGHT2003">#REF!</definedName>
    <definedName localSheetId="2" name="BS_Convertible_Preferred">#REF!</definedName>
    <definedName localSheetId="23" name="A_a">#REF!</definedName>
    <definedName localSheetId="23" name="mult_sen">#REF!</definedName>
    <definedName localSheetId="3" name="p_Tax">#REF!</definedName>
    <definedName localSheetId="2" name="_Pg34">#REF!</definedName>
    <definedName localSheetId="2" name="avg">#REF!</definedName>
    <definedName name="MOLD91">#REF!</definedName>
    <definedName localSheetId="2" name="abc">#REF!</definedName>
    <definedName localSheetId="5" name="Sales">#REF!</definedName>
    <definedName localSheetId="5" name="PanlL_Act99_v_00Bud">#REF!</definedName>
    <definedName localSheetId="4" name="desc">#REF!</definedName>
    <definedName localSheetId="23" name="TOP10JAN">#REF!</definedName>
    <definedName localSheetId="3" name="FIGMB1">#REF!</definedName>
    <definedName localSheetId="4" name="business">#REF!</definedName>
    <definedName localSheetId="3" name="FYE1EBITDA">#REF!</definedName>
    <definedName localSheetId="2" name="Elim_b">#REF!</definedName>
    <definedName localSheetId="23" name="ChangeInCommonEquity">#REF!</definedName>
    <definedName name="Bear">#REF!</definedName>
    <definedName localSheetId="2" name="FINOIQ2">#REF!</definedName>
    <definedName localSheetId="4" name="EBITAFJN">#REF!</definedName>
    <definedName localSheetId="2" name="Exchangemax">#REF!</definedName>
    <definedName localSheetId="3" name="FXREV_JPY">#REF!</definedName>
    <definedName localSheetId="5" name="DPS">#REF!</definedName>
    <definedName localSheetId="23" name="OPEXQ1">#REF!</definedName>
    <definedName localSheetId="2" name="CanadianRate">#REF!</definedName>
    <definedName name="week1">#REF!</definedName>
    <definedName localSheetId="23" name="BS_otherLTL">#REF!</definedName>
    <definedName localSheetId="2" name="CPGPDIAG2003">#REF!</definedName>
    <definedName localSheetId="2" name="StatutoryEBIT">#REF!</definedName>
    <definedName localSheetId="2" name="BurnhamProdph">#REF!</definedName>
    <definedName localSheetId="3" name="SmaxFOA">#REF!</definedName>
    <definedName name="CustRev">#REF!</definedName>
    <definedName localSheetId="5" name="FIN">#REF!</definedName>
    <definedName localSheetId="23" name="BS_Inventory">#REF!</definedName>
    <definedName localSheetId="2" name="GPPSGQ1">#REF!</definedName>
    <definedName localSheetId="5" name="Highlights">#REF!</definedName>
    <definedName localSheetId="2" name="FIGMQ4">#REF!</definedName>
    <definedName localSheetId="2" name="CPGPTP2003">#REF!</definedName>
    <definedName localSheetId="23" name="_Pg40">#REF!</definedName>
    <definedName localSheetId="2" name="__NRQ1">#REF!</definedName>
    <definedName localSheetId="23" name="_JAN02">#REF!</definedName>
    <definedName name="perp_lev5">#REF!</definedName>
    <definedName localSheetId="2" name="Month6">#REF!</definedName>
    <definedName localSheetId="23" name="CreatedFor">#REF!</definedName>
    <definedName localSheetId="2" name="CPDIAG2003">#REF!</definedName>
    <definedName localSheetId="23" name="GPFINQ2">#REF!</definedName>
    <definedName localSheetId="5" name="MOLD93">#REF!</definedName>
    <definedName localSheetId="5" name="FYE1EBITDA">#REF!</definedName>
    <definedName localSheetId="3" name="Rollfwd_USD">#REF!</definedName>
    <definedName localSheetId="5" name="BS_discontoper">#REF!</definedName>
    <definedName name="FIGEADQ3">#REF!</definedName>
    <definedName localSheetId="2" name="ni_terminal">#REF!</definedName>
    <definedName localSheetId="4" name="CF_Non_Cash_Charges">#REF!</definedName>
    <definedName localSheetId="23" name="IS_COGS">#REF!</definedName>
    <definedName localSheetId="4" name="CF_Amortization">#REF!</definedName>
    <definedName localSheetId="3" name="EuropeAct">#REF!</definedName>
    <definedName localSheetId="5" name="Directors">#REF!</definedName>
    <definedName name="__YE2">#REF!</definedName>
    <definedName localSheetId="4" name="c_dateswitch">#REF!</definedName>
    <definedName localSheetId="23" name="_a1">#REF!</definedName>
    <definedName localSheetId="2" name="ni_mult3">#REF!</definedName>
    <definedName localSheetId="3" name="PrecHighFV">#REF!</definedName>
    <definedName localSheetId="2" name="TOP10JUN02">#REF!</definedName>
    <definedName localSheetId="4" name="IS_convprefdiv">#REF!</definedName>
    <definedName name="Month5">#REF!</definedName>
    <definedName localSheetId="4" name="CreatedFor">#REF!</definedName>
    <definedName localSheetId="4" name="p_Options">#REF!</definedName>
    <definedName localSheetId="23" name="WSEBITAU">#REF!</definedName>
    <definedName localSheetId="23" name="wrn.model.">#REF!</definedName>
    <definedName name="PandL_Act99_v_99FebBud">#REF!</definedName>
    <definedName localSheetId="3" name="perp_unlev2">#REF!</definedName>
    <definedName localSheetId="2" name="F_a">#REF!</definedName>
    <definedName localSheetId="5" name="_Pg29">#REF!</definedName>
    <definedName localSheetId="5" name="FIVARIQ2">#REF!</definedName>
    <definedName name="FIUNABQ3">#REF!</definedName>
    <definedName localSheetId="2" name="cover">#REF!</definedName>
    <definedName localSheetId="2" name="Financeph">#REF!</definedName>
    <definedName localSheetId="23" name="wrn.first3.">#REF!</definedName>
    <definedName localSheetId="3" name="ValuationYear">#REF!</definedName>
    <definedName localSheetId="2" name="_7_99_QS">#REF!</definedName>
    <definedName localSheetId="5" name="page4">#REF!</definedName>
    <definedName localSheetId="2" name="WSEBITAP">#REF!</definedName>
    <definedName localSheetId="3" name="BS_otherLTL">#REF!</definedName>
    <definedName name="_rsr2">#REF!</definedName>
    <definedName localSheetId="5" name="OPNTSLQ2">#REF!</definedName>
    <definedName localSheetId="2" name="QA">#REF!</definedName>
    <definedName localSheetId="2" name="LBOSaleExit2">#REF!</definedName>
    <definedName localSheetId="5" name="_4.10">#REF!</definedName>
    <definedName localSheetId="23" name="CF_AR">#REF!</definedName>
    <definedName localSheetId="3" name="Category">#REF!</definedName>
    <definedName localSheetId="4" name="E_b">#REF!</definedName>
    <definedName localSheetId="23" name="CommonCurrency">#REF!</definedName>
    <definedName localSheetId="5" name="EBITDA_mult5">#REF!</definedName>
    <definedName localSheetId="5" name="A_a">#REF!</definedName>
    <definedName localSheetId="4" name="Graph2">#REF!</definedName>
    <definedName name="BurnhamProdph">#REF!</definedName>
    <definedName localSheetId="3" name="ni_mult_sen">#REF!</definedName>
    <definedName localSheetId="5" name="CostsOfDebt">#REF!</definedName>
    <definedName name="Highlights">#REF!</definedName>
    <definedName localSheetId="4" name="_GPQ3">#REF!</definedName>
    <definedName localSheetId="23" name="ExitYear">#REF!</definedName>
    <definedName localSheetId="4" name="SP1QTR">#REF!</definedName>
    <definedName localSheetId="5" name="Category">#REF!</definedName>
    <definedName name="_Sort">#REF!</definedName>
    <definedName name="EquityInUnconsolidatedAffiliates">#REF!</definedName>
    <definedName localSheetId="3" name="_NRQ1">#REF!</definedName>
    <definedName localSheetId="3" name="_Pg29">#REF!</definedName>
    <definedName localSheetId="2" name="p_LBO_returncalcb">#REF!</definedName>
    <definedName name="BurnhamSalesph">#REF!</definedName>
    <definedName localSheetId="4" name="StatutoryRevenues">#REF!</definedName>
    <definedName localSheetId="4" name="_Pg36">#REF!</definedName>
    <definedName localSheetId="5" name="_Pg76">#REF!</definedName>
    <definedName localSheetId="2" name="TargetCompany">#REF!</definedName>
    <definedName localSheetId="4" name="Bldg2300">#REF!</definedName>
    <definedName localSheetId="4" name="_2QTR">#REF!</definedName>
    <definedName localSheetId="2" name="c_SSBswitch">#REF!</definedName>
    <definedName localSheetId="4" name="BS_Deferred_Taxes">#REF!</definedName>
    <definedName localSheetId="5" name="_Tot98">#REF!</definedName>
    <definedName name="aaa">#REF!</definedName>
    <definedName localSheetId="2" name="Databaserevenue">#REF!</definedName>
    <definedName localSheetId="4" name="home">#REF!</definedName>
    <definedName name="__NRQ1">#REF!</definedName>
    <definedName localSheetId="23" name="TOTALIT">#REF!</definedName>
    <definedName localSheetId="2" name="PL_Straight_Interest">#REF!</definedName>
    <definedName localSheetId="3" name="_Pg81">#REF!</definedName>
    <definedName localSheetId="3" name="CPGPTP2004">#REF!</definedName>
    <definedName localSheetId="2" name="perp_unlev2">#REF!</definedName>
    <definedName localSheetId="3" name="asdfghjkl">#REF!</definedName>
    <definedName localSheetId="5" name="CustEngph">#REF!</definedName>
    <definedName localSheetId="5" name="NewCo1ON">#REF!</definedName>
    <definedName localSheetId="3" name="Matmgtph">#REF!</definedName>
    <definedName localSheetId="23" name="TargetCompany">#REF!</definedName>
    <definedName localSheetId="4" name="PrecHighFV">#REF!</definedName>
    <definedName localSheetId="3" name="Installed">#REF!</definedName>
    <definedName localSheetId="3" name="costs">#REF!</definedName>
    <definedName name="__NRQ4">#REF!</definedName>
    <definedName localSheetId="23" name="_226_0_0Datab">#REF!</definedName>
    <definedName localSheetId="23" name="QTRLOOK">#REF!</definedName>
    <definedName name="SP2QTR">#REF!</definedName>
    <definedName localSheetId="5" name="Frequency">#REF!</definedName>
    <definedName localSheetId="3" name="type">#REF!</definedName>
    <definedName localSheetId="3" name="FIUNABQ4">#REF!</definedName>
    <definedName localSheetId="4" name="IS_intangamort">#REF!</definedName>
    <definedName localSheetId="5" name="PPPREP2003">#REF!</definedName>
    <definedName localSheetId="5" name="OPOPCOQ1">#REF!</definedName>
    <definedName localSheetId="23" name="_Pg37">#REF!</definedName>
    <definedName localSheetId="20" name="CreatedForTitle">'resmed deals'!$F$6</definedName>
    <definedName localSheetId="23" name="BaseData">#REF!</definedName>
    <definedName name="p_BS">#REF!</definedName>
    <definedName localSheetId="2" name="EXP">#REF!</definedName>
    <definedName localSheetId="23" name="WDNTSLQ3">#REF!</definedName>
    <definedName localSheetId="23" name="WSEBITJL">#REF!</definedName>
    <definedName localSheetId="2" name="good">#REF!</definedName>
    <definedName localSheetId="2" name="CF_Straight_Preferred">#REF!</definedName>
    <definedName localSheetId="4" name="Graphs">#REF!</definedName>
    <definedName localSheetId="4" name="NonCashInterestExpense">#REF!</definedName>
    <definedName localSheetId="5" name="fcf_unlev_terminal1">#REF!</definedName>
    <definedName name="BEGSSLQ1">#REF!</definedName>
    <definedName localSheetId="3" name="BS_Deferred_Taxes">#REF!</definedName>
    <definedName localSheetId="3" name="CF_deferredtaxes">#REF!</definedName>
    <definedName localSheetId="4" name="Print1Stop">#REF!</definedName>
    <definedName localSheetId="2" name="LoanTerm">#REF!</definedName>
    <definedName name="_Pg82">#REF!</definedName>
    <definedName localSheetId="4" name="Emaxcable">#REF!</definedName>
    <definedName localSheetId="5" name="BurnhamDesp">#REF!</definedName>
    <definedName name="WriteUp_otherLTL">#REF!</definedName>
    <definedName name="credits">#REF!</definedName>
    <definedName localSheetId="23" name="FX_YEN">#REF!</definedName>
    <definedName localSheetId="3" name="TOP10DEC">#REF!</definedName>
    <definedName name="spread">#REF!</definedName>
    <definedName localSheetId="3" name="DETAIL">#REF!</definedName>
    <definedName localSheetId="3" name="cash_terminal">#REF!</definedName>
    <definedName localSheetId="5" name="p_football">#REF!</definedName>
    <definedName localSheetId="7" name="daniel1">#REF!</definedName>
    <definedName localSheetId="23" name="MO_Intl">#REF!</definedName>
    <definedName localSheetId="2" name="PPGPPREP2004">#REF!</definedName>
    <definedName localSheetId="3" name="NewHYAmount">#REF!</definedName>
    <definedName localSheetId="3" name="invoice_choices">#REF!</definedName>
    <definedName localSheetId="3" name="IS_revenues">#REF!</definedName>
    <definedName name="FIGEADQ1">#REF!</definedName>
    <definedName localSheetId="23" name="LWBSUM">#REF!</definedName>
    <definedName name="direct">#REF!</definedName>
    <definedName localSheetId="2" name="GPPFINQ1">#REF!</definedName>
    <definedName localSheetId="23" name="FINOIQ1">#REF!</definedName>
    <definedName localSheetId="23" name="_Pg50">#REF!</definedName>
    <definedName localSheetId="5" name="Control">#REF!</definedName>
    <definedName localSheetId="23" name="aaa">#REF!</definedName>
    <definedName localSheetId="5" name="TOOLBOX">#REF!</definedName>
    <definedName localSheetId="3" name="SEK">#REF!</definedName>
    <definedName localSheetId="4" name="ACROS">#REF!</definedName>
    <definedName name="CPHAND2003">#REF!</definedName>
    <definedName localSheetId="2" name="FIGM942">#REF!</definedName>
    <definedName localSheetId="2" name="OR_ViewProvider_ReportingViews_ExportStorage_OUT_CoG_RND">#REF!</definedName>
    <definedName localSheetId="23" name="DilutedShares">#REF!</definedName>
    <definedName localSheetId="5" name="year_close">#REF!</definedName>
    <definedName name="list">#REF!</definedName>
    <definedName localSheetId="2" name="WDNTSLQ2">#REF!</definedName>
    <definedName localSheetId="2" name="CF_AP">#REF!</definedName>
    <definedName localSheetId="5" name="GPFINQ1">#REF!</definedName>
    <definedName localSheetId="3" name="Publicity">#REF!</definedName>
    <definedName localSheetId="4" name="_309_4.6">#REF!</definedName>
    <definedName localSheetId="3" name="_Pg34">#REF!</definedName>
    <definedName localSheetId="4" name="Periodic_Summary">#REF!</definedName>
    <definedName localSheetId="23" name="p_CFS">#REF!</definedName>
    <definedName localSheetId="2" name="TOP10OCT">#REF!</definedName>
    <definedName localSheetId="23" name="CustRev">#REF!</definedName>
    <definedName localSheetId="4" name="Netsub">#REF!</definedName>
    <definedName localSheetId="23" name="ARPU4">#REF!</definedName>
    <definedName localSheetId="5" name="Year2">#REF!</definedName>
    <definedName localSheetId="3" name="__NRQ3">#REF!</definedName>
    <definedName localSheetId="5" name="overall_perct">#REF!</definedName>
    <definedName localSheetId="5" name="WDGRPRQ1">#REF!</definedName>
    <definedName localSheetId="3" name="Exchangemax">#REF!</definedName>
    <definedName localSheetId="23" name="WSEBITMA">#REF!</definedName>
    <definedName localSheetId="4" name="p_LBO_Amort">#REF!</definedName>
    <definedName localSheetId="23" name="Month12">#REF!</definedName>
    <definedName localSheetId="5" name="__NRQ1">#REF!</definedName>
    <definedName name="bs">#REF!</definedName>
    <definedName localSheetId="2" name="detail97">#REF!</definedName>
    <definedName localSheetId="3" name="InventoryReport">#REF!</definedName>
    <definedName name="NewTaxGW">#REF!</definedName>
    <definedName localSheetId="3" name="EuropePL">#REF!</definedName>
    <definedName localSheetId="5" name="p_LBO_Summary">#REF!</definedName>
    <definedName localSheetId="23" name="wrn.Hydraulic2.">#REF!</definedName>
    <definedName localSheetId="23" name="_338ÿ_0bot">#REF!</definedName>
    <definedName localSheetId="5" name="Bonnie">#REF!</definedName>
    <definedName name="fcf_unlev_terminal1">#REF!</definedName>
    <definedName localSheetId="3" name="NewHYIssue">#REF!</definedName>
    <definedName localSheetId="2" name="MoQtr">#REF!</definedName>
    <definedName localSheetId="2" name="convpricepref">#REF!</definedName>
    <definedName localSheetId="2" name="Smaxcable">#REF!</definedName>
    <definedName name="type">#REF!</definedName>
    <definedName localSheetId="5" name="WDCOGSQ3">#REF!</definedName>
    <definedName localSheetId="2" name="tf">#REF!</definedName>
    <definedName localSheetId="5" name="Drucktitel_MI">#REF!</definedName>
    <definedName localSheetId="4" name="WDNTSLQ1">#REF!</definedName>
    <definedName name="PrecHighFV">#REF!</definedName>
    <definedName localSheetId="3" name="cbo">#REF!</definedName>
    <definedName localSheetId="4" name="CF_gwamort">#REF!</definedName>
    <definedName localSheetId="5" name="page9">#REF!</definedName>
    <definedName localSheetId="5" name="tar">#REF!</definedName>
    <definedName localSheetId="23" name="GPPTTLQ3">#REF!</definedName>
    <definedName localSheetId="4" name="IS_revenues">#REF!</definedName>
    <definedName localSheetId="3" name="_2AQTR">#REF!</definedName>
    <definedName localSheetId="4" name="Print3Start">#REF!</definedName>
    <definedName name="_4AQTR">#REF!</definedName>
    <definedName localSheetId="2" name="ProdMgt">#REF!</definedName>
    <definedName localSheetId="2" name="invoice_choices">#REF!</definedName>
    <definedName name="ChangeInCommonEquity">#REF!</definedName>
    <definedName name="SGNTSL92">#REF!</definedName>
    <definedName localSheetId="5" name="p_highyield_IS">#REF!</definedName>
    <definedName localSheetId="5" name="payments">#REF!</definedName>
    <definedName localSheetId="3" name="_abc">#REF!</definedName>
    <definedName name="LBOIPOExit2">#REF!</definedName>
    <definedName name="_Pg44">#REF!</definedName>
    <definedName localSheetId="3" name="year1996">#REF!</definedName>
    <definedName localSheetId="2" name="LoanDate">#REF!</definedName>
    <definedName localSheetId="4" name="WDCOGSQ4">#REF!</definedName>
    <definedName name="PrecLowFV">#REF!</definedName>
    <definedName localSheetId="5" name="CF_AR">#REF!</definedName>
    <definedName name="dd">#REF!</definedName>
    <definedName name="GPTBTTL">#REF!</definedName>
    <definedName localSheetId="4" name="Procurement">#REF!</definedName>
    <definedName localSheetId="3" name="ProdMgtph">#REF!</definedName>
    <definedName localSheetId="3" name="fulldept">#REF!</definedName>
    <definedName localSheetId="3" name="BaseYear">#REF!</definedName>
    <definedName localSheetId="23" name="_abc">#REF!</definedName>
    <definedName name="OfferPrice">#REF!</definedName>
    <definedName localSheetId="3" name="KeepH">#REF!</definedName>
    <definedName localSheetId="3" name="FXREV_AUD">#REF!</definedName>
    <definedName localSheetId="4" name="BS_convertdebt">#REF!</definedName>
    <definedName localSheetId="4" name="Consol_Elim">#REF!</definedName>
    <definedName localSheetId="5" name="PL_Equity_Earnings">#REF!</definedName>
    <definedName localSheetId="3" name="_Tot98">#REF!</definedName>
    <definedName localSheetId="23" name="Frequency">#REF!</definedName>
    <definedName localSheetId="23" name="DateHeader">#REF!</definedName>
    <definedName localSheetId="5" name="Serviceint">#REF!</definedName>
    <definedName localSheetId="4" name="SIDICEntities">#REF!</definedName>
    <definedName localSheetId="5" name="Disp">#REF!</definedName>
    <definedName localSheetId="4" name="OR_ViewProvider_ReportingViews_ExportStorage_OUT_CoG_RND">#REF!</definedName>
    <definedName localSheetId="3" name="NonCashInterestExpense">#REF!</definedName>
    <definedName localSheetId="4" name="FX_AUD">#REF!</definedName>
    <definedName localSheetId="3" name="Erl_UK">#REF!</definedName>
    <definedName localSheetId="4" name="DisE1M2">#REF!</definedName>
    <definedName localSheetId="4" name="_6_99_QD">#REF!</definedName>
    <definedName name="Indust_detail">#REF!</definedName>
    <definedName localSheetId="23" name="Sports">#REF!</definedName>
    <definedName localSheetId="2" name="AsiaFcst">#REF!</definedName>
    <definedName localSheetId="23" name="WSEBITDE">#REF!</definedName>
    <definedName localSheetId="5" name="good">#REF!</definedName>
    <definedName localSheetId="5" name="_Pg54">#REF!</definedName>
    <definedName localSheetId="3" name="EquityInUnconsolidatedAffiliates">#REF!</definedName>
    <definedName localSheetId="3" name="Other">#REF!</definedName>
    <definedName localSheetId="5" name="employee_lookup">#REF!</definedName>
    <definedName localSheetId="4" name="_Pg58">#REF!</definedName>
    <definedName localSheetId="23" name="actualdtl">#REF!</definedName>
    <definedName localSheetId="4" name="date_close">#REF!</definedName>
    <definedName localSheetId="3" name="WDGRPRQ1">#REF!</definedName>
    <definedName localSheetId="2" name="_Pg32">#REF!</definedName>
    <definedName localSheetId="2" name="TOP10AUG02">#REF!</definedName>
    <definedName localSheetId="5" name="NewHYYear">#REF!</definedName>
    <definedName localSheetId="3" name="_0.2">#REF!</definedName>
    <definedName localSheetId="3" name="rptCS">#REF!</definedName>
    <definedName name="NewCo4On">#REF!</definedName>
    <definedName localSheetId="3" name="SIDICEntities">#REF!</definedName>
    <definedName localSheetId="2" name="staff">#REF!</definedName>
    <definedName localSheetId="2" name="PPHAND2004">#REF!</definedName>
    <definedName localSheetId="2" name="OPEXQ4">#REF!</definedName>
    <definedName localSheetId="23" name="_264_4.12">#REF!</definedName>
    <definedName localSheetId="5" name="__Tot98">#REF!</definedName>
    <definedName localSheetId="4" name="FIGMBD">#REF!</definedName>
    <definedName name="ni_mult">#REF!</definedName>
    <definedName localSheetId="2" name="Print2Stop">#REF!</definedName>
    <definedName localSheetId="2" name="_Pg49">#REF!</definedName>
    <definedName localSheetId="3" name="op">#REF!</definedName>
    <definedName localSheetId="3" name="OPOTEXQ2">#REF!</definedName>
    <definedName localSheetId="3" name="_Sort">#REF!</definedName>
    <definedName name="Elim_b">#REF!</definedName>
    <definedName localSheetId="2" name="manufacturing">#REF!</definedName>
    <definedName localSheetId="23" name="crane">#REF!</definedName>
    <definedName localSheetId="23" name="PL_Convertible_Interest">#REF!</definedName>
    <definedName name="Periods">#REF!</definedName>
    <definedName localSheetId="4" name="ni_mult5">#REF!</definedName>
    <definedName localSheetId="2" name="PL_Convertible_Interest">#REF!</definedName>
    <definedName name="PL_Equity_Earnings">#REF!</definedName>
    <definedName name="SPGOODS">#REF!</definedName>
    <definedName localSheetId="4" name="AsiaAct">#REF!</definedName>
    <definedName localSheetId="4" name="FYE1NetRevenues">#REF!</definedName>
    <definedName localSheetId="3" name="_234Graph_B">#REF!</definedName>
    <definedName localSheetId="3" name="IQRTradingCompsB125">#REF!</definedName>
    <definedName localSheetId="2" name="_Pg38">#REF!</definedName>
    <definedName localSheetId="3" name="TOP10JUL02">#REF!</definedName>
    <definedName localSheetId="5" name="KeepA">#REF!</definedName>
    <definedName localSheetId="4" name="AsiaPY">#REF!</definedName>
    <definedName localSheetId="4" name="Systimax">#REF!</definedName>
    <definedName localSheetId="5" name="ExitYear">#REF!</definedName>
    <definedName localSheetId="2" name="QAph">#REF!</definedName>
    <definedName localSheetId="23" name="WriteUp_receivables">#REF!</definedName>
    <definedName localSheetId="5" name="ITph">#REF!</definedName>
    <definedName name="DiscountYears">#REF!</definedName>
    <definedName localSheetId="4" name="Directors">#REF!</definedName>
    <definedName localSheetId="3" name="Tbudget">#REF!</definedName>
    <definedName localSheetId="2" name="Ben_Ger">#REF!</definedName>
    <definedName localSheetId="3" name="KeepF">#REF!</definedName>
    <definedName name="TESTMACR">#REF!</definedName>
    <definedName name="BldgR11">#REF!</definedName>
    <definedName localSheetId="4" name="rev">#REF!</definedName>
    <definedName localSheetId="5" name="_Pg60">#REF!</definedName>
    <definedName localSheetId="5" name="GP">#REF!</definedName>
    <definedName localSheetId="5" name="EBITAFJL">#REF!</definedName>
    <definedName name="TL4QTR">#REF!</definedName>
    <definedName localSheetId="2" name="ProdMgtph">#REF!</definedName>
    <definedName localSheetId="3" name="WACC">#REF!</definedName>
    <definedName localSheetId="4" name="CF_NI">#REF!</definedName>
    <definedName localSheetId="3" name="_Ops1">#REF!</definedName>
    <definedName localSheetId="2" name="PRINT">#REF!</definedName>
    <definedName localSheetId="4" name="BS_AP">#REF!</definedName>
    <definedName name="aa">#REF!</definedName>
    <definedName name="Control">#REF!</definedName>
    <definedName localSheetId="3" name="EBITAFAP">#REF!</definedName>
    <definedName localSheetId="3" name="_255_4.11">#REF!</definedName>
    <definedName localSheetId="2" name="GPPFINQ2">#REF!</definedName>
    <definedName localSheetId="4" name="WDNTSLQ3">#REF!</definedName>
    <definedName localSheetId="3" name="ITph">#REF!</definedName>
    <definedName name="PPDIAG2003">#REF!</definedName>
    <definedName localSheetId="3" name="OPICEXQ3">#REF!</definedName>
    <definedName localSheetId="23" name="EntityList">#REF!</definedName>
    <definedName localSheetId="3" name="p_football">#REF!</definedName>
    <definedName localSheetId="5" name="NetIncomeToCommon">#REF!</definedName>
    <definedName localSheetId="4" name="WDGRSLQ1">#REF!</definedName>
    <definedName localSheetId="3" name="Elim_a">#REF!</definedName>
    <definedName localSheetId="23" name="FYE1EBITDA">#REF!</definedName>
    <definedName localSheetId="4" name="BldgR11">#REF!</definedName>
    <definedName localSheetId="23" name="ManagementEBIT">#REF!</definedName>
    <definedName localSheetId="2" name="p_Amort">#REF!</definedName>
    <definedName localSheetId="23" name="Periods">#REF!</definedName>
    <definedName localSheetId="3" name="codes">#REF!</definedName>
    <definedName localSheetId="5" name="US_Ger">#REF!</definedName>
    <definedName name="OPNTSLQ4">#REF!</definedName>
    <definedName localSheetId="4" name="CF_minority">#REF!</definedName>
    <definedName localSheetId="4" name="Actual">#REF!</definedName>
    <definedName localSheetId="2" name="hrms">#REF!</definedName>
    <definedName localSheetId="4" name="Process_graphs">#REF!</definedName>
    <definedName localSheetId="5" name="p_LBO_Tax">#REF!</definedName>
    <definedName localSheetId="4" name="Exchangemax">#REF!</definedName>
    <definedName localSheetId="3" name="PrecLowFV">#REF!</definedName>
    <definedName name="GPFINQ1">#REF!</definedName>
    <definedName localSheetId="2" name="STEStock">#REF!</definedName>
    <definedName localSheetId="5" name="CF_NI">#REF!</definedName>
    <definedName localSheetId="5" name="_Pg42">#REF!</definedName>
    <definedName localSheetId="4" name="fcf_unlev_terminal1">#REF!</definedName>
    <definedName localSheetId="23" name="PANREAC">#REF!</definedName>
    <definedName localSheetId="2" name="PPGPPREP2003">#REF!</definedName>
    <definedName name="FIGEADQ4">#REF!</definedName>
    <definedName localSheetId="2" name="Procurement">#REF!</definedName>
    <definedName localSheetId="3" name="WDGRPRQ2">#REF!</definedName>
    <definedName localSheetId="5" name="GPPFINQ3">#REF!</definedName>
    <definedName localSheetId="3" name="susan">#REF!</definedName>
    <definedName localSheetId="3" name="_AVE2">#REF!</definedName>
    <definedName localSheetId="3" name="avg">#REF!</definedName>
    <definedName localSheetId="5" name="IS_inctaxes">#REF!</definedName>
    <definedName localSheetId="4" name="_Pg75">#REF!</definedName>
    <definedName localSheetId="4" name="Abudget">#REF!</definedName>
    <definedName localSheetId="2" name="_GPQ2">#REF!</definedName>
    <definedName localSheetId="23" name="_DCF2">#REF!</definedName>
    <definedName localSheetId="5" name="PAGE6">#REF!</definedName>
    <definedName localSheetId="3" name="CostOfEquity">#REF!</definedName>
    <definedName localSheetId="2" name="NetIncomeToCommon">#REF!</definedName>
    <definedName localSheetId="23" name="fcf_unlev_terminal1">#REF!</definedName>
    <definedName localSheetId="3" name="PL_FDEPS">#REF!</definedName>
    <definedName localSheetId="23" name="CurrentCashInterestRate">#REF!</definedName>
    <definedName localSheetId="2" name="MinorityInterests">#REF!</definedName>
    <definedName name="FSHStock">#REF!</definedName>
    <definedName localSheetId="3" name="cf">#REF!</definedName>
    <definedName localSheetId="23" name="OPEXPTTL">#REF!</definedName>
    <definedName localSheetId="2" name="IS_otheropexp">#REF!</definedName>
    <definedName localSheetId="5" name="CostOfEquity">#REF!</definedName>
    <definedName localSheetId="23" name="WSEBITFE">#REF!</definedName>
    <definedName localSheetId="3" name="IS_intexisting">#REF!</definedName>
    <definedName localSheetId="23" name="wrn.DCF._.Only.">#REF!</definedName>
    <definedName localSheetId="3" name="RF_Domestic">#REF!</definedName>
    <definedName localSheetId="7" name="DCF">#REF!</definedName>
    <definedName localSheetId="4" name="SCENARIOS">#REF!</definedName>
    <definedName localSheetId="3" name="IS_intrevolver">#REF!</definedName>
    <definedName localSheetId="2" name="IQRTradingCompsC25">#REF!</definedName>
    <definedName localSheetId="23" name="NewProductSales">#REF!</definedName>
    <definedName localSheetId="23" name="hod">#REF!</definedName>
    <definedName name="CF_NI">#REF!</definedName>
    <definedName localSheetId="4" name="Month7">#REF!</definedName>
    <definedName localSheetId="23" name="Sub_Name2">#REF!</definedName>
    <definedName localSheetId="3" name="BS_Other_LTLiabilities">#REF!</definedName>
    <definedName name="FormatFix">#REF!</definedName>
    <definedName localSheetId="5" name="DETAIL">#REF!</definedName>
    <definedName localSheetId="3" name="ni_terminal">#REF!</definedName>
    <definedName localSheetId="4" name="EQUITY">#REF!</definedName>
    <definedName localSheetId="5" name="__NRQ3">#REF!</definedName>
    <definedName localSheetId="2" name="OPPRCO93">#REF!</definedName>
    <definedName localSheetId="23" name="_AVE2">#REF!</definedName>
    <definedName localSheetId="4" name="KeepC">#REF!</definedName>
    <definedName localSheetId="5" name="OPEXQ1">#REF!</definedName>
    <definedName localSheetId="23" name="_Pg35">#REF!</definedName>
    <definedName name="_YE3">#REF!</definedName>
    <definedName localSheetId="3" name="days2">#REF!</definedName>
    <definedName localSheetId="4" name="OtherExchangeRate">#REF!</definedName>
    <definedName name="_Key1">#REF!</definedName>
    <definedName localSheetId="3" name="IS_goodwill">#REF!</definedName>
    <definedName localSheetId="3" name="cty">#REF!</definedName>
    <definedName name="Month10">#REF!</definedName>
    <definedName localSheetId="23" name="Graphs">#REF!</definedName>
    <definedName localSheetId="3" name="acq_cost_convert_low">#REF!</definedName>
    <definedName name="Month4">#REF!</definedName>
    <definedName localSheetId="23" name="Year7">#REF!</definedName>
    <definedName localSheetId="3" name="BS_USD">#REF!</definedName>
    <definedName localSheetId="23" name="Tax_Amortization">#REF!</definedName>
    <definedName localSheetId="4" name="PPHAND2003">#REF!</definedName>
    <definedName localSheetId="2" name="NewHYIssue">#REF!</definedName>
    <definedName localSheetId="5" name="GPPFINQ1">#REF!</definedName>
    <definedName localSheetId="3" name="MSU_PRICE">#REF!</definedName>
    <definedName localSheetId="3" name="term_year">#REF!</definedName>
    <definedName localSheetId="23" name="NRTBTTL">#REF!</definedName>
    <definedName localSheetId="2" name="Month11">#REF!</definedName>
    <definedName localSheetId="4" name="BEGRSLQ1">#REF!</definedName>
    <definedName localSheetId="23" name="OPICEXQ2">#REF!</definedName>
    <definedName localSheetId="4" name="CPPREP2004">#REF!</definedName>
    <definedName localSheetId="4" name="_4TLQTR">#REF!</definedName>
    <definedName localSheetId="5" name="OPEXPTTL">#REF!</definedName>
    <definedName localSheetId="5" name="_Key1">#REF!</definedName>
    <definedName localSheetId="2" name="US_Ger">#REF!</definedName>
    <definedName localSheetId="4" name="_Pg54">#REF!</definedName>
    <definedName localSheetId="23" name="DTA_EXTSLS">#REF!</definedName>
    <definedName localSheetId="23" name="hallo_">#REF!</definedName>
    <definedName localSheetId="2" name="ccy">#REF!</definedName>
    <definedName localSheetId="3" name="OPGRPRQ4">#REF!</definedName>
    <definedName localSheetId="4" name="WSEBITJN">#REF!</definedName>
    <definedName localSheetId="2" name="_Sort">#REF!</definedName>
    <definedName localSheetId="2" name="__Tot98">#REF!</definedName>
    <definedName localSheetId="5" name="cover">#REF!</definedName>
    <definedName localSheetId="2" name="_Pg50">#REF!</definedName>
    <definedName name="__123Graph_D">#REF!</definedName>
    <definedName localSheetId="5" name="aa">#REF!</definedName>
    <definedName localSheetId="23" name="_fcf5">#REF!</definedName>
    <definedName localSheetId="23" name="matldelta">#REF!</definedName>
    <definedName localSheetId="3" name="BS_PPE">#REF!</definedName>
    <definedName localSheetId="23" name="BS_AP">#REF!</definedName>
    <definedName localSheetId="23" name="_3QTR">#REF!</definedName>
    <definedName localSheetId="23" name="____DCF1">#REF!</definedName>
    <definedName localSheetId="2" name="big">#REF!</definedName>
    <definedName localSheetId="2" name="WDGRSLQ2">#REF!</definedName>
    <definedName localSheetId="4" name="__GPQ2">#REF!</definedName>
    <definedName localSheetId="4" name="fcf_lev_terminal1">#REF!</definedName>
    <definedName localSheetId="23" name="wrn.basics.">#REF!</definedName>
    <definedName localSheetId="3" name="CPDIAG2004">#REF!</definedName>
    <definedName localSheetId="3" name="__Tot97">#REF!</definedName>
    <definedName localSheetId="2" name="FIGM953">#REF!</definedName>
    <definedName localSheetId="5" name="desc">#REF!</definedName>
    <definedName name="MSU_PRICE">#REF!</definedName>
    <definedName localSheetId="5" name="ParetoBaseCell">#REF!</definedName>
    <definedName name="QA">#REF!</definedName>
    <definedName localSheetId="4" name="Subscribers">#REF!</definedName>
    <definedName localSheetId="2" name="FINQ3">#REF!</definedName>
    <definedName localSheetId="23" name="PRINT">#REF!</definedName>
    <definedName localSheetId="2" name="FIGEADQ1">#REF!</definedName>
    <definedName name="AsiaFcst">#REF!</definedName>
    <definedName localSheetId="23" name="PPGPTP2003">#REF!</definedName>
    <definedName localSheetId="3" name="EBITDA_mult5">#REF!</definedName>
    <definedName localSheetId="4" name="_Pg37">#REF!</definedName>
    <definedName localSheetId="23" name="OPNTSLQ4">#REF!</definedName>
    <definedName localSheetId="3" name="BS_Inventory">#REF!</definedName>
    <definedName localSheetId="3" name="Despatchph">#REF!</definedName>
    <definedName name="Print2Stop">#REF!</definedName>
    <definedName localSheetId="5" name="scen">#REF!</definedName>
    <definedName localSheetId="2" name="Month7">#REF!</definedName>
    <definedName localSheetId="3" name="SalesMEiph">#REF!</definedName>
    <definedName localSheetId="4" name="chki">#REF!</definedName>
    <definedName name="Netsub">#REF!</definedName>
    <definedName localSheetId="2" name="WSEBITAU">#REF!</definedName>
    <definedName localSheetId="23" name="CPGPDIAG2004">#REF!</definedName>
    <definedName localSheetId="4" name="Rollfwd_USD_LC">#REF!</definedName>
    <definedName name="WDGRSLQ2">#REF!</definedName>
    <definedName localSheetId="5" name="GPPTBTL">#REF!</definedName>
    <definedName localSheetId="3" name="PL_Amortization">#REF!</definedName>
    <definedName localSheetId="23" name="perp_lev_sen">#REF!</definedName>
    <definedName localSheetId="4" name="Year11">#REF!</definedName>
    <definedName localSheetId="5" name="LookUpRange">#REF!</definedName>
    <definedName localSheetId="23" name="TL4QTR">#REF!</definedName>
    <definedName localSheetId="5" name="FIGM943">#REF!</definedName>
    <definedName localSheetId="3" name="Recruitdata">#REF!</definedName>
    <definedName localSheetId="2" name="rev">#REF!</definedName>
    <definedName localSheetId="4" name="Programming">#REF!</definedName>
    <definedName localSheetId="3" name="WriteUp_otherLTA">#REF!</definedName>
    <definedName localSheetId="2" name="Quarter">#REF!</definedName>
    <definedName localSheetId="23" name="KeepB">#REF!</definedName>
    <definedName localSheetId="23" name="_Pg38">#REF!</definedName>
    <definedName localSheetId="7" name="wrn.DCF._.Only.">#REF!</definedName>
    <definedName name="good">#REF!</definedName>
    <definedName localSheetId="5" name="FIGMB3">#REF!</definedName>
    <definedName localSheetId="2" name="OtherCurrency">#REF!</definedName>
    <definedName localSheetId="4" name="_Key1">#REF!</definedName>
    <definedName localSheetId="5" name="LoanTerm">#REF!</definedName>
    <definedName name="GPPSGTL">#REF!</definedName>
    <definedName name="_CCY2">#REF!</definedName>
    <definedName localSheetId="2" name="p_LBO_BS">#REF!</definedName>
    <definedName localSheetId="4" name="GPFINQ3">#REF!</definedName>
    <definedName localSheetId="4" name="USD_B_S">#REF!</definedName>
    <definedName localSheetId="5" name="PPDIAG2003">#REF!</definedName>
    <definedName localSheetId="3" name="_Pg62">#REF!</definedName>
    <definedName localSheetId="2" name="_NRQ2">#REF!</definedName>
    <definedName localSheetId="4" name="SAL">#REF!</definedName>
    <definedName localSheetId="2" name="CF_Other">#REF!</definedName>
    <definedName localSheetId="4" name="Year6">#REF!</definedName>
    <definedName localSheetId="23" name="LoanPmt">#REF!</definedName>
    <definedName localSheetId="23" name="PL_Minority_NI">#REF!</definedName>
    <definedName localSheetId="23" name="LookUpRange">#REF!</definedName>
    <definedName localSheetId="4" name="BS_Other_LTLiabilities">#REF!</definedName>
    <definedName localSheetId="5" name="Month7">#REF!</definedName>
    <definedName name="daniel1">#REF!</definedName>
    <definedName name="EBITTABL">#REF!</definedName>
    <definedName localSheetId="2" name="BS_otherLTA">#REF!</definedName>
    <definedName localSheetId="5" name="PANREAC">#REF!</definedName>
    <definedName localSheetId="4" name="PPGPTP2003">#REF!</definedName>
    <definedName localSheetId="5" name="FYE1NetRevenues">#REF!</definedName>
    <definedName name="_3AQTR">#REF!</definedName>
    <definedName localSheetId="23" name="GPPTBTL">#REF!</definedName>
    <definedName name="TOP10JAN">#REF!</definedName>
    <definedName localSheetId="3" name="PPTRAN2004">#REF!</definedName>
    <definedName localSheetId="5" name="_Pg50">#REF!</definedName>
    <definedName localSheetId="4" name="FINOIQ4">#REF!</definedName>
    <definedName localSheetId="2" name="BS_Other_LTAssets">#REF!</definedName>
    <definedName localSheetId="5" name="FAB">#REF!</definedName>
    <definedName localSheetId="5" name="op">#REF!</definedName>
    <definedName localSheetId="4" name="share_tog">#REF!</definedName>
    <definedName localSheetId="4" name="EquityValueMinusFirmValue">#REF!</definedName>
    <definedName localSheetId="2" name="_Pg81">#REF!</definedName>
    <definedName localSheetId="2" name="Engineeringph">#REF!</definedName>
    <definedName localSheetId="4" name="ComparableAnalysis">#REF!</definedName>
    <definedName localSheetId="2" name="_Pg44">#REF!</definedName>
    <definedName localSheetId="4" name="_2QTRFIN">#REF!</definedName>
    <definedName localSheetId="3" name="bs">#REF!</definedName>
    <definedName localSheetId="2" name="unlev_fcf_rate">#REF!</definedName>
    <definedName localSheetId="5" name="Month12">#REF!</definedName>
    <definedName name="fcf_unlev_terminal3">#REF!</definedName>
    <definedName name="WDCOGSQ4">#REF!</definedName>
    <definedName name="netcostdelta">#REF!</definedName>
    <definedName localSheetId="4" name="StockUWFee">#REF!</definedName>
    <definedName localSheetId="3" name="Cashbox">#REF!</definedName>
    <definedName name="ARPU4">#REF!</definedName>
    <definedName localSheetId="5" name="FIGM942">#REF!</definedName>
    <definedName localSheetId="4" name="F_a">#REF!</definedName>
    <definedName localSheetId="2" name="BS_discontoper">#REF!</definedName>
    <definedName name="EBITAFDE">#REF!</definedName>
    <definedName localSheetId="5" name="GPFINQ4">#REF!</definedName>
    <definedName localSheetId="2" name="BurnhamDespph">#REF!</definedName>
    <definedName localSheetId="23" name="cf">#REF!</definedName>
    <definedName localSheetId="23" name="_Pg62">#REF!</definedName>
    <definedName localSheetId="2" name="Programming">#REF!</definedName>
    <definedName localSheetId="5" name="CF_Non_Cash_Straight_PDividend">#REF!</definedName>
    <definedName localSheetId="23" name="TOP10MAY02">#REF!</definedName>
    <definedName localSheetId="5" name="PPTRAN2004">#REF!</definedName>
    <definedName localSheetId="23" name="PPHAND2004">#REF!</definedName>
    <definedName localSheetId="2" name="BUNames">#REF!</definedName>
    <definedName name="_234Graph_B">#REF!</definedName>
    <definedName localSheetId="4" name="Print_Area_MI">#REF!</definedName>
    <definedName localSheetId="23" name="chki">#REF!</definedName>
    <definedName localSheetId="3" name="CPGPDIAG2004">#REF!</definedName>
    <definedName localSheetId="2" name="ni_mult2">#REF!</definedName>
    <definedName localSheetId="2" name="OPNTSLQ1">#REF!</definedName>
    <definedName name="CPDIAG2003">#REF!</definedName>
    <definedName localSheetId="2" name="WriteUp_inventories">#REF!</definedName>
    <definedName localSheetId="2" name="JulLaunchMonth1">#REF!</definedName>
    <definedName localSheetId="5" name="GPPTTLQ3">#REF!</definedName>
    <definedName localSheetId="3" name="WriteUP_PPE">#REF!</definedName>
    <definedName localSheetId="5" name="_fcf5">#REF!</definedName>
    <definedName localSheetId="3" name="_Pg50">#REF!</definedName>
    <definedName localSheetId="23" name="fcf_unlev10">#REF!</definedName>
    <definedName localSheetId="4" name="M_C_Summary">#REF!</definedName>
    <definedName name="__Tot97">#REF!</definedName>
    <definedName localSheetId="5" name="_327_4.8">#REF!</definedName>
    <definedName localSheetId="4" name="BS_Other_CA">#REF!</definedName>
    <definedName localSheetId="23" name="M_C_graphs">#REF!</definedName>
    <definedName name="ky">#REF!</definedName>
    <definedName localSheetId="3" name="SP3QTR">#REF!</definedName>
    <definedName localSheetId="4" name="Int">#REF!</definedName>
    <definedName name="wrn.model.">#REF!</definedName>
    <definedName localSheetId="23" name="Assemblyph">#REF!</definedName>
    <definedName localSheetId="5" name="SMAN">#REF!</definedName>
    <definedName localSheetId="23" name="PRINT_TITLES_MI">#REF!</definedName>
    <definedName localSheetId="2" name="Amortization">#REF!</definedName>
    <definedName localSheetId="23" name="wrn.Total.">#REF!</definedName>
    <definedName name="CheckArraySize">#REF!</definedName>
    <definedName localSheetId="23" name="CPHAND2003">#REF!</definedName>
    <definedName localSheetId="4" name="Engineering">#REF!</definedName>
    <definedName localSheetId="2" name="Target_LT_Debt">#REF!</definedName>
    <definedName localSheetId="5" name="chki">#REF!</definedName>
    <definedName localSheetId="23" name="_SEP02">#REF!</definedName>
    <definedName localSheetId="5" name="Assembly">#REF!</definedName>
    <definedName localSheetId="3" name="wtdavgshares">#REF!</definedName>
    <definedName name="DNEXStock">#REF!</definedName>
    <definedName localSheetId="23" name="SalesMEi">#REF!</definedName>
    <definedName localSheetId="2" name="susan">#REF!</definedName>
    <definedName localSheetId="5" name="AVE">#REF!</definedName>
    <definedName localSheetId="5" name="IS_eps">#REF!</definedName>
    <definedName localSheetId="4" name="p_highyield_Depr">#REF!</definedName>
    <definedName localSheetId="5" name="row">#REF!</definedName>
    <definedName name="year_close">#REF!</definedName>
    <definedName localSheetId="2" name="p_CFS">#REF!</definedName>
    <definedName localSheetId="2" name="_3QTR">#REF!</definedName>
    <definedName name="WSEBITOC">#REF!</definedName>
    <definedName localSheetId="5" name="CPHANDAE">#REF!</definedName>
    <definedName localSheetId="2" name="Target_ST_Debt">#REF!</definedName>
    <definedName name="M_C_graphs">#REF!</definedName>
    <definedName localSheetId="3" name="_Pg77">#REF!</definedName>
    <definedName name="Print1Stop">#REF!</definedName>
    <definedName name="wrn.TOOL.">#REF!</definedName>
    <definedName localSheetId="2" name="IS_intincome">#REF!</definedName>
    <definedName localSheetId="4" name="WriteUp_otherLTA">#REF!</definedName>
    <definedName name="Procurementph">#REF!</definedName>
    <definedName name="CF_Equity_Earnings">#REF!</definedName>
    <definedName localSheetId="23" name="GPTBTTL">#REF!</definedName>
    <definedName localSheetId="2" name="total">#REF!</definedName>
    <definedName localSheetId="4" name="CreatedForTitle">#REF!</definedName>
    <definedName localSheetId="23" name="year1996">#REF!</definedName>
    <definedName localSheetId="7" name="aaa">#REF!</definedName>
    <definedName localSheetId="23" name="BS_commonequity">#REF!</definedName>
    <definedName localSheetId="2" name="RF_International">#REF!</definedName>
    <definedName localSheetId="3" name="CF_Non_Cash_Charges">#REF!</definedName>
    <definedName localSheetId="2" name="WDNTSLQ4">#REF!</definedName>
    <definedName localSheetId="4" name="_Ops1">#REF!</definedName>
    <definedName localSheetId="5" name="CF_AP">#REF!</definedName>
    <definedName name="CF_Deferred_Taxes">#REF!</definedName>
    <definedName localSheetId="4" name="INSTRUMENTS">#REF!</definedName>
    <definedName localSheetId="23" name="CPFREIGHT2004">#REF!</definedName>
    <definedName localSheetId="7" name="wrn.HEAT.">#REF!</definedName>
    <definedName localSheetId="4" name="ChangeInDeferredCompensation">#REF!</definedName>
    <definedName localSheetId="2" name="HSNTSL92">#REF!</definedName>
    <definedName localSheetId="5" name="OR_ViewProvider_ReportingViews_ExportStorage_OUT_CoG_RND">#REF!</definedName>
    <definedName localSheetId="3" name="KeepA">#REF!</definedName>
    <definedName localSheetId="3" name="p_highyield_BS">#REF!</definedName>
    <definedName localSheetId="4" name="BS_Other_LTAssets">#REF!</definedName>
    <definedName localSheetId="4" name="FIGM944">#REF!</definedName>
    <definedName name="p_LBO_BS_Adj">#REF!</definedName>
    <definedName name="_a1">#REF!</definedName>
    <definedName name="F_b">#REF!</definedName>
    <definedName localSheetId="23" name="NC">#REF!</definedName>
    <definedName localSheetId="23" name="wrn.Complete.">#REF!</definedName>
    <definedName localSheetId="4" name="PL_Convertible_Interest">#REF!</definedName>
    <definedName localSheetId="23" name="BUNames">#REF!</definedName>
    <definedName name="c_date">#REF!</definedName>
    <definedName localSheetId="5" name="KeepC">#REF!</definedName>
    <definedName localSheetId="2" name="NBSCStock">#REF!</definedName>
    <definedName localSheetId="23" name="_Tot97">#REF!</definedName>
    <definedName localSheetId="3" name="Tax_Amortization">#REF!</definedName>
    <definedName localSheetId="5" name="FINOIQ4">#REF!</definedName>
    <definedName localSheetId="4" name="ARPU5">#REF!</definedName>
    <definedName name="_MAY02">#REF!</definedName>
    <definedName localSheetId="3" name="_OCT01">#REF!</definedName>
    <definedName localSheetId="2" name="BS_Minority">#REF!</definedName>
    <definedName localSheetId="5" name="_Pg74">#REF!</definedName>
    <definedName localSheetId="23" name="PPFREIGHTAE">#REF!</definedName>
    <definedName localSheetId="4" name="TOP10MAY02">#REF!</definedName>
    <definedName localSheetId="2" name="TOOLBOX">#REF!</definedName>
    <definedName name="inv">#REF!</definedName>
    <definedName localSheetId="23" name="FIGM942">#REF!</definedName>
    <definedName localSheetId="4" name="convdebtrate">#REF!</definedName>
    <definedName localSheetId="4" name="Engineeringph">#REF!</definedName>
    <definedName localSheetId="4" name="TESTMACR">#REF!</definedName>
    <definedName name="p_Options">#REF!</definedName>
    <definedName name="PPGPTP2004">#REF!</definedName>
    <definedName localSheetId="4" name="TOOL92">#REF!</definedName>
    <definedName localSheetId="4" name="MO_Intl">#REF!</definedName>
    <definedName localSheetId="5" name="divestyear">#REF!</definedName>
    <definedName localSheetId="4" name="Procurementph">#REF!</definedName>
    <definedName localSheetId="3" name="ARPU6">#REF!</definedName>
    <definedName name="c_pageswitch">#REF!</definedName>
    <definedName localSheetId="4" name="OPEXQ1">#REF!</definedName>
    <definedName name="PY">#REF!</definedName>
    <definedName localSheetId="4" name="_Pg77">#REF!</definedName>
    <definedName name="ARPU3">#REF!</definedName>
    <definedName name="__YE4">#REF!</definedName>
    <definedName localSheetId="5" name="PPDIAG2004">#REF!</definedName>
    <definedName localSheetId="2" name="TOOL94">#REF!</definedName>
    <definedName localSheetId="4" name="convprefshares">#REF!</definedName>
    <definedName localSheetId="23" name="Despatch">#REF!</definedName>
    <definedName localSheetId="3" name="MO_Intl">#REF!</definedName>
    <definedName localSheetId="2" name="SIDParentEntities">#REF!</definedName>
    <definedName localSheetId="4" name="_4.3">#REF!</definedName>
    <definedName localSheetId="4" name="M_C_detail">#REF!</definedName>
    <definedName localSheetId="2" name="perp_lev4">#REF!</definedName>
    <definedName localSheetId="23" name="price">#REF!</definedName>
    <definedName localSheetId="2" name="FRA_UK">#REF!</definedName>
    <definedName localSheetId="4" name="BEGRSLQ3">#REF!</definedName>
    <definedName localSheetId="3" name="bs_date">#REF!</definedName>
    <definedName localSheetId="23" name="Forecast">#REF!</definedName>
    <definedName name="Bldg2300">#REF!</definedName>
    <definedName localSheetId="5" name="PPGPTP2003">#REF!</definedName>
    <definedName localSheetId="3" name="WSEBITJA">#REF!</definedName>
    <definedName localSheetId="3" name="p_Index">#REF!</definedName>
    <definedName localSheetId="4" name="ExRate">#REF!</definedName>
    <definedName localSheetId="23" name="c_pathswitch">#REF!</definedName>
    <definedName localSheetId="3" name="PPTP2003">#REF!</definedName>
    <definedName localSheetId="4" name="YearEndDay">#REF!</definedName>
    <definedName localSheetId="2" name="FINOIQ3">#REF!</definedName>
    <definedName name="OPNTSL93">#REF!</definedName>
    <definedName localSheetId="2" name="_SEP02">#REF!</definedName>
    <definedName localSheetId="23" name="TOOLBOX">#REF!</definedName>
    <definedName localSheetId="23" name="EBITDA_mult2">#REF!</definedName>
    <definedName localSheetId="3" name="FIGEADQ3">#REF!</definedName>
    <definedName localSheetId="23" name="cover">#REF!</definedName>
    <definedName localSheetId="2" name="perp_unlev5">#REF!</definedName>
    <definedName localSheetId="23" name="p_LBO_CF">#REF!</definedName>
    <definedName localSheetId="5" name="TargetCompanyCurrency">#REF!</definedName>
    <definedName localSheetId="3" name="PPHANDAE">#REF!</definedName>
    <definedName name="_5_99_3S">#REF!</definedName>
    <definedName localSheetId="4" name="NetIncomeToCommon">#REF!</definedName>
    <definedName localSheetId="4" name="BEGRSLQ2">#REF!</definedName>
    <definedName localSheetId="5" name="Month10">#REF!</definedName>
    <definedName name="MO_Domestic">#REF!</definedName>
    <definedName localSheetId="4" name="Frequency">#REF!</definedName>
    <definedName localSheetId="3" name="B_b">#REF!</definedName>
    <definedName localSheetId="7" name="D">#REF!</definedName>
    <definedName localSheetId="2" name="CF_straightdebt">#REF!</definedName>
    <definedName localSheetId="3" name="F_a">#REF!</definedName>
    <definedName localSheetId="5" name="BldgS4">#REF!</definedName>
    <definedName localSheetId="23" name="D">#REF!</definedName>
    <definedName localSheetId="23" name="PPGPDIAG2004">#REF!</definedName>
    <definedName localSheetId="2" name="PPFREIGHT2004">#REF!</definedName>
    <definedName name="FIGMB2">#REF!</definedName>
    <definedName name="_Pg36">#REF!</definedName>
    <definedName localSheetId="23" name="WDOPCOQ1">#REF!</definedName>
    <definedName localSheetId="2" name="__CCY1">#REF!</definedName>
    <definedName localSheetId="5" name="Test">#REF!</definedName>
    <definedName localSheetId="5" name="Finance">#REF!</definedName>
    <definedName localSheetId="5" name="_Pg38">#REF!</definedName>
    <definedName localSheetId="5" name="writeupdeprec">#REF!</definedName>
    <definedName localSheetId="4" name="p_highyield_FA">#REF!</definedName>
    <definedName localSheetId="5" name="newname">#REF!</definedName>
    <definedName localSheetId="4" name="__fcf5">#REF!</definedName>
    <definedName localSheetId="5" name="WriteUp_otherLTA">#REF!</definedName>
    <definedName localSheetId="2" name="PL_Interest_Income">#REF!</definedName>
    <definedName localSheetId="4" name="_Pg46">#REF!</definedName>
    <definedName localSheetId="3" name="StatusCodes">#REF!</definedName>
    <definedName localSheetId="2" name="CashInterestRateOverwrite">#REF!</definedName>
    <definedName localSheetId="23" name="SP4QTR">#REF!</definedName>
    <definedName localSheetId="23" name="_AUG02">#REF!</definedName>
    <definedName localSheetId="23" name="BldgR11">#REF!</definedName>
    <definedName localSheetId="3" name="ChangeInConvertiblePreferredStock">#REF!</definedName>
    <definedName localSheetId="5" name="Installed">#REF!</definedName>
    <definedName localSheetId="23" name="Costcode">#REF!</definedName>
    <definedName localSheetId="5" name="shos">#REF!</definedName>
    <definedName localSheetId="4" name="c_SSBswitch">#REF!</definedName>
    <definedName name="value_date">#REF!</definedName>
    <definedName localSheetId="5" name="OPGRPRQ2">#REF!</definedName>
    <definedName localSheetId="3" name="Software_amort">#REF!</definedName>
    <definedName localSheetId="5" name="OPICEXQ1">#REF!</definedName>
    <definedName name="CF_Investments">#REF!</definedName>
    <definedName localSheetId="3" name="fcf_unlev_terminal4">#REF!</definedName>
    <definedName localSheetId="2" name="WriteUp_payables">#REF!</definedName>
    <definedName localSheetId="5" name="_fcf10">#REF!</definedName>
    <definedName localSheetId="4" name="FX_YEN">#REF!</definedName>
    <definedName localSheetId="3" name="OPOPCOQ2">#REF!</definedName>
    <definedName name="OPNTSLQ1">#REF!</definedName>
    <definedName localSheetId="4" name="Year3">#REF!</definedName>
    <definedName localSheetId="23" name="EuroRate">#REF!</definedName>
    <definedName localSheetId="5" name="WACC">#REF!</definedName>
    <definedName name="__NRQ2">#REF!</definedName>
    <definedName localSheetId="5" name="_YE2">#REF!</definedName>
    <definedName localSheetId="3" name="Primestar">#REF!</definedName>
    <definedName localSheetId="3" name="perp_unlev1">#REF!</definedName>
    <definedName name="_Pg81">#REF!</definedName>
    <definedName localSheetId="3" name="CF_revolver">#REF!</definedName>
    <definedName localSheetId="23" name="ccy">#REF!</definedName>
    <definedName localSheetId="5" name="Goodwill">#REF!</definedName>
    <definedName localSheetId="4" name="EBITAFSE">#REF!</definedName>
    <definedName localSheetId="2" name="__rsr2">#REF!</definedName>
    <definedName localSheetId="4" name="ServiceExtph">#REF!</definedName>
    <definedName localSheetId="5" name="Expcode">#REF!</definedName>
    <definedName localSheetId="5" name="BS_receivables">#REF!</definedName>
    <definedName localSheetId="23" name="ProdMgt">#REF!</definedName>
    <definedName localSheetId="3" name="BS_AP">#REF!</definedName>
    <definedName localSheetId="5" name="VAL">#REF!</definedName>
    <definedName localSheetId="4" name="PL_Rent">#REF!</definedName>
    <definedName localSheetId="23" name="Month7">#REF!</definedName>
    <definedName localSheetId="4" name="_Pg71">#REF!</definedName>
    <definedName localSheetId="4" name="NONINSTRUMENTS">#REF!</definedName>
    <definedName localSheetId="3" name="payments">#REF!</definedName>
    <definedName localSheetId="3" name="__GPQ1">#REF!</definedName>
    <definedName localSheetId="3" name="SumB">#REF!</definedName>
    <definedName localSheetId="4" name="fcf_lev_terminal5">#REF!</definedName>
    <definedName localSheetId="2" name="CF_Provisions">#REF!</definedName>
    <definedName localSheetId="4" name="cash_fv">#REF!</definedName>
    <definedName localSheetId="23" name="OPNTSLQ1">#REF!</definedName>
    <definedName localSheetId="5" name="NotesBNewIssue">#REF!</definedName>
    <definedName localSheetId="3" name="BurnhamSales">#REF!</definedName>
    <definedName localSheetId="3" name="_GPQ3">#REF!</definedName>
    <definedName localSheetId="4" name="FRA_UK">#REF!</definedName>
    <definedName localSheetId="2" name="Conversion">#REF!</definedName>
    <definedName localSheetId="5" name="PL_99A_v_99F">#REF!</definedName>
    <definedName localSheetId="5" name="OPEXQ2">#REF!</definedName>
    <definedName name="BS_goodwill">#REF!</definedName>
    <definedName localSheetId="23" name="GPSPGTTL">#REF!</definedName>
    <definedName localSheetId="23" name="Burnhamprodcon">#REF!</definedName>
    <definedName localSheetId="23" name="OPICEXQ4">#REF!</definedName>
    <definedName localSheetId="4" name="plandtl">#REF!</definedName>
    <definedName localSheetId="3" name="page8">#REF!</definedName>
    <definedName localSheetId="4" name="_Pg78">#REF!</definedName>
    <definedName localSheetId="2" name="_2TLQTR">#REF!</definedName>
    <definedName localSheetId="2" name="_Pg39">#REF!</definedName>
    <definedName localSheetId="5" name="PPGPPREP2004">#REF!</definedName>
    <definedName name="CF_AR">#REF!</definedName>
    <definedName localSheetId="2" name="EBITAFAP">#REF!</definedName>
    <definedName localSheetId="4" name="PPFREIGHTAE">#REF!</definedName>
    <definedName localSheetId="5" name="commondiv">#REF!</definedName>
    <definedName localSheetId="3" name="_Pg35">#REF!</definedName>
    <definedName localSheetId="2" name="PL_Minority_NI">#REF!</definedName>
    <definedName localSheetId="23" name="Calibration">#REF!</definedName>
    <definedName localSheetId="23" name="IS_minority">#REF!</definedName>
    <definedName localSheetId="2" name="type">#REF!</definedName>
    <definedName name="FINQ3">#REF!</definedName>
    <definedName name="CF_Dividends_Subsidiary">#REF!</definedName>
    <definedName name="Option_Proceeds">#REF!</definedName>
    <definedName localSheetId="4" name="OfferPrice">#REF!</definedName>
    <definedName localSheetId="4" name="PPGPDIAG2004">#REF!</definedName>
    <definedName localSheetId="3" name="TOOL91">#REF!</definedName>
    <definedName localSheetId="7" name="z">#REF!</definedName>
    <definedName name="mincash">#REF!</definedName>
    <definedName name="BS_deferredtaxes">#REF!</definedName>
    <definedName localSheetId="23" name="__fcf5">#REF!</definedName>
    <definedName localSheetId="3" name="main">#REF!</definedName>
    <definedName localSheetId="4" name="Vitality">#REF!</definedName>
    <definedName localSheetId="2" name="IS_COGS">#REF!</definedName>
    <definedName localSheetId="2" name="PANREAC">#REF!</definedName>
    <definedName localSheetId="4" name="_JAN02">#REF!</definedName>
    <definedName localSheetId="4" name="_273_4.2">#REF!</definedName>
    <definedName localSheetId="5" name="BEGSSLQ1">#REF!</definedName>
    <definedName name="convpricedebt">#REF!</definedName>
    <definedName localSheetId="3" name="TOOL93">#REF!</definedName>
    <definedName localSheetId="23" name="ParetoBaseCell">#REF!</definedName>
    <definedName localSheetId="4" name="ni_mult_sen">#REF!</definedName>
    <definedName localSheetId="2" name="_Pg66">#REF!</definedName>
    <definedName localSheetId="3" name="_Pg71">#REF!</definedName>
    <definedName localSheetId="2" name="page7">#REF!</definedName>
    <definedName localSheetId="3" name="CF_Deferred_Taxes">#REF!</definedName>
    <definedName localSheetId="4" name="unlev_fcf_rate">#REF!</definedName>
    <definedName localSheetId="4" name="SmaxFOA">#REF!</definedName>
    <definedName name="Govt">#REF!</definedName>
    <definedName name="PRINT1">#REF!</definedName>
    <definedName localSheetId="3" name="WriteUp_otherCA">#REF!</definedName>
    <definedName name="Installedph">#REF!</definedName>
    <definedName name="eu">#REF!</definedName>
    <definedName localSheetId="3" name="FX_EUR">#REF!</definedName>
    <definedName name="WDGRSLQ4">#REF!</definedName>
    <definedName localSheetId="5" name="BEGRSLQ3">#REF!</definedName>
    <definedName localSheetId="4" name="p_LBO_Debt">#REF!</definedName>
    <definedName name="publicityph">#REF!</definedName>
    <definedName localSheetId="5" name="GPTBTTL">#REF!</definedName>
    <definedName localSheetId="23" name="ChangeInConvertiblePreferredStock">#REF!</definedName>
    <definedName localSheetId="23" name="_OCT01">#REF!</definedName>
    <definedName name="p_Tax">#REF!</definedName>
    <definedName localSheetId="2" name="FIUNABQ1">#REF!</definedName>
    <definedName localSheetId="4" name="BurnhamSales">#REF!</definedName>
    <definedName localSheetId="5" name="__fcf10">#REF!</definedName>
    <definedName localSheetId="3" name="Ben_Ger">#REF!</definedName>
    <definedName localSheetId="5" name="_1QTRFIN">#REF!</definedName>
    <definedName localSheetId="5" name="BS_Inventory">#REF!</definedName>
    <definedName name="business">#REF!</definedName>
    <definedName localSheetId="5" name="WriteUp_otherCL">#REF!</definedName>
    <definedName localSheetId="23" name="_Pg54">#REF!</definedName>
    <definedName localSheetId="2" name="c_pageswitch">#REF!</definedName>
    <definedName localSheetId="3" name="jun">#REF!</definedName>
    <definedName localSheetId="4" name="_AVE2">#REF!</definedName>
    <definedName name="Target_ST_Debt">#REF!</definedName>
    <definedName localSheetId="5" name="PPFREIGHT2003">#REF!</definedName>
    <definedName localSheetId="4" name="FYE1EBITDA">#REF!</definedName>
    <definedName localSheetId="7" name="OCTBS">#REF!</definedName>
    <definedName localSheetId="4" name="StockPrice">#REF!</definedName>
    <definedName localSheetId="4" name="_Pg56">#REF!</definedName>
    <definedName name="detail97">#REF!</definedName>
    <definedName localSheetId="2" name="EBITDA_mult">#REF!</definedName>
    <definedName localSheetId="23" name="CF_minority">#REF!</definedName>
    <definedName localSheetId="23" name="MinorityInterests">#REF!</definedName>
    <definedName localSheetId="5" name="WriteUp_inventories">#REF!</definedName>
    <definedName localSheetId="4" name="OPGRPRQ3">#REF!</definedName>
    <definedName localSheetId="3" name="_YE4">#REF!</definedName>
    <definedName localSheetId="3" name="convprefrate">#REF!</definedName>
    <definedName localSheetId="3" name="actualdtl">#REF!</definedName>
    <definedName localSheetId="5" name="x2lite">#REF!</definedName>
    <definedName name="CF_Straight_Preferred">#REF!</definedName>
    <definedName localSheetId="23" name="Financeph">#REF!</definedName>
    <definedName localSheetId="2" name="ARPU6">#REF!</definedName>
    <definedName name="NetDebt">#REF!</definedName>
    <definedName localSheetId="23" name="BS_inventories">#REF!</definedName>
    <definedName name="_b2">#REF!</definedName>
    <definedName localSheetId="7" name="____DCF1">#REF!</definedName>
    <definedName localSheetId="23" name="commondiv">#REF!</definedName>
    <definedName localSheetId="2" name="BEGSSLQ1">#REF!</definedName>
    <definedName localSheetId="2" name="_Pg69">#REF!</definedName>
    <definedName localSheetId="2" name="BS_Other_LTLiabilities">#REF!</definedName>
    <definedName localSheetId="3" name="CPTRAN2004">#REF!</definedName>
    <definedName name="Buys">#REF!</definedName>
    <definedName localSheetId="4" name="OPOTEXQ2">#REF!</definedName>
    <definedName localSheetId="23" name="WDGRSLQ4">#REF!</definedName>
    <definedName localSheetId="4" name="KeepD">#REF!</definedName>
    <definedName localSheetId="4" name="EBITAFOC">#REF!</definedName>
    <definedName localSheetId="5" name="FullData">#REF!</definedName>
    <definedName localSheetId="3" name="fcf_unlev_terminal3">#REF!</definedName>
    <definedName name="GPPFINQ1">#REF!</definedName>
    <definedName name="_GPQ1">#REF!</definedName>
    <definedName localSheetId="3" name="ven">#REF!</definedName>
    <definedName localSheetId="2" name="CF_Other_CA">#REF!</definedName>
    <definedName localSheetId="3" name="_4QTR">#REF!</definedName>
    <definedName localSheetId="2" name="MiscRev">#REF!</definedName>
    <definedName localSheetId="5" name="BUNames">#REF!</definedName>
    <definedName name="netcostplan">#REF!</definedName>
    <definedName localSheetId="4" name="EuroRate">#REF!</definedName>
    <definedName localSheetId="4" name="rptCS">#REF!</definedName>
    <definedName localSheetId="3" name="is">#REF!</definedName>
    <definedName name="matldelta">#REF!</definedName>
    <definedName localSheetId="3" name="p_DCF">#REF!</definedName>
    <definedName localSheetId="4" name="page3">#REF!</definedName>
    <definedName localSheetId="23" name="CF_Non_Cash_Interest">#REF!</definedName>
    <definedName localSheetId="4" name="Cashbox">#REF!</definedName>
    <definedName localSheetId="2" name="_1QTRFIN">#REF!</definedName>
    <definedName localSheetId="5" name="CF_Inventory">#REF!</definedName>
    <definedName localSheetId="3" name="FIGMQ4">#REF!</definedName>
    <definedName localSheetId="23" name="divestyear">#REF!</definedName>
    <definedName localSheetId="23" name="credits">#REF!</definedName>
    <definedName localSheetId="23" name="ChangeInDeferredCompensation">#REF!</definedName>
    <definedName localSheetId="2" name="AsiaAct">#REF!</definedName>
    <definedName localSheetId="2" name="EBITAFFE">#REF!</definedName>
    <definedName name="NonCashInterestRate">#REF!</definedName>
    <definedName localSheetId="2" name="p_Options">#REF!</definedName>
    <definedName name="_JUN02">#REF!</definedName>
    <definedName localSheetId="3" name="_Pg53">#REF!</definedName>
    <definedName localSheetId="23" name="FIGM954">#REF!</definedName>
    <definedName localSheetId="4" name="BS_payables">#REF!</definedName>
    <definedName localSheetId="23" name="Occupancyphnt">#REF!</definedName>
    <definedName localSheetId="5" name="_4.1">#REF!</definedName>
    <definedName localSheetId="3" name="FullTakeRate">#REF!</definedName>
    <definedName localSheetId="2" name="BS_otherLTL">#REF!</definedName>
    <definedName localSheetId="3" name="FRA_Ger">#REF!</definedName>
    <definedName localSheetId="3" name="convdebtrate">#REF!</definedName>
    <definedName localSheetId="3" name="EBITQ3">#REF!</definedName>
    <definedName localSheetId="3" name="Bookings_Detail_Area">#REF!</definedName>
    <definedName localSheetId="3" name="GPFINTTL">#REF!</definedName>
    <definedName localSheetId="23" name="FINQ2">#REF!</definedName>
    <definedName localSheetId="2" name="Balance">#REF!</definedName>
    <definedName localSheetId="2" name="p_BS">#REF!</definedName>
    <definedName localSheetId="23" name="TEXT">#REF!</definedName>
    <definedName localSheetId="5" name="ExchangeRate2">#REF!</definedName>
    <definedName localSheetId="3" name="CF_Inventory">#REF!</definedName>
    <definedName localSheetId="4" name="_1QTRFIN">#REF!</definedName>
    <definedName localSheetId="5" name="CF_Dividends_Subsidiary">#REF!</definedName>
    <definedName localSheetId="4" name="Ke">#REF!</definedName>
    <definedName localSheetId="3" name="FX_BRL">#REF!</definedName>
    <definedName localSheetId="23" name="CPGPDIAG2003">#REF!</definedName>
    <definedName localSheetId="23" name="actsumm">#REF!</definedName>
    <definedName localSheetId="4" name="Ops">#REF!</definedName>
    <definedName localSheetId="4" name="BS_Convertible_Debt">#REF!</definedName>
    <definedName localSheetId="23" name="_Pg81">#REF!</definedName>
    <definedName localSheetId="23" name="wrn.RELEVANTSHEETS.">#REF!</definedName>
    <definedName localSheetId="3" name="CF_Equity_Earnings">#REF!</definedName>
    <definedName localSheetId="5" name="TL1QTR">#REF!</definedName>
    <definedName name="QAph">#REF!</definedName>
    <definedName localSheetId="2" name="OPOTEXQ4">#REF!</definedName>
    <definedName name="wrn.Maine.">#REF!</definedName>
    <definedName localSheetId="4" name="MTDStock">#REF!</definedName>
    <definedName name="TL3QTR">#REF!</definedName>
    <definedName localSheetId="3" name="_264_4.12">#REF!</definedName>
    <definedName localSheetId="2" name="_0.2">#REF!</definedName>
    <definedName localSheetId="4" name="optim">#REF!</definedName>
    <definedName localSheetId="23" name="wrn.first4.">#REF!</definedName>
    <definedName localSheetId="5" name="Transducersph">#REF!</definedName>
    <definedName localSheetId="2" name="employee_lookup">#REF!</definedName>
    <definedName localSheetId="2" name="BLANK">#REF!</definedName>
    <definedName localSheetId="23" name="FIUNABQ1">#REF!</definedName>
    <definedName localSheetId="5" name="disc_years">#REF!</definedName>
    <definedName localSheetId="23" name="KeepH">#REF!</definedName>
    <definedName localSheetId="2" name="_Pg31">#REF!</definedName>
    <definedName localSheetId="3" name="_2QTRFIN">#REF!</definedName>
    <definedName localSheetId="4" name="x2lite">#REF!</definedName>
    <definedName localSheetId="5" name="Assemblyph">#REF!</definedName>
    <definedName localSheetId="4" name="prefrate">#REF!</definedName>
    <definedName localSheetId="23" name="_3TLQTR">#REF!</definedName>
    <definedName localSheetId="4" name="ENTITIES">#REF!</definedName>
    <definedName localSheetId="2" name="scen">#REF!</definedName>
    <definedName localSheetId="4" name="QA">#REF!</definedName>
    <definedName localSheetId="23" name="__NRQ3">#REF!</definedName>
    <definedName localSheetId="2" name="ProdControl">#REF!</definedName>
    <definedName localSheetId="3" name="ProdControlph">#REF!</definedName>
    <definedName name="EBITAFOC">#REF!</definedName>
    <definedName localSheetId="4" name="CPFREIGHT2004">#REF!</definedName>
    <definedName name="CF_deprec">#REF!</definedName>
    <definedName localSheetId="2" name="p_DCF5">#REF!</definedName>
    <definedName localSheetId="23" name="wrn.ipovalue.">#REF!</definedName>
    <definedName localSheetId="3" name="FIGM952">#REF!</definedName>
    <definedName localSheetId="2" name="fcf_lev_terminal1">#REF!</definedName>
    <definedName localSheetId="3" name="Week">#REF!</definedName>
    <definedName localSheetId="23" name="al">#REF!</definedName>
    <definedName localSheetId="23" name="_Pg72">#REF!</definedName>
    <definedName localSheetId="3" name="__GPQ4">#REF!</definedName>
    <definedName localSheetId="4" name="FINOIQ2">#REF!</definedName>
    <definedName localSheetId="7" name="SUMMARY_BOOK">#REF!</definedName>
    <definedName localSheetId="4" name="_Pg70">#REF!</definedName>
    <definedName localSheetId="5" name="WSEBITFE">#REF!</definedName>
    <definedName localSheetId="3" name="MOLD92">#REF!</definedName>
    <definedName localSheetId="23" name="PPGPPREP2003">#REF!</definedName>
    <definedName name="ni_mult2">#REF!</definedName>
    <definedName localSheetId="2" name="_336_4.9">#REF!</definedName>
    <definedName localSheetId="4" name="WDCOGSQ1">#REF!</definedName>
    <definedName localSheetId="23" name="IS_eps">#REF!</definedName>
    <definedName localSheetId="4" name="BUProductLines">#REF!</definedName>
    <definedName localSheetId="5" name="summy97">#REF!</definedName>
    <definedName localSheetId="3" name="OPOPCOQ3">#REF!</definedName>
    <definedName localSheetId="3" name="writeupdeprec">#REF!</definedName>
    <definedName localSheetId="23" name="Price_Volume_Swap_Data">#REF!</definedName>
    <definedName localSheetId="23" name="PAGE6">#REF!</definedName>
    <definedName localSheetId="23" name="p_LBO_Summary">#REF!</definedName>
    <definedName localSheetId="4" name="BS_otherLTL">#REF!</definedName>
    <definedName localSheetId="3" name="M_C_detail">#REF!</definedName>
    <definedName name="OPNTSLQ3">#REF!</definedName>
    <definedName localSheetId="3" name="PRINT2">#REF!</definedName>
    <definedName localSheetId="4" name="StockIssueCostLife">#REF!</definedName>
    <definedName localSheetId="3" name="PPHAND2003">#REF!</definedName>
    <definedName localSheetId="5" name="Month2">#REF!</definedName>
    <definedName localSheetId="5" name="IT">#REF!</definedName>
    <definedName name="MOLD94">#REF!</definedName>
    <definedName localSheetId="23" name="CostsOfDebt">#REF!</definedName>
    <definedName localSheetId="3" name="ARPU1">#REF!</definedName>
    <definedName name="wrn.TransPrcd_123.">#REF!</definedName>
    <definedName localSheetId="23" name="erg">#REF!</definedName>
    <definedName localSheetId="5" name="acq_cost_convert_low">#REF!</definedName>
    <definedName localSheetId="4" name="page5">#REF!</definedName>
    <definedName localSheetId="23" name="YECY">#REF!</definedName>
    <definedName localSheetId="2" name="PPTRAN2004">#REF!</definedName>
    <definedName name="CF_straightdebt">#REF!</definedName>
    <definedName localSheetId="23" name="_Pg56">#REF!</definedName>
    <definedName name="_Pg65">#REF!</definedName>
    <definedName localSheetId="4" name="pess">#REF!</definedName>
    <definedName localSheetId="5" name="convpricepref">#REF!</definedName>
    <definedName localSheetId="23" name="Directors">#REF!</definedName>
    <definedName localSheetId="23" name="BS_Convertible_Debt">#REF!</definedName>
    <definedName localSheetId="3" name="Int">#REF!</definedName>
    <definedName localSheetId="2" name="Print1Start">#REF!</definedName>
    <definedName localSheetId="5" name="GPPSGTL">#REF!</definedName>
    <definedName localSheetId="4" name="BS_straightpref">#REF!</definedName>
    <definedName localSheetId="23" name="Directorsph">#REF!</definedName>
    <definedName localSheetId="2" name="FormatFix">#REF!</definedName>
    <definedName name="LoanDate">#REF!</definedName>
    <definedName localSheetId="5" name="NRTTL">#REF!</definedName>
    <definedName localSheetId="4" name="OPPRCO93">#REF!</definedName>
    <definedName localSheetId="2" name="StockIssueCostLife">#REF!</definedName>
    <definedName localSheetId="2" name="PL_BasicSO">#REF!</definedName>
    <definedName localSheetId="3" name="ERL_US">#REF!</definedName>
    <definedName name="FIGM944">#REF!</definedName>
    <definedName name="FIGM943">#REF!</definedName>
    <definedName localSheetId="23" name="CF_NI">#REF!</definedName>
    <definedName localSheetId="4" name="Month3">#REF!</definedName>
    <definedName name="_339ÿ__bot">#REF!</definedName>
    <definedName localSheetId="2" name="CF_deferredtaxes">#REF!</definedName>
    <definedName localSheetId="4" name="__YE4">#REF!</definedName>
    <definedName localSheetId="23" name="TOP10OCT">#REF!</definedName>
    <definedName localSheetId="5" name="FINOIQ3">#REF!</definedName>
    <definedName localSheetId="2" name="_Pg70">#REF!</definedName>
    <definedName name="CF_equity">#REF!</definedName>
    <definedName localSheetId="4" name="NewCo4On">#REF!</definedName>
    <definedName name="CommonCurrency">#REF!</definedName>
    <definedName localSheetId="2" name="p_LBO_Summary">#REF!</definedName>
    <definedName localSheetId="3" name="_Pg47">#REF!</definedName>
    <definedName localSheetId="2" name="FIGMB2">#REF!</definedName>
    <definedName name="CustEng">#REF!</definedName>
    <definedName localSheetId="4" name="_MAY02">#REF!</definedName>
    <definedName localSheetId="4" name="WSEBITJL">#REF!</definedName>
    <definedName localSheetId="2" name="BS_Convertible_Debt">#REF!</definedName>
    <definedName name="BS_Provisions">#REF!</definedName>
    <definedName name="IQRTradingCompsC25">#REF!</definedName>
    <definedName localSheetId="2" name="A_b">#REF!</definedName>
    <definedName localSheetId="4" name="NewTaxIntangibles">#REF!</definedName>
    <definedName localSheetId="4" name="PL_Loss_Debt">#REF!</definedName>
    <definedName localSheetId="4" name="EntityList">#REF!</definedName>
    <definedName localSheetId="3" name="FIUNABQ3">#REF!</definedName>
    <definedName localSheetId="4" name="__Tot97">#REF!</definedName>
    <definedName localSheetId="4" name="GP">#REF!</definedName>
    <definedName localSheetId="4" name="CF_convertdebt">#REF!</definedName>
    <definedName localSheetId="2" name="sort">#REF!</definedName>
    <definedName name="E">#REF!</definedName>
    <definedName localSheetId="4" name="BurnhamEngph">#REF!</definedName>
    <definedName localSheetId="5" name="Month8">#REF!</definedName>
    <definedName localSheetId="23" name="Emaxapp">#REF!</definedName>
    <definedName name="PPFREIGHT2004">#REF!</definedName>
    <definedName name="p_CFS">#REF!</definedName>
    <definedName localSheetId="2" name="BS_USD">#REF!</definedName>
    <definedName localSheetId="3" name="progCOS">#REF!</definedName>
    <definedName localSheetId="4" name="Spec_detail">#REF!</definedName>
    <definedName localSheetId="5" name="perp_unlev5">#REF!</definedName>
    <definedName name="Step">#REF!</definedName>
    <definedName localSheetId="4" name="codes">#REF!</definedName>
    <definedName localSheetId="23" name="Elim_a">#REF!</definedName>
    <definedName localSheetId="4" name="BLANK">#REF!</definedName>
    <definedName localSheetId="5" name="EBITDA_mult3">#REF!</definedName>
    <definedName name="StatusCodes">#REF!</definedName>
    <definedName localSheetId="4" name="CPHAND2004">#REF!</definedName>
    <definedName localSheetId="3" name="__NRQ1">#REF!</definedName>
    <definedName name="EBITAFJN">#REF!</definedName>
    <definedName localSheetId="4" name="churn">#REF!</definedName>
    <definedName localSheetId="4" name="TOP10SEP02">#REF!</definedName>
    <definedName localSheetId="4" name="FXREV_USD">#REF!</definedName>
    <definedName localSheetId="5" name="INSTRUMENTS">#REF!</definedName>
    <definedName name="OPPRCO93">#REF!</definedName>
    <definedName localSheetId="5" name="MiscRev">#REF!</definedName>
    <definedName name="__fcf5">#REF!</definedName>
    <definedName name="p_LBO_DebtB">#REF!</definedName>
    <definedName localSheetId="5" name="ni_mult2">#REF!</definedName>
    <definedName localSheetId="3" name="Month5">#REF!</definedName>
    <definedName localSheetId="2" name="BS_Straight_Debt">#REF!</definedName>
    <definedName name="tot">#REF!</definedName>
    <definedName name="CF_convertdebt">#REF!</definedName>
    <definedName localSheetId="5" name="BS_deferredtaxes">#REF!</definedName>
    <definedName localSheetId="2" name="Ticker">#REF!</definedName>
    <definedName name="MOLD93">#REF!</definedName>
    <definedName localSheetId="4" name="p_BS">#REF!</definedName>
    <definedName localSheetId="2" name="CustEng">#REF!</definedName>
    <definedName localSheetId="2" name="ARPU2">#REF!</definedName>
    <definedName name="PL_Straight_Interest">#REF!</definedName>
    <definedName localSheetId="23" name="term_year">#REF!</definedName>
    <definedName localSheetId="3" name="acq_cost_convert_high">#REF!</definedName>
    <definedName name="Cashbox">#REF!</definedName>
    <definedName localSheetId="3" name="proj">#REF!</definedName>
    <definedName localSheetId="3" name="OPICEXQ4">#REF!</definedName>
    <definedName localSheetId="23" name="ex">#REF!</definedName>
    <definedName localSheetId="2" name="FIGMB4">#REF!</definedName>
    <definedName localSheetId="3" name="OPEXQ4">#REF!</definedName>
    <definedName localSheetId="2" name="FullData">#REF!</definedName>
    <definedName localSheetId="4" name="fiscal_year">#REF!</definedName>
    <definedName localSheetId="2" name="DNEXStock">#REF!</definedName>
    <definedName localSheetId="23" name="perp_unlev5">#REF!</definedName>
    <definedName localSheetId="4" name="_Pg47">#REF!</definedName>
    <definedName localSheetId="2" name="Spec_graphs">#REF!</definedName>
    <definedName localSheetId="2" name="WI_detail">#REF!</definedName>
    <definedName localSheetId="23" name="CF_Provisions">#REF!</definedName>
    <definedName localSheetId="3" name="MonthsRange">#REF!</definedName>
    <definedName localSheetId="2" name="divestproceeds">#REF!</definedName>
    <definedName localSheetId="2" name="NotesBNewIssue">#REF!</definedName>
    <definedName name="Sports">#REF!</definedName>
    <definedName name="product">#REF!</definedName>
    <definedName localSheetId="23" name="BS_Convertible_Preferred">#REF!</definedName>
    <definedName localSheetId="23" name="PYME">#REF!</definedName>
    <definedName localSheetId="4" name="CashInterestRateOverwrite">#REF!</definedName>
    <definedName localSheetId="2" name="Fund_Deficit">#REF!</definedName>
    <definedName name="Sports2">#REF!</definedName>
    <definedName localSheetId="2" name="M_C_graphs">#REF!</definedName>
    <definedName localSheetId="4" name="DCFBase">#REF!</definedName>
    <definedName localSheetId="5" name="Print2Start">#REF!</definedName>
    <definedName localSheetId="3" name="Process_details">#REF!</definedName>
    <definedName localSheetId="4" name="Salesph">#REF!</definedName>
    <definedName name="wrn.Complete.">#REF!</definedName>
    <definedName name="FX_CNY">#REF!</definedName>
    <definedName localSheetId="5" name="WSEBITJA">#REF!</definedName>
    <definedName localSheetId="3" name="Periodic_Summary">#REF!</definedName>
    <definedName name="SIDEntities">#REF!</definedName>
    <definedName localSheetId="23" name="Spec_detail">#REF!</definedName>
    <definedName localSheetId="7" name="wrn.model.">#REF!</definedName>
    <definedName localSheetId="23" name="ReleveredBeta">#REF!</definedName>
    <definedName localSheetId="5" name="BUProductLines">#REF!</definedName>
    <definedName localSheetId="5" name="NET_DEBT">#REF!</definedName>
    <definedName localSheetId="2" name="OPGRPRQ1">#REF!</definedName>
    <definedName localSheetId="23" name="Targetname">#REF!</definedName>
    <definedName localSheetId="23" name="summy97">#REF!</definedName>
    <definedName localSheetId="3" name="Step">#REF!</definedName>
    <definedName localSheetId="23" name="p_highyield_FA">#REF!</definedName>
    <definedName localSheetId="4" name="Financeph">#REF!</definedName>
    <definedName name="BS_straightpref">#REF!</definedName>
    <definedName localSheetId="4" name="EBITAFNO">#REF!</definedName>
    <definedName localSheetId="4" name="BS_discontoper">#REF!</definedName>
    <definedName localSheetId="7" name="wrn.ALL._.SHEETS.">#REF!</definedName>
    <definedName localSheetId="23" name="Int">#REF!</definedName>
    <definedName name="FXREV_USD">#REF!</definedName>
    <definedName localSheetId="4" name="divestyear">#REF!</definedName>
    <definedName localSheetId="5" name="WSEBITDE">#REF!</definedName>
    <definedName localSheetId="4" name="_NOV01">#REF!</definedName>
    <definedName localSheetId="2" name="writeupdeprec">#REF!</definedName>
    <definedName name="Ke">#REF!</definedName>
    <definedName localSheetId="4" name="PL_Loss_Preferred">#REF!</definedName>
    <definedName name="FIGMB3">#REF!</definedName>
    <definedName localSheetId="5" name="Indust_detail">#REF!</definedName>
    <definedName localSheetId="2" name="FIGM952">#REF!</definedName>
    <definedName localSheetId="23" name="TOP10FEB">#REF!</definedName>
    <definedName name="Year8">#REF!</definedName>
    <definedName localSheetId="4" name="GPFINQ1">#REF!</definedName>
    <definedName name="__fcf10">#REF!</definedName>
    <definedName localSheetId="7" name="inv">#REF!</definedName>
    <definedName localSheetId="3" name="Sept">#REF!</definedName>
    <definedName localSheetId="5" name="_Pg44">#REF!</definedName>
    <definedName localSheetId="5" name="MinorityInterests">#REF!</definedName>
    <definedName name="convprefshares">#REF!</definedName>
    <definedName localSheetId="4" name="TOP10AUG02">#REF!</definedName>
    <definedName localSheetId="2" name="CF_Minority_NI">#REF!</definedName>
    <definedName localSheetId="2" name="Subrev">#REF!</definedName>
    <definedName localSheetId="23" name="_4QTR">#REF!</definedName>
    <definedName localSheetId="3" name="_4AQTR">#REF!</definedName>
    <definedName name="OPEXQ2">#REF!</definedName>
    <definedName localSheetId="3" name="_327_4.8">#REF!</definedName>
    <definedName localSheetId="4" name="ni_terminal">#REF!</definedName>
    <definedName name="_Pg46">#REF!</definedName>
    <definedName localSheetId="4" name="_NRQ4">#REF!</definedName>
    <definedName localSheetId="3" name="OPNTSLQ1">#REF!</definedName>
    <definedName localSheetId="3" name="Period">#REF!</definedName>
    <definedName name="salesandmktg">#REF!</definedName>
    <definedName localSheetId="23" name="_1QTRFIN">#REF!</definedName>
    <definedName localSheetId="2" name="__YE4">#REF!</definedName>
    <definedName localSheetId="23" name="CPTRAN2004">#REF!</definedName>
    <definedName name="Price_Volume_Swap_Data">#REF!</definedName>
    <definedName localSheetId="2" name="TargetCompanyCurrency">#REF!</definedName>
    <definedName localSheetId="3" name="_MAY02">#REF!</definedName>
    <definedName localSheetId="23" name="FIGM96">#REF!</definedName>
    <definedName localSheetId="4" name="B_a">#REF!</definedName>
    <definedName localSheetId="5" name="CPGPTP2004">#REF!</definedName>
    <definedName localSheetId="4" name="NotesBNewIssue">#REF!</definedName>
    <definedName localSheetId="5" name="business">#REF!</definedName>
    <definedName localSheetId="23" name="page3">#REF!</definedName>
    <definedName localSheetId="4" name="ARPU1">#REF!</definedName>
    <definedName name="BS_cash">#REF!</definedName>
    <definedName localSheetId="5" name="_264_4.12">#REF!</definedName>
    <definedName localSheetId="3" name="netcostfcst">#REF!</definedName>
    <definedName localSheetId="5" name="IS_goodwill">#REF!</definedName>
    <definedName localSheetId="4" name="IS_othernonopexp">#REF!</definedName>
    <definedName localSheetId="3" name="chk">#REF!</definedName>
    <definedName localSheetId="23" name="FIGM941">#REF!</definedName>
    <definedName name="PPGPPREP2004">#REF!</definedName>
    <definedName localSheetId="5" name="SP3QTR">#REF!</definedName>
    <definedName localSheetId="3" name="SalesAdminph">#REF!</definedName>
    <definedName localSheetId="2" name="Spec_detail">#REF!</definedName>
    <definedName localSheetId="4" name="AsiaFcst">#REF!</definedName>
    <definedName localSheetId="5" name="PPTP2004">#REF!</definedName>
    <definedName localSheetId="2" name="dcfyear">#REF!</definedName>
    <definedName localSheetId="23" name="basedata1">#REF!</definedName>
    <definedName localSheetId="3" name="OPOTEXQ4">#REF!</definedName>
    <definedName localSheetId="3" name="Years">#REF!</definedName>
    <definedName localSheetId="23" name="GPPTTLQ2">#REF!</definedName>
    <definedName localSheetId="3" name="Netsub">#REF!</definedName>
    <definedName localSheetId="7" name="Anew">#REF!</definedName>
    <definedName localSheetId="5" name="ManagementEBIT">#REF!</definedName>
    <definedName localSheetId="3" name="CF_Straight_Preferred">#REF!</definedName>
    <definedName localSheetId="5" name="share_tog">#REF!</definedName>
    <definedName name="_fcf5">#REF!</definedName>
    <definedName localSheetId="23" name="Finance">#REF!</definedName>
    <definedName localSheetId="23" name="WDCOGSQ2">#REF!</definedName>
    <definedName localSheetId="3" name="Ops">#REF!</definedName>
    <definedName name="tar">#REF!</definedName>
    <definedName name="DAVESPIECE">#REF!</definedName>
    <definedName localSheetId="2" name="TOOL92">#REF!</definedName>
    <definedName localSheetId="5" name="BS_Other_LTAssets">#REF!</definedName>
    <definedName localSheetId="2" name="as">#REF!</definedName>
    <definedName localSheetId="4" name="_MAR02">#REF!</definedName>
    <definedName localSheetId="3" name="Discret_PrQtr">#REF!</definedName>
    <definedName name="Consol">#REF!</definedName>
    <definedName localSheetId="2" name="TOP10SEP02">#REF!</definedName>
    <definedName localSheetId="23" name="OR_ViewProvider_ReportingViews_ExportStorage_OUT_CoG_RND">#REF!</definedName>
    <definedName localSheetId="3" name="FRA_UK">#REF!</definedName>
    <definedName localSheetId="3" name="Test">#REF!</definedName>
    <definedName name="CF_otheroper">#REF!</definedName>
    <definedName localSheetId="5" name="rptCS">#REF!</definedName>
    <definedName localSheetId="5" name="_SEP02">#REF!</definedName>
    <definedName name="lev_fcf_rate">#REF!</definedName>
    <definedName localSheetId="2" name="TOOL93">#REF!</definedName>
    <definedName name="_Pg71">#REF!</definedName>
    <definedName localSheetId="23" name="netcostdelta">#REF!</definedName>
    <definedName localSheetId="5" name="StockUWFee">#REF!</definedName>
    <definedName localSheetId="4" name="EuropeFcst">#REF!</definedName>
    <definedName name="PL_Convertible_PDividend">#REF!</definedName>
    <definedName localSheetId="4" name="_Sort">#REF!</definedName>
    <definedName localSheetId="4" name="portion">#REF!</definedName>
    <definedName localSheetId="2" name="_Pg62">#REF!</definedName>
    <definedName localSheetId="2" name="CF_netinc">#REF!</definedName>
    <definedName localSheetId="4" name="FX_HKD">#REF!</definedName>
    <definedName localSheetId="4" name="_Pg31">#REF!</definedName>
    <definedName localSheetId="4" name="_Pg41">#REF!</definedName>
    <definedName localSheetId="2" name="CPTRAN2004">#REF!</definedName>
    <definedName localSheetId="2" name="CF_Non_Cash_Interest">#REF!</definedName>
    <definedName localSheetId="4" name="MOLD94">#REF!</definedName>
    <definedName localSheetId="5" name="TOP10JAN">#REF!</definedName>
    <definedName name="FIN">#REF!</definedName>
    <definedName name="_Pg50">#REF!</definedName>
    <definedName localSheetId="5" name="perp_lev_sen">#REF!</definedName>
    <definedName name="Exchangemax">#REF!</definedName>
    <definedName localSheetId="2" name="IT">#REF!</definedName>
    <definedName localSheetId="23" name="good">#REF!</definedName>
    <definedName localSheetId="23" name="OR_ViewProvider_ReportingViews_ExportStorage_OUT_Orders_RND">#REF!</definedName>
    <definedName localSheetId="3" name="CF_othernonoper">#REF!</definedName>
    <definedName name="scen">#REF!</definedName>
    <definedName localSheetId="3" name="Year2">#REF!</definedName>
    <definedName localSheetId="4" name="CF_Convertible_Preferred">#REF!</definedName>
    <definedName localSheetId="23" name="NonCashInterestExpense">#REF!</definedName>
    <definedName localSheetId="2" name="divestyear">#REF!</definedName>
    <definedName localSheetId="5" name="_4TLQTR">#REF!</definedName>
    <definedName name="TargetCompany">#REF!</definedName>
    <definedName name="ni_mult_sen">#REF!</definedName>
    <definedName localSheetId="23" name="Systimax">#REF!</definedName>
    <definedName localSheetId="2" name="_Pg79">#REF!</definedName>
    <definedName localSheetId="3" name="Ben_US">#REF!</definedName>
    <definedName name="A_a">#REF!</definedName>
    <definedName localSheetId="3" name="BEGRSLQ4">#REF!</definedName>
    <definedName localSheetId="3" name="_Pg69">#REF!</definedName>
    <definedName localSheetId="4" name="Control">#REF!</definedName>
    <definedName name="EBITAFMA">#REF!</definedName>
    <definedName name="CF_Straight_Debt">#REF!</definedName>
    <definedName localSheetId="2" name="perp_unlev3">#REF!</definedName>
    <definedName name="Transducersph">#REF!</definedName>
    <definedName localSheetId="3" name="FIGM953">#REF!</definedName>
    <definedName localSheetId="2" name="subscriber">#REF!</definedName>
    <definedName localSheetId="2" name="_Pg65">#REF!</definedName>
    <definedName localSheetId="5" name="Year7">#REF!</definedName>
    <definedName name="ExitYear">#REF!</definedName>
    <definedName localSheetId="5" name="p_LBO_CF">#REF!</definedName>
    <definedName localSheetId="5" name="actsumm">#REF!</definedName>
    <definedName localSheetId="23" name="movedata">#REF!</definedName>
    <definedName localSheetId="3" name="ValuationMultiple">#REF!</definedName>
    <definedName name="Month3">#REF!</definedName>
    <definedName localSheetId="3" name="DNEXStock">#REF!</definedName>
    <definedName name="x2lite">#REF!</definedName>
    <definedName localSheetId="2" name="days2">#REF!</definedName>
    <definedName localSheetId="23" name="ARPU5">#REF!</definedName>
    <definedName localSheetId="23" name="ProdMgtph">#REF!</definedName>
    <definedName name="CF_capex">#REF!</definedName>
    <definedName localSheetId="4" name="_Pg55">#REF!</definedName>
    <definedName localSheetId="5" name="MOLD92">#REF!</definedName>
    <definedName localSheetId="23" name="CF_Convertible_Preferred">#REF!</definedName>
    <definedName localSheetId="3" name="mo">#REF!</definedName>
    <definedName localSheetId="3" name="_2QTR">#REF!</definedName>
    <definedName localSheetId="5" name="PEST">#REF!</definedName>
    <definedName name="BS_intangibles">#REF!</definedName>
    <definedName localSheetId="23" name="wrn.wicor.">#REF!</definedName>
    <definedName name="WDCOGSQ2">#REF!</definedName>
    <definedName name="Test">#REF!</definedName>
    <definedName localSheetId="23" name="FIGMQ3">#REF!</definedName>
    <definedName localSheetId="23" name="BLANK">#REF!</definedName>
    <definedName localSheetId="2" name="Year10">#REF!</definedName>
    <definedName name="__123Graph_F">#REF!</definedName>
    <definedName localSheetId="3" name="vwr">#REF!</definedName>
    <definedName localSheetId="4" name="BS_goodwill">#REF!</definedName>
    <definedName localSheetId="3" name="_FEB02">#REF!</definedName>
    <definedName localSheetId="7" name="ab">#REF!</definedName>
    <definedName name="gross">#REF!</definedName>
    <definedName localSheetId="23" name="codes">#REF!</definedName>
    <definedName localSheetId="4" name="ARPU2">#REF!</definedName>
    <definedName localSheetId="4" name="COLBLANK">#REF!</definedName>
    <definedName localSheetId="3" name="EBITAFJL">#REF!</definedName>
    <definedName localSheetId="4" name="Sept">#REF!</definedName>
    <definedName localSheetId="5" name="B_b">#REF!</definedName>
    <definedName localSheetId="5" name="term_value">#REF!</definedName>
    <definedName localSheetId="2" name="DEPT">#REF!</definedName>
    <definedName name="Minimum_Cash">#REF!</definedName>
    <definedName name="COLBLANK">#REF!</definedName>
    <definedName name="convpricepref">#REF!</definedName>
    <definedName localSheetId="3" name="TOP10AUG02">#REF!</definedName>
    <definedName localSheetId="2" name="ARPU3">#REF!</definedName>
    <definedName localSheetId="3" name="NET_DEBT">#REF!</definedName>
    <definedName localSheetId="23" name="EBITDA_mult5">#REF!</definedName>
    <definedName localSheetId="3" name="WriteUp_inventories">#REF!</definedName>
    <definedName localSheetId="23" name="BS_USD">#REF!</definedName>
    <definedName localSheetId="2" name="ProdControlph">#REF!</definedName>
    <definedName localSheetId="5" name="Occupancyphnt">#REF!</definedName>
    <definedName localSheetId="3" name="Bonnie">#REF!</definedName>
    <definedName localSheetId="2" name="ChangeInCommonEquity">#REF!</definedName>
    <definedName localSheetId="3" name="_fcf10">#REF!</definedName>
    <definedName localSheetId="3" name="page5">#REF!</definedName>
    <definedName localSheetId="3" name="al">#REF!</definedName>
    <definedName localSheetId="2" name="depreciation">#REF!</definedName>
    <definedName localSheetId="23" name="p_LBO_Returns">#REF!</definedName>
    <definedName name="CPTRAN2004">#REF!</definedName>
    <definedName name="GPPTTLQ3">#REF!</definedName>
    <definedName localSheetId="23" name="IS_intexisting">#REF!</definedName>
    <definedName localSheetId="5" name="GPTTL">#REF!</definedName>
    <definedName localSheetId="3" name="EuropeFcst">#REF!</definedName>
    <definedName localSheetId="3" name="movedata">#REF!</definedName>
    <definedName localSheetId="2" name="__YE3">#REF!</definedName>
    <definedName localSheetId="23" name="sensitive">#REF!</definedName>
    <definedName localSheetId="4" name="FINOIQ1">#REF!</definedName>
    <definedName localSheetId="7" name="aa">#REF!</definedName>
    <definedName localSheetId="23" name="F_a">#REF!</definedName>
    <definedName localSheetId="2" name="ManagementEBIT">#REF!</definedName>
    <definedName localSheetId="23" name="IQRTradingCompsB24">#REF!</definedName>
    <definedName localSheetId="2" name="EuropePY">#REF!</definedName>
    <definedName localSheetId="4" name="Buys">#REF!</definedName>
    <definedName localSheetId="4" name="BS_otherCL">#REF!</definedName>
    <definedName localSheetId="4" name="_234Graph_E">#REF!</definedName>
    <definedName localSheetId="3" name="Sales">#REF!</definedName>
    <definedName name="op">#REF!</definedName>
    <definedName localSheetId="4" name="_Pg39">#REF!</definedName>
    <definedName localSheetId="5" name="_Pg65">#REF!</definedName>
    <definedName localSheetId="5" name="FRA_Ger">#REF!</definedName>
    <definedName localSheetId="4" name="MSU_PRICE">#REF!</definedName>
    <definedName localSheetId="4" name="CF_AR">#REF!</definedName>
    <definedName localSheetId="5" name="EuropePY">#REF!</definedName>
    <definedName localSheetId="2" name="_Pg52">#REF!</definedName>
    <definedName localSheetId="3" name="BS_Straight_Debt">#REF!</definedName>
    <definedName localSheetId="5" name="ProdMgtph">#REF!</definedName>
    <definedName name="Serviceint">#REF!</definedName>
    <definedName name="Process_details">#REF!</definedName>
    <definedName localSheetId="3" name="EBITQ4">#REF!</definedName>
    <definedName name="shos">#REF!</definedName>
    <definedName localSheetId="3" name="__AVE2">#REF!</definedName>
    <definedName localSheetId="4" name="PYME">#REF!</definedName>
    <definedName localSheetId="3" name="page1">#REF!</definedName>
    <definedName localSheetId="3" name="dollars">#REF!</definedName>
    <definedName localSheetId="5" name="p_LBO_BS">#REF!</definedName>
    <definedName localSheetId="23" name="EBITAFDE">#REF!</definedName>
    <definedName localSheetId="3" name="PANREAC">#REF!</definedName>
    <definedName localSheetId="7" name="wrn.Summary._.Report.">#REF!</definedName>
    <definedName localSheetId="2" name="_Pg42">#REF!</definedName>
    <definedName name="KeepC">#REF!</definedName>
    <definedName name="commondiv">#REF!</definedName>
    <definedName localSheetId="5" name="_GPQ4">#REF!</definedName>
    <definedName name="PPFREIGHTAE">#REF!</definedName>
    <definedName localSheetId="5" name="M_C_Summary">#REF!</definedName>
    <definedName localSheetId="4" name="_GPQ1">#REF!</definedName>
    <definedName localSheetId="2" name="CF_deprec">#REF!</definedName>
    <definedName localSheetId="3" name="_3TLQTR">#REF!</definedName>
    <definedName localSheetId="3" name="TOP10SEP02">#REF!</definedName>
    <definedName localSheetId="23" name="invoice_choices">#REF!</definedName>
    <definedName name="perp_lev2">#REF!</definedName>
    <definedName localSheetId="3" name="Emaxcable">#REF!</definedName>
    <definedName localSheetId="2" name="p_highyield_BS">#REF!</definedName>
    <definedName name="employee_lookup">#REF!</definedName>
    <definedName name="TOP10SEP02">#REF!</definedName>
    <definedName localSheetId="4" name="WriteUp_otherCA">#REF!</definedName>
    <definedName localSheetId="23" name="Quarterly_Sum">#REF!</definedName>
    <definedName localSheetId="2" name="portion">#REF!</definedName>
    <definedName localSheetId="2" name="OPNTSLQ3">#REF!</definedName>
    <definedName localSheetId="23" name="aa">#REF!</definedName>
    <definedName localSheetId="3" name="GPPSGTL">#REF!</definedName>
    <definedName localSheetId="5" name="Vitality">#REF!</definedName>
    <definedName localSheetId="4" name="EXP">#REF!</definedName>
    <definedName localSheetId="23" name="SQL_uplink">#REF!</definedName>
    <definedName name="WSEBITFE">#REF!</definedName>
    <definedName localSheetId="3" name="ServiceExt">#REF!</definedName>
    <definedName localSheetId="2" name="FX_EUR">#REF!</definedName>
    <definedName localSheetId="2" name="YECY">#REF!</definedName>
    <definedName localSheetId="4" name="p_Tax">#REF!</definedName>
    <definedName name="erg">#REF!</definedName>
    <definedName localSheetId="5" name="WDGRSLQ4">#REF!</definedName>
    <definedName localSheetId="4" name="Drucktitel_MI">#REF!</definedName>
    <definedName name="TL1QTR">#REF!</definedName>
    <definedName localSheetId="3" name="EBITAFJA">#REF!</definedName>
    <definedName localSheetId="3" name="STEStock">#REF!</definedName>
    <definedName localSheetId="3" name="_4_99_3G">#REF!</definedName>
    <definedName localSheetId="4" name="fulldept">#REF!</definedName>
    <definedName localSheetId="3" name="__Tot98">#REF!</definedName>
    <definedName name="hrms">#REF!</definedName>
    <definedName localSheetId="23" name="Month1">#REF!</definedName>
    <definedName localSheetId="4" name="PPPREP2003">#REF!</definedName>
    <definedName localSheetId="4" name="debt_fv">#REF!</definedName>
    <definedName localSheetId="5" name="WDOPCOQ3">#REF!</definedName>
    <definedName localSheetId="23" name="Personnelph">#REF!</definedName>
    <definedName localSheetId="5" name="staff">#REF!</definedName>
    <definedName localSheetId="3" name="NRTBTTL">#REF!</definedName>
    <definedName localSheetId="5" name="fiscal_year">#REF!</definedName>
    <definedName localSheetId="2" name="EquityInvestmentOverwrite">#REF!</definedName>
    <definedName localSheetId="2" name="PIDENTITIES">#REF!</definedName>
    <definedName localSheetId="5" name="EBITDA_mult2">#REF!</definedName>
    <definedName localSheetId="2" name="cf">#REF!</definedName>
    <definedName localSheetId="4" name="DilutedShares">#REF!</definedName>
    <definedName localSheetId="23" name="ARPU1">#REF!</definedName>
    <definedName localSheetId="3" name="SMAN">#REF!</definedName>
    <definedName localSheetId="2" name="avgQ">#REF!</definedName>
    <definedName localSheetId="23" name="SBTick">#REF!</definedName>
    <definedName localSheetId="4" name="OC">#REF!</definedName>
    <definedName localSheetId="4" name="DAVESPIECE">#REF!</definedName>
    <definedName localSheetId="4" name="page7">#REF!</definedName>
    <definedName localSheetId="2" name="SEK">#REF!</definedName>
    <definedName localSheetId="23" name="WSEBITNO">#REF!</definedName>
    <definedName name="dollars">#REF!</definedName>
    <definedName localSheetId="4" name="LoanInterest">#REF!</definedName>
    <definedName localSheetId="4" name="Indust_graphs">#REF!</definedName>
    <definedName localSheetId="5" name="EBITAFAP">#REF!</definedName>
    <definedName localSheetId="23" name="Month11">#REF!</definedName>
    <definedName localSheetId="2" name="p_LBO_SO">#REF!</definedName>
    <definedName localSheetId="4" name="OPNTSLQ4">#REF!</definedName>
    <definedName localSheetId="4" name="OPICEXQ1">#REF!</definedName>
    <definedName localSheetId="5" name="vwr">#REF!</definedName>
    <definedName localSheetId="4" name="NC">#REF!</definedName>
    <definedName localSheetId="2" name="ChangeInConvertiblePreferredStock">#REF!</definedName>
    <definedName localSheetId="2" name="dollars">#REF!</definedName>
    <definedName name="WSEBITJL">#REF!</definedName>
    <definedName localSheetId="3" name="_Pg36">#REF!</definedName>
    <definedName localSheetId="5" name="Netsub">#REF!</definedName>
    <definedName localSheetId="23" name="GPPFINQ1">#REF!</definedName>
    <definedName localSheetId="4" name="FIN">#REF!</definedName>
    <definedName localSheetId="2" name="__YE1">#REF!</definedName>
    <definedName localSheetId="23" name="ni_mult1">#REF!</definedName>
    <definedName localSheetId="23" name="entry">#REF!</definedName>
    <definedName name="IT">#REF!</definedName>
    <definedName localSheetId="2" name="_AVE2">#REF!</definedName>
    <definedName localSheetId="5" name="cash_terminal">#REF!</definedName>
    <definedName localSheetId="5" name="product">#REF!</definedName>
    <definedName localSheetId="3" name="__rsr2">#REF!</definedName>
    <definedName localSheetId="5" name="BS_PPE">#REF!</definedName>
    <definedName localSheetId="4" name="FINQ2">#REF!</definedName>
    <definedName localSheetId="3" name="SumA">#REF!</definedName>
    <definedName localSheetId="5" name="_Pg67">#REF!</definedName>
    <definedName localSheetId="2" name="StockIssueDate">#REF!</definedName>
    <definedName localSheetId="4" name="detail97">#REF!</definedName>
    <definedName localSheetId="23" name="PY">#REF!</definedName>
    <definedName name="NOTES">#REF!</definedName>
    <definedName localSheetId="3" name="Installedph">#REF!</definedName>
    <definedName name="p_LBO_Tax">#REF!</definedName>
    <definedName localSheetId="5" name="ALL">#REF!</definedName>
    <definedName localSheetId="2" name="OPNTSL93">#REF!</definedName>
    <definedName localSheetId="23" name="cash_fv">#REF!</definedName>
    <definedName localSheetId="23" name="Number_of_customer">#REF!</definedName>
    <definedName name="NotesNewIssue">#REF!</definedName>
    <definedName localSheetId="4" name="week1">#REF!</definedName>
    <definedName localSheetId="23" name="BS_AR">#REF!</definedName>
    <definedName name="wrn.A_VALUATION.">#REF!</definedName>
    <definedName localSheetId="23" name="page1">#REF!</definedName>
    <definedName localSheetId="2" name="Year11">#REF!</definedName>
    <definedName name="WDOPCOQ4">#REF!</definedName>
    <definedName localSheetId="7" name="wrn.Maine.">#REF!</definedName>
    <definedName localSheetId="23" name="BS_receivables">#REF!</definedName>
    <definedName name="_Pg41">#REF!</definedName>
    <definedName localSheetId="4" name="OPEXQ4">#REF!</definedName>
    <definedName localSheetId="5" name="BS_goodwill">#REF!</definedName>
    <definedName localSheetId="4" name="BurnhamAdmin">#REF!</definedName>
    <definedName localSheetId="4" name="FSHStock">#REF!</definedName>
    <definedName localSheetId="5" name="_226_0_0Datab">#REF!</definedName>
    <definedName localSheetId="5" name="NonCashInterestExpense">#REF!</definedName>
    <definedName localSheetId="3" name="MTDStock">#REF!</definedName>
    <definedName localSheetId="4" name="mincash">#REF!</definedName>
    <definedName name="GPPFINQ4">#REF!</definedName>
    <definedName localSheetId="3" name="ni_mult3">#REF!</definedName>
    <definedName name="FIGMB1">#REF!</definedName>
    <definedName localSheetId="23" name="_4.5">#REF!</definedName>
    <definedName name="FIGM954">#REF!</definedName>
    <definedName localSheetId="2" name="perp_unlev4">#REF!</definedName>
    <definedName localSheetId="4" name="IQRTradingCompsD32">#REF!</definedName>
    <definedName localSheetId="23" name="FIGMQ2">#REF!</definedName>
    <definedName name="Financeph">#REF!</definedName>
    <definedName localSheetId="5" name="fcf_lev_terminal5">#REF!</definedName>
    <definedName localSheetId="2" name="wtdavgshares">#REF!</definedName>
    <definedName localSheetId="5" name="p_highyield_CFS">#REF!</definedName>
    <definedName localSheetId="4" name="dcfyear">#REF!</definedName>
    <definedName localSheetId="23" name="WriteUp_otherLTL">#REF!</definedName>
    <definedName name="ACROS">#REF!</definedName>
    <definedName localSheetId="2" name="PL_Straight_PDividend">#REF!</definedName>
    <definedName localSheetId="3" name="GPPTBQ1">#REF!</definedName>
    <definedName localSheetId="3" name="EBITAFDE">#REF!</definedName>
    <definedName localSheetId="3" name="FIGMQ2">#REF!</definedName>
    <definedName localSheetId="3" name="KeyAccts_Table">#REF!</definedName>
    <definedName localSheetId="2" name="_246_4.10">#REF!</definedName>
    <definedName localSheetId="3" name="NetIncomeToCommon">#REF!</definedName>
    <definedName localSheetId="2" name="BS_straightpref">#REF!</definedName>
    <definedName localSheetId="3" name="GPPFINQ1">#REF!</definedName>
    <definedName localSheetId="23" name="c_date">#REF!</definedName>
    <definedName localSheetId="4" name="BS_deferredcomp">#REF!</definedName>
    <definedName localSheetId="2" name="FX_YEN">#REF!</definedName>
    <definedName localSheetId="2" name="YX">#REF!</definedName>
    <definedName localSheetId="4" name="_Pg66">#REF!</definedName>
    <definedName localSheetId="2" name="p_LBO_Debt">#REF!</definedName>
    <definedName localSheetId="5" name="LBOIPOExit2">#REF!</definedName>
    <definedName localSheetId="3" name="ExcessCashrate">#REF!</definedName>
    <definedName localSheetId="2" name="ExitYear">#REF!</definedName>
    <definedName localSheetId="5" name="BS_cash">#REF!</definedName>
    <definedName localSheetId="5" name="total">#REF!</definedName>
    <definedName localSheetId="23" name="OCTBS">#REF!</definedName>
    <definedName localSheetId="23" name="Govt">#REF!</definedName>
    <definedName localSheetId="5" name="FIGMB1">#REF!</definedName>
    <definedName localSheetId="23" name="_IDP2">#REF!</definedName>
    <definedName localSheetId="23" name="CPDIAG2004">#REF!</definedName>
    <definedName localSheetId="5" name="COLBLANK">#REF!</definedName>
    <definedName localSheetId="23" name="BurnhamEngph">#REF!</definedName>
    <definedName localSheetId="5" name="MOLDED">#REF!</definedName>
    <definedName localSheetId="4" name="WDGRSLQ2">#REF!</definedName>
    <definedName name="BEGRSLQ3">#REF!</definedName>
    <definedName localSheetId="3" name="Procurement">#REF!</definedName>
    <definedName localSheetId="4" name="FIGEADQ4">#REF!</definedName>
    <definedName name="EuropeFcst">#REF!</definedName>
    <definedName localSheetId="2" name="_3TLQTR">#REF!</definedName>
    <definedName localSheetId="5" name="cty">#REF!</definedName>
    <definedName localSheetId="5" name="manufacturing">#REF!</definedName>
    <definedName localSheetId="4" name="DATA_UNIT_SEL">#REF!</definedName>
    <definedName name="KeyAccts_Table">#REF!</definedName>
    <definedName localSheetId="23" name="EBITAFMY">#REF!</definedName>
    <definedName localSheetId="4" name="CF_otheroper">#REF!</definedName>
    <definedName localSheetId="5" name="EquityValueMinusFirmValue">#REF!</definedName>
    <definedName localSheetId="4" name="FullData">#REF!</definedName>
    <definedName localSheetId="4" name="matlfcst">#REF!</definedName>
    <definedName localSheetId="23" name="costs">#REF!</definedName>
    <definedName localSheetId="4" name="IS_eps">#REF!</definedName>
    <definedName localSheetId="23" name="ExchangeRate1">#REF!</definedName>
    <definedName localSheetId="23" name="ChangeInStraightPreferredStock">#REF!</definedName>
    <definedName localSheetId="23" name="IT">#REF!</definedName>
    <definedName localSheetId="5" name="StockIssueCostLife">#REF!</definedName>
    <definedName name="bal">#REF!</definedName>
    <definedName localSheetId="5" name="M_C_detail">#REF!</definedName>
    <definedName localSheetId="5" name="_246_4.10">#REF!</definedName>
    <definedName localSheetId="23" name="CustEng">#REF!</definedName>
    <definedName localSheetId="3" name="PPGPPREP2003">#REF!</definedName>
    <definedName localSheetId="3" name="FX_AUD">#REF!</definedName>
    <definedName name="wrn">#REF!</definedName>
    <definedName localSheetId="5" name="_4.8">#REF!</definedName>
    <definedName localSheetId="2" name="AsiaPY">#REF!</definedName>
    <definedName localSheetId="2" name="NewCo4On">#REF!</definedName>
    <definedName localSheetId="2" name="Elim_a">#REF!</definedName>
    <definedName localSheetId="4" name="Option_Proceeds">#REF!</definedName>
    <definedName localSheetId="23" name="__GPQ1">#REF!</definedName>
    <definedName localSheetId="2" name="perp_lev5">#REF!</definedName>
    <definedName localSheetId="23" name="Ben_US">#REF!</definedName>
    <definedName localSheetId="4" name="Copyright">#REF!</definedName>
    <definedName localSheetId="23" name="MonthsRange">#REF!</definedName>
    <definedName localSheetId="4" name="Sales">#REF!</definedName>
    <definedName localSheetId="23" name="options">#REF!</definedName>
    <definedName localSheetId="3" name="Month9">#REF!</definedName>
    <definedName localSheetId="4" name="TL1QTR">#REF!</definedName>
    <definedName name="BurnhamDesp">#REF!</definedName>
    <definedName localSheetId="3" name="perp_unlev5">#REF!</definedName>
    <definedName localSheetId="4" name="ChangeInCommonEquity">#REF!</definedName>
    <definedName localSheetId="5" name="NRTBTTL">#REF!</definedName>
    <definedName localSheetId="2" name="week1">#REF!</definedName>
    <definedName localSheetId="3" name="WSEBITMA">#REF!</definedName>
    <definedName localSheetId="5" name="BS_otherLTL">#REF!</definedName>
    <definedName localSheetId="23" name="PanlL_Act99_v_00Bud">#REF!</definedName>
    <definedName localSheetId="2" name="EINGABE">#REF!</definedName>
    <definedName localSheetId="3" name="__GPQ2">#REF!</definedName>
    <definedName localSheetId="3" name="PL_Interest_Income">#REF!</definedName>
    <definedName localSheetId="4" name="fcf_unlev5">#REF!</definedName>
    <definedName name="BS_straightdebt">#REF!</definedName>
    <definedName localSheetId="23" name="Abudget">#REF!</definedName>
    <definedName localSheetId="5" name="WSEBITSE">#REF!</definedName>
    <definedName localSheetId="5" name="chk">#REF!</definedName>
    <definedName localSheetId="4" name="scen">#REF!</definedName>
    <definedName localSheetId="23" name="Month2">#REF!</definedName>
    <definedName name="acq_cost_convert_low">#REF!</definedName>
    <definedName localSheetId="4" name="Calibrationph">#REF!</definedName>
    <definedName localSheetId="2" name="PPDIAG2003">#REF!</definedName>
    <definedName localSheetId="23" name="B_b">#REF!</definedName>
    <definedName localSheetId="3" name="debt_terminal">#REF!</definedName>
    <definedName localSheetId="23" name="detail97">#REF!</definedName>
    <definedName localSheetId="3" name="p_LBO_Amort">#REF!</definedName>
    <definedName localSheetId="4" name="ExchangeRate2">#REF!</definedName>
    <definedName localSheetId="2" name="OfferPrice">#REF!</definedName>
    <definedName name="modemref">#REF!</definedName>
    <definedName localSheetId="4" name="SP2QTR">#REF!</definedName>
    <definedName localSheetId="23" name="ni_mult2">#REF!</definedName>
    <definedName name="_2QTRFIN">#REF!</definedName>
    <definedName localSheetId="3" name="SmaxFOC">#REF!</definedName>
    <definedName localSheetId="23" name="convprefshares">#REF!</definedName>
    <definedName localSheetId="23" name="MoQtr">#REF!</definedName>
    <definedName localSheetId="3" name="FXREV_HKD">#REF!</definedName>
    <definedName name="Elim_a">#REF!</definedName>
    <definedName name="IQRTradingCompsE32">#REF!</definedName>
    <definedName localSheetId="2" name="_fcf10">#REF!</definedName>
    <definedName localSheetId="2" name="__NRQ2">#REF!</definedName>
    <definedName localSheetId="5" name="EBITAFSE">#REF!</definedName>
    <definedName name="sensitive">#REF!</definedName>
    <definedName localSheetId="3" name="PL_XO">#REF!</definedName>
    <definedName localSheetId="4" name="CPPREP2003">#REF!</definedName>
    <definedName localSheetId="3" name="SalesAdmin">#REF!</definedName>
    <definedName localSheetId="3" name="KeepB">#REF!</definedName>
    <definedName localSheetId="3" name="EBITDA_mult3">#REF!</definedName>
    <definedName localSheetId="23" name="Month3">#REF!</definedName>
    <definedName localSheetId="2" name="_237_4.1">#REF!</definedName>
    <definedName localSheetId="5" name="MOLD94">#REF!</definedName>
    <definedName localSheetId="4" name="_AUG02">#REF!</definedName>
    <definedName localSheetId="4" name="SumB">#REF!</definedName>
    <definedName localSheetId="2" name="_Pg75">#REF!</definedName>
    <definedName localSheetId="23" name="depreciation">#REF!</definedName>
    <definedName localSheetId="7" name="wrn">#REF!</definedName>
    <definedName localSheetId="5" name="Forecast">#REF!</definedName>
    <definedName localSheetId="5" name="NewCo2ON">#REF!</definedName>
    <definedName localSheetId="23" name="_318_4.7">#REF!</definedName>
    <definedName localSheetId="4" name="tf">#REF!</definedName>
    <definedName name="_Pg38">#REF!</definedName>
    <definedName name="FINOIQ2">#REF!</definedName>
    <definedName localSheetId="23" name="____b2">#REF!</definedName>
    <definedName localSheetId="4" name="Targetname">#REF!</definedName>
    <definedName localSheetId="23" name="c_proj_switch">#REF!</definedName>
    <definedName name="wrn.Print._.All.">#REF!</definedName>
    <definedName name="WDNTSLQ4">#REF!</definedName>
    <definedName localSheetId="5" name="perp_lev1">#REF!</definedName>
    <definedName localSheetId="5" name="WDNTSLQ3">#REF!</definedName>
    <definedName localSheetId="2" name="progCOS">#REF!</definedName>
    <definedName localSheetId="4" name="_3QTRFIN">#REF!</definedName>
    <definedName localSheetId="5" name="NetDebt">#REF!</definedName>
    <definedName name="ni_mult1">#REF!</definedName>
    <definedName localSheetId="5" name="p_highyield_Return">#REF!</definedName>
    <definedName name="BS_Other_CA">#REF!</definedName>
    <definedName localSheetId="3" name="NewTaxIntangibles">#REF!</definedName>
    <definedName localSheetId="3" name="grossQ">#REF!</definedName>
    <definedName localSheetId="2" name="__Tot97">#REF!</definedName>
    <definedName localSheetId="4" name="perp_lev_sen">#REF!</definedName>
    <definedName localSheetId="2" name="StatusCodes">#REF!</definedName>
    <definedName localSheetId="23" name="inv">#REF!</definedName>
    <definedName localSheetId="4" name="_Pg81">#REF!</definedName>
    <definedName localSheetId="23" name="MSU_PRICE">#REF!</definedName>
    <definedName name="PL_Straight_PDividend">#REF!</definedName>
    <definedName localSheetId="4" name="TOP10MAR">#REF!</definedName>
    <definedName localSheetId="3" name="CustEngph">#REF!</definedName>
    <definedName localSheetId="21" name="CreatedForTitle">'philips deals'!$E$5</definedName>
    <definedName localSheetId="4" name="_rsr2">#REF!</definedName>
    <definedName localSheetId="3" name="PRINT">#REF!</definedName>
    <definedName localSheetId="5" name="_GPQ1">#REF!</definedName>
    <definedName localSheetId="5" name="c_pathswitch">#REF!</definedName>
    <definedName localSheetId="23" name="Process_graphs">#REF!</definedName>
    <definedName localSheetId="23" name="YearEndDay">#REF!</definedName>
    <definedName name="_Pg42">#REF!</definedName>
    <definedName localSheetId="5" name="DAVESPIECE">#REF!</definedName>
    <definedName localSheetId="3" name="credits">#REF!</definedName>
    <definedName localSheetId="2" name="ky">#REF!</definedName>
    <definedName localSheetId="23" name="StockIssueCostLife">#REF!</definedName>
    <definedName localSheetId="2" name="spec_switch">#REF!</definedName>
    <definedName localSheetId="3" name="home">#REF!</definedName>
    <definedName localSheetId="3" name="RepTable">#REF!</definedName>
    <definedName name="IS_eps">#REF!</definedName>
    <definedName localSheetId="23" name="c_dateswitch">#REF!</definedName>
    <definedName localSheetId="3" name="LoanInterest">#REF!</definedName>
    <definedName localSheetId="23" name="wrn.all._.gulp._.sheets.">#REF!</definedName>
    <definedName localSheetId="2" name="p_LBO_Tax">#REF!</definedName>
    <definedName localSheetId="5" name="days2">#REF!</definedName>
    <definedName localSheetId="4" name="FIGM943">#REF!</definedName>
    <definedName name="Rollfwd_USD_LC">#REF!</definedName>
    <definedName localSheetId="5" name="rd">#REF!</definedName>
    <definedName name="wc">#REF!</definedName>
    <definedName localSheetId="23" name="WACC">#REF!</definedName>
    <definedName localSheetId="5" name="OPOPCOQ2">#REF!</definedName>
    <definedName localSheetId="5" name="KeepE">#REF!</definedName>
    <definedName localSheetId="4" name="GPTBQ1">#REF!</definedName>
    <definedName localSheetId="2" name="main">#REF!</definedName>
    <definedName localSheetId="2" name="CF_Non_Cash_Charges">#REF!</definedName>
    <definedName localSheetId="4" name="Transducersph">#REF!</definedName>
    <definedName localSheetId="23" name="divestcash">#REF!</definedName>
    <definedName localSheetId="3" name="MOLD91">#REF!</definedName>
    <definedName localSheetId="3" name="ni_mult1">#REF!</definedName>
    <definedName name="TargetCompanyExchangeRate">#REF!</definedName>
    <definedName localSheetId="5" name="TL3QTR">#REF!</definedName>
    <definedName localSheetId="5" name="_4.2">#REF!</definedName>
    <definedName localSheetId="7" name="_inv2">#REF!</definedName>
    <definedName name="Discret_PrQtr">#REF!</definedName>
    <definedName localSheetId="4" name="_Pg80">#REF!</definedName>
    <definedName localSheetId="5" name="entry">#REF!</definedName>
    <definedName localSheetId="23" name="prefrate">#REF!</definedName>
    <definedName name="divestproceeds">#REF!</definedName>
    <definedName localSheetId="2" name="_4TLQTR">#REF!</definedName>
    <definedName localSheetId="2" name="NonCashInterestExpense">#REF!</definedName>
    <definedName localSheetId="4" name="perp_unlev2">#REF!</definedName>
    <definedName name="LME">#REF!</definedName>
    <definedName name="page8">#REF!</definedName>
    <definedName name="convprefrate">#REF!</definedName>
    <definedName localSheetId="23" name="CF_Inventory">#REF!</definedName>
    <definedName localSheetId="4" name="offer_case">#REF!</definedName>
    <definedName localSheetId="4" name="EquityInUnconsolidatedAffiliates">#REF!</definedName>
    <definedName localSheetId="23" name="perp_lev1">#REF!</definedName>
    <definedName name="BS_Inventory">#REF!</definedName>
    <definedName localSheetId="3" name="p_LBO_Summary">#REF!</definedName>
    <definedName localSheetId="4" name="WSEBITDE">#REF!</definedName>
    <definedName localSheetId="2" name="CompTaxRate">#REF!</definedName>
    <definedName localSheetId="23" name="fiscal_year">#REF!</definedName>
    <definedName localSheetId="3" name="QTRLOOK">#REF!</definedName>
    <definedName name="OPEXPTTL">#REF!</definedName>
    <definedName localSheetId="23" name="__NRQ4">#REF!</definedName>
    <definedName localSheetId="3" name="BurnhamAdmin">#REF!</definedName>
    <definedName localSheetId="5" name="OPICEXQ4">#REF!</definedName>
    <definedName localSheetId="5" name="LME">#REF!</definedName>
    <definedName localSheetId="4" name="__YE1">#REF!</definedName>
    <definedName localSheetId="4" name="term_year">#REF!</definedName>
    <definedName localSheetId="3" name="GPTTL">#REF!</definedName>
    <definedName localSheetId="3" name="FIGM943">#REF!</definedName>
    <definedName name="WSEBITAU">#REF!</definedName>
    <definedName localSheetId="23" name="p_LBO_returncalcb">#REF!</definedName>
    <definedName localSheetId="3" name="Programming">#REF!</definedName>
    <definedName localSheetId="5" name="GPPTTLTL">#REF!</definedName>
    <definedName localSheetId="23" name="WSEBITAP">#REF!</definedName>
    <definedName name="EBITDA_mult">#REF!</definedName>
    <definedName localSheetId="5" name="WI_graphs">#REF!</definedName>
    <definedName name="Occupancyphnt">#REF!</definedName>
    <definedName localSheetId="4" name="wc">#REF!</definedName>
    <definedName localSheetId="2" name="SMAN">#REF!</definedName>
    <definedName localSheetId="2" name="GPPTTLQ3">#REF!</definedName>
    <definedName localSheetId="2" name="Procurementph">#REF!</definedName>
    <definedName name="help">#REF!</definedName>
    <definedName localSheetId="23" name="nrw">#REF!</definedName>
    <definedName localSheetId="2" name="Month12">#REF!</definedName>
    <definedName localSheetId="7" name="wrn.basics.">#REF!</definedName>
    <definedName localSheetId="2" name="CPHAND2004">#REF!</definedName>
    <definedName localSheetId="3" name="_2_99_3D">#REF!</definedName>
    <definedName localSheetId="3" name="_Pg45">#REF!</definedName>
    <definedName localSheetId="5" name="avgQ">#REF!</definedName>
    <definedName localSheetId="3" name="ARPU5">#REF!</definedName>
    <definedName localSheetId="2" name="PEST">#REF!</definedName>
    <definedName localSheetId="5" name="OPOTEXQ3">#REF!</definedName>
    <definedName name="plandtl">#REF!</definedName>
    <definedName localSheetId="23" name="NewCo3ON">#REF!</definedName>
    <definedName localSheetId="4" name="_Pg29">#REF!</definedName>
    <definedName localSheetId="5" name="ExchangeRate1">#REF!</definedName>
    <definedName localSheetId="4" name="opcase">#REF!</definedName>
    <definedName name="Year11">#REF!</definedName>
    <definedName localSheetId="5" name="_Pg49">#REF!</definedName>
    <definedName localSheetId="2" name="price">#REF!</definedName>
    <definedName localSheetId="4" name="QTRLOOK">#REF!</definedName>
    <definedName name="c_proj_switch">#REF!</definedName>
    <definedName name="BS_payables">#REF!</definedName>
    <definedName name="EquityValueMinusFirmValue">#REF!</definedName>
    <definedName localSheetId="3" name="disc_years">#REF!</definedName>
    <definedName localSheetId="5" name="WriteUP_PPE">#REF!</definedName>
    <definedName localSheetId="3" name="ManagementRevenues">#REF!</definedName>
    <definedName name="a">#REF!</definedName>
    <definedName localSheetId="4" name="fcf_unlev_terminal5">#REF!</definedName>
    <definedName localSheetId="3" name="C_b">#REF!</definedName>
    <definedName name="offer_case">#REF!</definedName>
    <definedName localSheetId="2" name="SCENARIOS">#REF!</definedName>
    <definedName localSheetId="23" name="ERL_US">#REF!</definedName>
    <definedName localSheetId="23" name="Sub_Name1">#REF!</definedName>
    <definedName name="LC_Pand_L">#REF!</definedName>
    <definedName name="MiscRev">#REF!</definedName>
    <definedName name="QDOPCOQ4">#REF!</definedName>
    <definedName localSheetId="3" name="GPSPGTTL">#REF!</definedName>
    <definedName localSheetId="3" name="SCENARIOS">#REF!</definedName>
    <definedName localSheetId="2" name="_327_4.8">#REF!</definedName>
    <definedName localSheetId="4" name="WDNTSLQ4">#REF!</definedName>
    <definedName name="_Pg45">#REF!</definedName>
    <definedName localSheetId="23" name="_YE2">#REF!</definedName>
    <definedName localSheetId="5" name="CPGPPREP2004">#REF!</definedName>
    <definedName localSheetId="2" name="IS_deprec">#REF!</definedName>
    <definedName name="TOP10NOV">#REF!</definedName>
    <definedName localSheetId="2" name="_Pg82">#REF!</definedName>
    <definedName localSheetId="3" name="Print1Start">#REF!</definedName>
    <definedName name="page7">#REF!</definedName>
    <definedName name="Print_Area_MI">#REF!</definedName>
    <definedName localSheetId="23" name="ACROS">#REF!</definedName>
    <definedName localSheetId="5" name="_4_99_3G">#REF!</definedName>
    <definedName localSheetId="4" name="BS_commonequity">#REF!</definedName>
    <definedName localSheetId="23" name="_MAY02">#REF!</definedName>
    <definedName localSheetId="5" name="eu">#REF!</definedName>
    <definedName localSheetId="20" name="CreatedFor">'resmed deals'!$G$6</definedName>
    <definedName localSheetId="3" name="direct">#REF!</definedName>
    <definedName localSheetId="23" name="Ben_Ger">#REF!</definedName>
    <definedName localSheetId="3" name="EBITAFMY">#REF!</definedName>
    <definedName localSheetId="23" name="lev_fcf_rate">#REF!</definedName>
    <definedName localSheetId="2" name="_Key1">#REF!</definedName>
    <definedName localSheetId="2" name="CPFREIGHTAE">#REF!</definedName>
    <definedName localSheetId="5" name="divestproceeds">#REF!</definedName>
    <definedName localSheetId="2" name="Erl_UK">#REF!</definedName>
    <definedName localSheetId="23" name="TOP10SEP02">#REF!</definedName>
    <definedName localSheetId="3" name="_Pg56">#REF!</definedName>
    <definedName localSheetId="2" name="Month4">#REF!</definedName>
    <definedName localSheetId="7" name="houy">#REF!</definedName>
    <definedName localSheetId="3" name="ARPU3">#REF!</definedName>
    <definedName localSheetId="2" name="BS_convertpref">#REF!</definedName>
    <definedName localSheetId="2" name="lev_fcf_rate">#REF!</definedName>
    <definedName localSheetId="5" name="tf">#REF!</definedName>
    <definedName localSheetId="23" name="NewHYIssue">#REF!</definedName>
    <definedName localSheetId="2" name="GPPTTLQ2">#REF!</definedName>
    <definedName localSheetId="4" name="BurnhamProdph">#REF!</definedName>
    <definedName name="wrn.merge.">#REF!</definedName>
    <definedName localSheetId="5" name="ManagementRevenues">#REF!</definedName>
    <definedName localSheetId="4" name="convpricedebt">#REF!</definedName>
    <definedName localSheetId="4" name="fcf_lev_terminal2">#REF!</definedName>
    <definedName name="_Pg79">#REF!</definedName>
    <definedName localSheetId="23" name="__NRQ2">#REF!</definedName>
    <definedName localSheetId="4" name="__AVE2">#REF!</definedName>
    <definedName localSheetId="2" name="NRSGTTL">#REF!</definedName>
    <definedName localSheetId="4" name="kit">#REF!</definedName>
    <definedName localSheetId="5" name="fcf_lev_terminal1">#REF!</definedName>
    <definedName localSheetId="5" name="PPGPDIAG2004">#REF!</definedName>
    <definedName localSheetId="4" name="mult_sen">#REF!</definedName>
    <definedName name="WDNTSLQ2">#REF!</definedName>
    <definedName name="BS_USD">#REF!</definedName>
    <definedName localSheetId="2" name="KeepB">#REF!</definedName>
    <definedName localSheetId="23" name="NotesBNewIssue">#REF!</definedName>
    <definedName name="p_Amort">#REF!</definedName>
    <definedName name="SalesMEi">#REF!</definedName>
    <definedName localSheetId="5" name="CPFREIGHTAE">#REF!</definedName>
    <definedName localSheetId="4" name="OPNTSL93">#REF!</definedName>
    <definedName localSheetId="2" name="PPTP2004">#REF!</definedName>
    <definedName name="mthend1">#REF!</definedName>
    <definedName localSheetId="2" name="ServiceExt">#REF!</definedName>
    <definedName localSheetId="5" name="StatusCodes">#REF!</definedName>
    <definedName localSheetId="4" name="cover">#REF!</definedName>
    <definedName localSheetId="4" name="Sports">#REF!</definedName>
    <definedName localSheetId="23" name="c_SSBswitch">#REF!</definedName>
    <definedName localSheetId="2" name="LBOSaleExit1">#REF!</definedName>
    <definedName localSheetId="23" name="p_highyield_Depr">#REF!</definedName>
    <definedName localSheetId="5" name="IS_revenues">#REF!</definedName>
    <definedName localSheetId="2" name="ni_mult">#REF!</definedName>
    <definedName localSheetId="23" name="C_b">#REF!</definedName>
    <definedName localSheetId="5" name="basedata1">#REF!</definedName>
    <definedName name="Databaserevenue">#REF!</definedName>
    <definedName localSheetId="4" name="FIGM95">#REF!</definedName>
    <definedName name="BS_discontoper">#REF!</definedName>
    <definedName localSheetId="3" name="CurrentEquityInvestment">#REF!</definedName>
    <definedName name="WriteUp_receivables">#REF!</definedName>
    <definedName localSheetId="23" name="SIDParentEntities">#REF!</definedName>
    <definedName localSheetId="2" name="r_printfunction">#REF!</definedName>
    <definedName localSheetId="5" name="Month9">#REF!</definedName>
    <definedName localSheetId="23" name="_GPQ3">#REF!</definedName>
    <definedName localSheetId="3" name="offer_case">#REF!</definedName>
    <definedName localSheetId="3" name="term_value">#REF!</definedName>
    <definedName localSheetId="23" name="PL_99A_v_99F">#REF!</definedName>
    <definedName localSheetId="23" name="FINOIQ2">#REF!</definedName>
    <definedName localSheetId="4" name="invoice_choices">#REF!</definedName>
    <definedName localSheetId="2" name="_OCT01">#REF!</definedName>
    <definedName localSheetId="2" name="codes">#REF!</definedName>
    <definedName localSheetId="4" name="list">#REF!</definedName>
    <definedName localSheetId="23" name="PPTP2003">#REF!</definedName>
    <definedName localSheetId="2" name="WDGRPRQ4">#REF!</definedName>
    <definedName localSheetId="23" name="IQRTradingCompsB125">#REF!</definedName>
    <definedName localSheetId="23" name="BECStock">#REF!</definedName>
    <definedName localSheetId="2" name="M_C_detail">#REF!</definedName>
    <definedName localSheetId="4" name="IQRTradingCompsA25">#REF!</definedName>
    <definedName localSheetId="23" name="TargetCompanyExchangeRate">#REF!</definedName>
    <definedName localSheetId="5" name="_CCY1">#REF!</definedName>
    <definedName localSheetId="2" name="__CCY2">#REF!</definedName>
    <definedName localSheetId="4" name="Year2">#REF!</definedName>
    <definedName localSheetId="3" name="revswitch">#REF!</definedName>
    <definedName localSheetId="4" name="WDOPCOQ1">#REF!</definedName>
    <definedName localSheetId="23" name="__YE1">#REF!</definedName>
    <definedName localSheetId="4" name="BS_convertpref">#REF!</definedName>
    <definedName localSheetId="2" name="ni_mult4">#REF!</definedName>
    <definedName localSheetId="3" name="_Pg58">#REF!</definedName>
    <definedName localSheetId="5" name="Step">#REF!</definedName>
    <definedName name="FRA_Ger">#REF!</definedName>
    <definedName localSheetId="5" name="_YE3">#REF!</definedName>
    <definedName localSheetId="3" name="WDOPCOQ4">#REF!</definedName>
    <definedName localSheetId="4" name="fcf_lev_terminal4">#REF!</definedName>
    <definedName localSheetId="23" name="ExchangeRate2">#REF!</definedName>
    <definedName localSheetId="5" name="CF_netinc">#REF!</definedName>
    <definedName localSheetId="3" name="Emaxapp">#REF!</definedName>
    <definedName name="Smaxapp">#REF!</definedName>
    <definedName name="OC">#REF!</definedName>
    <definedName name="ni_mult3">#REF!</definedName>
    <definedName localSheetId="23" name="BurnhamDesp">#REF!</definedName>
    <definedName name="FIGMBD">#REF!</definedName>
    <definedName localSheetId="3" name="CanadianRate">#REF!</definedName>
    <definedName localSheetId="3" name="BS_Convertible_Debt">#REF!</definedName>
    <definedName name="CPGPDIAG2003">#REF!</definedName>
    <definedName localSheetId="2" name="EBITAFAU">#REF!</definedName>
    <definedName localSheetId="3" name="BS_discontoper">#REF!</definedName>
    <definedName name="Despatchph">#REF!</definedName>
    <definedName name="_Pg70">#REF!</definedName>
    <definedName localSheetId="4" name="actuals">#REF!</definedName>
    <definedName name="ImpliedFX">#REF!</definedName>
    <definedName localSheetId="7" name="wrn.TransPrcd_123.">#REF!</definedName>
    <definedName localSheetId="2" name="CPGPPREP2003">#REF!</definedName>
    <definedName localSheetId="2" name="Periods">#REF!</definedName>
    <definedName name="ex">#REF!</definedName>
    <definedName localSheetId="23" name="wrn.Summary._.Report.">#REF!</definedName>
    <definedName localSheetId="5" name="PL_Loss_Debt">#REF!</definedName>
    <definedName name="_Pg78">#REF!</definedName>
    <definedName localSheetId="5" name="_Pg52">#REF!</definedName>
    <definedName localSheetId="2" name="GPPTTLQ4">#REF!</definedName>
    <definedName name="CLOSE">#REF!</definedName>
    <definedName localSheetId="23" name="WDCOGSQ4">#REF!</definedName>
    <definedName localSheetId="5" name="week1">#REF!</definedName>
    <definedName localSheetId="5" name="IS_intconvert">#REF!</definedName>
    <definedName localSheetId="4" name="CPGPDIAG2003">#REF!</definedName>
    <definedName name="c_SSBswitch">#REF!</definedName>
    <definedName name="TOP10APR">#REF!</definedName>
    <definedName localSheetId="3" name="Year8">#REF!</definedName>
    <definedName localSheetId="23" name="modemref">#REF!</definedName>
    <definedName localSheetId="5" name="mthend1">#REF!</definedName>
    <definedName localSheetId="23" name="EBITDA_mult1">#REF!</definedName>
    <definedName name="CPFREIGHTAE">#REF!</definedName>
    <definedName localSheetId="23" name="CF_deprec">#REF!</definedName>
    <definedName localSheetId="4" name="_NRQ3">#REF!</definedName>
    <definedName localSheetId="5" name="netcostfcst">#REF!</definedName>
    <definedName localSheetId="2" name="page8">#REF!</definedName>
    <definedName localSheetId="23" name="CF_NWC">#REF!</definedName>
    <definedName name="CompTaxRate">#REF!</definedName>
    <definedName localSheetId="3" name="BEGRSLQ2">#REF!</definedName>
    <definedName localSheetId="5" name="ChangeInStraightPreferredStock">#REF!</definedName>
    <definedName localSheetId="3" name="CF_capex">#REF!</definedName>
    <definedName name="EuropePL">#REF!</definedName>
    <definedName localSheetId="23" name="cty">#REF!</definedName>
    <definedName localSheetId="3" name="FIGMBD">#REF!</definedName>
    <definedName localSheetId="23" name="SIDICEntities">#REF!</definedName>
    <definedName name="WriteUP_PPE">#REF!</definedName>
    <definedName localSheetId="3" name="SPGOODS">#REF!</definedName>
    <definedName localSheetId="2" name="fcf_unlev_terminal1">#REF!</definedName>
    <definedName localSheetId="4" name="_Pg48">#REF!</definedName>
    <definedName localSheetId="3" name="perp_lev2">#REF!</definedName>
    <definedName localSheetId="3" name="Engineeringph">#REF!</definedName>
    <definedName localSheetId="2" name="B_b">#REF!</definedName>
    <definedName localSheetId="4" name="BS_straightdebt">#REF!</definedName>
    <definedName localSheetId="5" name="SmaxFOA">#REF!</definedName>
    <definedName localSheetId="23" name="Month4">#REF!</definedName>
    <definedName localSheetId="3" name="WSEBITAU">#REF!</definedName>
    <definedName localSheetId="5" name="page7">#REF!</definedName>
    <definedName localSheetId="3" name="summ_of_add_rev">#REF!</definedName>
    <definedName name="NAME">#REF!</definedName>
    <definedName localSheetId="2" name="FX_HKD">#REF!</definedName>
    <definedName localSheetId="4" name="PEST">#REF!</definedName>
    <definedName localSheetId="4" name="BS_Provisions">#REF!</definedName>
    <definedName localSheetId="3" name="p_BS">#REF!</definedName>
    <definedName localSheetId="23" name="WriteUp_otherLTA">#REF!</definedName>
    <definedName localSheetId="5" name="KeyAccts_Table">#REF!</definedName>
    <definedName localSheetId="2" name="BkgsByProdline">#REF!</definedName>
    <definedName name="ni_terminal">#REF!</definedName>
    <definedName localSheetId="4" name="perp_unlev3">#REF!</definedName>
    <definedName localSheetId="3" name="BS_payables">#REF!</definedName>
    <definedName name="PL_Loss_Debt">#REF!</definedName>
    <definedName localSheetId="5" name="E_b">#REF!</definedName>
    <definedName name="_Pg58">#REF!</definedName>
    <definedName localSheetId="2" name="CPTP2004">#REF!</definedName>
    <definedName localSheetId="5" name="ergd">#REF!</definedName>
    <definedName localSheetId="5" name="Cashplug">#REF!</definedName>
    <definedName localSheetId="5" name="EBITTABL">#REF!</definedName>
    <definedName localSheetId="3" name="GPPTTLQ4">#REF!</definedName>
    <definedName localSheetId="3" name="base">#REF!</definedName>
    <definedName localSheetId="23" name="GPPTTLQ1">#REF!</definedName>
    <definedName localSheetId="5" name="BS_Other_LTLiabilities">#REF!</definedName>
    <definedName name="perp_unlev_sen">#REF!</definedName>
    <definedName localSheetId="23" name="_2QTR">#REF!</definedName>
    <definedName localSheetId="5" name="EBITQ3">#REF!</definedName>
    <definedName localSheetId="4" name="XY">#REF!</definedName>
    <definedName localSheetId="3" name="WI_detail">#REF!</definedName>
    <definedName name="wrn.HEAT.">#REF!</definedName>
    <definedName localSheetId="7" name="wrn.ISCG._.model.">#REF!</definedName>
    <definedName localSheetId="23" name="Heads">#REF!</definedName>
    <definedName localSheetId="2" name="WriteUp_receivables">#REF!</definedName>
    <definedName localSheetId="3" name="p_LBO_returncalcb">#REF!</definedName>
    <definedName localSheetId="23" name="x">#REF!</definedName>
    <definedName localSheetId="4" name="page8">#REF!</definedName>
    <definedName localSheetId="4" name="TOP10JAN">#REF!</definedName>
    <definedName name="Month12">#REF!</definedName>
    <definedName localSheetId="23" name="_4SPQTR">#REF!</definedName>
    <definedName localSheetId="23" name="_Pg74">#REF!</definedName>
    <definedName localSheetId="4" name="NewCo1ON">#REF!</definedName>
    <definedName localSheetId="2" name="FIUNABQ2">#REF!</definedName>
    <definedName localSheetId="5" name="p_LBO_IS">#REF!</definedName>
    <definedName localSheetId="2" name="nrw">#REF!</definedName>
    <definedName localSheetId="2" name="Target_prefd">#REF!</definedName>
    <definedName localSheetId="5" name="BS_Investments">#REF!</definedName>
    <definedName localSheetId="5" name="mo">#REF!</definedName>
    <definedName localSheetId="3" name="MOLD94">#REF!</definedName>
    <definedName localSheetId="23" name="capital">#REF!</definedName>
    <definedName localSheetId="2" name="EBITTTL">#REF!</definedName>
    <definedName localSheetId="2" name="Period">#REF!</definedName>
    <definedName localSheetId="3" name="NotesNewIssue">#REF!</definedName>
    <definedName localSheetId="5" name="CPHAND2004">#REF!</definedName>
    <definedName localSheetId="23" name="IS_intrevolver">#REF!</definedName>
    <definedName localSheetId="5" name="OtherExchangeRate">#REF!</definedName>
    <definedName localSheetId="3" name="PPTRANAE">#REF!</definedName>
    <definedName localSheetId="5" name="ni_mult5">#REF!</definedName>
    <definedName localSheetId="23" name="Mil">#REF!</definedName>
    <definedName localSheetId="5" name="_Pg72">#REF!</definedName>
    <definedName localSheetId="5" name="Quarter">#REF!</definedName>
    <definedName localSheetId="3" name="CPPREP2004">#REF!</definedName>
    <definedName name="BS_otherCA">#REF!</definedName>
    <definedName localSheetId="2" name="_4.2">#REF!</definedName>
    <definedName localSheetId="23" name="perp_unlev4">#REF!</definedName>
    <definedName localSheetId="5" name="fcstsum">#REF!</definedName>
    <definedName localSheetId="23" name="Print3Start">#REF!</definedName>
    <definedName name="YearEndDay">#REF!</definedName>
    <definedName localSheetId="4" name="LoanDate">#REF!</definedName>
    <definedName localSheetId="2" name="MENU">#REF!</definedName>
    <definedName localSheetId="3" name="CPHAND2004">#REF!</definedName>
    <definedName localSheetId="2" name="GPTTL">#REF!</definedName>
    <definedName localSheetId="5" name="_Pg32">#REF!</definedName>
    <definedName localSheetId="5" name="Ben_Ger">#REF!</definedName>
    <definedName localSheetId="23" name="ARPU3">#REF!</definedName>
    <definedName localSheetId="5" name="_273_4.2">#REF!</definedName>
    <definedName localSheetId="3" name="GPPFINQ4">#REF!</definedName>
    <definedName localSheetId="23" name="Year1">#REF!</definedName>
    <definedName localSheetId="23" name="EBITAFNO">#REF!</definedName>
    <definedName localSheetId="3" name="ex">#REF!</definedName>
    <definedName localSheetId="2" name="IDP">#REF!</definedName>
    <definedName localSheetId="23" name="DETAIL">#REF!</definedName>
    <definedName name="_6_99_QD">#REF!</definedName>
    <definedName localSheetId="2" name="_YE1">#REF!</definedName>
    <definedName localSheetId="5" name="CF_straightdebt">#REF!</definedName>
    <definedName localSheetId="4" name="ManagementRevenues">#REF!</definedName>
    <definedName localSheetId="3" name="GPPTTLQ2">#REF!</definedName>
    <definedName localSheetId="23" name="Ops">#REF!</definedName>
    <definedName localSheetId="23" name="CPTP2003">#REF!</definedName>
    <definedName name="WriteUp_otherLTA">#REF!</definedName>
    <definedName localSheetId="23" name="Category">#REF!</definedName>
    <definedName localSheetId="2" name="YearEndDay">#REF!</definedName>
    <definedName localSheetId="3" name="BurnhamEng">#REF!</definedName>
    <definedName localSheetId="5" name="__YE3">#REF!</definedName>
    <definedName localSheetId="3" name="PRINT_TITLES_MI">#REF!</definedName>
    <definedName localSheetId="23" name="KeepE">#REF!</definedName>
    <definedName localSheetId="4" name="OPEXQ3">#REF!</definedName>
    <definedName localSheetId="5" name="Consol_Elim">#REF!</definedName>
    <definedName localSheetId="2" name="Calibrationph">#REF!</definedName>
    <definedName localSheetId="4" name="_3AQTR">#REF!</definedName>
    <definedName name="_309_4.6">#REF!</definedName>
    <definedName localSheetId="3" name="p_LBO_returncalc">#REF!</definedName>
    <definedName localSheetId="5" name="_4AQTR">#REF!</definedName>
    <definedName localSheetId="5" name="CF_Investments">#REF!</definedName>
    <definedName name="Sub_Name2">#REF!</definedName>
    <definedName localSheetId="4" name="sensitive">#REF!</definedName>
    <definedName localSheetId="4" name="Tax_Amortization">#REF!</definedName>
    <definedName localSheetId="23" name="B_a">#REF!</definedName>
    <definedName localSheetId="3" name="tar">#REF!</definedName>
    <definedName localSheetId="3" name="NewCo1ON">#REF!</definedName>
    <definedName localSheetId="2" name="BEGRSLQ3">#REF!</definedName>
    <definedName localSheetId="2" name="_4SPQTR">#REF!</definedName>
    <definedName localSheetId="4" name="Target_ST_Debt">#REF!</definedName>
    <definedName localSheetId="23" name="fcf_lev_terminal5">#REF!</definedName>
    <definedName localSheetId="23" name="_225_0.2">#REF!</definedName>
    <definedName localSheetId="4" name="KeyAccts_Table">#REF!</definedName>
    <definedName localSheetId="3" name="FD">#REF!</definedName>
    <definedName localSheetId="2" name="Print_Area_MI">#REF!</definedName>
    <definedName name="dcfyear">#REF!</definedName>
    <definedName localSheetId="5" name="MTDStock">#REF!</definedName>
    <definedName localSheetId="5" name="_2QTRFIN">#REF!</definedName>
    <definedName localSheetId="2" name="WDOPCOQ1">#REF!</definedName>
    <definedName localSheetId="4" name="AVE">#REF!</definedName>
    <definedName localSheetId="23" name="OPOTEXQ3">#REF!</definedName>
    <definedName localSheetId="23" name="_Pg42">#REF!</definedName>
    <definedName localSheetId="5" name="FIGM94">#REF!</definedName>
    <definedName localSheetId="4" name="PPDIAG2003">#REF!</definedName>
    <definedName localSheetId="2" name="capital">#REF!</definedName>
    <definedName localSheetId="4" name="DepreciationAndDepletion">#REF!</definedName>
    <definedName localSheetId="5" name="detail97">#REF!</definedName>
    <definedName localSheetId="23" name="PEST_">#REF!</definedName>
    <definedName name="PPGPDIAG2003">#REF!</definedName>
    <definedName localSheetId="5" name="FXREV_HKD">#REF!</definedName>
    <definedName localSheetId="23" name="wrn.ALL._.PAGES.">#REF!</definedName>
    <definedName localSheetId="23" name="_227_0_0Datab">#REF!</definedName>
    <definedName localSheetId="23" name="SalesMEiph">#REF!</definedName>
    <definedName name="OCTBS">#REF!</definedName>
    <definedName localSheetId="4" name="sort">#REF!</definedName>
    <definedName localSheetId="4" name="WACC_sen">#REF!</definedName>
    <definedName name="Symbol">#REF!</definedName>
    <definedName localSheetId="5" name="_337ÿ_0bot">#REF!</definedName>
    <definedName localSheetId="23" name="actuals">#REF!</definedName>
    <definedName localSheetId="4" name="EBITTABL">#REF!</definedName>
    <definedName localSheetId="4" name="as">#REF!</definedName>
    <definedName localSheetId="5" name="GPSPGTTL">#REF!</definedName>
    <definedName localSheetId="5" name="EBITAFMY">#REF!</definedName>
    <definedName localSheetId="5" name="RF_International">#REF!</definedName>
    <definedName localSheetId="4" name="Sub_Name2">#REF!</definedName>
    <definedName localSheetId="3" name="PEST_">#REF!</definedName>
    <definedName localSheetId="2" name="Targetname">#REF!</definedName>
    <definedName name="SP3QTR">#REF!</definedName>
    <definedName localSheetId="2" name="EuroRate">#REF!</definedName>
    <definedName localSheetId="3" name="_Pg79">#REF!</definedName>
    <definedName localSheetId="2" name="InventoryReport">#REF!</definedName>
    <definedName localSheetId="5" name="BS_Equity">#REF!</definedName>
    <definedName localSheetId="23" name="FXREV_BRL">#REF!</definedName>
    <definedName localSheetId="2" name="PRINT1">#REF!</definedName>
    <definedName localSheetId="3" name="_MAR02">#REF!</definedName>
    <definedName localSheetId="5" name="p_DCF">#REF!</definedName>
    <definedName localSheetId="5" name="data">#REF!</definedName>
    <definedName localSheetId="2" name="CF_commondiv">#REF!</definedName>
    <definedName localSheetId="23" name="BaseYear">#REF!</definedName>
    <definedName localSheetId="23" name="Balance">#REF!</definedName>
    <definedName name="fcf_unlev5">#REF!</definedName>
    <definedName localSheetId="4" name="price">#REF!</definedName>
    <definedName localSheetId="3" name="LookUpRange">#REF!</definedName>
    <definedName name="Publicity">#REF!</definedName>
    <definedName name="FIGM94">#REF!</definedName>
    <definedName localSheetId="5" name="BaseData">#REF!</definedName>
    <definedName localSheetId="4" name="CPFREIGHT2003">#REF!</definedName>
    <definedName name="Target_LT_Debt">#REF!</definedName>
    <definedName localSheetId="23" name="IQRTradingCompsC25">#REF!</definedName>
    <definedName localSheetId="5" name="_AVE2">#REF!</definedName>
    <definedName localSheetId="5" name="actuals">#REF!</definedName>
    <definedName localSheetId="5" name="ProdControlph">#REF!</definedName>
    <definedName name="BaseData">#REF!</definedName>
    <definedName localSheetId="5" name="SIDEntities">#REF!</definedName>
    <definedName localSheetId="5" name="year1996">#REF!</definedName>
    <definedName localSheetId="7" name="wrn.all._.gulp._.sheets.">#REF!</definedName>
    <definedName localSheetId="2" name="A_a">#REF!</definedName>
    <definedName localSheetId="23" name="divestproceeds">#REF!</definedName>
    <definedName localSheetId="2" name="BS_Investments">#REF!</definedName>
    <definedName localSheetId="3" name="Broadcast">#REF!</definedName>
    <definedName name="CF_Depreciation">#REF!</definedName>
    <definedName localSheetId="3" name="B">#REF!</definedName>
    <definedName localSheetId="5" name="_3QTRFIN">#REF!</definedName>
    <definedName name="ExchangeRate2">#REF!</definedName>
    <definedName localSheetId="4" name="op">#REF!</definedName>
    <definedName name="kit">#REF!</definedName>
    <definedName localSheetId="23" name="FYE1NetRevenues">#REF!</definedName>
    <definedName localSheetId="23" name="_Ops1">#REF!</definedName>
    <definedName localSheetId="3" name="IS_otheropexp">#REF!</definedName>
    <definedName localSheetId="5" name="fulldept">#REF!</definedName>
    <definedName localSheetId="5" name="_255_4.11">#REF!</definedName>
    <definedName localSheetId="23" name="__GPQ3">#REF!</definedName>
    <definedName name="wrn.RELEVANTSHEETS.">#REF!</definedName>
    <definedName localSheetId="23" name="page9">#REF!</definedName>
    <definedName localSheetId="4" name="DSEXTRACT">#REF!</definedName>
    <definedName name="Copyright">#REF!</definedName>
    <definedName localSheetId="4" name="page1">#REF!</definedName>
    <definedName localSheetId="4" name="_JUL02">#REF!</definedName>
    <definedName localSheetId="2" name="WDOPCOQ2">#REF!</definedName>
    <definedName localSheetId="5" name="bs_date">#REF!</definedName>
    <definedName localSheetId="2" name="ImpliedFX">#REF!</definedName>
    <definedName localSheetId="4" name="OPICEXQ3">#REF!</definedName>
    <definedName name="NewTaxIntangibles">#REF!</definedName>
    <definedName name="GPPFINQ2">#REF!</definedName>
    <definedName localSheetId="4" name="gross">#REF!</definedName>
    <definedName localSheetId="2" name="_MAY02">#REF!</definedName>
    <definedName localSheetId="23" name="EquityInUnconsolidatedAffiliates">#REF!</definedName>
    <definedName name="PPFREIGHT2003">#REF!</definedName>
    <definedName localSheetId="3" name="_Pg57">#REF!</definedName>
    <definedName localSheetId="23" name="DPS">#REF!</definedName>
    <definedName localSheetId="3" name="SP4QTR">#REF!</definedName>
    <definedName localSheetId="7" name="wrn.merge.">#REF!</definedName>
    <definedName localSheetId="23" name="LBOIPOExit1">#REF!</definedName>
    <definedName name="CF_minority">#REF!</definedName>
    <definedName localSheetId="3" name="Expcode">#REF!</definedName>
    <definedName localSheetId="4" name="ni_mult2">#REF!</definedName>
    <definedName localSheetId="5" name="AmortizationOfDeferredFinancingCosts">#REF!</definedName>
    <definedName localSheetId="2" name="E_a">#REF!</definedName>
    <definedName localSheetId="4" name="Month4">#REF!</definedName>
    <definedName localSheetId="23" name="__CCY2">#REF!</definedName>
    <definedName localSheetId="3" name="p_highyield_FA">#REF!</definedName>
    <definedName localSheetId="23" name="Transducers">#REF!</definedName>
    <definedName localSheetId="2" name="PPPREP2003">#REF!</definedName>
    <definedName localSheetId="23" name="wrn.Filter.">#REF!</definedName>
    <definedName name="Systimax">#REF!</definedName>
    <definedName localSheetId="4" name="PRINT1">#REF!</definedName>
    <definedName localSheetId="3" name="Cashplug">#REF!</definedName>
    <definedName name="PL_Rent">#REF!</definedName>
    <definedName name="PPTP2003">#REF!</definedName>
    <definedName localSheetId="2" name="PL_XO">#REF!</definedName>
    <definedName localSheetId="3" name="fcf_lev_terminal3">#REF!</definedName>
    <definedName localSheetId="5" name="Option_Proceeds">#REF!</definedName>
    <definedName name="portion">#REF!</definedName>
    <definedName localSheetId="4" name="OPNTSLQ1">#REF!</definedName>
    <definedName localSheetId="23" name="WDGRSLQ3">#REF!</definedName>
    <definedName localSheetId="23" name="page8">#REF!</definedName>
    <definedName localSheetId="23" name="_CCY2">#REF!</definedName>
    <definedName localSheetId="3" name="BS_convertdebt">#REF!</definedName>
    <definedName localSheetId="5" name="OC">#REF!</definedName>
    <definedName localSheetId="3" name="PL_Convertible_PDividend">#REF!</definedName>
    <definedName localSheetId="3" name="FIGM942">#REF!</definedName>
    <definedName localSheetId="3" name="Number_of_customer">#REF!</definedName>
    <definedName localSheetId="5" name="B_a">#REF!</definedName>
    <definedName localSheetId="3" name="year_close">#REF!</definedName>
    <definedName localSheetId="3" name="StockIssueCostLife">#REF!</definedName>
    <definedName name="_228_0__Datab">#REF!</definedName>
    <definedName localSheetId="23" name="CPGPTP2004">#REF!</definedName>
    <definedName localSheetId="5" name="direct">#REF!</definedName>
    <definedName name="Graphs">#REF!</definedName>
    <definedName localSheetId="2" name="Publicity">#REF!</definedName>
    <definedName name="CF_netinc">#REF!</definedName>
    <definedName localSheetId="2" name="GPPTTLTL">#REF!</definedName>
    <definedName localSheetId="5" name="BurnhamSalesph">#REF!</definedName>
    <definedName localSheetId="3" name="Goodwill">#REF!</definedName>
    <definedName localSheetId="3" name="BurnhamSalesph">#REF!</definedName>
    <definedName name="BurnhamAdmin">#REF!</definedName>
    <definedName localSheetId="5" name="_300_4.5">#REF!</definedName>
    <definedName localSheetId="2" name="EBITQ4">#REF!</definedName>
    <definedName localSheetId="3" name="WSABSFY">#REF!</definedName>
    <definedName name="_237_4.1">#REF!</definedName>
    <definedName localSheetId="4" name="CostOfEquity">#REF!</definedName>
    <definedName localSheetId="5" name="SP2QTR">#REF!</definedName>
    <definedName localSheetId="3" name="CostsOfDebt">#REF!</definedName>
    <definedName localSheetId="2" name="page3">#REF!</definedName>
    <definedName name="cf">#REF!</definedName>
    <definedName localSheetId="4" name="_Pg82">#REF!</definedName>
    <definedName name="_Pg47">#REF!</definedName>
    <definedName name="ManagementRevenues">#REF!</definedName>
    <definedName localSheetId="5" name="WI_detail">#REF!</definedName>
    <definedName localSheetId="5" name="PPFREIGHT2004">#REF!</definedName>
    <definedName localSheetId="5" name="perp_unlev2">#REF!</definedName>
    <definedName localSheetId="23" name="CF_commondiv">#REF!</definedName>
    <definedName localSheetId="23" name="EBITAFJA">#REF!</definedName>
    <definedName localSheetId="3" name="list">#REF!</definedName>
    <definedName localSheetId="3" name="plandtl">#REF!</definedName>
    <definedName localSheetId="4" name="PPTP2003">#REF!</definedName>
    <definedName localSheetId="4" name="Productstructure">#REF!</definedName>
    <definedName localSheetId="23" name="p_highyield_BS">#REF!</definedName>
    <definedName localSheetId="3" name="Disp">#REF!</definedName>
    <definedName localSheetId="5" name="fcf_unlev_terminal5">#REF!</definedName>
    <definedName name="WI_detail">#REF!</definedName>
    <definedName localSheetId="4" name="Serviceint">#REF!</definedName>
    <definedName name="ExchangeRate1">#REF!</definedName>
    <definedName localSheetId="4" name="_3_99_3D2">#REF!</definedName>
    <definedName localSheetId="23" name="DisE1M2">#REF!</definedName>
    <definedName localSheetId="2" name="BurnhamDesp">#REF!</definedName>
    <definedName name="OPGRPRQ2">#REF!</definedName>
    <definedName localSheetId="4" name="OtherCurrency">#REF!</definedName>
    <definedName localSheetId="2" name="fcf_lev_terminal4">#REF!</definedName>
    <definedName localSheetId="4" name="BS_intangibles">#REF!</definedName>
    <definedName localSheetId="5" name="WSEBITNO">#REF!</definedName>
    <definedName localSheetId="3" name="Transducers">#REF!</definedName>
    <definedName localSheetId="4" name="F_b">#REF!</definedName>
    <definedName localSheetId="5" name="S_M">#REF!</definedName>
    <definedName localSheetId="3" name="StockIssueDate">#REF!</definedName>
    <definedName localSheetId="23" name="aaaaa">#REF!</definedName>
    <definedName localSheetId="5" name="CPGPDIAG2004">#REF!</definedName>
    <definedName localSheetId="2" name="_2_99_3D">#REF!</definedName>
    <definedName localSheetId="2" name="Number_of_customer">#REF!</definedName>
    <definedName localSheetId="23" name="GPTTL">#REF!</definedName>
    <definedName localSheetId="2" name="SumB">#REF!</definedName>
    <definedName localSheetId="3" name="BurnhamAdminph">#REF!</definedName>
    <definedName localSheetId="5" name="fcf_unlev5">#REF!</definedName>
    <definedName localSheetId="2" name="page5">#REF!</definedName>
    <definedName localSheetId="3" name="Dec">#REF!</definedName>
    <definedName localSheetId="5" name="IQRTradingCompsA25">#REF!</definedName>
    <definedName name="__rsr2">#REF!</definedName>
    <definedName localSheetId="23" name="E">#REF!</definedName>
    <definedName localSheetId="5" name="Indust_graphs">#REF!</definedName>
    <definedName localSheetId="5" name="SP4QTR">#REF!</definedName>
    <definedName localSheetId="3" name="CashInterestRateOverwrite">#REF!</definedName>
    <definedName localSheetId="2" name="chki">#REF!</definedName>
    <definedName localSheetId="5" name="YearEndDay">#REF!</definedName>
    <definedName localSheetId="3" name="BS_otherCA">#REF!</definedName>
    <definedName name="crane">#REF!</definedName>
    <definedName localSheetId="4" name="SEK">#REF!</definedName>
    <definedName localSheetId="2" name="FullTakeRate">#REF!</definedName>
    <definedName localSheetId="23" name="NOTES">#REF!</definedName>
    <definedName localSheetId="4" name="_264_4.12">#REF!</definedName>
    <definedName localSheetId="23" name="p_Options">#REF!</definedName>
    <definedName localSheetId="7" name="____b2">#REF!</definedName>
    <definedName name="FullTakeRate">#REF!</definedName>
    <definedName localSheetId="23" name="Denomination">#REF!</definedName>
    <definedName name="_Pg29">#REF!</definedName>
    <definedName localSheetId="4" name="PAGE6">#REF!</definedName>
    <definedName localSheetId="23" name="Target_ST_Debt">#REF!</definedName>
    <definedName localSheetId="3" name="Status">#REF!</definedName>
    <definedName localSheetId="3" name="Year1">#REF!</definedName>
    <definedName name="options">#REF!</definedName>
    <definedName localSheetId="4" name="Month11">#REF!</definedName>
    <definedName name="E_a">#REF!</definedName>
    <definedName localSheetId="4" name="OPNTSLQ2">#REF!</definedName>
    <definedName localSheetId="3" name="TOP10MAY02">#REF!</definedName>
    <definedName localSheetId="2" name="MinorityInterestInIncome">#REF!</definedName>
    <definedName localSheetId="23" name="PL_Straight_PDividend">#REF!</definedName>
    <definedName localSheetId="4" name="FINQ3">#REF!</definedName>
    <definedName localSheetId="4" name="OPOPCOQ2">#REF!</definedName>
    <definedName localSheetId="4" name="Sub_Name3">#REF!</definedName>
    <definedName localSheetId="4" name="Revenue">#REF!</definedName>
    <definedName localSheetId="23" name="EBITTTL">#REF!</definedName>
    <definedName localSheetId="23" name="wrn.Maine.">#REF!</definedName>
    <definedName localSheetId="23" name="NONINSTRUMENTS">#REF!</definedName>
    <definedName localSheetId="4" name="BurnhamEng">#REF!</definedName>
    <definedName name="basedata1">#REF!</definedName>
    <definedName name="CPGPPREP2003">#REF!</definedName>
    <definedName localSheetId="23" name="PPFREIGHT2004">#REF!</definedName>
    <definedName localSheetId="4" name="_4SPQTR">#REF!</definedName>
    <definedName localSheetId="4" name="ALL">#REF!</definedName>
    <definedName localSheetId="4" name="WSEBITMA">#REF!</definedName>
    <definedName localSheetId="3" name="_4.12">#REF!</definedName>
    <definedName localSheetId="5" name="EuropeAct">#REF!</definedName>
    <definedName localSheetId="4" name="p_DCF5">#REF!</definedName>
    <definedName name="OPICEXQ2">#REF!</definedName>
    <definedName name="Quarterly_Sum">#REF!</definedName>
    <definedName localSheetId="23" name="FIGM951">#REF!</definedName>
    <definedName localSheetId="2" name="OPOTEXQ1">#REF!</definedName>
    <definedName localSheetId="4" name="LoanAmount">#REF!</definedName>
    <definedName localSheetId="3" name="TL2QTR">#REF!</definedName>
    <definedName localSheetId="4" name="_4.5">#REF!</definedName>
    <definedName localSheetId="4" name="p_highyield_IS">#REF!</definedName>
    <definedName localSheetId="5" name="BS_convertpref">#REF!</definedName>
    <definedName localSheetId="3" name="C_a">#REF!</definedName>
    <definedName localSheetId="23" name="_4.11">#REF!</definedName>
    <definedName name="ParetoBaseCell">#REF!</definedName>
    <definedName localSheetId="2" name="EBITDA_mult1">#REF!</definedName>
    <definedName localSheetId="3" name="CPTP2003">#REF!</definedName>
    <definedName localSheetId="23" name="salesandmktg">#REF!</definedName>
    <definedName localSheetId="2" name="PL_Rent">#REF!</definedName>
    <definedName localSheetId="5" name="gross">#REF!</definedName>
    <definedName localSheetId="3" name="_JAN02">#REF!</definedName>
    <definedName localSheetId="4" name="__CCY1">#REF!</definedName>
    <definedName localSheetId="4" name="_5_99_3S">#REF!</definedName>
    <definedName localSheetId="3" name="Periods">#REF!</definedName>
    <definedName localSheetId="23" name="wrn.VALUATION.">#REF!</definedName>
    <definedName localSheetId="3" name="OfferPrice">#REF!</definedName>
    <definedName name="TOTALIT">#REF!</definedName>
    <definedName localSheetId="5" name="TL4QTR">#REF!</definedName>
    <definedName localSheetId="23" name="WDNTSLQ1">#REF!</definedName>
    <definedName localSheetId="23" name="eu">#REF!</definedName>
    <definedName localSheetId="3" name="Engineering">#REF!</definedName>
    <definedName localSheetId="23" name="month_close">#REF!</definedName>
    <definedName name="PEST_">#REF!</definedName>
    <definedName localSheetId="23" name="BS_deferredtaxes">#REF!</definedName>
    <definedName localSheetId="23" name="Rollfwd_USD">#REF!</definedName>
    <definedName localSheetId="5" name="help">#REF!</definedName>
    <definedName localSheetId="4" name="FIGM96">#REF!</definedName>
    <definedName localSheetId="5" name="ProdControl">#REF!</definedName>
    <definedName localSheetId="4" name="Burnhamprod">#REF!</definedName>
    <definedName localSheetId="23" name="AdHoc">#REF!</definedName>
    <definedName localSheetId="23" name="Disp">#REF!</definedName>
    <definedName localSheetId="2" name="MarketTable">#REF!</definedName>
    <definedName name="_226_0_0Datab">#REF!</definedName>
    <definedName localSheetId="2" name="CF_revolver">#REF!</definedName>
    <definedName name="__123Graph_E">#REF!</definedName>
    <definedName localSheetId="3" name="TOP10FEB">#REF!</definedName>
    <definedName name="FIUNABQ1">#REF!</definedName>
    <definedName localSheetId="23" name="GPPFINTL">#REF!</definedName>
    <definedName localSheetId="5" name="CF_begcash">#REF!</definedName>
    <definedName name="p_highyield_Depr">#REF!</definedName>
    <definedName localSheetId="2" name="PPHAND2003">#REF!</definedName>
    <definedName name="Goodwill">#REF!</definedName>
    <definedName localSheetId="23" name="PL_Straight_Interest">#REF!</definedName>
    <definedName localSheetId="5" name="BEGRSLQ2">#REF!</definedName>
    <definedName localSheetId="2" name="FYE1EBITDA">#REF!</definedName>
    <definedName localSheetId="3" name="p_highyield_Return">#REF!</definedName>
    <definedName localSheetId="4" name="CF_intangiblesamort">#REF!</definedName>
    <definedName name="SalesAdminph">#REF!</definedName>
    <definedName localSheetId="2" name="vwr">#REF!</definedName>
    <definedName localSheetId="2" name="divestcash">#REF!</definedName>
    <definedName localSheetId="23" name="OPICEXQ3">#REF!</definedName>
    <definedName localSheetId="5" name="revswitch">#REF!</definedName>
    <definedName localSheetId="3" name="PAGE6">#REF!</definedName>
    <definedName name="OR_ViewProvider_ReportingViews_ExportStorage_OUT_CoG_RND">#REF!</definedName>
    <definedName name="Programming">#REF!</definedName>
    <definedName localSheetId="5" name="convdebtrate">#REF!</definedName>
    <definedName name="Tbudget">#REF!</definedName>
    <definedName localSheetId="2" name="FIGM95">#REF!</definedName>
    <definedName localSheetId="5" name="CF_deprec">#REF!</definedName>
    <definedName localSheetId="5" name="Elim_b">#REF!</definedName>
    <definedName localSheetId="5" name="Act_Fcst">#REF!</definedName>
    <definedName localSheetId="2" name="p_Index">#REF!</definedName>
    <definedName localSheetId="2" name="OC">#REF!</definedName>
    <definedName localSheetId="2" name="TOP10NOV">#REF!</definedName>
    <definedName name="fcf_lev_terminal1">#REF!</definedName>
    <definedName localSheetId="23" name="BS_intangibles">#REF!</definedName>
    <definedName localSheetId="2" name="SalesAdminph">#REF!</definedName>
    <definedName localSheetId="3" name="ExchangeRate2">#REF!</definedName>
    <definedName localSheetId="2" name="ChangeInDeferredCompensation">#REF!</definedName>
    <definedName localSheetId="3" name="AsiaFcst">#REF!</definedName>
    <definedName localSheetId="2" name="ServiceIntph">#REF!</definedName>
    <definedName localSheetId="5" name="BS_otherCL">#REF!</definedName>
    <definedName localSheetId="2" name="BS_Revolver">#REF!</definedName>
    <definedName localSheetId="4" name="_YE4">#REF!</definedName>
    <definedName localSheetId="3" name="_6_99_QD">#REF!</definedName>
    <definedName localSheetId="23" name="StatutoryRevenues">#REF!</definedName>
    <definedName localSheetId="5" name="IS_intexisting">#REF!</definedName>
    <definedName localSheetId="23" name="_228_0__Datab">#REF!</definedName>
    <definedName localSheetId="4" name="PRINT">#REF!</definedName>
    <definedName name="DeferredTaxes">#REF!</definedName>
    <definedName localSheetId="2" name="PPFREIGHT2003">#REF!</definedName>
    <definedName localSheetId="23" name="scen">#REF!</definedName>
    <definedName localSheetId="4" name="_YE2">#REF!</definedName>
    <definedName name="CostsOfDebt">#REF!</definedName>
    <definedName localSheetId="4" name="NewProductSales">#REF!</definedName>
    <definedName localSheetId="2" name="SP3QTR">#REF!</definedName>
    <definedName localSheetId="5" name="NOTES">#REF!</definedName>
    <definedName localSheetId="3" name="share_tog">#REF!</definedName>
    <definedName localSheetId="23" name="PRINT1">#REF!</definedName>
    <definedName localSheetId="4" name="perp_lev5">#REF!</definedName>
    <definedName localSheetId="5" name="PPHANDAE">#REF!</definedName>
    <definedName localSheetId="5" name="FXREV_BRL">#REF!</definedName>
    <definedName localSheetId="5" name="TOOL93">#REF!</definedName>
    <definedName localSheetId="23" name="PPPREP2003">#REF!</definedName>
    <definedName localSheetId="4" name="_fcf10">#REF!</definedName>
    <definedName localSheetId="4" name="FX_USD">#REF!</definedName>
    <definedName localSheetId="5" name="Year3">#REF!</definedName>
    <definedName localSheetId="23" name="WI_graphs">#REF!</definedName>
    <definedName localSheetId="5" name="MonthsRange">#REF!</definedName>
    <definedName localSheetId="4" name="CF_Depreciation">#REF!</definedName>
    <definedName localSheetId="3" name="_Pg80">#REF!</definedName>
    <definedName localSheetId="2" name="GPFINQ2">#REF!</definedName>
    <definedName localSheetId="3" name="_NOV01">#REF!</definedName>
    <definedName localSheetId="5" name="Smaxcable">#REF!</definedName>
    <definedName localSheetId="5" name="CPGPTP2003">#REF!</definedName>
    <definedName localSheetId="23" name="_Pg27">#REF!</definedName>
    <definedName localSheetId="4" name="BIOStock">#REF!</definedName>
    <definedName name="DollarHeader">#REF!</definedName>
    <definedName localSheetId="23" name="Act_Fcst">#REF!</definedName>
    <definedName localSheetId="23" name="BEGRSLQ1">#REF!</definedName>
    <definedName localSheetId="3" name="WDGRSLQ3">#REF!</definedName>
    <definedName localSheetId="4" name="E">#REF!</definedName>
    <definedName localSheetId="5" name="hrms">#REF!</definedName>
    <definedName name="_MAR02">#REF!</definedName>
    <definedName localSheetId="2" name="PPDIAG2004">#REF!</definedName>
    <definedName localSheetId="5" name="E">#REF!</definedName>
    <definedName localSheetId="23" name="Netsub">#REF!</definedName>
    <definedName localSheetId="23" name="fcf_unlev_terminal5">#REF!</definedName>
    <definedName name="FXREV_EUR">#REF!</definedName>
    <definedName localSheetId="5" name="churn">#REF!</definedName>
    <definedName name="OPEXQ4">#REF!</definedName>
    <definedName localSheetId="2" name="perp_unlev_sen">#REF!</definedName>
    <definedName localSheetId="5" name="Quarterly_Sum">#REF!</definedName>
    <definedName localSheetId="23" name="abc">#REF!</definedName>
    <definedName localSheetId="23" name="__GPQ4">#REF!</definedName>
    <definedName localSheetId="5" name="TOP10AUG02">#REF!</definedName>
    <definedName localSheetId="5" name="actsummy">#REF!</definedName>
    <definedName localSheetId="5" name="PPGPPREP2003">#REF!</definedName>
    <definedName localSheetId="23" name="_Pg44">#REF!</definedName>
    <definedName localSheetId="3" name="CF_equity">#REF!</definedName>
    <definedName localSheetId="23" name="CF_Straight_Debt">#REF!</definedName>
    <definedName localSheetId="3" name="date_close">#REF!</definedName>
    <definedName localSheetId="23" name="perp_unlev3">#REF!</definedName>
    <definedName localSheetId="4" name="_4AQTR">#REF!</definedName>
    <definedName localSheetId="5" name="Spec_graphs">#REF!</definedName>
    <definedName name="fcf_unlev10">#REF!</definedName>
    <definedName localSheetId="5" name="NONINSTRUMENTS">#REF!</definedName>
    <definedName localSheetId="2" name="_Pg36">#REF!</definedName>
    <definedName localSheetId="23" name="FIGMB3">#REF!</definedName>
    <definedName localSheetId="4" name="_Pg50">#REF!</definedName>
    <definedName localSheetId="5" name="BEGRSLQ1">#REF!</definedName>
    <definedName localSheetId="23" name="portion">#REF!</definedName>
    <definedName name="wrn.ALL._.SHEETS.">#REF!</definedName>
    <definedName localSheetId="23" name="CustEngph">#REF!</definedName>
    <definedName localSheetId="23" name="YearEndMonth">#REF!</definedName>
    <definedName localSheetId="23" name="PrecedentAnalysis">#REF!</definedName>
    <definedName localSheetId="2" name="OPOPCOQ4">#REF!</definedName>
    <definedName name="Month8">#REF!</definedName>
    <definedName name="__GPQ1">#REF!</definedName>
    <definedName localSheetId="3" name="IS_eps">#REF!</definedName>
    <definedName localSheetId="3" name="WSEBITFE">#REF!</definedName>
    <definedName localSheetId="23" name="year_close">#REF!</definedName>
    <definedName localSheetId="5" name="PL_Non_Operating_Expenses">#REF!</definedName>
    <definedName localSheetId="5" name="CPDIAG2004">#REF!</definedName>
    <definedName localSheetId="23" name="mo">#REF!</definedName>
    <definedName localSheetId="3" name="PandL_Act99_v_99FebBud">#REF!</definedName>
    <definedName localSheetId="3" name="fcf_lev_terminal1">#REF!</definedName>
    <definedName name="BS_inventories">#REF!</definedName>
    <definedName localSheetId="4" name="FIGMB1">#REF!</definedName>
    <definedName name="Installed">#REF!</definedName>
    <definedName name="wrn.first4.">#REF!</definedName>
    <definedName localSheetId="5" name="CF_convertdebt">#REF!</definedName>
    <definedName localSheetId="5" name="Erl_UK">#REF!</definedName>
    <definedName localSheetId="2" name="_4.4">#REF!</definedName>
    <definedName localSheetId="2" name="Sept">#REF!</definedName>
    <definedName localSheetId="4" name="netcostplan">#REF!</definedName>
    <definedName localSheetId="4" name="bal">#REF!</definedName>
    <definedName localSheetId="23" name="FIGMBD">#REF!</definedName>
    <definedName name="Consol_Elim">#REF!</definedName>
    <definedName localSheetId="2" name="VAL">#REF!</definedName>
    <definedName localSheetId="23" name="FIGM94">#REF!</definedName>
    <definedName localSheetId="5" name="WSEBITMA">#REF!</definedName>
    <definedName localSheetId="23" name="_300_4.5">#REF!</definedName>
    <definedName localSheetId="5" name="_Pg46">#REF!</definedName>
    <definedName localSheetId="23" name="WDOPCOQ4">#REF!</definedName>
    <definedName localSheetId="23" name="EBITTABL">#REF!</definedName>
    <definedName name="CAVP4">#REF!</definedName>
    <definedName localSheetId="23" name="STR">#REF!</definedName>
    <definedName localSheetId="23" name="IS_convprefdiv">#REF!</definedName>
    <definedName name="_4.8">#REF!</definedName>
    <definedName localSheetId="3" name="big">#REF!</definedName>
    <definedName localSheetId="3" name="CF_commondiv">#REF!</definedName>
    <definedName localSheetId="4" name="STR">#REF!</definedName>
    <definedName localSheetId="4" name="Price_Volume_Swap_Data">#REF!</definedName>
    <definedName localSheetId="23" name="PL_Equity_Earnings">#REF!</definedName>
    <definedName localSheetId="3" name="ProdMgt">#REF!</definedName>
    <definedName localSheetId="23" name="p_LBO_BS">#REF!</definedName>
    <definedName localSheetId="23" name="Other">#REF!</definedName>
    <definedName localSheetId="3" name="FIGM96">#REF!</definedName>
    <definedName localSheetId="4" name="Smaxcable">#REF!</definedName>
    <definedName localSheetId="5" name="LoanPmt">#REF!</definedName>
    <definedName localSheetId="4" name="CF_othernonoper">#REF!</definedName>
    <definedName localSheetId="4" name="EBITTTL">#REF!</definedName>
    <definedName name="EBITAFSE">#REF!</definedName>
    <definedName localSheetId="3" name="Print2Stop">#REF!</definedName>
    <definedName name="IS_minority">#REF!</definedName>
    <definedName localSheetId="3" name="Calibration">#REF!</definedName>
    <definedName localSheetId="4" name="Comp_graphs">#REF!</definedName>
    <definedName localSheetId="5" name="ARPU2">#REF!</definedName>
    <definedName localSheetId="2" name="MonthsRange">#REF!</definedName>
    <definedName localSheetId="23" name="CF_intangiblesamort">#REF!</definedName>
    <definedName localSheetId="23" name="_4.10">#REF!</definedName>
    <definedName localSheetId="4" name="ProdControl">#REF!</definedName>
    <definedName localSheetId="23" name="DiscountYears">#REF!</definedName>
    <definedName localSheetId="4" name="WDGRSLQ3">#REF!</definedName>
    <definedName localSheetId="23" name="data">#REF!</definedName>
    <definedName localSheetId="4" name="FIGM954">#REF!</definedName>
    <definedName localSheetId="5" name="Amortization">#REF!</definedName>
    <definedName name="SearchCriteria">'philips deals'!$B$4</definedName>
    <definedName localSheetId="3" name="__NRQ4">#REF!</definedName>
    <definedName localSheetId="4" name="progCOS">#REF!</definedName>
    <definedName localSheetId="4" name="CPGPTP2004">#REF!</definedName>
    <definedName name="____a1">#REF!</definedName>
    <definedName localSheetId="5" name="Fund_Deficit">#REF!</definedName>
    <definedName name="_Pg54">#REF!</definedName>
    <definedName name="PPHANDAE">#REF!</definedName>
    <definedName localSheetId="23" name="GPFINQ4">#REF!</definedName>
    <definedName localSheetId="2" name="_4.12">#REF!</definedName>
    <definedName localSheetId="2" name="_Pg71">#REF!</definedName>
    <definedName localSheetId="4" name="perp_lev4">#REF!</definedName>
    <definedName name="WSEBITDE">#REF!</definedName>
    <definedName localSheetId="3" name="TL3QTR">#REF!</definedName>
    <definedName name="WDOPCOQ2">#REF!</definedName>
    <definedName localSheetId="4" name="FIUNABQ2">#REF!</definedName>
    <definedName localSheetId="4" name="_255_4.11">#REF!</definedName>
    <definedName localSheetId="4" name="IDP">#REF!</definedName>
    <definedName localSheetId="5" name="MonthTable">#REF!</definedName>
    <definedName name="divestcash">#REF!</definedName>
    <definedName localSheetId="5" name="__fcf5">#REF!</definedName>
    <definedName localSheetId="3" name="PL_Straight_Interest">#REF!</definedName>
    <definedName localSheetId="4" name="LBOSaleExit2">#REF!</definedName>
    <definedName localSheetId="23" name="DNEXStock">#REF!</definedName>
    <definedName localSheetId="3" name="convpricedebt">#REF!</definedName>
    <definedName localSheetId="23" name="_NOV01">#REF!</definedName>
    <definedName localSheetId="23" name="Mar">#REF!</definedName>
    <definedName name="wrn.Summary._.Report.">#REF!</definedName>
    <definedName name="WriteUp_inventories">#REF!</definedName>
    <definedName localSheetId="23" name="MarketTable">#REF!</definedName>
    <definedName localSheetId="2" name="terminal_year">#REF!</definedName>
    <definedName localSheetId="4" name="Govt">#REF!</definedName>
    <definedName localSheetId="3" name="Month8">#REF!</definedName>
    <definedName localSheetId="2" name="BENTSL92">#REF!</definedName>
    <definedName localSheetId="4" name="actsumm">#REF!</definedName>
    <definedName name="FIUNABQ4">#REF!</definedName>
    <definedName name="LoanTerm">#REF!</definedName>
    <definedName localSheetId="4" name="PL_BasicSO">#REF!</definedName>
    <definedName name="GPPFINTL">#REF!</definedName>
    <definedName localSheetId="2" name="Revenue">#REF!</definedName>
    <definedName localSheetId="2" name="CPTRAN2003">#REF!</definedName>
    <definedName name="PL_Interest_Income">#REF!</definedName>
    <definedName localSheetId="23" name="E_a">#REF!</definedName>
    <definedName localSheetId="3" name="ExchangeRate1">#REF!</definedName>
    <definedName localSheetId="2" name="BS_Straight_Preferred">#REF!</definedName>
    <definedName localSheetId="23" name="US_Ger">#REF!</definedName>
    <definedName name="calculations">#REF!</definedName>
    <definedName localSheetId="4" name="MonthsRange">#REF!</definedName>
    <definedName localSheetId="4" name="_282_4.3">#REF!</definedName>
    <definedName localSheetId="3" name="LoanTerm">#REF!</definedName>
    <definedName localSheetId="5" name="matlplan">#REF!</definedName>
    <definedName name="page5">#REF!</definedName>
    <definedName localSheetId="3" name="DepreciationAndDepletion">#REF!</definedName>
    <definedName name="__CCY2">#REF!</definedName>
    <definedName name="IS_intrevolver">#REF!</definedName>
    <definedName localSheetId="5" name="ARPU4">#REF!</definedName>
    <definedName localSheetId="23" name="fcf_unlev_terminal3">#REF!</definedName>
    <definedName localSheetId="2" name="c_dateswitch">#REF!</definedName>
    <definedName localSheetId="3" name="BS_Provisions">#REF!</definedName>
    <definedName name="BUNames">#REF!</definedName>
    <definedName localSheetId="7" name="wrn.Accr_Dil.">#REF!</definedName>
    <definedName name="Status">#REF!</definedName>
    <definedName localSheetId="4" name="ChangeInStraightPreferredStock">#REF!</definedName>
    <definedName localSheetId="2" name="ICS">#REF!</definedName>
    <definedName localSheetId="4" name="divestcash">#REF!</definedName>
    <definedName localSheetId="23" name="ExcessCashrate">#REF!</definedName>
    <definedName localSheetId="23" name="is">#REF!</definedName>
    <definedName name="Personnel">#REF!</definedName>
    <definedName localSheetId="4" name="FXREV_AUD">#REF!</definedName>
    <definedName localSheetId="23" name="CF_Convertible_Debt">#REF!</definedName>
    <definedName localSheetId="23" name="OPEXQ4">#REF!</definedName>
    <definedName localSheetId="4" name="Subrev">#REF!</definedName>
    <definedName localSheetId="4" name="InventoryReport">#REF!</definedName>
    <definedName localSheetId="2" name="CPTP2003">#REF!</definedName>
    <definedName localSheetId="5" name="FormatFix">#REF!</definedName>
    <definedName localSheetId="5" name="FIUNABQ2">#REF!</definedName>
    <definedName localSheetId="2" name="Quarterly_Sum">#REF!</definedName>
    <definedName localSheetId="2" name="Bldg2300">#REF!</definedName>
    <definedName name="_YE1">#REF!</definedName>
    <definedName name="YX">#REF!</definedName>
    <definedName localSheetId="4" name="TOP10DEC">#REF!</definedName>
    <definedName localSheetId="5" name="WSABSFY">#REF!</definedName>
    <definedName localSheetId="3" name="FIGMQ3">#REF!</definedName>
    <definedName localSheetId="5" name="fcf_unlev_terminal4">#REF!</definedName>
    <definedName localSheetId="5" name="ChangeInCommonEquity">#REF!</definedName>
    <definedName localSheetId="5" name="proj">#REF!</definedName>
    <definedName localSheetId="5" name="DCFBase">#REF!</definedName>
    <definedName localSheetId="2" name="convdebtrate">#REF!</definedName>
    <definedName localSheetId="23" name="TotalPurchasePrice">#REF!</definedName>
    <definedName localSheetId="4" name="SmaxFOC">#REF!</definedName>
    <definedName localSheetId="23" name="spec_switch">#REF!</definedName>
    <definedName localSheetId="4" name="perp_lev1">#REF!</definedName>
    <definedName localSheetId="5" name="mincash">#REF!</definedName>
    <definedName localSheetId="23" name="FullData">#REF!</definedName>
    <definedName localSheetId="5" name="Periodic_Summary">#REF!</definedName>
    <definedName localSheetId="5" name="_Pg40">#REF!</definedName>
    <definedName localSheetId="5" name="perp_lev3">#REF!</definedName>
    <definedName localSheetId="3" name="WSEBITMY">#REF!</definedName>
    <definedName localSheetId="5" name="p_LBO_SO">#REF!</definedName>
    <definedName localSheetId="3" name="SP2QTR">#REF!</definedName>
    <definedName localSheetId="4" name="NAME">#REF!</definedName>
    <definedName localSheetId="2" name="gross">#REF!</definedName>
    <definedName localSheetId="4" name="WSEBITAP">#REF!</definedName>
    <definedName localSheetId="4" name="FIUNABQ4">#REF!</definedName>
    <definedName localSheetId="5" name="_Pg75">#REF!</definedName>
    <definedName localSheetId="2" name="GPPTBQ1">#REF!</definedName>
    <definedName localSheetId="2" name="_Pg55">#REF!</definedName>
    <definedName localSheetId="23" name="_GPQ1">#REF!</definedName>
    <definedName name="_227_0_0Datab">#REF!</definedName>
    <definedName localSheetId="5" name="CF_Non_Cash_Interest">#REF!</definedName>
    <definedName name="Category">#REF!</definedName>
    <definedName name="Directors">#REF!</definedName>
    <definedName localSheetId="2" name="actualdtl">#REF!</definedName>
    <definedName localSheetId="5" name="NewHYAmount">#REF!</definedName>
    <definedName localSheetId="5" name="acq_cost_convert_high">#REF!</definedName>
    <definedName localSheetId="5" name="Burnhamprodcon">#REF!</definedName>
    <definedName localSheetId="4" name="good">#REF!</definedName>
    <definedName localSheetId="4" name="_Pg76">#REF!</definedName>
    <definedName localSheetId="23" name="BS_goodwill">#REF!</definedName>
    <definedName localSheetId="4" name="GPPTBTL">#REF!</definedName>
    <definedName name="FIGM942">#REF!</definedName>
    <definedName localSheetId="23" name="FINOIQ3">#REF!</definedName>
    <definedName localSheetId="2" name="_YE2">#REF!</definedName>
    <definedName localSheetId="3" name="fisher">#REF!</definedName>
    <definedName name="WDGRSLQ1">#REF!</definedName>
    <definedName localSheetId="5" name="convpricedebt">#REF!</definedName>
    <definedName localSheetId="2" name="Control">#REF!</definedName>
    <definedName localSheetId="3" name="YearEndDay">#REF!</definedName>
    <definedName localSheetId="23" name="Engineeringph">#REF!</definedName>
    <definedName localSheetId="3" name="CPTRAN2003">#REF!</definedName>
    <definedName localSheetId="23" name="_4.8">#REF!</definedName>
    <definedName localSheetId="23" name="ITph">#REF!</definedName>
    <definedName localSheetId="5" name="CPPREP2004">#REF!</definedName>
    <definedName localSheetId="5" name="_JUL02">#REF!</definedName>
    <definedName localSheetId="5" name="Salesph">#REF!</definedName>
    <definedName localSheetId="4" name="SalesAdmin">#REF!</definedName>
    <definedName name="Sept">#REF!</definedName>
    <definedName localSheetId="5" name="ENTITIES">#REF!</definedName>
    <definedName localSheetId="5" name="Print_Area_MI">#REF!</definedName>
    <definedName localSheetId="4" name="WriteUp_otherLTL">#REF!</definedName>
    <definedName localSheetId="5" name="grossQ">#REF!</definedName>
    <definedName localSheetId="2" name="commondiv">#REF!</definedName>
    <definedName localSheetId="23" name="FRA_Ger">#REF!</definedName>
    <definedName localSheetId="3" name="row">#REF!</definedName>
    <definedName localSheetId="2" name="MSU_PRICE">#REF!</definedName>
    <definedName localSheetId="23" name="FIGM943">#REF!</definedName>
    <definedName localSheetId="4" name="_337ÿ_0bot">#REF!</definedName>
    <definedName localSheetId="23" name="EBITAFJL">#REF!</definedName>
    <definedName localSheetId="23" name="bs_date">#REF!</definedName>
    <definedName localSheetId="23" name="NonCashInterestRate">#REF!</definedName>
    <definedName localSheetId="3" name="Assemblyph">#REF!</definedName>
    <definedName localSheetId="2" name="EquityValueMinusFirmValue">#REF!</definedName>
    <definedName localSheetId="3" name="c_pathswitch">#REF!</definedName>
    <definedName localSheetId="5" name="FEBFORE">#REF!</definedName>
    <definedName localSheetId="4" name="LWBSUM">#REF!</definedName>
    <definedName localSheetId="4" name="BECStock">#REF!</definedName>
    <definedName localSheetId="5" name="OfferPrice">#REF!</definedName>
    <definedName localSheetId="7" name="wrn.Hydraulic2.">#REF!</definedName>
    <definedName localSheetId="23" name="Comp_details">#REF!</definedName>
    <definedName localSheetId="3" name="Minimum_Cash">#REF!</definedName>
    <definedName name="CPTP2003">#REF!</definedName>
    <definedName localSheetId="2" name="IS_straightprefdiv">#REF!</definedName>
    <definedName name="LookUpRange">#REF!</definedName>
    <definedName localSheetId="4" name="BEGSSLQ1">#REF!</definedName>
    <definedName name="Actual">#REF!</definedName>
    <definedName name="Assemblyph">#REF!</definedName>
    <definedName name="Subrelated">#REF!</definedName>
    <definedName localSheetId="5" name="prefrate">#REF!</definedName>
    <definedName localSheetId="23" name="LBOSaleExit2">#REF!</definedName>
    <definedName name="MarketTable">#REF!</definedName>
    <definedName localSheetId="23" name="CF_Straight_Preferred">#REF!</definedName>
    <definedName localSheetId="2" name="p_LBO_Returns">#REF!</definedName>
    <definedName localSheetId="23" name="WriteUp_payables">#REF!</definedName>
    <definedName localSheetId="2" name="ManagementRevenues">#REF!</definedName>
    <definedName localSheetId="2" name="Frequency">#REF!</definedName>
    <definedName name="Amortization">#REF!</definedName>
    <definedName localSheetId="2" name="term_value">#REF!</definedName>
    <definedName localSheetId="23" name="MiscRev">#REF!</definedName>
    <definedName localSheetId="3" name="_300_4.5">#REF!</definedName>
    <definedName localSheetId="23" name="__DCF1">#REF!</definedName>
    <definedName localSheetId="3" name="NewCo4On">#REF!</definedName>
    <definedName localSheetId="7" name="wrn.ipovalue.">#REF!</definedName>
    <definedName localSheetId="23" name="EBITAFOC">#REF!</definedName>
    <definedName localSheetId="4" name="year_close">#REF!</definedName>
    <definedName name="_3TLQTR">#REF!</definedName>
    <definedName localSheetId="23" name="_234Graph_E">#REF!</definedName>
    <definedName name="B_b">#REF!</definedName>
    <definedName localSheetId="4" name="p_LBO_SO">#REF!</definedName>
    <definedName localSheetId="2" name="_226_0_0Datab">#REF!</definedName>
    <definedName name="WACC_sen">#REF!</definedName>
    <definedName localSheetId="5" name="costs">#REF!</definedName>
    <definedName name="CreatedFor">#REF!</definedName>
    <definedName localSheetId="4" name="SQL_uplink">#REF!</definedName>
    <definedName name="Calibration">#REF!</definedName>
    <definedName localSheetId="3" name="Amortization">#REF!</definedName>
    <definedName localSheetId="23" name="Symbol">#REF!</definedName>
    <definedName localSheetId="23" name="fcf_unlev_terminal4">#REF!</definedName>
    <definedName localSheetId="2" name="IQRTradingCompsD32">#REF!</definedName>
    <definedName localSheetId="4" name="eu">#REF!</definedName>
    <definedName localSheetId="2" name="Tbudget">#REF!</definedName>
    <definedName localSheetId="2" name="Year3">#REF!</definedName>
    <definedName localSheetId="4" name="MinorityInterests">#REF!</definedName>
    <definedName localSheetId="3" name="LBOSaleExit2">#REF!</definedName>
    <definedName localSheetId="3" name="WriteUp_otherLTL">#REF!</definedName>
    <definedName localSheetId="3" name="_246_4.10">#REF!</definedName>
    <definedName localSheetId="5" name="_NRQ2">#REF!</definedName>
    <definedName localSheetId="23" name="IS_othernonopexp">#REF!</definedName>
    <definedName localSheetId="4" name="_fcf5">#REF!</definedName>
    <definedName localSheetId="4" name="CPHAND2003">#REF!</definedName>
    <definedName localSheetId="23" name="Sub_Name3">#REF!</definedName>
    <definedName localSheetId="4" name="_DEC01">#REF!</definedName>
    <definedName localSheetId="2" name="BEGRSLQ1">#REF!</definedName>
    <definedName localSheetId="2" name="_Pg27">#REF!</definedName>
    <definedName localSheetId="23" name="perp_lev">#REF!</definedName>
    <definedName localSheetId="5" name="SalesAdmin">#REF!</definedName>
    <definedName localSheetId="23" name="summ_of_add_rev">#REF!</definedName>
    <definedName localSheetId="23" name="ServiceExt">#REF!</definedName>
    <definedName localSheetId="4" name="Balance">#REF!</definedName>
    <definedName localSheetId="4" name="jun">#REF!</definedName>
    <definedName localSheetId="23" name="RF_Domestic">#REF!</definedName>
    <definedName name="manufacturing">#REF!</definedName>
    <definedName localSheetId="23" name="NBSCStock">#REF!</definedName>
    <definedName name="wrn.DCF._.Only.">#REF!</definedName>
    <definedName localSheetId="4" name="revswitch">#REF!</definedName>
    <definedName localSheetId="2" name="EBITAFJN">#REF!</definedName>
    <definedName localSheetId="5" name="Heads">#REF!</definedName>
    <definedName localSheetId="4" name="PPGPDIAG2003">#REF!</definedName>
    <definedName localSheetId="23" name="PRIOR_YR_QTR">#REF!</definedName>
    <definedName localSheetId="23" name="Sept">#REF!</definedName>
    <definedName localSheetId="23" name="Periodic_Summary">#REF!</definedName>
    <definedName localSheetId="4" name="LBOIPOExit2">#REF!</definedName>
    <definedName localSheetId="4" name="TOP10OCT">#REF!</definedName>
    <definedName name="Directorsph">#REF!</definedName>
    <definedName name="NewCo2ON">#REF!</definedName>
    <definedName localSheetId="3" name="p_highyield_IS">#REF!</definedName>
    <definedName localSheetId="2" name="p_highyield_IS">#REF!</definedName>
    <definedName localSheetId="4" name="NRSGTTL">#REF!</definedName>
    <definedName localSheetId="23" name="_327_4.8">#REF!</definedName>
    <definedName localSheetId="5" name="__GPQ1">#REF!</definedName>
    <definedName name="wen">#REF!</definedName>
    <definedName localSheetId="5" name="divestcash">#REF!</definedName>
    <definedName localSheetId="3" name="SGNTSL92">#REF!</definedName>
    <definedName localSheetId="23" name="CashInterestRateOverwrite">#REF!</definedName>
    <definedName localSheetId="23" name="IS_revenues">#REF!</definedName>
    <definedName name="IS_intconvert">#REF!</definedName>
    <definedName name="total">#REF!</definedName>
    <definedName localSheetId="4" name="Smaxapp">#REF!</definedName>
    <definedName localSheetId="4" name="abc">#REF!</definedName>
    <definedName name="_3_99_3D2">#REF!</definedName>
    <definedName localSheetId="23" name="LoanTerm">#REF!</definedName>
    <definedName localSheetId="2" name="matlplan">#REF!</definedName>
    <definedName localSheetId="2" name="E_b">#REF!</definedName>
    <definedName localSheetId="3" name="US_Ger">#REF!</definedName>
    <definedName localSheetId="3" name="DilutedShares">#REF!</definedName>
    <definedName localSheetId="23" name="asd">#REF!</definedName>
    <definedName localSheetId="4" name="VAL">#REF!</definedName>
    <definedName localSheetId="23" name="FX_BRL">#REF!</definedName>
    <definedName localSheetId="4" name="_Pg44">#REF!</definedName>
    <definedName localSheetId="4" name="_3QTR">#REF!</definedName>
    <definedName localSheetId="5" name="EQUITY">#REF!</definedName>
    <definedName localSheetId="5" name="Revenue">#REF!</definedName>
    <definedName localSheetId="3" name="Actual">#REF!</definedName>
    <definedName name="__123Graph_C">#REF!</definedName>
    <definedName localSheetId="5" name="BS_straightpref">#REF!</definedName>
    <definedName localSheetId="23" name="Subscribers">#REF!</definedName>
    <definedName localSheetId="3" name="p_highyield_CFS">#REF!</definedName>
    <definedName localSheetId="3" name="CF_Other_CA">#REF!</definedName>
    <definedName localSheetId="3" name="FX_YEN">#REF!</definedName>
    <definedName localSheetId="23" name="p_LBO_IS">#REF!</definedName>
    <definedName localSheetId="5" name="perp_lev">#REF!</definedName>
    <definedName localSheetId="5" name="Minimum_Cash">#REF!</definedName>
    <definedName localSheetId="3" name="fcf_unlev">#REF!</definedName>
    <definedName localSheetId="23" name="_Pg60">#REF!</definedName>
    <definedName localSheetId="2" name="Costsub">#REF!</definedName>
    <definedName localSheetId="5" name="_3QTR">#REF!</definedName>
    <definedName localSheetId="5" name="TOP10NOV">#REF!</definedName>
    <definedName localSheetId="5" name="SCENARIOS">#REF!</definedName>
    <definedName localSheetId="23" name="SmaxFOA">#REF!</definedName>
    <definedName localSheetId="2" name="Ke">#REF!</definedName>
    <definedName localSheetId="23" name="CPGPPREP2003">#REF!</definedName>
    <definedName localSheetId="4" name="_8GG2_">#REF!</definedName>
    <definedName name="BurnhamDespph">#REF!</definedName>
    <definedName localSheetId="5" name="_Tot97">#REF!</definedName>
    <definedName localSheetId="2" name="_Ops1">#REF!</definedName>
    <definedName localSheetId="5" name="WDGRSLQ3">#REF!</definedName>
    <definedName localSheetId="5" name="p_Tax">#REF!</definedName>
    <definedName localSheetId="7" name="wrn.wicor.">#REF!</definedName>
    <definedName localSheetId="5" name="_Pg71">#REF!</definedName>
    <definedName localSheetId="5" name="_228_0__Datab">#REF!</definedName>
    <definedName name="Quarter">#REF!</definedName>
    <definedName name="_Pg76">#REF!</definedName>
    <definedName localSheetId="5" name="LBOSaleExit1">#REF!</definedName>
    <definedName localSheetId="23" name="Serviceint">#REF!</definedName>
    <definedName localSheetId="3" name="actuals">#REF!</definedName>
    <definedName localSheetId="23" name="list">#REF!</definedName>
    <definedName localSheetId="3" name="__YE4">#REF!</definedName>
    <definedName name="CPFREIGHT2003">#REF!</definedName>
    <definedName name="GPPTTLQ4">#REF!</definedName>
    <definedName localSheetId="2" name="ven">#REF!</definedName>
    <definedName localSheetId="23" name="business">#REF!</definedName>
    <definedName localSheetId="5" name="opcase">#REF!</definedName>
    <definedName localSheetId="5" name="modemref">#REF!</definedName>
    <definedName localSheetId="5" name="LoanAmount">#REF!</definedName>
    <definedName localSheetId="5" name="OPOTEXQ1">#REF!</definedName>
    <definedName localSheetId="23" name="wrn.Pump.">#REF!</definedName>
    <definedName localSheetId="4" name="FXREV_HKD">#REF!</definedName>
    <definedName localSheetId="23" name="Comp_graphs">#REF!</definedName>
    <definedName localSheetId="2" name="FXREV_JPY">#REF!</definedName>
    <definedName localSheetId="2" name="SP1QTR">#REF!</definedName>
    <definedName localSheetId="4" name="ExchangeRate1">#REF!</definedName>
    <definedName localSheetId="4" name="_Pg38">#REF!</definedName>
    <definedName localSheetId="4" name="Mar">#REF!</definedName>
    <definedName localSheetId="3" name="p_LBO_CF">#REF!</definedName>
    <definedName localSheetId="23" name="ProdControl">#REF!</definedName>
    <definedName localSheetId="4" name="BS_Convertible_Preferred">#REF!</definedName>
    <definedName localSheetId="5" name="RF_Domestic">#REF!</definedName>
    <definedName localSheetId="4" name="ni_mult1">#REF!</definedName>
    <definedName localSheetId="2" name="ALL">#REF!</definedName>
    <definedName localSheetId="4" name="dollars">#REF!</definedName>
    <definedName localSheetId="23" name="NRTCRev">#REF!</definedName>
    <definedName localSheetId="23" name="BS_convertdebt">#REF!</definedName>
    <definedName localSheetId="2" name="Subscribers">#REF!</definedName>
    <definedName localSheetId="23" name="spread">#REF!</definedName>
    <definedName name="ni_mult5">#REF!</definedName>
    <definedName name="GP">#REF!</definedName>
    <definedName localSheetId="3" name="_Pg75">#REF!</definedName>
    <definedName localSheetId="5" name="CF_NWC">#REF!</definedName>
    <definedName localSheetId="23" name="CF_Other_CL">#REF!</definedName>
    <definedName localSheetId="5" name="Directorsph">#REF!</definedName>
    <definedName name="rev">#REF!</definedName>
    <definedName name="_300_4.5">#REF!</definedName>
    <definedName localSheetId="2" name="SalesMEiph">#REF!</definedName>
    <definedName name="houy">#REF!</definedName>
    <definedName name="CashInterestRate">#REF!</definedName>
    <definedName localSheetId="23" name="ni_mult4">#REF!</definedName>
    <definedName localSheetId="3" name="Subrev">#REF!</definedName>
    <definedName localSheetId="2" name="June">#REF!</definedName>
    <definedName localSheetId="2" name="_273_4.2">#REF!</definedName>
    <definedName localSheetId="2" name="Actual">#REF!</definedName>
    <definedName localSheetId="2" name="Directorsph">#REF!</definedName>
    <definedName localSheetId="23" name="_309_4.6">#REF!</definedName>
    <definedName localSheetId="3" name="WDGRSLQ1">#REF!</definedName>
    <definedName localSheetId="23" name="FIGMQ4">#REF!</definedName>
    <definedName localSheetId="3" name="MiscRev">#REF!</definedName>
    <definedName localSheetId="23" name="EBITQ1">#REF!</definedName>
    <definedName name="Transducers">#REF!</definedName>
    <definedName localSheetId="5" name="_282_4.3">#REF!</definedName>
    <definedName localSheetId="3" name="scen">#REF!</definedName>
    <definedName name="NetIncomeToCommon">#REF!</definedName>
    <definedName localSheetId="23" name="p_DCF">#REF!</definedName>
    <definedName name="_Pg40">#REF!</definedName>
    <definedName localSheetId="3" name="Mar">#REF!</definedName>
    <definedName localSheetId="3" name="FINOIQ4">#REF!</definedName>
    <definedName name="page9">#REF!</definedName>
    <definedName localSheetId="23" name="SIDEntities">#REF!</definedName>
    <definedName localSheetId="23" name="p_Premium">#REF!</definedName>
    <definedName localSheetId="3" name="FIGMB2">#REF!</definedName>
    <definedName localSheetId="2" name="desc">#REF!</definedName>
    <definedName localSheetId="4" name="perp_unlev4">#REF!</definedName>
    <definedName localSheetId="5" name="IQRTradingCompsB24">#REF!</definedName>
    <definedName name="ServiceExtph">#REF!</definedName>
    <definedName localSheetId="3" name="BurnhamProdph">#REF!</definedName>
    <definedName localSheetId="3" name="BECStock">#REF!</definedName>
    <definedName localSheetId="5" name="SEK">#REF!</definedName>
    <definedName localSheetId="23" name="FIGM95">#REF!</definedName>
    <definedName localSheetId="3" name="ARPU2">#REF!</definedName>
    <definedName localSheetId="3" name="_3QTRFIN">#REF!</definedName>
    <definedName localSheetId="5" name="Engineering">#REF!</definedName>
    <definedName name="SearchCriteriaType">'philips deals'!$A$4</definedName>
    <definedName localSheetId="23" name="p_LBO_Tax">#REF!</definedName>
    <definedName localSheetId="2" name="LoanPmt">#REF!</definedName>
    <definedName localSheetId="3" name="fcstsum">#REF!</definedName>
    <definedName name="_282_4.3">#REF!</definedName>
    <definedName localSheetId="5" name="monthly_tot_add_rev">#REF!</definedName>
    <definedName localSheetId="4" name="IS_deprec">#REF!</definedName>
    <definedName localSheetId="2" name="LoanAmount">#REF!</definedName>
    <definedName localSheetId="3" name="Graphs">#REF!</definedName>
    <definedName localSheetId="5" name="ven">#REF!</definedName>
    <definedName localSheetId="2" name="IS_eps">#REF!</definedName>
    <definedName localSheetId="5" name="PL_XO">#REF!</definedName>
    <definedName localSheetId="5" name="month_close">#REF!</definedName>
    <definedName localSheetId="4" name="CF_Inventory">#REF!</definedName>
    <definedName name="WSEBITNO">#REF!</definedName>
    <definedName localSheetId="5" name="Targetname">#REF!</definedName>
    <definedName localSheetId="2" name="_NOV01">#REF!</definedName>
    <definedName localSheetId="3" name="Directors">#REF!</definedName>
    <definedName localSheetId="23" name="TOOL94">#REF!</definedName>
    <definedName localSheetId="4" name="__NRQ3">#REF!</definedName>
    <definedName localSheetId="5" name="plandtl">#REF!</definedName>
    <definedName name="PANREAC">#REF!</definedName>
    <definedName localSheetId="3" name="Year4">#REF!</definedName>
    <definedName localSheetId="23" name="CostOfEquity">#REF!</definedName>
    <definedName localSheetId="4" name="p_LBO_Returns">#REF!</definedName>
    <definedName localSheetId="4" name="Target_prefd">#REF!</definedName>
    <definedName localSheetId="5" name="ni_mult_sen">#REF!</definedName>
    <definedName localSheetId="2" name="EQUITY">#REF!</definedName>
    <definedName localSheetId="3" name="GPFINQ4">#REF!</definedName>
    <definedName name="Process_graphs">#REF!</definedName>
    <definedName localSheetId="23" name="progCOS">#REF!</definedName>
    <definedName localSheetId="2" name="_1_0CLOSE_OR">#REF!</definedName>
    <definedName localSheetId="2" name="EBITDA_mult3">#REF!</definedName>
    <definedName localSheetId="5" name="IS_intangamort">#REF!</definedName>
    <definedName localSheetId="4" name="Consol">#REF!</definedName>
    <definedName name="BEGRSLQ4">#REF!</definedName>
    <definedName localSheetId="2" name="Forecast">#REF!</definedName>
    <definedName localSheetId="4" name="TargetCompanyExchangeRate">#REF!</definedName>
    <definedName localSheetId="5" name="Despatch">#REF!</definedName>
    <definedName localSheetId="4" name="prod">#REF!</definedName>
    <definedName localSheetId="3" name="_234Graph_E">#REF!</definedName>
    <definedName localSheetId="23" name="convdebtrate">#REF!</definedName>
    <definedName localSheetId="3" name="monthly_tot_add_rev">#REF!</definedName>
    <definedName localSheetId="23" name="Anew">#REF!</definedName>
    <definedName name="IS_COGS">#REF!</definedName>
    <definedName localSheetId="2" name="_JUN02">#REF!</definedName>
    <definedName localSheetId="5" name="_Pg36">#REF!</definedName>
    <definedName localSheetId="23" name="TOOL93">#REF!</definedName>
    <definedName localSheetId="23" name="Year2">#REF!</definedName>
    <definedName localSheetId="2" name="GPPTTLQ1">#REF!</definedName>
    <definedName name="TOOL91">#REF!</definedName>
    <definedName localSheetId="3" name="_YE2">#REF!</definedName>
    <definedName localSheetId="5" name="FINOIQ1">#REF!</definedName>
    <definedName localSheetId="4" name="_Pg67">#REF!</definedName>
    <definedName localSheetId="23" name="Consol">#REF!</definedName>
    <definedName name="OR_ViewProvider_ReportingViews_ExportStorage_OUT_Orders_RND">#REF!</definedName>
    <definedName localSheetId="3" name="BurnhamProdConph">#REF!</definedName>
    <definedName localSheetId="2" name="ParetoBaseCell">#REF!</definedName>
    <definedName localSheetId="4" name="FIUNABQ3">#REF!</definedName>
    <definedName localSheetId="23" name="days2">#REF!</definedName>
    <definedName localSheetId="2" name="__fcf10">#REF!</definedName>
    <definedName localSheetId="4" name="p_Index">#REF!</definedName>
    <definedName localSheetId="5" name="__IDP2">#REF!</definedName>
    <definedName localSheetId="3" name="PPHAND2004">#REF!</definedName>
    <definedName localSheetId="5" name="Cashbox">#REF!</definedName>
    <definedName localSheetId="2" name="BurnhamEng">#REF!</definedName>
    <definedName name="C_b">#REF!</definedName>
    <definedName localSheetId="2" name="GPSPGTTL">#REF!</definedName>
    <definedName name="_NRQ3">#REF!</definedName>
    <definedName localSheetId="5" name="p_LBO_Debt">#REF!</definedName>
    <definedName localSheetId="2" name="summ_of_add_rev">#REF!</definedName>
    <definedName localSheetId="4" name="proj">#REF!</definedName>
    <definedName localSheetId="23" name="debt_terminal">#REF!</definedName>
    <definedName localSheetId="3" name="MatMgt">#REF!</definedName>
    <definedName localSheetId="5" name="FX_YEN">#REF!</definedName>
    <definedName localSheetId="4" name="KeepB">#REF!</definedName>
    <definedName localSheetId="23" name="FIUNABQ4">#REF!</definedName>
    <definedName localSheetId="23" name="_4AQTR">#REF!</definedName>
    <definedName localSheetId="5" name="NewTaxIntangibles">#REF!</definedName>
    <definedName name="cty">#REF!</definedName>
    <definedName localSheetId="4" name="perp_lev2">#REF!</definedName>
    <definedName localSheetId="23" name="HYP_CODE">#REF!</definedName>
    <definedName localSheetId="3" name="_237_4.1">#REF!</definedName>
    <definedName localSheetId="2" name="KeepG">#REF!</definedName>
    <definedName localSheetId="23" name="p_LBO_SO">#REF!</definedName>
    <definedName name="Anew">#REF!</definedName>
    <definedName name="CF_Other_CL">#REF!</definedName>
    <definedName localSheetId="4" name="CF_commondiv">#REF!</definedName>
    <definedName localSheetId="2" name="PL_Amortization">#REF!</definedName>
    <definedName localSheetId="23" name="FIGMB1">#REF!</definedName>
    <definedName localSheetId="23" name="tot">#REF!</definedName>
    <definedName localSheetId="4" name="SPGOODS">#REF!</definedName>
    <definedName localSheetId="5" name="WDGRSLQ1">#REF!</definedName>
    <definedName localSheetId="3" name="PPFREIGHTAE">#REF!</definedName>
    <definedName localSheetId="4" name="CPDIAG2004">#REF!</definedName>
    <definedName localSheetId="2" name="_Pg29">#REF!</definedName>
    <definedName localSheetId="23" name="_DEC01">#REF!</definedName>
    <definedName localSheetId="23" name="fcf_lev_terminal1">#REF!</definedName>
    <definedName localSheetId="5" name="as">#REF!</definedName>
    <definedName localSheetId="3" name="IQRTradingCompsB24">#REF!</definedName>
    <definedName name="MO_Intl">#REF!</definedName>
    <definedName localSheetId="23" name="disc_years">#REF!</definedName>
    <definedName name="PPGPPREP2003">#REF!</definedName>
    <definedName localSheetId="4" name="CF_Deferred_Taxes">#REF!</definedName>
    <definedName localSheetId="4" name="NewCo3ON">#REF!</definedName>
    <definedName localSheetId="5" name="FIGEADQ4">#REF!</definedName>
    <definedName localSheetId="2" name="IQRTradingCompsB125">#REF!</definedName>
    <definedName localSheetId="3" name="IQRTradingCompsC25">#REF!</definedName>
    <definedName name="StockIssueDate">#REF!</definedName>
    <definedName localSheetId="3" name="CPHAND2003">#REF!</definedName>
    <definedName localSheetId="5" name="nrw">#REF!</definedName>
    <definedName name="_Tot97">#REF!</definedName>
    <definedName name="CreatedForTitle">#REF!</definedName>
    <definedName localSheetId="2" name="IS_othernonopexp">#REF!</definedName>
    <definedName localSheetId="2" name="CostOfEquity">#REF!</definedName>
    <definedName name="LWBPRINT">#REF!</definedName>
    <definedName localSheetId="23" name="_Pg48">#REF!</definedName>
    <definedName localSheetId="4" name="Month9">#REF!</definedName>
    <definedName localSheetId="4" name="EOLDef">#REF!</definedName>
    <definedName name="CF_NWC">#REF!</definedName>
    <definedName localSheetId="2" name="EBITAFSE">#REF!</definedName>
    <definedName localSheetId="4" name="FIGM941">#REF!</definedName>
    <definedName name="Print3Start">#REF!</definedName>
    <definedName name="ven">#REF!</definedName>
    <definedName localSheetId="2" name="Month8">#REF!</definedName>
    <definedName localSheetId="3" name="CustEng">#REF!</definedName>
    <definedName localSheetId="5" name="DTA_EXTSLS">#REF!</definedName>
    <definedName localSheetId="5" name="credits">#REF!</definedName>
    <definedName localSheetId="3" name="EquityValueMinusFirmValue">#REF!</definedName>
    <definedName name="avgQ">#REF!</definedName>
    <definedName localSheetId="3" name="B_a">#REF!</definedName>
    <definedName localSheetId="2" name="_Pg45">#REF!</definedName>
    <definedName localSheetId="4" name="Sub_Name1">#REF!</definedName>
    <definedName localSheetId="2" name="chk">#REF!</definedName>
    <definedName localSheetId="5" name="BS_Other_CA">#REF!</definedName>
    <definedName name="BS_Other_LTLiabilities">#REF!</definedName>
    <definedName localSheetId="5" name="F_a">#REF!</definedName>
    <definedName name="CF_intangiblesamort">#REF!</definedName>
    <definedName localSheetId="23" name="BurnhamProdConph">#REF!</definedName>
    <definedName localSheetId="2" name="DETAIL">#REF!</definedName>
    <definedName localSheetId="3" name="BLANK">#REF!</definedName>
    <definedName localSheetId="4" name="DateHeader">#REF!</definedName>
    <definedName localSheetId="23" name="PPTRAN2004">#REF!</definedName>
    <definedName localSheetId="2" name="WriteUp_otherCA">#REF!</definedName>
    <definedName localSheetId="2" name="NonCashInterestRate">#REF!</definedName>
    <definedName localSheetId="4" name="ProdControlph">#REF!</definedName>
    <definedName name="BECStock">#REF!</definedName>
    <definedName localSheetId="5" name="_OCT01">#REF!</definedName>
    <definedName localSheetId="3" name="OPNTSL93">#REF!</definedName>
    <definedName name="ProdMgtph">#REF!</definedName>
    <definedName localSheetId="23" name="_YE3">#REF!</definedName>
    <definedName localSheetId="2" name="FEBFORE">#REF!</definedName>
    <definedName localSheetId="4" name="help">#REF!</definedName>
    <definedName localSheetId="3" name="Target_LT_Debt">#REF!</definedName>
    <definedName localSheetId="3" name="Drucktitel_MI">#REF!</definedName>
    <definedName localSheetId="23" name="DATA_UNIT_SEL">#REF!</definedName>
    <definedName localSheetId="5" name="CF_otheroper">#REF!</definedName>
    <definedName localSheetId="2" name="NRTBTTL">#REF!</definedName>
    <definedName name="GPPTBTL">#REF!</definedName>
    <definedName localSheetId="4" name="KeepG">#REF!</definedName>
    <definedName localSheetId="5" name="TEXT">#REF!</definedName>
    <definedName localSheetId="23" name="BS_otherCL">#REF!</definedName>
    <definedName localSheetId="2" name="GPFINTTL">#REF!</definedName>
    <definedName localSheetId="4" name="PPTRAN2003">#REF!</definedName>
    <definedName localSheetId="23" name="_4.12">#REF!</definedName>
    <definedName localSheetId="4" name="OPEXPTTL">#REF!</definedName>
    <definedName localSheetId="4" name="NewCo5ON">#REF!</definedName>
    <definedName localSheetId="4" name="payments">#REF!</definedName>
    <definedName hidden="1" localSheetId="21" name="_xlnm._FilterDatabase">'philips deals'!$A$8:$BP$113</definedName>
    <definedName hidden="1" localSheetId="22" name="_xlnm._FilterDatabase">'MGC DIA M&amp;A'!$A$2:$AB$40</definedName>
  </definedNames>
  <calcPr/>
  <extLst>
    <ext uri="GoogleSheetsCustomDataVersion2">
      <go:sheetsCustomData xmlns:go="http://customooxmlschemas.google.com/" r:id="rId29" roundtripDataChecksum="oIJx74Y82qeIKQLyIgy+4MIJwiiJgRUBSW66nKM2V6M="/>
    </ext>
  </extLst>
</workbook>
</file>

<file path=xl/sharedStrings.xml><?xml version="1.0" encoding="utf-8"?>
<sst xmlns="http://schemas.openxmlformats.org/spreadsheetml/2006/main" count="44937" uniqueCount="1580">
  <si>
    <t>FITBIT BASE</t>
  </si>
  <si>
    <t>FIT STANDALONE  CASE</t>
  </si>
  <si>
    <t>FIT STANDALONE + SYNERGY CASE</t>
  </si>
  <si>
    <t>2017A</t>
  </si>
  <si>
    <t>2018A</t>
  </si>
  <si>
    <r>
      <rPr>
        <rFont val="Arial"/>
        <b/>
        <color theme="1"/>
        <sz val="10.0"/>
      </rPr>
      <t xml:space="preserve">2019 </t>
    </r>
    <r>
      <rPr>
        <rFont val="Arial"/>
        <b/>
        <strike/>
        <color theme="1"/>
        <sz val="10.0"/>
      </rPr>
      <t>1</t>
    </r>
  </si>
  <si>
    <t>2019</t>
  </si>
  <si>
    <t xml:space="preserve">Net Revenue </t>
  </si>
  <si>
    <t>Growth %</t>
  </si>
  <si>
    <t>COGS</t>
  </si>
  <si>
    <t>% Revenue</t>
  </si>
  <si>
    <t>GROSS PROFIT</t>
  </si>
  <si>
    <t>% Margin</t>
  </si>
  <si>
    <t>OPEX:</t>
  </si>
  <si>
    <t>`</t>
  </si>
  <si>
    <t xml:space="preserve">S&amp;M </t>
  </si>
  <si>
    <t>R&amp;D</t>
  </si>
  <si>
    <t>G&amp;A</t>
  </si>
  <si>
    <t>OPEX</t>
  </si>
  <si>
    <t xml:space="preserve">% Revenue </t>
  </si>
  <si>
    <t>OPEX % Revenue:</t>
  </si>
  <si>
    <t>Total Opex %</t>
  </si>
  <si>
    <t xml:space="preserve"> EBIT</t>
  </si>
  <si>
    <t>D&amp;A</t>
  </si>
  <si>
    <t>EBITDA</t>
  </si>
  <si>
    <t xml:space="preserve">Capex (HST) </t>
  </si>
  <si>
    <t>NWC</t>
  </si>
  <si>
    <t>Change in NWC</t>
  </si>
  <si>
    <t>% Sales</t>
  </si>
  <si>
    <t>STANDALONE CASE</t>
  </si>
  <si>
    <t>DCF</t>
  </si>
  <si>
    <t>PERIOD</t>
  </si>
  <si>
    <t>EBIT</t>
  </si>
  <si>
    <t xml:space="preserve">- Taxes </t>
  </si>
  <si>
    <t>+NOL</t>
  </si>
  <si>
    <t xml:space="preserve">- Capex </t>
  </si>
  <si>
    <t>+ D&amp;A</t>
  </si>
  <si>
    <t>+/- Changes in NWC</t>
  </si>
  <si>
    <t>Free Cash Flow</t>
  </si>
  <si>
    <t>Period #</t>
  </si>
  <si>
    <t>TV</t>
  </si>
  <si>
    <t>Discount Factor</t>
  </si>
  <si>
    <t>TV Growth %</t>
  </si>
  <si>
    <t>PV</t>
  </si>
  <si>
    <t xml:space="preserve">% Total </t>
  </si>
  <si>
    <t xml:space="preserve">NET PRESENT VALUE </t>
  </si>
  <si>
    <t xml:space="preserve">FCF (Ex TV) </t>
  </si>
  <si>
    <t>Terminal Value</t>
  </si>
  <si>
    <t>NOL's</t>
  </si>
  <si>
    <t xml:space="preserve">check </t>
  </si>
  <si>
    <t>Discount Rate %</t>
  </si>
  <si>
    <t>DR %</t>
  </si>
  <si>
    <t>TGR %</t>
  </si>
  <si>
    <t xml:space="preserve"> </t>
  </si>
  <si>
    <t xml:space="preserve">YoY Change </t>
  </si>
  <si>
    <t>DR Med</t>
  </si>
  <si>
    <t>YoY Change</t>
  </si>
  <si>
    <t>TBG Med</t>
  </si>
  <si>
    <t>SYNERGY BASE CASE</t>
  </si>
  <si>
    <t xml:space="preserve">Conditional Formatting: </t>
  </si>
  <si>
    <t>Low</t>
  </si>
  <si>
    <t>High</t>
  </si>
  <si>
    <t>Check Mark</t>
  </si>
  <si>
    <t>Revenue</t>
  </si>
  <si>
    <t>COMPARABLE PUBLIC COMP BENCHMARK FINANCIAL ANALYSIS</t>
  </si>
  <si>
    <t>$ in thousands (source: PitchBook retrieved April 2019)</t>
  </si>
  <si>
    <t>3 YR CAGR</t>
  </si>
  <si>
    <t>2015  -2018</t>
  </si>
  <si>
    <t>1. REVENUE</t>
  </si>
  <si>
    <t>1.  REVENUE</t>
  </si>
  <si>
    <t xml:space="preserve">BioTelemetry </t>
  </si>
  <si>
    <t xml:space="preserve">Inogen </t>
  </si>
  <si>
    <t xml:space="preserve">iRhythm </t>
  </si>
  <si>
    <t>1.A REVENUE GROWTH:</t>
  </si>
  <si>
    <t>NA</t>
  </si>
  <si>
    <t xml:space="preserve">1.B REVENUE GROWTH ANALYTICS: </t>
  </si>
  <si>
    <t>75th Percentile</t>
  </si>
  <si>
    <t xml:space="preserve">Median </t>
  </si>
  <si>
    <t>25th Percentile</t>
  </si>
  <si>
    <t>Revenue Growth YoY Change %</t>
  </si>
  <si>
    <t>NM</t>
  </si>
  <si>
    <t>COGS:</t>
  </si>
  <si>
    <t xml:space="preserve">Gross Profit: </t>
  </si>
  <si>
    <t xml:space="preserve">Gross Margin %: </t>
  </si>
  <si>
    <t xml:space="preserve">OPEX: </t>
  </si>
  <si>
    <t>S&amp;M:</t>
  </si>
  <si>
    <t xml:space="preserve">G&amp;A: </t>
  </si>
  <si>
    <t>R&amp;D:</t>
  </si>
  <si>
    <t>S&amp;M % Revenue</t>
  </si>
  <si>
    <t>G&amp;A % Revenue</t>
  </si>
  <si>
    <t>R&amp;D % Revenue</t>
  </si>
  <si>
    <t xml:space="preserve">OPEX % Revenue </t>
  </si>
  <si>
    <t>OPEX (CALCULATED);</t>
  </si>
  <si>
    <t>EBIT (NORMALIZED):</t>
  </si>
  <si>
    <t>EBIT (Normalized) % Margin:</t>
  </si>
  <si>
    <t>EBIT (CALCULATED):</t>
  </si>
  <si>
    <t>EBIT (Calculated) % Margin:</t>
  </si>
  <si>
    <t>EBIT MARGIN DELTA</t>
  </si>
  <si>
    <t>IMPLIED UNUSUAL/NON RECURRING + / (-):</t>
  </si>
  <si>
    <t xml:space="preserve">D&amp;A (Implied): </t>
  </si>
  <si>
    <t>D&amp;A(Implied)  % Revenue</t>
  </si>
  <si>
    <t>D&amp;A (Cashflow)</t>
  </si>
  <si>
    <t>EBITDA (NORMALIZED):</t>
  </si>
  <si>
    <t xml:space="preserve">OPEX REPORTED: </t>
  </si>
  <si>
    <t>Biotel opex reported</t>
  </si>
  <si>
    <t xml:space="preserve">Biotel opex calc + unusual </t>
  </si>
  <si>
    <t xml:space="preserve">Delta: </t>
  </si>
  <si>
    <t xml:space="preserve">EBITDA % (NORMALZIED) </t>
  </si>
  <si>
    <t>Net Working Capital (B/s):</t>
  </si>
  <si>
    <t xml:space="preserve">NWC % Sales…. </t>
  </si>
  <si>
    <t>YoY Improvement</t>
  </si>
  <si>
    <t>DEAL COMPS</t>
  </si>
  <si>
    <t>($ in millions)</t>
  </si>
  <si>
    <t>Purchsae</t>
  </si>
  <si>
    <t xml:space="preserve">PP / </t>
  </si>
  <si>
    <t xml:space="preserve"> Announced</t>
  </si>
  <si>
    <t>Acquirer</t>
  </si>
  <si>
    <t>Target</t>
  </si>
  <si>
    <t>Target Description</t>
  </si>
  <si>
    <t>Price (PP)</t>
  </si>
  <si>
    <t>LTM Revenue</t>
  </si>
  <si>
    <t>Gross Profit</t>
  </si>
  <si>
    <t xml:space="preserve">Revenue </t>
  </si>
  <si>
    <t>April 2017</t>
  </si>
  <si>
    <t>BioTelemetry</t>
  </si>
  <si>
    <t>LifeWatch</t>
  </si>
  <si>
    <t xml:space="preserve">Provider of remote cardiac monitoring diagnostic services for healthcare professionals. </t>
  </si>
  <si>
    <t>Sept 2014</t>
  </si>
  <si>
    <t xml:space="preserve">Preventice </t>
  </si>
  <si>
    <t>eCardio Diagnostics</t>
  </si>
  <si>
    <t>Provider of ambulatory cardiac monitoring products and services for arrhythmia diagnosis</t>
  </si>
  <si>
    <t>Aug 2013</t>
  </si>
  <si>
    <t>Medtronic</t>
  </si>
  <si>
    <t>Cardiocom</t>
  </si>
  <si>
    <t>Manufacturer and distributor of health monitoring products for multiple chronic diseases</t>
  </si>
  <si>
    <t>Aug 2012</t>
  </si>
  <si>
    <t>Linde</t>
  </si>
  <si>
    <t>Lincare</t>
  </si>
  <si>
    <t xml:space="preserve">Supplier of durable / home medical equipment such as hospital beds, wheelchairs, CPAP, pulsox, etc. </t>
  </si>
  <si>
    <t xml:space="preserve">Nola (2018A) </t>
  </si>
  <si>
    <t xml:space="preserve">Sources: PitchBook, Company Financials, Piper Jaffery, Public Filings &amp; Internal Company Estimates. </t>
  </si>
  <si>
    <t>Nov 2017</t>
  </si>
  <si>
    <t xml:space="preserve">Altus Capital </t>
  </si>
  <si>
    <t>MGC Diagnostics</t>
  </si>
  <si>
    <t>PUB COMPS</t>
  </si>
  <si>
    <t>Share</t>
  </si>
  <si>
    <t>Revenue Growth %</t>
  </si>
  <si>
    <t>GM %</t>
  </si>
  <si>
    <t>EBITDA %</t>
  </si>
  <si>
    <t>EV/Revenue</t>
  </si>
  <si>
    <t>EV/EBITDA</t>
  </si>
  <si>
    <t>ID</t>
  </si>
  <si>
    <t xml:space="preserve">Category </t>
  </si>
  <si>
    <t>Company</t>
  </si>
  <si>
    <t>Price</t>
  </si>
  <si>
    <t>EV</t>
  </si>
  <si>
    <t>2019E</t>
  </si>
  <si>
    <t>2020E</t>
  </si>
  <si>
    <t>2018A-2019E</t>
  </si>
  <si>
    <t>2019E-2020E</t>
  </si>
  <si>
    <t xml:space="preserve">Diagnostics </t>
  </si>
  <si>
    <t>DIAGNOSTICS</t>
  </si>
  <si>
    <t>Inogen</t>
  </si>
  <si>
    <t xml:space="preserve">Sleep </t>
  </si>
  <si>
    <t>SLEEP</t>
  </si>
  <si>
    <t>Fisher &amp; Paykel</t>
  </si>
  <si>
    <t>Itamar Medical</t>
  </si>
  <si>
    <t xml:space="preserve">ResMed </t>
  </si>
  <si>
    <t>Standalone Case</t>
  </si>
  <si>
    <t>Synergy Base Case</t>
  </si>
  <si>
    <t>Sources: PitchBook, Company Financials, Piper Jaffery,  Public Filings &amp; Internal Company Estimates. Enterprise Value calculation based off stock closing price of [March 9, 2019]</t>
  </si>
  <si>
    <t xml:space="preserve">THINKCELL </t>
  </si>
  <si>
    <t>IMPLIED DCF</t>
  </si>
  <si>
    <t xml:space="preserve">CHECK </t>
  </si>
  <si>
    <t>Median</t>
  </si>
  <si>
    <t>Nola Revenue:</t>
  </si>
  <si>
    <t>Deal Comps</t>
  </si>
  <si>
    <t>2018 (Actual)</t>
  </si>
  <si>
    <t xml:space="preserve">Nola Revenue by Case: </t>
  </si>
  <si>
    <t>Pub Discount</t>
  </si>
  <si>
    <t>Pub Comps</t>
  </si>
  <si>
    <t>2018A Revenue</t>
  </si>
  <si>
    <t>2019E Standalone Case</t>
  </si>
  <si>
    <t>2019E (Standalone)</t>
  </si>
  <si>
    <t>2019E Synergy Base Case</t>
  </si>
  <si>
    <t>2019E (Synergy Base)</t>
  </si>
  <si>
    <t xml:space="preserve">Pub Comps (25% discount) </t>
  </si>
  <si>
    <t xml:space="preserve">Notes: DCF analysis based on midpoint of 17.5 - 19.5% discount rate and 3.0% terminal value growth rate over ten-year horizon; M&amp;A deal comps and public trading comparable multiple data sources include Pitchbook, Factset, Piper Jaffery and internal management estimates as of March 2019. </t>
  </si>
  <si>
    <t>Nola  Base Revenue</t>
  </si>
  <si>
    <t xml:space="preserve">Nola Revenue: </t>
  </si>
  <si>
    <t xml:space="preserve">Standalone Case </t>
  </si>
  <si>
    <t>Synergy Case</t>
  </si>
  <si>
    <t>]</t>
  </si>
  <si>
    <t>Cash Flow (Fiscal Year)</t>
  </si>
  <si>
    <t/>
  </si>
  <si>
    <t>Downloaded On: 10-Mar-2019</t>
  </si>
  <si>
    <t>Summary Stats</t>
  </si>
  <si>
    <t>Company: BioTelemetry (NAS: BEAT)</t>
  </si>
  <si>
    <t>Mean</t>
  </si>
  <si>
    <t>Min</t>
  </si>
  <si>
    <t>Max</t>
  </si>
  <si>
    <t>25th pctile</t>
  </si>
  <si>
    <t>75th pctile</t>
  </si>
  <si>
    <t>Std. Dev</t>
  </si>
  <si>
    <t>Coefficient of Variation</t>
  </si>
  <si>
    <t>FY 2012</t>
  </si>
  <si>
    <t>FY 2013</t>
  </si>
  <si>
    <t>FY 2014</t>
  </si>
  <si>
    <t>FY 2015</t>
  </si>
  <si>
    <t>FY 2016</t>
  </si>
  <si>
    <t>FY 2017</t>
  </si>
  <si>
    <t>FY 2018</t>
  </si>
  <si>
    <t>FY 2011</t>
  </si>
  <si>
    <t>FY 2010</t>
  </si>
  <si>
    <t>FY 2009</t>
  </si>
  <si>
    <t>FY 2008</t>
  </si>
  <si>
    <t>FY 2007</t>
  </si>
  <si>
    <t>FY 2006</t>
  </si>
  <si>
    <t>FY 2005</t>
  </si>
  <si>
    <t>FY 2004</t>
  </si>
  <si>
    <t>FY 2003</t>
  </si>
  <si>
    <t>Amounts in Thousands, USD (except Ratios, Multiples &amp; per share items)</t>
  </si>
  <si>
    <t>Filed:  22-Feb-2017</t>
  </si>
  <si>
    <t>Filed:  22-Feb-2019</t>
  </si>
  <si>
    <t>Filed:  31-Dec-2010</t>
  </si>
  <si>
    <t>Filed:  31-Dec-2009</t>
  </si>
  <si>
    <t>Filed:  31-Dec-2008</t>
  </si>
  <si>
    <t>Filed:  31-Dec-2007</t>
  </si>
  <si>
    <t>View 10-K</t>
  </si>
  <si>
    <t>Cash Flow from Operating Activities, Indirect</t>
  </si>
  <si>
    <t xml:space="preserve">    Net Cash Flow from Continuing Operating Activities, Indirect</t>
  </si>
  <si>
    <t xml:space="preserve">        Cash Generated from Operating Activities</t>
  </si>
  <si>
    <t xml:space="preserve">            Income/(Loss) before Non-Cash Adjustment</t>
  </si>
  <si>
    <t xml:space="preserve">            Adjustments for Non-Cash Items</t>
  </si>
  <si>
    <t xml:space="preserve">                Depreciation, Amortization and Depletion, Non-Cash Adjustment</t>
  </si>
  <si>
    <t xml:space="preserve">                    Depreciation and Amortization, Non-Cash Adjustment</t>
  </si>
  <si>
    <t xml:space="preserve">                        Depreciation, Non-Cash Adjustment</t>
  </si>
  <si>
    <t xml:space="preserve">                        Amortization, Non-Cash Adjustment</t>
  </si>
  <si>
    <t xml:space="preserve">                        Total Depreciation and Amortization, Non-Cash Adjustment</t>
  </si>
  <si>
    <t xml:space="preserve">                    Total Depreciation, Amortization and Depletion, Non-Cash Adjustment</t>
  </si>
  <si>
    <t xml:space="preserve">                Amortization of Securities, Non-Cash Adjustment</t>
  </si>
  <si>
    <t xml:space="preserve">                Stock-Based Compensation, Non-Cash Adjustment</t>
  </si>
  <si>
    <t xml:space="preserve">                Taxes, Non-Cash Adjustment</t>
  </si>
  <si>
    <t xml:space="preserve">                Interest and Finance (Income)/Expenses, Non-Cash Adjustment</t>
  </si>
  <si>
    <t xml:space="preserve">                Other Provisions, Non-Cash Adjustment</t>
  </si>
  <si>
    <t xml:space="preserve">                Irregular (Income)/Loss, Non-Cash Adjustment</t>
  </si>
  <si>
    <t xml:space="preserve">                    (Gain)/Loss on Disposals, Non-Cash Adjustment</t>
  </si>
  <si>
    <t xml:space="preserve">                        (Gain)/Loss on Disposal/Sale of Fixed Assets, Non-Cash Adjustment</t>
  </si>
  <si>
    <t xml:space="preserve">                        Total (Gain)/Loss on Disposals, Non-Cash Adjustment</t>
  </si>
  <si>
    <t xml:space="preserve">                    Impairment/Write Off/Write Down of Capital Assets Loss/Reversal, Non-Cash Adjustment</t>
  </si>
  <si>
    <t xml:space="preserve">                    Impairment/Write Off/Write Down of Other Assets, Non-Cash Adjustment</t>
  </si>
  <si>
    <t xml:space="preserve">                    (Gain)/Loss on Extinguishment of Debt, Non-Cash Adjustment</t>
  </si>
  <si>
    <t xml:space="preserve">                    Total Irregular (Income)/Loss, Non-Cash Adjustment</t>
  </si>
  <si>
    <t xml:space="preserve">                Other Operating (Gain)/Loss, Non-Cash Adjustment</t>
  </si>
  <si>
    <t xml:space="preserve">                Other Non-Cash Items</t>
  </si>
  <si>
    <t xml:space="preserve">                Total Adjustments for Non-Cash Items</t>
  </si>
  <si>
    <t xml:space="preserve">            Changes in Operating Capital</t>
  </si>
  <si>
    <t xml:space="preserve">                Change in Inventories</t>
  </si>
  <si>
    <t xml:space="preserve">                Change in Trade and Other Receivables</t>
  </si>
  <si>
    <t xml:space="preserve">                    Change in Trade/Accounts Receivable</t>
  </si>
  <si>
    <t xml:space="preserve">                    Change in Other Receivables</t>
  </si>
  <si>
    <t xml:space="preserve">                    Total Change in Trade and Other Receivables</t>
  </si>
  <si>
    <t xml:space="preserve">                Change in Prepayments and Deposits</t>
  </si>
  <si>
    <t xml:space="preserve">                Change in Other Current Assets</t>
  </si>
  <si>
    <t xml:space="preserve">                Change in Payables and Accrued Expenses</t>
  </si>
  <si>
    <t xml:space="preserve">                    Change in Trade and Other Payables</t>
  </si>
  <si>
    <t xml:space="preserve">                        Change in Trade/Accounts Payable</t>
  </si>
  <si>
    <t xml:space="preserve">                        Total Change in Trade and Other Payables</t>
  </si>
  <si>
    <t xml:space="preserve">                    Change in Accrued Expenses</t>
  </si>
  <si>
    <t xml:space="preserve">                    Total Change in Payables and Accrued Expenses</t>
  </si>
  <si>
    <t xml:space="preserve">                Change in Other Current Liabilities</t>
  </si>
  <si>
    <t xml:space="preserve">                Change in Other Operating Capital</t>
  </si>
  <si>
    <t xml:space="preserve">                Total Changes in Operating Capital</t>
  </si>
  <si>
    <t xml:space="preserve">            Total Cash Generated from Operating Activities</t>
  </si>
  <si>
    <t xml:space="preserve">        Taxes Refund/(Paid), Indirect</t>
  </si>
  <si>
    <t xml:space="preserve">        Other Operating Cash Flow</t>
  </si>
  <si>
    <t xml:space="preserve">        Total Net Cash Flow from Continuing Operating Activities, Indirect</t>
  </si>
  <si>
    <t xml:space="preserve">    Total Cash Flow from Operating Activities, Indirect</t>
  </si>
  <si>
    <t>Cash Flow from Investing Activities</t>
  </si>
  <si>
    <t xml:space="preserve">    Cash Flow from Continuing Investing Activities</t>
  </si>
  <si>
    <t xml:space="preserve">        (Purchase)/Sale and Disposal of Property, Plant and Equipment, Net</t>
  </si>
  <si>
    <t xml:space="preserve">            Purchase of Property, Plant and Equipment</t>
  </si>
  <si>
    <t xml:space="preserve">            Total (Purchase)/Sale and Disposal of Property, Plant and Equipment, Net</t>
  </si>
  <si>
    <t xml:space="preserve">        (Purchase)/Sale of Business, Net</t>
  </si>
  <si>
    <t xml:space="preserve">            Purchase/Acquisition of Business</t>
  </si>
  <si>
    <t xml:space="preserve">            Total (Purchase)/Sale of Business, Net</t>
  </si>
  <si>
    <t xml:space="preserve">        (Purchase)/Sale of Equity Investments</t>
  </si>
  <si>
    <t xml:space="preserve">            Purchase of Joint Venture/Associate</t>
  </si>
  <si>
    <t xml:space="preserve">            Total (Purchase)/Sale of Equity Investments</t>
  </si>
  <si>
    <t xml:space="preserve">        (Purchase)/Sale of Investments, Net</t>
  </si>
  <si>
    <t xml:space="preserve">            Purchase of Investments</t>
  </si>
  <si>
    <t xml:space="preserve">            Sale of Investments</t>
  </si>
  <si>
    <t xml:space="preserve">            Total (Purchase)/Sale of Investments, Net</t>
  </si>
  <si>
    <t xml:space="preserve">        Total Cash Flow from Continuing Investing Activities</t>
  </si>
  <si>
    <t xml:space="preserve">    Total Cash Flow from Investing Activities</t>
  </si>
  <si>
    <t>Cash Flow from Financing Activities</t>
  </si>
  <si>
    <t xml:space="preserve">    Cash Flow from Continuing Financing Activities</t>
  </si>
  <si>
    <t xml:space="preserve">        Issuance of/(Payments for) Common Stock, Net</t>
  </si>
  <si>
    <t xml:space="preserve">            Proceeds from Issuance of Common Stock</t>
  </si>
  <si>
    <t xml:space="preserve">            Payments for Common Stock</t>
  </si>
  <si>
    <t xml:space="preserve">            Total Issuance of/(Payments for) Common Stock, Net</t>
  </si>
  <si>
    <t xml:space="preserve">        Issuance of/(Payments for) Preferred Stock, Net</t>
  </si>
  <si>
    <t xml:space="preserve">            Proceeds from Issuance of Preferred Stock</t>
  </si>
  <si>
    <t xml:space="preserve">            Total Issuance of/(Payments for) Preferred Stock, Net</t>
  </si>
  <si>
    <t xml:space="preserve">        Issuance of/(Payments for) Debt, Net</t>
  </si>
  <si>
    <t xml:space="preserve">            Issuance of/(Repayments for) Long Term Debt, Net</t>
  </si>
  <si>
    <t xml:space="preserve">                Proceeds from Issuance of Long Term Debt</t>
  </si>
  <si>
    <t xml:space="preserve">                Repayments for Long Term Debt</t>
  </si>
  <si>
    <t xml:space="preserve">                Total Issuance of/(Repayments for) Long Term Debt, Net</t>
  </si>
  <si>
    <t xml:space="preserve">            Total Issuance of/(Repayments for) Debt, Net</t>
  </si>
  <si>
    <t xml:space="preserve">        Issuance of/(Repayments for) Lease Financing</t>
  </si>
  <si>
    <t xml:space="preserve">            Repayments for Lease Financing</t>
  </si>
  <si>
    <t xml:space="preserve">            Total Issuance of/(Repayments for) Lease Financing</t>
  </si>
  <si>
    <t xml:space="preserve">        Net Movement in Non-Controlling/Minority Interest</t>
  </si>
  <si>
    <t xml:space="preserve">        Issue and Financing Costs</t>
  </si>
  <si>
    <t xml:space="preserve">            Debt Issuance Costs</t>
  </si>
  <si>
    <t xml:space="preserve">            Total Issue and Financing Costs</t>
  </si>
  <si>
    <t xml:space="preserve">        Proceeds from Issuance/Exercising of Stock Options/Warrants</t>
  </si>
  <si>
    <t xml:space="preserve">        Other Financing Cash Flow</t>
  </si>
  <si>
    <t xml:space="preserve">        Total Cash Flow from Continuing Financing Activities</t>
  </si>
  <si>
    <t xml:space="preserve">    Total Cash Flow from Financing Activities</t>
  </si>
  <si>
    <t>Cash and Cash Equivalents, End of Period</t>
  </si>
  <si>
    <t xml:space="preserve">    Change in Cash</t>
  </si>
  <si>
    <t xml:space="preserve">    Effect of Exchange Rate Changes</t>
  </si>
  <si>
    <t xml:space="preserve">    Cash and Cash Equivalents, Beginning of Period</t>
  </si>
  <si>
    <t xml:space="preserve">    Total Cash and Cash Equivalents, End of Period</t>
  </si>
  <si>
    <t>Cash Flow Supplemental Section</t>
  </si>
  <si>
    <t xml:space="preserve">    Change in Cash As Reported, Supplemental</t>
  </si>
  <si>
    <t xml:space="preserve">    Income Tax Paid, Supplemental</t>
  </si>
  <si>
    <t xml:space="preserve">    Interest Paid, Supplemental</t>
  </si>
  <si>
    <t xml:space="preserve">    Total Net Change in Cash</t>
  </si>
  <si>
    <t>Cash Flow Metrics</t>
  </si>
  <si>
    <t xml:space="preserve">    Free Cash Flow (FCF)</t>
  </si>
  <si>
    <t xml:space="preserve">    Issuance of Capital Stock</t>
  </si>
  <si>
    <t xml:space="preserve">    Issuance of Debt</t>
  </si>
  <si>
    <t xml:space="preserve">    Repayment of Debt</t>
  </si>
  <si>
    <t xml:space="preserve">    Repurchase of Capital Stock</t>
  </si>
  <si>
    <t xml:space="preserve">    FCF to CFO Ratio</t>
  </si>
  <si>
    <t>Data Origination</t>
  </si>
  <si>
    <t xml:space="preserve">    Preliminary</t>
  </si>
  <si>
    <t>No</t>
  </si>
  <si>
    <t xml:space="preserve">    Original</t>
  </si>
  <si>
    <t xml:space="preserve">    Restated</t>
  </si>
  <si>
    <t xml:space="preserve">    Calculated</t>
  </si>
  <si>
    <t>© PitchBook Data, Inc. 2019</t>
  </si>
  <si>
    <t>Public Fundamental Data provided by Morningstar, Inc.</t>
  </si>
  <si>
    <t>Income Statement (Fiscal Year)</t>
  </si>
  <si>
    <t>Filed:  31-Dec-2003</t>
  </si>
  <si>
    <t>Filed:  31-Dec-2004</t>
  </si>
  <si>
    <t>Filed:  31-Dec-2005</t>
  </si>
  <si>
    <t>Filed:  31-Dec-2006</t>
  </si>
  <si>
    <t>Filed:  31-Dec-2011</t>
  </si>
  <si>
    <t>Filed:  31-Dec-2012</t>
  </si>
  <si>
    <t>Filed:  22-Feb-2016</t>
  </si>
  <si>
    <t>Filed:  27-Feb-2018</t>
  </si>
  <si>
    <t>Company: Inogen (NAS: INGN)</t>
  </si>
  <si>
    <t>Filed:  14-Mar-2016</t>
  </si>
  <si>
    <t>Filed:  28-Feb-2017</t>
  </si>
  <si>
    <t>Filed:  26-Feb-2019</t>
  </si>
  <si>
    <t>Company: iRhythm Technologies (NAS: IRTC)</t>
  </si>
  <si>
    <t>Filed:  31-Mar-2017</t>
  </si>
  <si>
    <t>Filed:  20-Oct-2016</t>
  </si>
  <si>
    <t>Filed:  04-Mar-2019</t>
  </si>
  <si>
    <t>Key Metrics (TTM)</t>
  </si>
  <si>
    <t>Downloaded On: 08-Mar-2019</t>
  </si>
  <si>
    <t>Income Statement</t>
  </si>
  <si>
    <t>Yes</t>
  </si>
  <si>
    <t>Key Metrics (Fiscal Year)</t>
  </si>
  <si>
    <t>Income Statement (TTM)</t>
  </si>
  <si>
    <t>Filed:  06-Nov-2018</t>
  </si>
  <si>
    <t>Filed:  07-Aug-2018</t>
  </si>
  <si>
    <t>Filed:  30-Apr-2018</t>
  </si>
  <si>
    <t>Filed:  07-Nov-2017</t>
  </si>
  <si>
    <t>Filed:  03-Aug-2017</t>
  </si>
  <si>
    <t>Filed:  09-May-2017</t>
  </si>
  <si>
    <t>Filed:  03-Nov-2016</t>
  </si>
  <si>
    <t>Filed:  04-Aug-2016</t>
  </si>
  <si>
    <t>Filed:  09-May-2016</t>
  </si>
  <si>
    <t>Filed:  10-Nov-2015</t>
  </si>
  <si>
    <t>Filed:  11-Aug-2015</t>
  </si>
  <si>
    <t>Filed:  12-May-2015</t>
  </si>
  <si>
    <t>Filed:  12-Nov-2014</t>
  </si>
  <si>
    <t>Ratios (Fiscal Year)</t>
  </si>
  <si>
    <t>Multiples (TTM)</t>
  </si>
  <si>
    <t>PUBLIC TRADING COMPS</t>
  </si>
  <si>
    <t>Price 1</t>
  </si>
  <si>
    <t>Enterprise Value (EV)</t>
  </si>
  <si>
    <t>Gross Margin %</t>
  </si>
  <si>
    <t>41533-84</t>
  </si>
  <si>
    <t>52707-34</t>
  </si>
  <si>
    <t>52157-62</t>
  </si>
  <si>
    <t>63564-13</t>
  </si>
  <si>
    <t>54245-98</t>
  </si>
  <si>
    <t>41139-01</t>
  </si>
  <si>
    <t>1) Share price as of 03/07/2019</t>
  </si>
  <si>
    <t xml:space="preserve">TO DO: </t>
  </si>
  <si>
    <t xml:space="preserve">1) Update formulas to show millions 
</t>
  </si>
  <si>
    <t>2) Update formulas to have negative and/or growth above 100% marked N/M</t>
  </si>
  <si>
    <t xml:space="preserve">3) validate that all data is right (seems like EV / Rev multiples are reallly high ?) </t>
  </si>
  <si>
    <t>4) Add in consensus estimates to help fill out 2020 and rev growth</t>
  </si>
  <si>
    <t xml:space="preserve">5) Add Nola to bottom once plumbed (base case &amp; upside cases) </t>
  </si>
  <si>
    <t>6) add 52 week high and descrip</t>
  </si>
  <si>
    <t>NOLA UPSIDE CASE</t>
  </si>
  <si>
    <t>41134-24</t>
  </si>
  <si>
    <t>PHIA</t>
  </si>
  <si>
    <t>Philips (AMS: PHIA)</t>
  </si>
  <si>
    <t>#ENTITYNOTFOUND</t>
  </si>
  <si>
    <t>ResMed (NYS: RMD)</t>
  </si>
  <si>
    <t>Itamar Medical (TAE: ITMR)</t>
  </si>
  <si>
    <t>iRhythm Technologies (NAS: IRTC)</t>
  </si>
  <si>
    <t>Inogen (NAS: INGN)</t>
  </si>
  <si>
    <t>Fisher &amp; Paykel Healthcare (NZE: FPH)</t>
  </si>
  <si>
    <t>BioTelemetry (NAS: BEAT)</t>
  </si>
  <si>
    <t>My Layout (M&amp;A DEAL SUMMARY 1)</t>
  </si>
  <si>
    <t xml:space="preserve"> Search Link:</t>
  </si>
  <si>
    <t>https://my.pitchbook.com/?pcc=199881-19</t>
  </si>
  <si>
    <t>Search Criteria:</t>
  </si>
  <si>
    <t>All Companies</t>
  </si>
  <si>
    <t>Downloaded on:</t>
  </si>
  <si>
    <t>3/6/2019</t>
  </si>
  <si>
    <t>Created for:</t>
  </si>
  <si>
    <t xml:space="preserve">John Shay, Fitbit </t>
  </si>
  <si>
    <t>Deal ID</t>
  </si>
  <si>
    <t>Company Name</t>
  </si>
  <si>
    <t>Deal Date</t>
  </si>
  <si>
    <t>Description</t>
  </si>
  <si>
    <t>Deal Synopsis</t>
  </si>
  <si>
    <t>Deal Type</t>
  </si>
  <si>
    <t>Deal Size</t>
  </si>
  <si>
    <t>% Acquired</t>
  </si>
  <si>
    <t>Investors</t>
  </si>
  <si>
    <t>Sellers</t>
  </si>
  <si>
    <t>Primary Industry Code</t>
  </si>
  <si>
    <t>HQ Location</t>
  </si>
  <si>
    <t>PitchBook Link</t>
  </si>
  <si>
    <t>20201-86T</t>
  </si>
  <si>
    <t>BiancaMed</t>
  </si>
  <si>
    <t>Developer of devices for diagnosing and managing sleep-disordered breathing and other respiratory disorders. The company offers Sleepminder, a non-contact sleep and respiration monitoring product that measures sleep quality, respiration, sleep efficiency, actimetry and apnea events in adults and delivers reports and BiancaBaby, a non-contact motion and respiration sensor for babies.</t>
  </si>
  <si>
    <t>The company was acquired by ResMed (NYSE: RMD) for $64.5 million on July 6, 2011.</t>
  </si>
  <si>
    <t>Merger/Acquisition</t>
  </si>
  <si>
    <t>ResMed (NYS: RMD)(Peter Farrell)</t>
  </si>
  <si>
    <t>Enterprise Ireland, ePlanet Capital, Invest Northern Ireland, Seventure Partners</t>
  </si>
  <si>
    <t>Diagnostic Equipment</t>
  </si>
  <si>
    <t>Dublin, Ireland</t>
  </si>
  <si>
    <t>20201-68T</t>
  </si>
  <si>
    <t>The company raised Series A funding of $3.33 million from lead investor DFJ ePlanet Ventures on December 19, 2006. ResMed also participated.</t>
  </si>
  <si>
    <t>Early Stage VC</t>
  </si>
  <si>
    <t>ePlanet Capital, ResMed (NYS: RMD)(Corbet Lancaster)</t>
  </si>
  <si>
    <t>29985-40T</t>
  </si>
  <si>
    <t>Laboratoires Narval</t>
  </si>
  <si>
    <t>Developer and manufacturer of equipment to treat, diagnose and manage disorders of breathing during sleep. The company manufactures oral appliances for the treatment of sleep disordered breathing and sells its products principally in France.</t>
  </si>
  <si>
    <t>The company was acquired by ResMed (NYSE: RMD) for EUR 8 million on October 5, 2009.</t>
  </si>
  <si>
    <t>ResMed (NYS: RMD)(Michael Farrell)</t>
  </si>
  <si>
    <t>Aurinvest, Sham</t>
  </si>
  <si>
    <t>Medical Supplies</t>
  </si>
  <si>
    <t>Champagne-au-Mont-d'Or, France</t>
  </si>
  <si>
    <t xml:space="preserve">Deals (Portfolio) Download </t>
  </si>
  <si>
    <t xml:space="preserve">View Data | </t>
  </si>
  <si>
    <t>View Analytcs</t>
  </si>
  <si>
    <t>Data pulled from:</t>
  </si>
  <si>
    <t>Philips</t>
  </si>
  <si>
    <t>Investor ID</t>
  </si>
  <si>
    <t>Investor Name</t>
  </si>
  <si>
    <t>Portfolio Company ID</t>
  </si>
  <si>
    <t>Portfolio Company Name</t>
  </si>
  <si>
    <t>Status</t>
  </si>
  <si>
    <t>Deal No.</t>
  </si>
  <si>
    <t>Company Industry Sector</t>
  </si>
  <si>
    <t>Company Industry Group</t>
  </si>
  <si>
    <t>Company Industry Code</t>
  </si>
  <si>
    <t>Company Verticals</t>
  </si>
  <si>
    <t>All Industries</t>
  </si>
  <si>
    <t>Company Business Status</t>
  </si>
  <si>
    <t>Company Financing Status</t>
  </si>
  <si>
    <t># of Employees at Company</t>
  </si>
  <si>
    <t>Deal Type 1</t>
  </si>
  <si>
    <t>Deal Type 2</t>
  </si>
  <si>
    <t>Deal Type 3</t>
  </si>
  <si>
    <t>Deal Class</t>
  </si>
  <si>
    <t>Debt Type 1</t>
  </si>
  <si>
    <t>Debt Type 2</t>
  </si>
  <si>
    <t>Debt Type 3</t>
  </si>
  <si>
    <t>Deal Size (million, USD)</t>
  </si>
  <si>
    <t>Deal Size Status</t>
  </si>
  <si>
    <t>Entry Date</t>
  </si>
  <si>
    <t>Entry Type</t>
  </si>
  <si>
    <t>Entry Amount (million, USD)</t>
  </si>
  <si>
    <t>Time to Exit (in years)</t>
  </si>
  <si>
    <t>Company Pre-money Valuation (million, USD)</t>
  </si>
  <si>
    <t>Company Post Valuation (million, USD)</t>
  </si>
  <si>
    <t>Company Post Valuation Status</t>
  </si>
  <si>
    <t>Deal Status</t>
  </si>
  <si>
    <t>Lead Partner at Investment Firm</t>
  </si>
  <si>
    <t>Lead Partner Email</t>
  </si>
  <si>
    <t>Lead Partner Phone</t>
  </si>
  <si>
    <t>Deal Fund Name</t>
  </si>
  <si>
    <t>Company Revenue (thousand, USD)</t>
  </si>
  <si>
    <t>Company Revenue Status</t>
  </si>
  <si>
    <t>Revenue Growth since last deal</t>
  </si>
  <si>
    <t>Company Gross Profit (thousand, USD)</t>
  </si>
  <si>
    <t>Company Gross Profit Status</t>
  </si>
  <si>
    <t>Company Net Income (thousand, USD)</t>
  </si>
  <si>
    <t>Company Net Income Status</t>
  </si>
  <si>
    <t>Company EBITDA (thousand, USD)</t>
  </si>
  <si>
    <t>Company EBITDA Status</t>
  </si>
  <si>
    <t>Debt/Equity</t>
  </si>
  <si>
    <t>Debt/EBITDA</t>
  </si>
  <si>
    <t>Deal Size/EBITDA</t>
  </si>
  <si>
    <t>Valuation/EBITDA</t>
  </si>
  <si>
    <t>Deal Size/Revenue</t>
  </si>
  <si>
    <t>Valuation/Revenue</t>
  </si>
  <si>
    <t>Deal Size/Cash Flow</t>
  </si>
  <si>
    <t>Valuation/Cash Flow</t>
  </si>
  <si>
    <t>Company City</t>
  </si>
  <si>
    <t>Company State/Province</t>
  </si>
  <si>
    <t>Company Post Code</t>
  </si>
  <si>
    <t>Company Country</t>
  </si>
  <si>
    <t>Primary Investor Type</t>
  </si>
  <si>
    <t>Other Investor Types</t>
  </si>
  <si>
    <t>Investor Status</t>
  </si>
  <si>
    <t># of Investment Professionals at Firm</t>
  </si>
  <si>
    <t>Investor HQ City</t>
  </si>
  <si>
    <t>Investor HQ State/Province</t>
  </si>
  <si>
    <t>Investor HQ Post Code</t>
  </si>
  <si>
    <t>Investor HQ Country</t>
  </si>
  <si>
    <t>70498-99T</t>
  </si>
  <si>
    <t>110789-02</t>
  </si>
  <si>
    <t>Adamind</t>
  </si>
  <si>
    <t>Provider of multimedia and software communications services. The company is engaged in providing multimedia, messaging, content, convergence and other communications services to its clients in Israel.</t>
  </si>
  <si>
    <t>Former Investor</t>
  </si>
  <si>
    <t>Information Technology</t>
  </si>
  <si>
    <t>Software</t>
  </si>
  <si>
    <t>Communication Software</t>
  </si>
  <si>
    <t>TMT</t>
  </si>
  <si>
    <t>Communication Software*; Multimedia and Design Software</t>
  </si>
  <si>
    <t>Generating Revenue</t>
  </si>
  <si>
    <t>Corporate Backed or Acquired</t>
  </si>
  <si>
    <t>Platform Creation</t>
  </si>
  <si>
    <t>Corporate</t>
  </si>
  <si>
    <t>PC</t>
  </si>
  <si>
    <t>Completed</t>
  </si>
  <si>
    <t>Ra'anana</t>
  </si>
  <si>
    <t>Israel</t>
  </si>
  <si>
    <t>Corporation</t>
  </si>
  <si>
    <t>Actively Seeking New Investments</t>
  </si>
  <si>
    <t>Amsterdam</t>
  </si>
  <si>
    <t>1070 MX</t>
  </si>
  <si>
    <t>Netherlands</t>
  </si>
  <si>
    <t>99432-55T</t>
  </si>
  <si>
    <t>223691-05</t>
  </si>
  <si>
    <t>Digirad (Medical Device Sales And Service Business Unit)</t>
  </si>
  <si>
    <t>Provider of medical devices based installation and after sales services. The company's services are engaged in providing installation and warranty services related to medical devices, enabling the medical industry to receive after sales service that are beneficial for their activities.</t>
  </si>
  <si>
    <t>Business Products and Services (B2B)</t>
  </si>
  <si>
    <t>Commercial Services</t>
  </si>
  <si>
    <t>Other Commercial Services</t>
  </si>
  <si>
    <t>Other Commercial Services*; Diagnostic Equipment; Other Healthcare Services</t>
  </si>
  <si>
    <t>Corporate Divestiture</t>
  </si>
  <si>
    <t>Actual</t>
  </si>
  <si>
    <t>Estimated</t>
  </si>
  <si>
    <t>Suwanee</t>
  </si>
  <si>
    <t>GA</t>
  </si>
  <si>
    <t>30024</t>
  </si>
  <si>
    <t>United States</t>
  </si>
  <si>
    <t>89814-79T</t>
  </si>
  <si>
    <t>41306-50</t>
  </si>
  <si>
    <t>The Spectranetics</t>
  </si>
  <si>
    <t>Developer of single-use medical technology for surgeries. The company offers products for lead management, peripheral and coronary intervention, which include scoring balloon technology, laser atherectomy, proven algorithms for the treatment of complex and challenging cardiovascular cases, and other surgeries, enabling healthcare providers to manage leads, modify all plaque, and eradicate restenosis and amputation.</t>
  </si>
  <si>
    <t>Healthcare</t>
  </si>
  <si>
    <t>Healthcare Devices and Supplies</t>
  </si>
  <si>
    <t>Surgical Devices</t>
  </si>
  <si>
    <t>HealthTech, TMT</t>
  </si>
  <si>
    <t>Surgical Devices*</t>
  </si>
  <si>
    <t>François van Houten</t>
  </si>
  <si>
    <t>+31 (0)20 597 7777</t>
  </si>
  <si>
    <t>Colorado Springs</t>
  </si>
  <si>
    <t>CO</t>
  </si>
  <si>
    <t>80921</t>
  </si>
  <si>
    <t>90805-87T</t>
  </si>
  <si>
    <t>183333-79</t>
  </si>
  <si>
    <t>TomTec Imaging Systems</t>
  </si>
  <si>
    <t>Developer of intelligent image analysis software. The company's intelligent image analysis software include multimodality, vendor neutral imaging and analysis for cardiology and radiology, enabling the healthcare industry to access a wide range of products for diagnosing their patients disease.</t>
  </si>
  <si>
    <t>Other Healthcare</t>
  </si>
  <si>
    <t>Other Healthcare*; Business/Productivity Software</t>
  </si>
  <si>
    <t>Vitor Rocha</t>
  </si>
  <si>
    <t>vitor.rocha@philips.com</t>
  </si>
  <si>
    <t>Unterschleissheim</t>
  </si>
  <si>
    <t>85716</t>
  </si>
  <si>
    <t>Germany</t>
  </si>
  <si>
    <t>108277-57T</t>
  </si>
  <si>
    <t>57380-68</t>
  </si>
  <si>
    <t>American Well</t>
  </si>
  <si>
    <t>Provider of telehealth services designed to improve patient outcomes.. The company's platform connects consumers with board-certified healthcare professionals via video over web or mobile, enabling patients to access improved quality care anywhere they need.</t>
  </si>
  <si>
    <t>Active Investor</t>
  </si>
  <si>
    <t>Healthcare Technology Systems</t>
  </si>
  <si>
    <t>Outcome Management (Healthcare)</t>
  </si>
  <si>
    <t>Digital Health, HealthTech, TMT</t>
  </si>
  <si>
    <t>Outcome Management (Healthcare)*; Social/Platform Software</t>
  </si>
  <si>
    <t>Venture Capital-Backed</t>
  </si>
  <si>
    <t>Later Stage VC</t>
  </si>
  <si>
    <t>Series C</t>
  </si>
  <si>
    <t>Venture Capital</t>
  </si>
  <si>
    <t>Derek Ross</t>
  </si>
  <si>
    <t>derek.ross@philips.com</t>
  </si>
  <si>
    <t>Boston</t>
  </si>
  <si>
    <t>MA</t>
  </si>
  <si>
    <t>02109</t>
  </si>
  <si>
    <t>90171-01T</t>
  </si>
  <si>
    <t>92563-39</t>
  </si>
  <si>
    <t>Health &amp; Parenting</t>
  </si>
  <si>
    <t>Developer of a web based mobile application intended to provide guidance to expectant and new parents. The company's web based mobile application provides guidance on menstrual cycle information, fertility, ovulation tips and pregnancy information, enabling expecting parents to get necessary guidance to become pregnant.</t>
  </si>
  <si>
    <t>Healthcare Services</t>
  </si>
  <si>
    <t>Other Healthcare Services</t>
  </si>
  <si>
    <t>Mobile, TMT</t>
  </si>
  <si>
    <t>Other Healthcare Services*; Application Software</t>
  </si>
  <si>
    <t>Egbert Van Acht</t>
  </si>
  <si>
    <t>Guildford</t>
  </si>
  <si>
    <t>England</t>
  </si>
  <si>
    <t>GU2 8XG</t>
  </si>
  <si>
    <t>United Kingdom</t>
  </si>
  <si>
    <t>97903-18T</t>
  </si>
  <si>
    <t>185296-51</t>
  </si>
  <si>
    <t>Analytical Informatics</t>
  </si>
  <si>
    <t>Developer of a clinical software designed to help improve quality and efficiency in healthcare industry. The company's software easily discover operational patterns and identify areas of opportunity for quality improvements, quickly drill-down to discover details and identify root cause and discover insights with the power of search, optimize medical imaging equipment and personnel investments, enabling clinicians to get real time information and solve real workflow problems.</t>
  </si>
  <si>
    <t>Application Software</t>
  </si>
  <si>
    <t>SaaS, TMT</t>
  </si>
  <si>
    <t>Application Software*; Other Healthcare Technology Systems; Business/Productivity Software</t>
  </si>
  <si>
    <t>Formerly Accelerator/Incubator Backed</t>
  </si>
  <si>
    <t>Baltimore</t>
  </si>
  <si>
    <t>MD</t>
  </si>
  <si>
    <t>21202</t>
  </si>
  <si>
    <t>37813-87T</t>
  </si>
  <si>
    <t>41322-07</t>
  </si>
  <si>
    <t>ASML Holding</t>
  </si>
  <si>
    <t>Founded in 1984 and based in the Netherlands, ASML is a leading manufacturer of photolithography systems used in the production of semiconductors. Photolithography is the process in which a light source is used to expose circuit patterns from a photomask onto a semiconductor wafer. ASML's products are used at every major semiconductor manufacturer, including Samsung, Intel, and Taiwan Semiconductor Manufacturing.</t>
  </si>
  <si>
    <t>Semiconductors</t>
  </si>
  <si>
    <t>Production (Semiconductors)</t>
  </si>
  <si>
    <t>Manufacturing, TMT</t>
  </si>
  <si>
    <t>Production (Semiconductors)*; General Purpose Semiconductors; Other Semiconductors</t>
  </si>
  <si>
    <t>Profitable</t>
  </si>
  <si>
    <t>Joint Venture</t>
  </si>
  <si>
    <t>Other</t>
  </si>
  <si>
    <t>JointV</t>
  </si>
  <si>
    <t>Veldhoven</t>
  </si>
  <si>
    <t>5504 DR</t>
  </si>
  <si>
    <t>85575-34T</t>
  </si>
  <si>
    <t>179177-05</t>
  </si>
  <si>
    <t>Australian Pharmacy Sleep Services</t>
  </si>
  <si>
    <t>Provider of pharmacy sleep testing services intended to dentify and treat sleep apnoea. The company's sleep testing services includes screening, home-based sleep studies based on Continuous Positive Airway Pressure (CPAP) therapy, training and services, enabling physicians to properly treat sleep apnoea.</t>
  </si>
  <si>
    <t>Other Healthcare*</t>
  </si>
  <si>
    <t>Kevin Barrow</t>
  </si>
  <si>
    <t>Sydney</t>
  </si>
  <si>
    <t>New South Wales</t>
  </si>
  <si>
    <t>Australia</t>
  </si>
  <si>
    <t>90811-27T</t>
  </si>
  <si>
    <t>183315-88</t>
  </si>
  <si>
    <t>CardioProlific</t>
  </si>
  <si>
    <t>Developer of catheter-based thrombectomy system intended to treat peripheral vascular disease. The company's catheter-based thrombectomy system develops new approaches to improve re-stenosis in Peripheral Arterial Disease (PAD) and offers clinically effective non-implant solution utilizing patented Ultrasound Technology that changes media/intima calcium compliance and facilitates therapeutic drugs penetration to the vessel wall.</t>
  </si>
  <si>
    <t>Therapeutic Devices</t>
  </si>
  <si>
    <t>Therapeutic Devices*</t>
  </si>
  <si>
    <t>Bert Van Meurs</t>
  </si>
  <si>
    <t>Hayward</t>
  </si>
  <si>
    <t>CA</t>
  </si>
  <si>
    <t>94545</t>
  </si>
  <si>
    <t>19972-27T</t>
  </si>
  <si>
    <t>12024-91</t>
  </si>
  <si>
    <t>AVENT Holdings</t>
  </si>
  <si>
    <t>Provider of baby feeding and monitoring systems including breast pumps, milk storage containers, breast comfort items, feeding bottles and nipples, baby monitors, toddler feeding supplies and baby food preparation appliances.</t>
  </si>
  <si>
    <t>Consumer Products and Services (B2C)</t>
  </si>
  <si>
    <t>Consumer Durables</t>
  </si>
  <si>
    <t>Electronics (B2C)</t>
  </si>
  <si>
    <t>Electronics (B2C)*; Household Appliances; Other Consumer Durables; Personal Products</t>
  </si>
  <si>
    <t>Formerly VC-Backed</t>
  </si>
  <si>
    <t>Glemsford</t>
  </si>
  <si>
    <t>CO10 7QS</t>
  </si>
  <si>
    <t>90527-68T</t>
  </si>
  <si>
    <t>52829-02</t>
  </si>
  <si>
    <t>Aventura</t>
  </si>
  <si>
    <t>Developer of a healthcare workflow optimization software designed to ensure secure clinical workflow. The company's healthcare workflow optimization software uses intuitive awareness technology to secure workstations everywhere from emergency departments to specialty care units to patient and exam rooms in health systems, in order to improve clinician efficiency and increase patient satisfaction, enabling clinicians to access workstations and improve their workflow while ensuring security compliance.</t>
  </si>
  <si>
    <t>Automation/Workflow Software</t>
  </si>
  <si>
    <t>Automation/Workflow Software*; Other Healthcare Technology Systems</t>
  </si>
  <si>
    <t>Denver</t>
  </si>
  <si>
    <t>80202</t>
  </si>
  <si>
    <t>115238-80T</t>
  </si>
  <si>
    <t>64347-85</t>
  </si>
  <si>
    <t>Babyscripts</t>
  </si>
  <si>
    <t>Developer of a virtual pregnancy care platform for obstetrics designed to manage obstetrics. The company's platform streamlines difference phases of prenatal and postpartum pregnancy care to guide the expectant mother through a healthy pregnancy, enabling doctors to provide better and low risk pregnancy care.</t>
  </si>
  <si>
    <t>Digital Health, FemTech, HealthTech, TMT</t>
  </si>
  <si>
    <t>Application Software*; Other Healthcare Services; Other Healthcare Technology Systems</t>
  </si>
  <si>
    <t>Series B1</t>
  </si>
  <si>
    <t>Iman Farzaneh</t>
  </si>
  <si>
    <t>Washington</t>
  </si>
  <si>
    <t>DC</t>
  </si>
  <si>
    <t>20007</t>
  </si>
  <si>
    <t>107379-37T</t>
  </si>
  <si>
    <t>132329-35</t>
  </si>
  <si>
    <t>Remote Diagnostic Technologies</t>
  </si>
  <si>
    <t>Designer, manufacturer, marketer and worldwide distributor of remote monitoring and resuscitation systems for pre-hospital and critical care services. The company's systems include defibrillation monitor, critical care monitor and vital signs monitor, enabling their clients to monitor critical health condition.</t>
  </si>
  <si>
    <t>HealthTech, Manufacturing, TMT</t>
  </si>
  <si>
    <t>Therapeutic Devices*; Diagnostic Equipment; Decision/Risk Analysis; Other Healthcare Technology Systems</t>
  </si>
  <si>
    <t>Arman Voskerchyan</t>
  </si>
  <si>
    <t>arman.voskerchyan@philips.com</t>
  </si>
  <si>
    <t>Basingstoke</t>
  </si>
  <si>
    <t>RG23 8BG</t>
  </si>
  <si>
    <t>112641-58T</t>
  </si>
  <si>
    <t>151186-15</t>
  </si>
  <si>
    <t>Blue Willow Systems</t>
  </si>
  <si>
    <t>Developer of wearable and non-wearable sensor devices designed to offer end-to-end senior resident safety services. The company's wearable and non-wearable sensor devices monitor the health and fitness of senior family members with automatic monitoring and alerting based on intelligent sensors, enabling consumers to enhance the care and well-being of seniors.</t>
  </si>
  <si>
    <t>Monitoring Equipment</t>
  </si>
  <si>
    <t>Digital Health, HealthTech, LOHAS &amp; Wellness, TMT, Wearables &amp; Quantified Self</t>
  </si>
  <si>
    <t>Monitoring Equipment*; Other Devices and Supplies; Application Software</t>
  </si>
  <si>
    <t>Menlo Park</t>
  </si>
  <si>
    <t>94025-3493</t>
  </si>
  <si>
    <t>58761-10T</t>
  </si>
  <si>
    <t>125374-24</t>
  </si>
  <si>
    <t>Blue Jay Consulting</t>
  </si>
  <si>
    <t>Provider of consultation services. The company is the provider of consulting services to hospital emergency departments in the US. It offers executive coaching, triage and charge nurse training, process improvement, and enhance interim leadership.</t>
  </si>
  <si>
    <t>Consulting Services (B2B)</t>
  </si>
  <si>
    <t>Industrials</t>
  </si>
  <si>
    <t>Consulting Services (B2B)*; Education and Training Services (B2B)</t>
  </si>
  <si>
    <t>Jeroen Tas</t>
  </si>
  <si>
    <t>jeroen.tas@philips.com</t>
  </si>
  <si>
    <t>Orlando</t>
  </si>
  <si>
    <t>FL</t>
  </si>
  <si>
    <t>32801</t>
  </si>
  <si>
    <t>61829-11T</t>
  </si>
  <si>
    <t>118663-03</t>
  </si>
  <si>
    <t>Sentinelle Medical</t>
  </si>
  <si>
    <t>Provider of medical devices. The company provides a range of MR coils, patient stretchers and software for MRI scanners that helps in the treatment of breast cancer.</t>
  </si>
  <si>
    <t>Life Sciences, Oncology</t>
  </si>
  <si>
    <t>Diagnostic Equipment*</t>
  </si>
  <si>
    <t>Toronto</t>
  </si>
  <si>
    <t>Ontario</t>
  </si>
  <si>
    <t>M5V 3B1</t>
  </si>
  <si>
    <t>Canada</t>
  </si>
  <si>
    <t>112069-81T</t>
  </si>
  <si>
    <t>233212-15</t>
  </si>
  <si>
    <t>Closure</t>
  </si>
  <si>
    <t>Developer of a subscription management platform designed to cancel subscriptions after one's death. The company's platform facilitates users to registrar themselves, choose for each service whether they want to terminate it or transfer it to another name, enabling individuals to close all accounts, contracts, subscriptions so as to help their close one.</t>
  </si>
  <si>
    <t>Other Software</t>
  </si>
  <si>
    <t>Other Software*</t>
  </si>
  <si>
    <t>Accelerator/Incubator Backed</t>
  </si>
  <si>
    <t>Grant</t>
  </si>
  <si>
    <t>Rotterdam</t>
  </si>
  <si>
    <t>3013 AM</t>
  </si>
  <si>
    <t>30687-49T</t>
  </si>
  <si>
    <t>41533-75</t>
  </si>
  <si>
    <t>Color Kinetics</t>
  </si>
  <si>
    <t>Developer of light emitting diode (LED) lighting systems. The company provides lighting technologies for a variety of markets, including the architectural, motion picture, medical and children's toy industries.</t>
  </si>
  <si>
    <t>Commercial Products</t>
  </si>
  <si>
    <t>Building Products</t>
  </si>
  <si>
    <t>CleanTech, Industrials, TMT</t>
  </si>
  <si>
    <t>Building Products*</t>
  </si>
  <si>
    <t>02108</t>
  </si>
  <si>
    <t>93849-49T</t>
  </si>
  <si>
    <t>58643-65</t>
  </si>
  <si>
    <t>Common Sensing</t>
  </si>
  <si>
    <t>Developer of a next generation smart health technology and user-oriented, ultraportable device designed to reduce anxiety, get a leg up on compliance and deliver better care. The company's Gocap is a hardware-and software-based medical device which acts as a personal insulin assistant for recording a user's insulin intake information and transmits the data to mobile phones or glucose meters, enabling diabetic patients to improve access to care, reduce healthcare costs and improve health outcomes.</t>
  </si>
  <si>
    <t>Monitoring Equipment*; Application Software</t>
  </si>
  <si>
    <t>Series A</t>
  </si>
  <si>
    <t>Cambridge</t>
  </si>
  <si>
    <t>02139</t>
  </si>
  <si>
    <t>19750-69T</t>
  </si>
  <si>
    <t>53408-08</t>
  </si>
  <si>
    <t>Corindus Vascular Robotics</t>
  </si>
  <si>
    <t>Corindus Vascular Robotics Inc designs manufacture and sells precision vascular robotic-assisted systems used in interventional vascular procedure also called as the CorPath System. The CorPath System is the first medical device to bring robotic-assisted precision to radial, coronary and peripheral procedures to optimize clinical outcomes and minimize the costs associated with complications of improper stent placement with manual procedures. The revenue is derived from the sale of products CorPath 200 and CorPath GRX Systems.</t>
  </si>
  <si>
    <t>Manufacturing, Robotics and Drones, TMT</t>
  </si>
  <si>
    <t>Series D</t>
  </si>
  <si>
    <t>Corp, D</t>
  </si>
  <si>
    <t>Waltham</t>
  </si>
  <si>
    <t>02452</t>
  </si>
  <si>
    <t>44539-48T</t>
  </si>
  <si>
    <t>107085-70</t>
  </si>
  <si>
    <t>Unisensor (Medical Equipment Manufacturer)</t>
  </si>
  <si>
    <t>Supplier of bacteria and cell analysis equipment. The company develops and manufactures medical analysis and research equipment for medical, veterinary and other biotechnological sectors. It specializes in cover analysis performed by in house designed and developed optical systems, image creation systems and tools for image analysis.</t>
  </si>
  <si>
    <t>Other Devices and Supplies</t>
  </si>
  <si>
    <t>Manufacturing</t>
  </si>
  <si>
    <t>Other Devices and Supplies*; Other Healthcare</t>
  </si>
  <si>
    <t>Perry Van Rijsingen</t>
  </si>
  <si>
    <t>Lillerød</t>
  </si>
  <si>
    <t>3450</t>
  </si>
  <si>
    <t>Denmark</t>
  </si>
  <si>
    <t>60085-99T</t>
  </si>
  <si>
    <t>125459-29</t>
  </si>
  <si>
    <t>Aerogen (Home-Care Business)</t>
  </si>
  <si>
    <t>Manufacturer of respiratory drug delivery systems. The company develops a technology, that allows drugs to be nebulized into a fine particle mist that can be absorbed through the lungs while maintaining drug integrity.</t>
  </si>
  <si>
    <t>Pharmaceuticals and Biotechnology</t>
  </si>
  <si>
    <t>Drug Delivery</t>
  </si>
  <si>
    <t>Drug Delivery*</t>
  </si>
  <si>
    <t>Brent Shafer</t>
  </si>
  <si>
    <t>Galway</t>
  </si>
  <si>
    <t>Ireland</t>
  </si>
  <si>
    <t>50168-80T</t>
  </si>
  <si>
    <t>110483-65</t>
  </si>
  <si>
    <t>Indal Corporación de Negocios</t>
  </si>
  <si>
    <t>Manufacturer of electronic fixtures. The company engages in the manufacture and design of outdoor lighting fixtures, lighting frames and led lights.</t>
  </si>
  <si>
    <t>Electrical Equipment</t>
  </si>
  <si>
    <t>Industrials, Manufacturing</t>
  </si>
  <si>
    <t>Electrical Equipment*</t>
  </si>
  <si>
    <t>Valladolid</t>
  </si>
  <si>
    <t>47008</t>
  </si>
  <si>
    <t>Spain</t>
  </si>
  <si>
    <t>72737-11T</t>
  </si>
  <si>
    <t>125439-49</t>
  </si>
  <si>
    <t>ShangHai Povos Electric Works Company</t>
  </si>
  <si>
    <t>Manufacturer and distributor of home appliance products in Shanghai. The company is engaged in the production and distribution of kitchen appliances, water dispensers and personal care products.</t>
  </si>
  <si>
    <t>Consumer Non-Durables</t>
  </si>
  <si>
    <t>Household Products</t>
  </si>
  <si>
    <t>Household Products*; Personal Products; Distributors/Wholesale (B2C)</t>
  </si>
  <si>
    <t>Pieter Nota</t>
  </si>
  <si>
    <t>Shanghai</t>
  </si>
  <si>
    <t>201600</t>
  </si>
  <si>
    <t>China</t>
  </si>
  <si>
    <t>47420-29T</t>
  </si>
  <si>
    <t>110596-96</t>
  </si>
  <si>
    <t>All Parts Medical</t>
  </si>
  <si>
    <t>Provider of technical support, technical training and pre-owned equipment for the medical imaging industry. The company manufactures diagnostic imaging replacement parts and provides tube replacement, free technical support, parts identification, online parts ordering, part sourcing and equipment installation services.</t>
  </si>
  <si>
    <t>Diagnostic Equipment*; Other Healthcare Services</t>
  </si>
  <si>
    <t>Greg Sebasky</t>
  </si>
  <si>
    <t>Nashville</t>
  </si>
  <si>
    <t>TN</t>
  </si>
  <si>
    <t>37207</t>
  </si>
  <si>
    <t>89620-48T</t>
  </si>
  <si>
    <t>99257-32</t>
  </si>
  <si>
    <t>Electrical Geodesics</t>
  </si>
  <si>
    <t>Developer of neurodiagnostic medical devices. The company designs, develops and commercializes a range of non-invasive neurodiagnostic products used to monitor and interpret brain activity.</t>
  </si>
  <si>
    <t>Monitoring Equipment*; Biotechnology</t>
  </si>
  <si>
    <t>Formerly PE-Backed</t>
  </si>
  <si>
    <t>Joseph Burnett</t>
  </si>
  <si>
    <t>Eugene</t>
  </si>
  <si>
    <t>OR</t>
  </si>
  <si>
    <t>97401</t>
  </si>
  <si>
    <t>107032-24T</t>
  </si>
  <si>
    <t>229344-40</t>
  </si>
  <si>
    <t>EPD Solutions</t>
  </si>
  <si>
    <t>Provider of cardiac imaging and navigation systems designed to improve the efficacy and efficiency of cardiac arrhythmias treatment. The company's systems provide a detailed 3D image of the cardiac anatomy and identifies the location and orientation of catheters during the diagnostic and therapeutic procedures for cardiac arrhythmias, enabling physicians to perform catheter-based procedures safely and improve life of patients.</t>
  </si>
  <si>
    <t>Tortola</t>
  </si>
  <si>
    <t>British Virgin Islands</t>
  </si>
  <si>
    <t>88588-99T</t>
  </si>
  <si>
    <t>88604-02</t>
  </si>
  <si>
    <t>Ethentica</t>
  </si>
  <si>
    <t>Provider of digital security products and services. The company offers a secure means to manage digital credentials and verify the identities of those accessing sensitive data, enabling businesses to conduct trusted transactions across the extended enterprise of employees, customers, partners and suppliers.</t>
  </si>
  <si>
    <t>IT Services</t>
  </si>
  <si>
    <t>Systems and Information Management</t>
  </si>
  <si>
    <t>Cybersecurity, TMT</t>
  </si>
  <si>
    <t>Systems and Information Management*; Other Hardware</t>
  </si>
  <si>
    <t>Out of Business</t>
  </si>
  <si>
    <t>EVC</t>
  </si>
  <si>
    <t>Lake Forest</t>
  </si>
  <si>
    <t>70772-77T</t>
  </si>
  <si>
    <t>41331-34</t>
  </si>
  <si>
    <t>FEI</t>
  </si>
  <si>
    <t>Supplier of instruments for nanoscale imaging, analysis and prototyping. The company supplies instruments for nanoscale processes to enable research, development and manufacturing in a range of industrial, academic and research institutional applications. The company's products include focused ion beam systems, or FIBs; scanning electron microscopes, or SEMs; transmission electron microscopes, or TEMs; and DualBeam systems, which combine an FIB and SEM on a single platform.</t>
  </si>
  <si>
    <t>Computer Hardware</t>
  </si>
  <si>
    <t>Electronic Equipment and Instruments</t>
  </si>
  <si>
    <t>Industrials, Nanotechnology, TMT</t>
  </si>
  <si>
    <t>Electronic Equipment and Instruments*; Machinery (B2B); Diagnostic Equipment</t>
  </si>
  <si>
    <t>ACQ</t>
  </si>
  <si>
    <t>Hillsboro</t>
  </si>
  <si>
    <t>97124</t>
  </si>
  <si>
    <t>98301-79T</t>
  </si>
  <si>
    <t>111937-42</t>
  </si>
  <si>
    <t>Forcare</t>
  </si>
  <si>
    <t>Developer of an interoperability platform designed to empower data flow and workflow. The company's interoperability platform interconnects existing systems to share, create and manage clinical patient data, both inside and outside the healthcare enterprise, enabling healthcare industries to focus on more efficiency and better care.</t>
  </si>
  <si>
    <t>Enterprise Systems (Healthcare)</t>
  </si>
  <si>
    <t>Enterprise Systems (Healthcare)*; Other Healthcare Technology Systems</t>
  </si>
  <si>
    <t>Yair Briman</t>
  </si>
  <si>
    <t>yair.briman@philips.com</t>
  </si>
  <si>
    <t>Zeist</t>
  </si>
  <si>
    <t>3706 AK</t>
  </si>
  <si>
    <t>46782-82T</t>
  </si>
  <si>
    <t>109688-77</t>
  </si>
  <si>
    <t>Dameca</t>
  </si>
  <si>
    <t>Manufacturer and distributor of anesthesia machine and equipment. The company's product line includes anesthesia machines, wall panels, pendant systems, flow meters, suction units and other accessories.</t>
  </si>
  <si>
    <t>Monitoring Equipment*; Other Devices and Supplies</t>
  </si>
  <si>
    <t>Rødovre</t>
  </si>
  <si>
    <t>2610</t>
  </si>
  <si>
    <t>102672-55T</t>
  </si>
  <si>
    <t>25319-98</t>
  </si>
  <si>
    <t>Harcros Chemicals</t>
  </si>
  <si>
    <t>Manufacturer and distributor of industrial and specialty chemicals in the United States. The company's chemical products offer surfactants, emulsifiers, custom blends, , absorbents, acetic acids, acid inhibitors, acid replacers, amine salts, enabling agriculture, personal care, oil and gas with paint, coatings, ink industries to avail an efficient and economical means of preventing costly and dangerous, foaming conditions and also suit their applications.</t>
  </si>
  <si>
    <t>Materials and Resources</t>
  </si>
  <si>
    <t>Chemicals and Gases</t>
  </si>
  <si>
    <t>Industrial Chemicals</t>
  </si>
  <si>
    <t>Oil &amp; Gas</t>
  </si>
  <si>
    <t>Industrial Chemicals*; Specialty Chemicals</t>
  </si>
  <si>
    <t>Private Debt Financed</t>
  </si>
  <si>
    <t>Kansas City</t>
  </si>
  <si>
    <t>KS</t>
  </si>
  <si>
    <t>66106</t>
  </si>
  <si>
    <t>72945-73T</t>
  </si>
  <si>
    <t>125437-69</t>
  </si>
  <si>
    <t>Preethi</t>
  </si>
  <si>
    <t>Manufacturer of kitchen appliances. The company manufactures a wide range of kitchen appliances such as mixer grinders, induction cook tops, glass top gas stoves, stainless steel gas stoves, wet grinders, rice cookers, coffee makers and blenders.</t>
  </si>
  <si>
    <t>Household Appliances</t>
  </si>
  <si>
    <t>Household Appliances*</t>
  </si>
  <si>
    <t>Chennai</t>
  </si>
  <si>
    <t>600119</t>
  </si>
  <si>
    <t>India</t>
  </si>
  <si>
    <t>11175-85T</t>
  </si>
  <si>
    <t>12296-44</t>
  </si>
  <si>
    <t>Health Watch</t>
  </si>
  <si>
    <t>Provider of personal response services (PERS) in the United States. The company offers fall detectors and personal transmitter pendants. It offers its services to medically at-risk elderly and disabled individuals.</t>
  </si>
  <si>
    <t>Other Devices and Supplies*; Monitoring Equipment; Elder and Disabled Care; Other Healthcare Services</t>
  </si>
  <si>
    <t>Boca Raton</t>
  </si>
  <si>
    <t>33487</t>
  </si>
  <si>
    <t>97030-45T</t>
  </si>
  <si>
    <t>157735-45</t>
  </si>
  <si>
    <t>Hospitalia International</t>
  </si>
  <si>
    <t>Provider of hospital construction services. The company's hospital construction services include project development, hospital design, maintenance services, engineering and related services, enabling hospitals and medical institutions to get furnished and maintained infrastructure within stipulated budget.</t>
  </si>
  <si>
    <t>Other Healthcare Services*; Construction and Engineering; Real Estate Services (B2C)</t>
  </si>
  <si>
    <t>Bad Homburg</t>
  </si>
  <si>
    <t>61348</t>
  </si>
  <si>
    <t>40613-77T</t>
  </si>
  <si>
    <t>54400-60</t>
  </si>
  <si>
    <t>Image Stream Medical</t>
  </si>
  <si>
    <t>Developer of visualization and image management solutions for operating theaters and special procedure clinics. The company offers procedure space integration, procedure recording, live video streaming, real-time room status monitoring, collaboration, medical content management, video editing, and information integration solutions, connecting care teams with clear visual information and collaborative insight across the healthcare enterprise.</t>
  </si>
  <si>
    <t>Decision/Risk Analysis</t>
  </si>
  <si>
    <t>Decision/Risk Analysis*; Outcome Management (Healthcare); Other Healthcare Technology Systems</t>
  </si>
  <si>
    <t>Series B</t>
  </si>
  <si>
    <t>LVC, B</t>
  </si>
  <si>
    <t>Littleton</t>
  </si>
  <si>
    <t>01460</t>
  </si>
  <si>
    <t>52896-43T</t>
  </si>
  <si>
    <t>109254-70</t>
  </si>
  <si>
    <t>Optimum Lighting</t>
  </si>
  <si>
    <t>Manufacturer of lighting fixtures and equipment. The company is engaged in manufacturing, designing and selling lighting fixtures and equipments in United States.</t>
  </si>
  <si>
    <t>Henderson</t>
  </si>
  <si>
    <t>NC</t>
  </si>
  <si>
    <t>27536</t>
  </si>
  <si>
    <t>41927-14T</t>
  </si>
  <si>
    <t>86708-53</t>
  </si>
  <si>
    <t>Intellectual Property Exchange International</t>
  </si>
  <si>
    <t>Provider of financial services. The company is the world's first financial exchange that facilitates non-exclusive licensing and trading of intellectual property (IP) rights with market-based pricing and standardized terms. The result is an exchange that operates under two core principles: transparency and efficiency. The initial product traded on IPXI is a Unit License Right (ULR) contract. For more information, visit the ULR Contracts page.</t>
  </si>
  <si>
    <t>Financial Services</t>
  </si>
  <si>
    <t>Other Financial Services</t>
  </si>
  <si>
    <t>Other Financial Services*</t>
  </si>
  <si>
    <t>Bankruptcy: Liquidation</t>
  </si>
  <si>
    <t>Secondary Transaction - Private</t>
  </si>
  <si>
    <t>SECT</t>
  </si>
  <si>
    <t>Chicago</t>
  </si>
  <si>
    <t>IL</t>
  </si>
  <si>
    <t>60603</t>
  </si>
  <si>
    <t>78492-79T</t>
  </si>
  <si>
    <t>41908-33</t>
  </si>
  <si>
    <t>InterTrust Technologies</t>
  </si>
  <si>
    <t>Developer of digital rights management software designed to provide trusted distributed computing. The company's software provides digital security, data privacy, trusted computing and rights management, enabling clients to get technologies that protect the flow of information.</t>
  </si>
  <si>
    <t>Business/Productivity Software</t>
  </si>
  <si>
    <t>Business/Productivity Software*; Other Software</t>
  </si>
  <si>
    <t>Series E</t>
  </si>
  <si>
    <t>LVC, E</t>
  </si>
  <si>
    <t>Sunnyvale</t>
  </si>
  <si>
    <t>94085</t>
  </si>
  <si>
    <t>25574-32T</t>
  </si>
  <si>
    <t>13129-84</t>
  </si>
  <si>
    <t>Lighting Technologies International</t>
  </si>
  <si>
    <t>Manufacturer of gas-lit lamps for the entertainment industry. The company provides specialty lighting products, including xenon, mercury-xenon and metal halide lamps, for cinema and digital cinema, video projection, special venue lighting, photo exposure, solar simulation and architectural lighting for the entertainment industry.</t>
  </si>
  <si>
    <t>Private Equity-Backed</t>
  </si>
  <si>
    <t>Baldwin Park</t>
  </si>
  <si>
    <t>91706</t>
  </si>
  <si>
    <t>55835-29T</t>
  </si>
  <si>
    <t>114931-18</t>
  </si>
  <si>
    <t>Discus Holdings</t>
  </si>
  <si>
    <t>Manufacturer and provider of oral healthcare products and services. The company provides professional tooth whitening products and oral care products and services.</t>
  </si>
  <si>
    <t>Personal Products</t>
  </si>
  <si>
    <t>Personal Products*; Medical Supplies</t>
  </si>
  <si>
    <t>Culver City</t>
  </si>
  <si>
    <t>90232</t>
  </si>
  <si>
    <t>35678-17T</t>
  </si>
  <si>
    <t>64497-34</t>
  </si>
  <si>
    <t>Lumileds Lighting</t>
  </si>
  <si>
    <t>Developer of light emitting diode (LED) lighting technology. The company develops, manufactures and distributes a range of LED products, including display lighting, flash lighting, chip-scale package LEDs and automotive lighting and serves the automotive, mobile, IoT and illumination companies that require innovative lighting applications.</t>
  </si>
  <si>
    <t>Communications and Networking</t>
  </si>
  <si>
    <t>Fiberoptic Equipment</t>
  </si>
  <si>
    <t>Industrials, Manufacturing, TMT</t>
  </si>
  <si>
    <t>Fiberoptic Equipment*; Electrical Equipment</t>
  </si>
  <si>
    <t>Schiphol</t>
  </si>
  <si>
    <t>1118 CL</t>
  </si>
  <si>
    <t>35677-81T</t>
  </si>
  <si>
    <t>73546-66T</t>
  </si>
  <si>
    <t>125436-79</t>
  </si>
  <si>
    <t>NCW Holdings</t>
  </si>
  <si>
    <t>Manufacturer of LED lighting. The company is a designer, manufacturer and distributor of LED, conventional entertainment lighting and lighting control systems for the entertainment market in China.</t>
  </si>
  <si>
    <t>Distributors/Wholesale</t>
  </si>
  <si>
    <t>Distributors/Wholesale*; Electrical Equipment</t>
  </si>
  <si>
    <t>Hong Kong</t>
  </si>
  <si>
    <t>86139-01T</t>
  </si>
  <si>
    <t>12000-16</t>
  </si>
  <si>
    <t>Magnavox Electronic Systems</t>
  </si>
  <si>
    <t>Manufacturer of high-technology radio equipment and global positioning systems. The company's core competency include manufacturing of tactical communications, electronic warfare, command and control systems, electro-optics, air anti-submarine warfare along with radio and communication equipment technology which are used to track submarines that uses satellites and identify a location precisely, primarily for the United States military.</t>
  </si>
  <si>
    <t>Wireless Communications Equipment</t>
  </si>
  <si>
    <t>Manufacturing, Space Technology, TMT</t>
  </si>
  <si>
    <t>Wireless Communications Equipment*; Connectivity Products; Other Communications and Networking</t>
  </si>
  <si>
    <t>Fort Wayne</t>
  </si>
  <si>
    <t>IN</t>
  </si>
  <si>
    <t>74007-37T</t>
  </si>
  <si>
    <t>125435-53</t>
  </si>
  <si>
    <t>Wheb Sistemas</t>
  </si>
  <si>
    <t>Provider of software systems for the healthcare sector. The company develops clinical informatic software systems in Brazil. Its systems are designed to integrate information among various hospital departments (e.g., radiology, cardiology), and serve as a tool to streamline workflows and manage costs.</t>
  </si>
  <si>
    <t>Business/Productivity Software*</t>
  </si>
  <si>
    <t>Blumenau</t>
  </si>
  <si>
    <t>89041-030</t>
  </si>
  <si>
    <t>Brazil</t>
  </si>
  <si>
    <t>52004-44T</t>
  </si>
  <si>
    <t>115495-66</t>
  </si>
  <si>
    <t>Burton Medical Products</t>
  </si>
  <si>
    <t>Manufacturer and wholesaler of lighting products for the healthcare industry. The company operates as a healthcare lighting manufacturer engaged in the business of designing, manufacturing and distributing exam, diagnostic and minor surgery lighting equipment.</t>
  </si>
  <si>
    <t>Other Devices and Supplies*; Electrical Equipment</t>
  </si>
  <si>
    <t>Los Angeles</t>
  </si>
  <si>
    <t>91311</t>
  </si>
  <si>
    <t>99877-87T</t>
  </si>
  <si>
    <t>10901-62</t>
  </si>
  <si>
    <t>MedQuist (Acquired 2008)</t>
  </si>
  <si>
    <t>Provider of personalized medical transcription and healthcare services. The company converts dictation into an electronic medical report, enabling healthcare organizations to get timely accurate medical reports and thus reduce their billing cycle, overhead and other administrative costs.</t>
  </si>
  <si>
    <t>Other Healthcare Technology Systems</t>
  </si>
  <si>
    <t>Artificial Intelligence &amp; Machine Learning, HealthTech, SaaS, TMT</t>
  </si>
  <si>
    <t>Other Healthcare Technology Systems*; Enterprise Systems (Healthcare); Medical Records Systems</t>
  </si>
  <si>
    <t>PIPE</t>
  </si>
  <si>
    <t>Mount Laurel</t>
  </si>
  <si>
    <t>NJ</t>
  </si>
  <si>
    <t>08054</t>
  </si>
  <si>
    <t>74090-08T</t>
  </si>
  <si>
    <t>89546-41</t>
  </si>
  <si>
    <t>CDP Medical</t>
  </si>
  <si>
    <t>Manufacturer of diagnostic equipment. The company manufactures and sells diagnostic system and digital imaging devices to healthcare sector.</t>
  </si>
  <si>
    <t>Steve Rusckowski</t>
  </si>
  <si>
    <t>Kiriat Arie Petach Tikva</t>
  </si>
  <si>
    <t>49130</t>
  </si>
  <si>
    <t>17880-40T</t>
  </si>
  <si>
    <t>51472-36</t>
  </si>
  <si>
    <t>MedSage Technologies</t>
  </si>
  <si>
    <t>Provider of software tools and services for healthcare providers. The company offers OSA management, diabetes management, rental equipment, respiratory medications, sleep lab outcomes and enteral management services.</t>
  </si>
  <si>
    <t>Enterprise Systems (Healthcare)*</t>
  </si>
  <si>
    <t>Product Development</t>
  </si>
  <si>
    <t>Pittsburgh</t>
  </si>
  <si>
    <t>PA</t>
  </si>
  <si>
    <t>15221</t>
  </si>
  <si>
    <t>74112-58T</t>
  </si>
  <si>
    <t>125434-90</t>
  </si>
  <si>
    <t>Shanghai Apex Electronics Technology</t>
  </si>
  <si>
    <t>Manufacturer of diagnostic equipment. The company designs and manufactures ultrasound transducers for medical equipment companies in Shanghai, China.</t>
  </si>
  <si>
    <t>Diagnostic Equipment*; Other Devices and Supplies</t>
  </si>
  <si>
    <t>201203</t>
  </si>
  <si>
    <t>111964-15T</t>
  </si>
  <si>
    <t>169067-26</t>
  </si>
  <si>
    <t>Micrus chip fabrication plant</t>
  </si>
  <si>
    <t>Operator of a semiconductor wafer manufacturing facility in East Fishkill, New York, the United States of America.</t>
  </si>
  <si>
    <t>Production (Semiconductors)*</t>
  </si>
  <si>
    <t>Corporate Asset Purchase</t>
  </si>
  <si>
    <t>Asset Acquisition</t>
  </si>
  <si>
    <t>Asset Divestiture (Corporate)</t>
  </si>
  <si>
    <t>East Fishkill</t>
  </si>
  <si>
    <t>NY</t>
  </si>
  <si>
    <t>51924-61T</t>
  </si>
  <si>
    <t>115503-85</t>
  </si>
  <si>
    <t>Amplex (Street Lighting Controls Operations)</t>
  </si>
  <si>
    <t>Developer of a software for street lighting control. The company's services include streetlight management, transformer automation, advanced metering and lighting control.</t>
  </si>
  <si>
    <t>Other IT Services</t>
  </si>
  <si>
    <t>Other IT Services*; Other Software</t>
  </si>
  <si>
    <t>Aarhus</t>
  </si>
  <si>
    <t>8000</t>
  </si>
  <si>
    <t>105539-23T</t>
  </si>
  <si>
    <t>60693-67</t>
  </si>
  <si>
    <t>NightBalance</t>
  </si>
  <si>
    <t>Developer of a smart therapy designed to treat sleep apnea. The company's therapy measures the sleep behavior of the patient and prevents from positional obstructive sleep apnea, enabling patients to get a comfortable and peaceful sleep.</t>
  </si>
  <si>
    <t>HealthTech, Life Sciences, TMT</t>
  </si>
  <si>
    <t>Diagnostic Equipment*; Monitoring Equipment; Therapeutic Devices</t>
  </si>
  <si>
    <t>John Frank</t>
  </si>
  <si>
    <t>john.frank@philips.com</t>
  </si>
  <si>
    <t>The Hague</t>
  </si>
  <si>
    <t>2596 BC</t>
  </si>
  <si>
    <t>84508-66T</t>
  </si>
  <si>
    <t>112470-31</t>
  </si>
  <si>
    <t>OneLife Health</t>
  </si>
  <si>
    <t>Developer of a mobile application designed to guide mothers between doctor visits and connects them with healthcare professionals when needed. The company's Femisphere mobile application provides certified content and recommendations in real-time while doctors can follow patients' progress and make therapy adjustments associated with weight, blood pressure, exercise levels, sleep quality and mood of an expectant mother by identifying potential risks and complications at an early stage of pregnancy offers greater security for the health of both mother and child.</t>
  </si>
  <si>
    <t>Digital Health, FemTech, HealthTech, Mobile, TMT</t>
  </si>
  <si>
    <t>Application Software*; Other Healthcare Services</t>
  </si>
  <si>
    <t>Hamburg</t>
  </si>
  <si>
    <t>20457</t>
  </si>
  <si>
    <t>56761-93T</t>
  </si>
  <si>
    <t>119166-22</t>
  </si>
  <si>
    <t>Luceplan</t>
  </si>
  <si>
    <t>Manufacturer and distributor of lamp and lighting fixtures.</t>
  </si>
  <si>
    <t>Distributors/Wholesale*</t>
  </si>
  <si>
    <t>Milan</t>
  </si>
  <si>
    <t>20161</t>
  </si>
  <si>
    <t>Italy</t>
  </si>
  <si>
    <t>75258-46T</t>
  </si>
  <si>
    <t>100143-64</t>
  </si>
  <si>
    <t>Philips Teletrol</t>
  </si>
  <si>
    <t>Supplier of IT-friendly energy management systems. The company engages in developing, marketing and offering software that automates the management of power and lighting systems in buildings. It also offers a suite of software and hardware products that enables building professionals to integrate, automate, and manage buildings energy systems.</t>
  </si>
  <si>
    <t>Application Software*; Automation/Workflow Software</t>
  </si>
  <si>
    <t>Manchester</t>
  </si>
  <si>
    <t>NH</t>
  </si>
  <si>
    <t>03101</t>
  </si>
  <si>
    <t>62941-69T</t>
  </si>
  <si>
    <t>42221-35</t>
  </si>
  <si>
    <t>Partners in Lighting International</t>
  </si>
  <si>
    <t>Manufacturer of lighting fixtures. The company offers modular lighting instruments, spot lamps, ceiling and wall lights, decorative, outdoor, fluorescent, desk and other lighting fixtures. It offers products for consumer and commercial environments.</t>
  </si>
  <si>
    <t>Kontich</t>
  </si>
  <si>
    <t>2550</t>
  </si>
  <si>
    <t>Belgium</t>
  </si>
  <si>
    <t>71863-30T</t>
  </si>
  <si>
    <t>56997-01</t>
  </si>
  <si>
    <t>PathXL</t>
  </si>
  <si>
    <t>Developer of digital pathology image analysis and workflow software. The company provides digital pathology platform that has applications for the research and education segments of pathology and biopharma markets.</t>
  </si>
  <si>
    <t>Life Sciences, SaaS, TMT</t>
  </si>
  <si>
    <t>Application Software*; Business/Productivity Software</t>
  </si>
  <si>
    <t>Belfast</t>
  </si>
  <si>
    <t>Northern Ireland</t>
  </si>
  <si>
    <t>BT3 9DT</t>
  </si>
  <si>
    <t>55802-98T</t>
  </si>
  <si>
    <t>122366-53</t>
  </si>
  <si>
    <t>Philips and Optogan</t>
  </si>
  <si>
    <t>Manufacturer of light-emitting diode (LED) lighting. The company provides power saving light-emitting diode (LED) lighting to reduce cost of electricity.</t>
  </si>
  <si>
    <t>Saint Petersburg</t>
  </si>
  <si>
    <t>198205</t>
  </si>
  <si>
    <t>Russia</t>
  </si>
  <si>
    <t>55804-06T</t>
  </si>
  <si>
    <t>32256-73T</t>
  </si>
  <si>
    <t>42817-24</t>
  </si>
  <si>
    <t>Philips Saudi Lighting Company</t>
  </si>
  <si>
    <t>Manufacturer and supplier of lighting fixtures. The company manufactures and supplies energy-efficient lighting fixtures for the household and industrial sectors.</t>
  </si>
  <si>
    <t>Riyadh</t>
  </si>
  <si>
    <t>11433</t>
  </si>
  <si>
    <t>Saudi Arabia</t>
  </si>
  <si>
    <t>63963-55T</t>
  </si>
  <si>
    <t>122574-25</t>
  </si>
  <si>
    <t>Traxtal</t>
  </si>
  <si>
    <t>Manufacturer of medical instruments. The company develops medical instruments and software for image-guided intervention and therapy.</t>
  </si>
  <si>
    <t>Medical Supplies*</t>
  </si>
  <si>
    <t>M5V 2J1</t>
  </si>
  <si>
    <t>75440-35T</t>
  </si>
  <si>
    <t>125430-49</t>
  </si>
  <si>
    <t>Selecon</t>
  </si>
  <si>
    <t>Manufacturer of display luminaries. The company provides design, development and manufacture of entertainment and architectural display luminaries. It also offers Fresnels, PCs, zoom spots, fixed beam optical systems, cycs, floods and groundrows, power supplies and dowsers and follow spots.</t>
  </si>
  <si>
    <t>Other Commercial Products</t>
  </si>
  <si>
    <t>Other Commercial Products*; Electrical Equipment</t>
  </si>
  <si>
    <t>Auckland</t>
  </si>
  <si>
    <t>0627</t>
  </si>
  <si>
    <t>New Zealand</t>
  </si>
  <si>
    <t>17554-06T</t>
  </si>
  <si>
    <t>51147-28</t>
  </si>
  <si>
    <t>Poti</t>
  </si>
  <si>
    <t>Provider of a online music library that searches and plays music on the Web and smart phones. The company's music player features include media importing, media playback, album artwork, Web Browser, playlists, cross platform, gapless playback and replay gain, automatic updates, library management, setup assistant, custom UI, metadata management, developer support, performance and stability, multi-language support, and subscriptions to music blogs.</t>
  </si>
  <si>
    <t>Application Software*; Movies, Music and Entertainment; Internet Software</t>
  </si>
  <si>
    <t>EVC, B</t>
  </si>
  <si>
    <t>San Francisco</t>
  </si>
  <si>
    <t>94105</t>
  </si>
  <si>
    <t>71550-64T</t>
  </si>
  <si>
    <t>156102-31</t>
  </si>
  <si>
    <t>Dynalite Intelligent Light</t>
  </si>
  <si>
    <t>Designer and manufacturer of lighting products.The company manufactures consumer electronics, appliances and equipment for healthcare, lighting and consumer well-being industry. It's products are used in architectural lighting control, home automation and energy management applications.</t>
  </si>
  <si>
    <t>Electronics (B2C)*; Household Appliances</t>
  </si>
  <si>
    <t>Mascot</t>
  </si>
  <si>
    <t>2020</t>
  </si>
  <si>
    <t>67353-04T</t>
  </si>
  <si>
    <t>155055-43</t>
  </si>
  <si>
    <t>Melhk</t>
  </si>
  <si>
    <t>Manufacturer of nebulizer-compressor system. The company is engaged in manufacturing portable nebulizer compressor system and related products in Guangdong, China and Hong Kong.</t>
  </si>
  <si>
    <t>Donald Spence</t>
  </si>
  <si>
    <t>Kowloon City</t>
  </si>
  <si>
    <t>81022-96T</t>
  </si>
  <si>
    <t>125429-05</t>
  </si>
  <si>
    <t>Medel</t>
  </si>
  <si>
    <t>Manufacturer of respiratory healthcare products. The company is engaged in the manufacture and sale of nebulizers, blood pressure monitors, pulse oximetry and thermometers in Italy.</t>
  </si>
  <si>
    <t>Other Devices and Supplies*</t>
  </si>
  <si>
    <t>20156</t>
  </si>
  <si>
    <t>81094-60T</t>
  </si>
  <si>
    <t>125428-51</t>
  </si>
  <si>
    <t>Meditronics Healthcare</t>
  </si>
  <si>
    <t>Manufacturer of x-ray systems. The company is engaged in manufacturing and distributing surgery and radiography X-rays systems and devices.</t>
  </si>
  <si>
    <t>Diagnostic Equipment*; Surgical Devices</t>
  </si>
  <si>
    <t>Mumbai</t>
  </si>
  <si>
    <t>400012</t>
  </si>
  <si>
    <t>85687-48T</t>
  </si>
  <si>
    <t>54579-34</t>
  </si>
  <si>
    <t>RespirTech</t>
  </si>
  <si>
    <t>Manufacturer of medical devices designed to improve the quality of life for those living with respiratory complications. The company's proprietary inCourage airway clearance therapy uses a vest attached to a machine that creates compressions to the chest, helping to loosen, thin and move mucus through the lungs, enabling patients to clear excess mucus from lungs and airways thereby avoiding breathing related problems.</t>
  </si>
  <si>
    <t>Therapeutic Devices*; Other Devices and Supplies</t>
  </si>
  <si>
    <t>Saint Paul</t>
  </si>
  <si>
    <t>MN</t>
  </si>
  <si>
    <t>55113</t>
  </si>
  <si>
    <t>31604-14T</t>
  </si>
  <si>
    <t>40418-65</t>
  </si>
  <si>
    <t>Saeco International Group</t>
  </si>
  <si>
    <t>Manufacturer of coffee machines. The company specializes in making manual, super-automatic and capsule espresso machines and other electrical goods in Italy.</t>
  </si>
  <si>
    <t>Electronics (B2C)*; Household Appliances; Other Consumer Durables</t>
  </si>
  <si>
    <t>Gaggio Montano</t>
  </si>
  <si>
    <t>40041</t>
  </si>
  <si>
    <t>53306-47T</t>
  </si>
  <si>
    <t>107541-28</t>
  </si>
  <si>
    <t>Sanara Ventures</t>
  </si>
  <si>
    <t>Provider of an innovation-investment platform intended to offer a wide range of technology and clinical fields to allow acceleration and optimization of development and commercialization processes. The company's innovation-investment platform provides funding and mentoring to early stage enterprises enabling healthcare-technology companies an unmatched network of global experts and specialists.</t>
  </si>
  <si>
    <t>Capital Markets/Institutions</t>
  </si>
  <si>
    <t>Private Equity</t>
  </si>
  <si>
    <t>Private Equity*</t>
  </si>
  <si>
    <t>Startup</t>
  </si>
  <si>
    <t>4366241</t>
  </si>
  <si>
    <t>81248-14T</t>
  </si>
  <si>
    <t>125428-15</t>
  </si>
  <si>
    <t>Alpha X-Ray Technologies</t>
  </si>
  <si>
    <t>Manufacturer of imaging systems. The company engages in the manufacturing of cardiovascular X-Ray systems and other related medical imaging equipment.</t>
  </si>
  <si>
    <t>Ronald De Jong</t>
  </si>
  <si>
    <t>Navi Mumbai</t>
  </si>
  <si>
    <t>410209</t>
  </si>
  <si>
    <t>81514-18T</t>
  </si>
  <si>
    <t>125427-79</t>
  </si>
  <si>
    <t>Dixtal Biomédica e Tecnologia</t>
  </si>
  <si>
    <t>Manufacturer of medical devices designed to measure a patient's vital signs. The company's medical devices include anesthesia, ventilation, and ECG equipment, enabling physicians to quickly diagnose and treat diseases.</t>
  </si>
  <si>
    <t>Monitoring Equipment*</t>
  </si>
  <si>
    <t>Daurio Speranzini</t>
  </si>
  <si>
    <t>Sao Paulo</t>
  </si>
  <si>
    <t>70254-46T</t>
  </si>
  <si>
    <t>159098-86</t>
  </si>
  <si>
    <t>Senseo coffee</t>
  </si>
  <si>
    <t>Manufacturer of coffee machines. The company manufactures coffee brewing machines and coffee pods.</t>
  </si>
  <si>
    <t>Machinery (B2B)</t>
  </si>
  <si>
    <t>Machinery (B2B)*; Household Appliances</t>
  </si>
  <si>
    <t>81601-75T</t>
  </si>
  <si>
    <t>125426-71</t>
  </si>
  <si>
    <t>Shenzhen Goldway Industrial</t>
  </si>
  <si>
    <t>Manufacturer of multi-parameter patient monitors, fetal monitors and digital video colposcopes designed for monitoring patients. The company's respiratory and anesthetic medical equipment are FDA approved and uses innovative technologies including the LED lightsource, auto focusing, electronic green filter and image management workstation which are distributed to the Chinese healthcare market, enabling hospitals, ambulances and nursing care units to receive cost effective medical devices.</t>
  </si>
  <si>
    <t>Monitoring Equipment*; Surgical Devices</t>
  </si>
  <si>
    <t>Deborah DiSanzo</t>
  </si>
  <si>
    <t>deborah.disanzo@philips.com</t>
  </si>
  <si>
    <t>Shenzhen</t>
  </si>
  <si>
    <t>518054</t>
  </si>
  <si>
    <t>76264-57T</t>
  </si>
  <si>
    <t>125427-52</t>
  </si>
  <si>
    <t>TOMCAT Systems</t>
  </si>
  <si>
    <t>Developer of medical information systems software. The company develops software that helps to connects with different clinical information systems like cath lab workflow management systems and PACS.</t>
  </si>
  <si>
    <t>Software Development Applications</t>
  </si>
  <si>
    <t>Software Development Applications*</t>
  </si>
  <si>
    <t>Oran Muduroglu</t>
  </si>
  <si>
    <t>BT3 9DE</t>
  </si>
  <si>
    <t>52385-86T</t>
  </si>
  <si>
    <t>52842-34</t>
  </si>
  <si>
    <t>Silicon and Software Systems</t>
  </si>
  <si>
    <t>Provider of technology-based services intended to address challenges in multi-screen video services and connected healthcare. The company's services provide connected health consultancy services and offer semiconductor services that deliver transformational performance and cost advantages, enabling healthcare providers to improve their businesses and enjoy competitive advantage in the high-growth markets.</t>
  </si>
  <si>
    <t>Industrials, TMT</t>
  </si>
  <si>
    <t>Consulting Services (B2B)*; Media and Information Services (B2B); Business/Productivity Software</t>
  </si>
  <si>
    <t>Dublin</t>
  </si>
  <si>
    <t>D18 T9P8</t>
  </si>
  <si>
    <t>30780-10T</t>
  </si>
  <si>
    <t>60447-61</t>
  </si>
  <si>
    <t>Stentor</t>
  </si>
  <si>
    <t>Provider of enterprise wide medical image and information management services. The company offers enterprise wide medical image and information management system that delivers diagnostic quality images over existing hospital networks and radiology reading stations for radiologists.</t>
  </si>
  <si>
    <t>Life Sciences</t>
  </si>
  <si>
    <t>Brisbane</t>
  </si>
  <si>
    <t>94005</t>
  </si>
  <si>
    <t>76089-34T</t>
  </si>
  <si>
    <t>54716-32</t>
  </si>
  <si>
    <t>Systemonic</t>
  </si>
  <si>
    <t>Provider of wireless communications platform. The company develops silicon system for multi-protocol, multi-band wireless local area networks (LANs).</t>
  </si>
  <si>
    <t>Wireless Communications Equipment*; Other Software</t>
  </si>
  <si>
    <t>Phil Pollok</t>
  </si>
  <si>
    <t>Dresden</t>
  </si>
  <si>
    <t>01099</t>
  </si>
  <si>
    <t>63518-23T</t>
  </si>
  <si>
    <t>92656-36</t>
  </si>
  <si>
    <t>Tendris Holding</t>
  </si>
  <si>
    <t>Provider of sustainable products. The company develops and invests in companies focusing on market-driven, sustainable and environmentally friendly products. The company also develops medical technology, solar, bio-fuel, pump and clean water systems.</t>
  </si>
  <si>
    <t>Environmental Services (B2B)</t>
  </si>
  <si>
    <t>Environmental Services (B2B)*</t>
  </si>
  <si>
    <t>1062 XD</t>
  </si>
  <si>
    <t>13430-80T</t>
  </si>
  <si>
    <t>12658-60</t>
  </si>
  <si>
    <t>Genlyte Group</t>
  </si>
  <si>
    <t>Designer of lighting fixtures and controls for use in commercial, industrial and residential settings. The company markets its products in North America under brand names such as Lightolier, Forecast, Bronzelite, Crescent, Stonco, Hadco, and ExceLine, Omega, Day-Brite, and Capri. The company operates manufacturing facilities in the United States, Mexico and Canada.</t>
  </si>
  <si>
    <t>Home Furnishings</t>
  </si>
  <si>
    <t>Home Furnishings*; Building Products; Electronics (B2C)</t>
  </si>
  <si>
    <t>Louisville</t>
  </si>
  <si>
    <t>KY</t>
  </si>
  <si>
    <t>40223</t>
  </si>
  <si>
    <t>86826-52T</t>
  </si>
  <si>
    <t>125449-03</t>
  </si>
  <si>
    <t>The TPL Group (Moore Microprocessor Patent)</t>
  </si>
  <si>
    <t>Portfolio of microprocessor patents. The portfolio includes seven United States patents as well as their European and Japanese counterparts. It protects fundamental technology used in designing microprocessors, micro-controllers, digital signal processors (DSPs), embedded processors and system-on-chip (SoC) devices.</t>
  </si>
  <si>
    <t>Other Business Products and Services</t>
  </si>
  <si>
    <t>Buildings and Property</t>
  </si>
  <si>
    <t>Buildings and Property*</t>
  </si>
  <si>
    <t>23282-29T</t>
  </si>
  <si>
    <t>54064-09</t>
  </si>
  <si>
    <t>TIR Systems</t>
  </si>
  <si>
    <t>Developer of Solid State Lighting (SSL) products. The company is in the development and production of lightning systems. The company produces LED-based light source, designed specifically to produce high quality white light essential for general lighting applications.</t>
  </si>
  <si>
    <t>Burnaby</t>
  </si>
  <si>
    <t>British Columbia</t>
  </si>
  <si>
    <t>V5J 5M4</t>
  </si>
  <si>
    <t>36952-84T</t>
  </si>
  <si>
    <t>64806-85</t>
  </si>
  <si>
    <t>Profile Pharma</t>
  </si>
  <si>
    <t>Provider of pharmaceutical products for the the respiratory sector. The company supplies products to patients with moderate to severe breathing difficulties.</t>
  </si>
  <si>
    <t>Other Chemicals and Gases</t>
  </si>
  <si>
    <t>Other Chemicals and Gases*; Pharmaceuticals</t>
  </si>
  <si>
    <t>Chichester</t>
  </si>
  <si>
    <t>PO20 2FT</t>
  </si>
  <si>
    <t>87077-17T</t>
  </si>
  <si>
    <t>125425-36</t>
  </si>
  <si>
    <t>XIMIS</t>
  </si>
  <si>
    <t>Provider of next generation radiology information system. The company's next generation radiology information system include designing and delivering information management healthcare technology services for practice management, administration and billing activities, enabling the healthcare sectors access a wide range of services to develop their existing business.</t>
  </si>
  <si>
    <t>El Paso</t>
  </si>
  <si>
    <t>TX</t>
  </si>
  <si>
    <t>79902</t>
  </si>
  <si>
    <t>108500-14T</t>
  </si>
  <si>
    <t>182777-41</t>
  </si>
  <si>
    <t>ToothPic</t>
  </si>
  <si>
    <t>Developer of a dental application designed to book and consult with dentists nearby. The company's application lets its users share focused imagery of the affected area in their mouth so that the problem can be precisely diagnosed, offers tips on home care, recommendations for good dentists in their area and a cost estimate for any treatments they need, enabling patients to have a consultation with a certified dentist in their area and maintain oral health without unnecessary dental visits.</t>
  </si>
  <si>
    <t>Application Software*; Information Services (B2C); Other Healthcare Technology Systems</t>
  </si>
  <si>
    <t>Pending Transaction (Angel)</t>
  </si>
  <si>
    <t>Angel (individual)</t>
  </si>
  <si>
    <t>Angel</t>
  </si>
  <si>
    <t>Individual</t>
  </si>
  <si>
    <t>38073-52T</t>
  </si>
  <si>
    <t>97970-59</t>
  </si>
  <si>
    <t>TP Vision</t>
  </si>
  <si>
    <t>Developer, manufacturer and distributor of television sets under the brand name of Philips. The company specializes in the design, manufacturing, distribution, marketing and sales of Philips' television worldwide.</t>
  </si>
  <si>
    <t>Electronics (B2C)*; Distributors/Wholesale (B2C)</t>
  </si>
  <si>
    <t>1097 JB</t>
  </si>
  <si>
    <t>115918-12T</t>
  </si>
  <si>
    <t>264717-28</t>
  </si>
  <si>
    <t>Ulm Photonics</t>
  </si>
  <si>
    <t>Developer and producer of semiconductor laser-diodes in Ulm, Germany. The company's products use VCSEL development technology, enabling its clients to have a product portfolio ranging from high-speed VCSELs for data communication to infrared illumination modules for security, surveillance, night vision applications and laser doppler sensors.</t>
  </si>
  <si>
    <t>Pending (Sell Side)</t>
  </si>
  <si>
    <t>Industrial Supplies and Parts</t>
  </si>
  <si>
    <t>Industrial Supplies and Parts*; Other Business Products and Services</t>
  </si>
  <si>
    <t>ACQ, CorpD</t>
  </si>
  <si>
    <t>Ulm</t>
  </si>
  <si>
    <t>101895-67T</t>
  </si>
  <si>
    <t>226102-78</t>
  </si>
  <si>
    <t>Dunlee</t>
  </si>
  <si>
    <t>Manufacturer and seller of X-Xray and special purpose tubes design to offer reliable, quality and technology differentiating components. The company's glass tubes include CT detectors, CT x-ray tubes, CT x-ray generators, general x-ray tubes, fiber inter shaped grids and cardio vascular equipment, enabling original equipment manufacturer (OEM) customers avail latest technology that reduces total replacement costs and scanner downtime so as to perform their business efficiently.</t>
  </si>
  <si>
    <t>Industrial Supplies and Parts*</t>
  </si>
  <si>
    <t>108916-21T</t>
  </si>
  <si>
    <t>169068-61</t>
  </si>
  <si>
    <t>Lumisistemas</t>
  </si>
  <si>
    <t>Manufacturer of magnetic fluorescent lighting ballast.</t>
  </si>
  <si>
    <t>Peter van Strijp</t>
  </si>
  <si>
    <t>Naucalpan</t>
  </si>
  <si>
    <t>53470</t>
  </si>
  <si>
    <t>Mexico</t>
  </si>
  <si>
    <t>34365-52T</t>
  </si>
  <si>
    <t>54282-52</t>
  </si>
  <si>
    <t>Veon (United States)</t>
  </si>
  <si>
    <t>Developer of interactive content for broadband electronic commerce and entertainment applications. The company supplies comprehensive technology for the creation and deployment of interactive media. Its systems also track and measure the effectiveness of rich-media programming.</t>
  </si>
  <si>
    <t>Media and Information Services (B2B)</t>
  </si>
  <si>
    <t>Media and Information Services (B2B)*; Multimedia and Design Software</t>
  </si>
  <si>
    <t>68127-40T</t>
  </si>
  <si>
    <t>125415-28</t>
  </si>
  <si>
    <t>Optiva (Personal Care)</t>
  </si>
  <si>
    <t>Manufacturer of oral-care products. The company is engaged in the production and sale of electric toothbrushes in the U.S.</t>
  </si>
  <si>
    <t>Personal Products*</t>
  </si>
  <si>
    <t>Seattle</t>
  </si>
  <si>
    <t>WA</t>
  </si>
  <si>
    <t>98531-47T</t>
  </si>
  <si>
    <t>57305-89</t>
  </si>
  <si>
    <t>VitalHealth Software</t>
  </si>
  <si>
    <t>Provider of cloud-based healthcare platform designed to offer collaborative health management services. The company's healthcare platform focuses on the treatment for the patients with chronic diseases such as diabetes, heart failures, asthma, AIDS and Alzheimer by proving patient engagement through online survey instruments, enabling patients to seamlessly collaborate with healthcare professionals.</t>
  </si>
  <si>
    <t>Digital Health, HealthTech, SaaS, TMT</t>
  </si>
  <si>
    <t>Other Healthcare Technology Systems*; Application Software; Social/Platform Software</t>
  </si>
  <si>
    <t>Henk Valk</t>
  </si>
  <si>
    <t>henk.valk@philips.com</t>
  </si>
  <si>
    <t>Ede</t>
  </si>
  <si>
    <t>6718 TK</t>
  </si>
  <si>
    <t>24633-28T</t>
  </si>
  <si>
    <t>50962-51</t>
  </si>
  <si>
    <t>VLSI Technology</t>
  </si>
  <si>
    <t>Manufacturer of large-scale integrated circuits for digital entertainment, networking, advanced computing and communications. The company manufactures and sells customized integrated circuits called application-specific integrated circuits (ASICs) and application-specific standard products semi-custom chips designed for a particular market application.</t>
  </si>
  <si>
    <t>Application Specific Semiconductors</t>
  </si>
  <si>
    <t>Application Specific Semiconductors*; Production (Semiconductors)</t>
  </si>
  <si>
    <t>San Jose</t>
  </si>
  <si>
    <t>95131</t>
  </si>
  <si>
    <t>99877-78T</t>
  </si>
  <si>
    <t>73150-66T</t>
  </si>
  <si>
    <t>54375-58</t>
  </si>
  <si>
    <t>WellCentive</t>
  </si>
  <si>
    <t>Provider of population health management and data analytics services with a national footprint. The company transforms actionable data into meaningful information that enables preventive care, evidence-based chronic disease management, clinical integration and participation in performance-based and risk-based reimbursement programs including Pay-for-Performance and Accountable Care.</t>
  </si>
  <si>
    <t>Enterprise Systems (Healthcare)*; Medical Records Systems</t>
  </si>
  <si>
    <t>Alpharetta</t>
  </si>
  <si>
    <t>30022</t>
  </si>
  <si>
    <t>37817-02T</t>
  </si>
  <si>
    <t>111205-18T</t>
  </si>
  <si>
    <t>61138-72</t>
  </si>
  <si>
    <t>Xhale</t>
  </si>
  <si>
    <t>Developer of patient monitoring technology devices designed to improve and expand the use of conventional pulse oximetry. The company's patient monitoring technology devices specialize in monitoring critical patient parameters, as well as to increase the number of parameters which can be measured, enabling hospitals and other clinical settings to avail a simple, highly-effective single-point-of-contact sensor that can reliably monitor critical parameters under challenging conditions for patients.</t>
  </si>
  <si>
    <t>HealthTech</t>
  </si>
  <si>
    <t>Monitoring Equipment*; Diagnostic Equipment; Other Healthcare Technology Systems</t>
  </si>
  <si>
    <t>Felix Baader</t>
  </si>
  <si>
    <t>Gainesville</t>
  </si>
  <si>
    <t>32608</t>
  </si>
  <si>
    <t>74227-15T</t>
  </si>
  <si>
    <t>163991-17</t>
  </si>
  <si>
    <t>Pope Cable &amp; Wire</t>
  </si>
  <si>
    <t>Manufacturer of electrical wire and cables. The company is a designer, manufacturer and seller of light bulbs, electronic products and cables in netherland.</t>
  </si>
  <si>
    <t>Electronics (B2C)*</t>
  </si>
  <si>
    <t>Generating Revenue/Not Profitable</t>
  </si>
  <si>
    <t>Venlo</t>
  </si>
  <si>
    <t>Announced Date</t>
  </si>
  <si>
    <t>Post Valuation</t>
  </si>
  <si>
    <t>Implied EV</t>
  </si>
  <si>
    <t>Revenue Growth since last debt deal</t>
  </si>
  <si>
    <t>Valuation/EBIT</t>
  </si>
  <si>
    <t>Implied EV/EBITDA</t>
  </si>
  <si>
    <t>Implied EV/Revenue</t>
  </si>
  <si>
    <t>Company Website</t>
  </si>
  <si>
    <t>Year Founded</t>
  </si>
  <si>
    <t>21290-77T</t>
  </si>
  <si>
    <t>BioTelemetry Inc provides monitoring services and digital population health management for healthcare providers, medical device manufacturing, and centralized core laboratory services for clinical research. It operates under healthcare, technology, and research segments. The Healthcare segment is focused on the diagnosis and monitoring of cardiac arrhythmias or heart rhythm disorders. The Research segment is engaged in central core laboratory services providing cardiac monitoring, imaging services, scientific consulting and data management services for drug and medical device trials and the Technology segment, focuses on the development, manufacturing, testing, and marketing of cardiovascular and blood glucose monitoring devices to medical companies, clinics and hospitals.</t>
  </si>
  <si>
    <t>www.gobio.com</t>
  </si>
  <si>
    <t>Industry Ventures purchased a minority stake in the company through a secondary transaction from an undisclosed investor on an undisclosed date.</t>
  </si>
  <si>
    <t>Industry Ventures</t>
  </si>
  <si>
    <t>Malvern, PA</t>
  </si>
  <si>
    <t>85512-88T</t>
  </si>
  <si>
    <t>Masimo is an Irvine, California-based medical device business focusing on noninvasive patient monitoring. It began by developing superior signal processing algorithms to measure blood oxygenation levels through pulse oximetry and has expanded this expertise into a wide range of measurements and applications. The company generates revenue on a global basis, with the United States representing the largest market (68% of 2018 sales), followed by Europe, the Middle East and Africa (19%), Asia and Australia (10%), and North and South America excluding the U.S. (3%).</t>
  </si>
  <si>
    <t>Cercacor Laboratories (NAS: MASI)</t>
  </si>
  <si>
    <t>www.cercacor.com</t>
  </si>
  <si>
    <t>Mr. Sanford Fitch sold a stake in the company to an undisclosed investor for $279,690 on March 22, 2017.</t>
  </si>
  <si>
    <t>Irvine, CA</t>
  </si>
  <si>
    <t>88904-08T</t>
  </si>
  <si>
    <t>iRhythm Technologies Inc is a commercial-stage digital healthcare company redefining the way cardiac arrhythmias are clinically diagnosed by combining wearable biosensing technology with cloud-based data analytics and machine-learning capabilities. The company derived its revenue from the United States.</t>
  </si>
  <si>
    <t>www.irhythmtech.com</t>
  </si>
  <si>
    <t>Foresite Capital Management sold 96,200 shares of the company's (NAS: IRTC) common stock on April 3, 2017.</t>
  </si>
  <si>
    <t>Secondary Transaction - Open Market</t>
  </si>
  <si>
    <t>Foresite Capital Management, Kaiser Permanente Ventures, St. Jude Medical</t>
  </si>
  <si>
    <t>San Francisco, CA</t>
  </si>
  <si>
    <t>111865-51T</t>
  </si>
  <si>
    <t>Certain shareholders sold their full stake in the company (NASDAQ:IRTC) for an undisclosed amount on March 29, 2018.</t>
  </si>
  <si>
    <t>Mohr Davidow Ventures, New Leaf Venture Partners, Norwest Venture Partners, Novo Holdings, Synergy Life Science Partners</t>
  </si>
  <si>
    <t>32084-56T</t>
  </si>
  <si>
    <t>The company received development capital from Moore Capital Management and Camden Partners on an undisclosed date.</t>
  </si>
  <si>
    <t>PE Growth/Expansion</t>
  </si>
  <si>
    <t>Camden Partners, Moore Capital Management</t>
  </si>
  <si>
    <t>16528-24T</t>
  </si>
  <si>
    <t>The company raised venture funding from Cota Capital on an undisclosed date.</t>
  </si>
  <si>
    <t>Cota Capital</t>
  </si>
  <si>
    <t>16528-33T</t>
  </si>
  <si>
    <t>The company raised $18.2 million of Series E venture funding from undisclosed investors on February 3, 1998, putting the pre-money valuation at $98.65 million.</t>
  </si>
  <si>
    <t>16528-60T</t>
  </si>
  <si>
    <t>The company raised $18 million of Series F venture funding from undisclosed investors on October 1, 1999, putting the pre-money valuation at $143.18 million.</t>
  </si>
  <si>
    <t>16528-69T</t>
  </si>
  <si>
    <t>The company raised $10 million of Series G venture funding from Franklin Templeton Group on June 15, 2000, putting the pre-money valuation at $208.76 million.</t>
  </si>
  <si>
    <t>Franklin Templeton Investments (NYS: BEN)</t>
  </si>
  <si>
    <t>16529-05T</t>
  </si>
  <si>
    <t>The company raised $9.52 million of Series C venture funding from Invesco, Steelpoint Capital Partners, DSV Partners, Signatures Capital and The Vertical Group on an undisclosed date, putting the company's pre-money valuation at $43.92 million. Bobby Yazdani also participated.</t>
  </si>
  <si>
    <t>Bobby Yazdani(Bobby Yazdani), DSV Partners, Invesco (NYS: IVZ), Signatures Capital, Steelpoint Capital Partners, The Vertical Group</t>
  </si>
  <si>
    <t>21278-26T</t>
  </si>
  <si>
    <t>The company raised $18.5 million of funding from Guidant Corp, Foundation Medical Partners and other undisclosed investors on March 12, 2002.</t>
  </si>
  <si>
    <t>Flare Capital Partners, Guidant (Acquired 2006)</t>
  </si>
  <si>
    <t>21278-35T</t>
  </si>
  <si>
    <t>The company raised $13 million of Series C venture funding from Hambrecht &amp; Quist Capital Management, Sanderling BioMedical Venture Capital, Biofrontier Partners, Guidant Corp, IDEO and Inglewood Ventures on January 10, 2003.</t>
  </si>
  <si>
    <t>BioFrontier Partners, Guidant (Acquired 2006), IDEO, IngleWood Ventures(Daniel Wood), Sanderling Ventures, Tekla Capital Management</t>
  </si>
  <si>
    <t>21278-44T</t>
  </si>
  <si>
    <t>The company raised $110 million of funding from Guidant Investment, Mesa Verde Venture Partners, BioFrontier Partners, Palm Ventures, Saints Capital and Sanderling Ventures on March 26, 2007.</t>
  </si>
  <si>
    <t>BioFrontier Partners, Guidant (Acquired 2006), Mesa Verde Venture Partners, Palm Ventures, Saints Capital, Sanderling Ventures</t>
  </si>
  <si>
    <t>21282-04T</t>
  </si>
  <si>
    <t>The company raised $5 million of Series C venture funding from IngleWood Ventures, Biofronter Golbal Investment, Sanderling Venture Partners, IDEO, H&amp;Q Life Science Investors, Guidant on March 26, 2003.</t>
  </si>
  <si>
    <t>21282-13T</t>
  </si>
  <si>
    <t>The company raised $10 million of Series D venture funding from Biofrontier Partners, Guidant, Hambrecht &amp; Quist and Sanderling Ventures on March 31, 2004.</t>
  </si>
  <si>
    <t>BioFrontier Partners, Guidant (Acquired 2006), Sanderling Ventures, Tekla Capital Management</t>
  </si>
  <si>
    <t>23936-23T</t>
  </si>
  <si>
    <t>Natus Medical Inc is a leading provider of newborn care, neurology, and hearing and balance assessment healthcare products and services used for the screening, diagnosis, detection, treatment, monitoring and tracking of common medical ailments in newborn care, hearing impairment, neurological dysfunction, epilepsy, sleep disorders, neuromuscular diseases and balance and mobility disorders. It is divided into three business units: Neuro, Newborn Care, and Otometrics. The company generates a majority of its revenue from the Neurology business unit which includes products and services that provide diagnostic, therapeutic and surgical solutions in neurodiagnostics, neurocritical care, and neurosurgery.</t>
  </si>
  <si>
    <t>Natus Medical (NAS: BABY)</t>
  </si>
  <si>
    <t>www.natus.com</t>
  </si>
  <si>
    <t>The company raised $6.91 million of series B venture funding from Delphi Ventures, Trinity Ventures, Pantheon International Participations and Landmark Partners in January, 1993.</t>
  </si>
  <si>
    <t>Delphi Ventures, Landmark Partners, Pantheon International (LON: PIN), Trinity Ventures</t>
  </si>
  <si>
    <t>Pleasanton, CA</t>
  </si>
  <si>
    <t>23936-77T</t>
  </si>
  <si>
    <t>The company raised $1.82 million of Series C venture funding from Delphi Ventures, Trinity Ventures and Landmark Partners in November, 1995.</t>
  </si>
  <si>
    <t>Delphi Ventures, Landmark Partners, Trinity Ventures</t>
  </si>
  <si>
    <t>23937-40T</t>
  </si>
  <si>
    <t>The company raised $3.84 million of Series D venture funding from SMBC Nikko Capital Markets in May, 1997.</t>
  </si>
  <si>
    <t>SMBC Nikko Capital Markets</t>
  </si>
  <si>
    <t>30105-55T</t>
  </si>
  <si>
    <t>The company raised $3.5 million of venture funding from St. Jude Medical on November 1, 2012, putting the pre-money valuation at $68.2 million.</t>
  </si>
  <si>
    <t>St. Jude Medical(Michael Rousseau)</t>
  </si>
  <si>
    <t>34110-82T</t>
  </si>
  <si>
    <t>The company raised $17.34 million of Series E venture funding led by Novo, Foresite Capital Management and Norwest Venture Partners on May 22, 2014, putting the pre-money valuation at $123.74 million. Norwest Venture Partners also participated.</t>
  </si>
  <si>
    <t>Foresite Capital Management, Norwest Venture Partners(Casper De Clercq), Novo Holdings(Tiba Aynechi)</t>
  </si>
  <si>
    <t>46706-68T</t>
  </si>
  <si>
    <t>The company raised $10.5 million of Series D venture funding from undisclosed investors in August 1996, putting the pre-money valuation at $73.5 million.</t>
  </si>
  <si>
    <t>51665-86T</t>
  </si>
  <si>
    <t>The company raised $10 million of additional Series E venture funding from Revelation Partners and other undisclosed investors on March 12, 2015, putting the company's pre-money valuation at $141.09 million.</t>
  </si>
  <si>
    <t>Revelation Partners</t>
  </si>
  <si>
    <t>16527-97T</t>
  </si>
  <si>
    <t>The company raised $202.5 million in an initial public offering on the NASDAQ Global Market under the ticker symbol MASI on August 7, 2007. A total of 11,916,626 shares were sold at a price of $17 per share. After the offering, there was a total of 52,816,788 outstanding shares priced at $17 per share, valuing the company at $897.8 million. The total proceeds, before expenses, to the company was $23.7 million and to the selling shareholders was $164.6 million. The underwriters were granted the option to purchase up to an additional 1,787,494 shares to cover over-allotments, if any.</t>
  </si>
  <si>
    <t>IPO</t>
  </si>
  <si>
    <t>Bobby Yazdani, Camden Partners, DSV Partners, Franklin Templeton Investments, Invesco, Moore Capital Management, Signatures Capital, Steelpoint Capital Partners, The Vertical Group</t>
  </si>
  <si>
    <t>21278-53T</t>
  </si>
  <si>
    <t>The company raised $81 million in its initial public offering on the NASDAQ stock exchange under the ticker symbol of BEAT on March 19, 2008. A total of 4,500,000 shares were sold at at a price of $18 per share. After the offering, there was a total of 23,043,862 outstanding shares (excluding the over-allotment option) priced at $18 per share, valuing the company at $414.78 million. The total proceeds, before expenses, to the company was $54 million and to the selling shareholders was $27 million. In the offering, the company sold 3,000,000 shares and the selling shareholders sold 1,500,000 shares. The underwriters were granted an option to purchase up to an additional 675,000 shares from the company and selling shareholders to cover over-allotments, if any.</t>
  </si>
  <si>
    <t>BioFrontier Partners, Flare Capital Partners, Guidant (Acquired 2006), IDEO, Industry Ventures, IngleWood Ventures, Mesa Verde Venture Partners, Palm Ventures, Saints Capital, Sanderling Ventures, Tekla Capital Management</t>
  </si>
  <si>
    <t>23929-21T</t>
  </si>
  <si>
    <t>The company completed its initial public offering on the NASDAQ stock exchange under the ticker symbol of BABY on July 20, 2001.</t>
  </si>
  <si>
    <t>Delphi Ventures, Landmark Partners, Pantheon International, SMBC Nikko Capital Markets, Synergy Ventures, The Aurora Funds, Trinity Ventures</t>
  </si>
  <si>
    <t>76154-86T</t>
  </si>
  <si>
    <t>The company raised $107 million in its initial public offering on the NASDAQ stock exchange under the ticker symbol of IRTC on October 20, 2016. A total of 6,294,118 shares were sold at a price of $17 per share. After the offering, there was a total of 21,123,112 outstanding shares (excluding the over-allotment option) priced at $17 per share, valuing the company at $359.09 million. The total proceeds, before expenses, to the company was $107 million. The underwriters were granted an option to purchase up to an additional 944,117 shares from the company to cover over-allotments, if any. Foresite Capital Management also participated in this round.</t>
  </si>
  <si>
    <t>Foresite Capital Management, Kaiser Permanente Ventures(Sam Brasch), New Leaf Venture Partners(Vijay Lathi), Novo Holdings(Tiba Aynechi)</t>
  </si>
  <si>
    <t>California Health Care Foundation, Mohr Davidow Ventures, Norwest Venture Partners, Revelation Partners, St. Jude Medical, Stanford Management Company, Synergy Life Science Partners, UNC Kenan-Flagler Private Equity Fund</t>
  </si>
  <si>
    <t>97815-16T</t>
  </si>
  <si>
    <t>Provider of medical technology services. The company develops, manufactures and markets non-invasive diagnostic systems and its portfolio of products provides solutions for disease detection, integrated care, and wellness across the spectrum of cardio-respiratory healthcare.</t>
  </si>
  <si>
    <t>www.mgcdiagnostics.com</t>
  </si>
  <si>
    <t>The company completed its initial public offering on Nasdaq under the ticker symbol MGCD on July 15, 2003 for an undisclosed amount.</t>
  </si>
  <si>
    <t>Saint Paul, MN</t>
  </si>
  <si>
    <t>18419-23T</t>
  </si>
  <si>
    <t>The company raised $19.37 million of Series A venture funding from Mohr Davidow Ventures, Synergy Life Science Partners, Stanford University and other undisclosed investors on April 23, 2009, putting their pre-money valuation at $12.1 million.</t>
  </si>
  <si>
    <t>Mohr Davidow Ventures(Michael Goldberg), Stanford Management Company, Synergy Life Science Partners(William Starling)</t>
  </si>
  <si>
    <t>21278-17T</t>
  </si>
  <si>
    <t>The company raised $5 million of Series B venture funding from lead investor IngleWood Ventures on April 19, 2000. Sanderling Ventures also participated.</t>
  </si>
  <si>
    <t>IngleWood Ventures(Daniel Wood), Sanderling Ventures</t>
  </si>
  <si>
    <t>21278-98T</t>
  </si>
  <si>
    <t>The company raised $5 million of Series A venture funding from undisclosed investors on an undisclosed date.</t>
  </si>
  <si>
    <t>22816-54T</t>
  </si>
  <si>
    <t>The company raised $10 million of Series B venture funding from lead investor St. Jude Medical May 17, 2010. Mohr Davidow Ventures, Synergy Life Science Partners and other undisclosed investors on also participated. putting their pre-money valuation at $53.6 million.</t>
  </si>
  <si>
    <t>Mohr Davidow Ventures(Michael Goldberg), St. Jude Medical(Michael Rousseau), Synergy Life Science Partners(William Starling)</t>
  </si>
  <si>
    <t>23929-48T</t>
  </si>
  <si>
    <t>The company raised an undisclosed round of Series A venture funding from undisclosed investors in May, 1991.</t>
  </si>
  <si>
    <t>Synergy Ventures, The Aurora Funds</t>
  </si>
  <si>
    <t>62579-71T</t>
  </si>
  <si>
    <t>The company raised $1.95 million of Series B venture funding from undisclosed investors on an undisclosed date, putting the company's pre-money valuation at $12.81 million.</t>
  </si>
  <si>
    <t>62579-80T</t>
  </si>
  <si>
    <t>The company raised $1.06 million of Series A venture funding from undisclosed investors on an undisclosed date, putting the company's pre-money valuation at $7.08 million.</t>
  </si>
  <si>
    <t>21282-40T</t>
  </si>
  <si>
    <t>The company raised $3.9 million of debt financing on August 25, 2005.</t>
  </si>
  <si>
    <t>Debt - General</t>
  </si>
  <si>
    <t>97815-07T</t>
  </si>
  <si>
    <t>The company (NASDAQ: MGCD) was acquired by Altus Capital Partners, Abacus Finance Group and Greyrock Capital Group through a $62.1 million public-to-private LBO on December 28, 2017. The deal was supported through $18 million of secured debt from Abacus Finance Group and $11.8 million of mezzanine financing in the form of subordinated debt and equity from Greyrock Capital Group. The company's share will no longer be traded on stock exchange.</t>
  </si>
  <si>
    <t>Buyout/LBO</t>
  </si>
  <si>
    <t>Abacus Finance Group(Aized Rabbani), Altus Capital Partners(Heidi Goldstein), Greyrock Capital Group</t>
  </si>
  <si>
    <t>NOLA - MGMT SOURCE PROJECTIONS</t>
  </si>
  <si>
    <t>SOUCE: "Nola Mgmt - 2018A and confirmed 2019 and 2020 projections.xlsx" email attachment from Terry enttiled "It's Game Time" (02-05-2019)</t>
  </si>
  <si>
    <t>2019B</t>
  </si>
  <si>
    <t>2020FC</t>
  </si>
  <si>
    <t xml:space="preserve">SOURCE/NOTES: </t>
  </si>
  <si>
    <t>Tests</t>
  </si>
  <si>
    <t>Additional TMs and Marketing initiatives driving the revenue growth</t>
  </si>
  <si>
    <t>21 new sales reps were added in 2019 (June and Oct) and 15 were added in April 2020</t>
  </si>
  <si>
    <t xml:space="preserve">ASP </t>
  </si>
  <si>
    <t xml:space="preserve">% Growth </t>
  </si>
  <si>
    <t xml:space="preserve">ASP Write-off: </t>
  </si>
  <si>
    <t xml:space="preserve">The Company is changing its billing/collections company in 2Q19, which will drive improvement in </t>
  </si>
  <si>
    <t>Consumer Bad Debt</t>
  </si>
  <si>
    <t>collections efforts through more diligent work on denials.</t>
  </si>
  <si>
    <t xml:space="preserve">Adj. ASP </t>
  </si>
  <si>
    <t xml:space="preserve">Write-off % of ASP: </t>
  </si>
  <si>
    <t>Pay Writeoff</t>
  </si>
  <si>
    <t xml:space="preserve">Total Write-off % </t>
  </si>
  <si>
    <t>CONVERT</t>
  </si>
  <si>
    <t>REVENUE ($ in M)</t>
  </si>
  <si>
    <t xml:space="preserve">COGS / TEST: </t>
  </si>
  <si>
    <t>Personnel Costs</t>
  </si>
  <si>
    <t>Despite added FTEs, efficiencies and scalability drive pers costs lower on a per test basis</t>
  </si>
  <si>
    <t>Consumables</t>
  </si>
  <si>
    <t>Interpretations</t>
  </si>
  <si>
    <t>Move to fixed monthly interp payments from variable pricing drives lower interp costs</t>
  </si>
  <si>
    <t>Delivery</t>
  </si>
  <si>
    <t>New pricing from UPS to beat Fed Ex proposal drives shipping costs considerably lower, eff 2/18/19</t>
  </si>
  <si>
    <t>Total COGS / Test</t>
  </si>
  <si>
    <t>New UPS pricing and Ops scalability save $28/test over 2-yr period</t>
  </si>
  <si>
    <t xml:space="preserve">COGS / Test % Growth </t>
  </si>
  <si>
    <t>Other / [D&amp;A]</t>
  </si>
  <si>
    <t>%  Revenue</t>
  </si>
  <si>
    <t>COGS - % Revenue</t>
  </si>
  <si>
    <t>COGS % Revenue</t>
  </si>
  <si>
    <t>New UPS pricing and Ops scalability drive Margin improvement</t>
  </si>
  <si>
    <t xml:space="preserve">Opex: </t>
  </si>
  <si>
    <t xml:space="preserve">Executive </t>
  </si>
  <si>
    <t>Marketing</t>
  </si>
  <si>
    <t>Sales</t>
  </si>
  <si>
    <t>Investment in sales force driving top-line growth</t>
  </si>
  <si>
    <t>G8A</t>
  </si>
  <si>
    <t>IT &amp; Telecom</t>
  </si>
  <si>
    <t>Managed Care</t>
  </si>
  <si>
    <t>Costs in other operating depts controlled well despite growth</t>
  </si>
  <si>
    <t xml:space="preserve">Managed Care </t>
  </si>
  <si>
    <t>Base</t>
  </si>
  <si>
    <t>Synergies</t>
  </si>
  <si>
    <t>Upside</t>
  </si>
  <si>
    <t>Integrated</t>
  </si>
  <si>
    <t>BASE</t>
  </si>
  <si>
    <t>DTC</t>
  </si>
  <si>
    <t>UPSIDE</t>
  </si>
  <si>
    <t>e</t>
  </si>
</sst>
</file>

<file path=xl/styles.xml><?xml version="1.0" encoding="utf-8"?>
<styleSheet xmlns="http://schemas.openxmlformats.org/spreadsheetml/2006/main" xmlns:x14ac="http://schemas.microsoft.com/office/spreadsheetml/2009/9/ac" xmlns:mc="http://schemas.openxmlformats.org/markup-compatibility/2006">
  <numFmts count="36">
    <numFmt numFmtId="164" formatCode="#,##0.0_);[Red]\(#,##0.0\)"/>
    <numFmt numFmtId="165" formatCode="#,##0.0_);\(#,##0.0\)"/>
    <numFmt numFmtId="166" formatCode="0.0%"/>
    <numFmt numFmtId="167" formatCode="&quot;$&quot;#,##0.0_);[Red]\(&quot;$&quot;#,##0.0\)"/>
    <numFmt numFmtId="168" formatCode="_(&quot;$&quot;* #,##0_);_(&quot;$&quot;* \(#,##0\);_(&quot;$&quot;* &quot;-&quot;??_);_(@_)"/>
    <numFmt numFmtId="169" formatCode="_(* #,##0_);_(* \(#,##0\);_(* &quot;-&quot;??_);_(@_)"/>
    <numFmt numFmtId="170" formatCode="&quot;$&quot;#,##0.0_);\(&quot;$&quot;#,##0.0\)"/>
    <numFmt numFmtId="171" formatCode="&quot;$&quot;#,##0_);[Red]\(&quot;$&quot;#,##0\)"/>
    <numFmt numFmtId="172" formatCode="&quot;$&quot;#,##0.00_);[Red]\(&quot;$&quot;#,##0.00\)"/>
    <numFmt numFmtId="173" formatCode="_(* #,##0.0_);_(* \(#,##0.0\);_(* &quot;-&quot;??_);_(@_)"/>
    <numFmt numFmtId="174" formatCode="_(&quot;$&quot;* #,##0.0_);_(&quot;$&quot;* \(#,##0.0\);_(&quot;$&quot;* &quot;-&quot;??_);_(@_)"/>
    <numFmt numFmtId="175" formatCode="&quot;$&quot;#,##0.00_);\(&quot;$&quot;#,##0.00\)"/>
    <numFmt numFmtId="176" formatCode="0.0\x"/>
    <numFmt numFmtId="177" formatCode="m/d/yy"/>
    <numFmt numFmtId="178" formatCode="&quot;$&quot;#,##0_);\(&quot;$&quot;#,##0\)"/>
    <numFmt numFmtId="179" formatCode="0.0"/>
    <numFmt numFmtId="180" formatCode="d\-mmm\-yyyy"/>
    <numFmt numFmtId="181" formatCode="#,##0;[Red]\(#,##0\)"/>
    <numFmt numFmtId="182" formatCode="#,##0.00;[Red]\(#,##0.00\)"/>
    <numFmt numFmtId="183" formatCode="#,##0.00;[Red]\-#,##0.00"/>
    <numFmt numFmtId="184" formatCode="#,##0.00%;[Red]\-#,##0.00%"/>
    <numFmt numFmtId="185" formatCode="dd\-mmm\-yyyy"/>
    <numFmt numFmtId="186" formatCode="#,##0.00&quot;%&quot;;[Red]\-#,##0.00&quot;%&quot;"/>
    <numFmt numFmtId="187" formatCode="#,###.##"/>
    <numFmt numFmtId="188" formatCode="#,##0.00;\(#,##0.00\)"/>
    <numFmt numFmtId="189" formatCode="#,##0;\(#,##0\)"/>
    <numFmt numFmtId="190" formatCode="#,##0.00&quot;%&quot;;\-#,##0.00&quot;%&quot;"/>
    <numFmt numFmtId="191" formatCode="#,##0.00\x;\-#,##0.00\x"/>
    <numFmt numFmtId="192" formatCode="#,##0.0\x;\-#,##0.0\x"/>
    <numFmt numFmtId="193" formatCode="#,##0.00\x;[Red]\-#,##0.00\x"/>
    <numFmt numFmtId="194" formatCode="0000"/>
    <numFmt numFmtId="195" formatCode="_(&quot;$&quot;* #,##0.00_);_(&quot;$&quot;* \(#,##0.00\);_(&quot;$&quot;* &quot;-&quot;??_);_(@_)"/>
    <numFmt numFmtId="196" formatCode="_(* #,##0.0000000000_);_(* \(#,##0.0000000000\);_(* &quot;-&quot;??_);_(@_)"/>
    <numFmt numFmtId="197" formatCode="_(* #,##0.00_);_(* \(#,##0.00\);_(* &quot;-&quot;??_);_(@_)"/>
    <numFmt numFmtId="198" formatCode="&quot;$&quot;#,##0.0000000000_);[Red]\(&quot;$&quot;#,##0.0000000000\)"/>
    <numFmt numFmtId="199" formatCode="0.000000"/>
  </numFmts>
  <fonts count="232">
    <font>
      <sz val="11.0"/>
      <color rgb="FF000000"/>
      <name val="Calibri"/>
      <scheme val="minor"/>
    </font>
    <font>
      <b/>
      <sz val="10.0"/>
      <color rgb="FFFFFFFF"/>
      <name val="Arial"/>
    </font>
    <font/>
    <font>
      <u/>
      <sz val="10.0"/>
      <color rgb="FF000000"/>
      <name val="Arial"/>
    </font>
    <font>
      <b/>
      <i/>
      <u/>
      <sz val="10.0"/>
      <color rgb="FF000000"/>
      <name val="Arial"/>
    </font>
    <font>
      <b/>
      <u/>
      <sz val="10.0"/>
      <color theme="1"/>
      <name val="Arial"/>
    </font>
    <font>
      <b/>
      <sz val="10.0"/>
      <color theme="1"/>
      <name val="Arial"/>
    </font>
    <font>
      <sz val="11.0"/>
      <color rgb="FF000000"/>
      <name val="Calibri"/>
    </font>
    <font>
      <u/>
      <sz val="10.0"/>
      <color theme="1"/>
      <name val="Arial"/>
    </font>
    <font>
      <u/>
      <sz val="10.0"/>
      <color theme="1"/>
      <name val="Arial"/>
    </font>
    <font>
      <u/>
      <sz val="10.0"/>
      <color rgb="FF000000"/>
      <name val="Arial"/>
    </font>
    <font>
      <sz val="10.0"/>
      <color theme="1"/>
      <name val="Arial"/>
    </font>
    <font>
      <b/>
      <sz val="10.0"/>
      <color rgb="FF7F7F7F"/>
      <name val="Arial"/>
    </font>
    <font>
      <u/>
      <sz val="10.0"/>
      <color theme="1"/>
      <name val="Arial"/>
    </font>
    <font>
      <sz val="10.0"/>
      <color rgb="FF7F7F7F"/>
      <name val="Arial"/>
    </font>
    <font>
      <i/>
      <u/>
      <sz val="10.0"/>
      <color rgb="FF0000CC"/>
      <name val="Arial"/>
    </font>
    <font>
      <b/>
      <sz val="10.0"/>
      <color rgb="FF0000CC"/>
      <name val="Arial"/>
    </font>
    <font>
      <sz val="10.0"/>
      <color rgb="FF0000CC"/>
      <name val="Arial"/>
    </font>
    <font>
      <b/>
      <i/>
      <sz val="10.0"/>
      <color theme="1"/>
      <name val="Arial"/>
    </font>
    <font>
      <i/>
      <sz val="10.0"/>
      <color rgb="FF0000CC"/>
      <name val="Arial"/>
    </font>
    <font>
      <i/>
      <sz val="10.0"/>
      <color theme="1"/>
      <name val="Arial"/>
    </font>
    <font>
      <sz val="10.0"/>
      <color rgb="FF000000"/>
      <name val="Arial"/>
    </font>
    <font>
      <b/>
      <i/>
      <sz val="10.0"/>
      <color rgb="FF0000CC"/>
      <name val="Arial"/>
    </font>
    <font>
      <u/>
      <sz val="10.0"/>
      <color theme="1"/>
      <name val="Arial"/>
    </font>
    <font>
      <b/>
      <u/>
      <sz val="10.0"/>
      <color theme="1"/>
      <name val="Arial"/>
    </font>
    <font>
      <u/>
      <sz val="10.0"/>
      <color theme="1"/>
      <name val="Arial"/>
    </font>
    <font>
      <u/>
      <sz val="10.0"/>
      <color theme="1"/>
      <name val="Arial"/>
    </font>
    <font>
      <i/>
      <u/>
      <sz val="10.0"/>
      <color rgb="FF0000CC"/>
      <name val="Arial"/>
    </font>
    <font>
      <u/>
      <sz val="10.0"/>
      <color rgb="FF0000CC"/>
      <name val="Arial"/>
    </font>
    <font>
      <u/>
      <sz val="10.0"/>
      <color theme="1"/>
      <name val="Arial"/>
    </font>
    <font>
      <b/>
      <sz val="10.0"/>
      <color rgb="FF000000"/>
      <name val="Arial"/>
    </font>
    <font>
      <sz val="10.0"/>
      <color rgb="FF757070"/>
      <name val="Arial"/>
    </font>
    <font>
      <i/>
      <sz val="10.0"/>
      <color rgb="FF000000"/>
      <name val="Arial"/>
    </font>
    <font>
      <i/>
      <u/>
      <sz val="10.0"/>
      <color theme="1"/>
      <name val="Arial"/>
    </font>
    <font>
      <u/>
      <sz val="10.0"/>
      <color theme="1"/>
      <name val="Arial"/>
    </font>
    <font>
      <u/>
      <sz val="10.0"/>
      <color theme="1"/>
      <name val="Arial"/>
    </font>
    <font>
      <b/>
      <u/>
      <sz val="10.0"/>
      <color theme="1"/>
      <name val="Arial"/>
    </font>
    <font>
      <b/>
      <u/>
      <sz val="10.0"/>
      <color theme="1"/>
      <name val="Arial"/>
    </font>
    <font>
      <i/>
      <sz val="10.0"/>
      <color rgb="FF0C0C0C"/>
      <name val="Arial"/>
    </font>
    <font>
      <b/>
      <i/>
      <sz val="10.0"/>
      <color rgb="FF000000"/>
      <name val="Arial"/>
    </font>
    <font>
      <b/>
      <i/>
      <sz val="11.0"/>
      <color rgb="FF000000"/>
      <name val="Calibri"/>
    </font>
    <font>
      <i/>
      <sz val="11.0"/>
      <color rgb="FF000000"/>
      <name val="Calibri"/>
    </font>
    <font>
      <b/>
      <u/>
      <sz val="10.0"/>
      <color rgb="FFFFFFFF"/>
      <name val="Arial"/>
    </font>
    <font>
      <u/>
      <sz val="10.0"/>
      <color theme="1"/>
      <name val="Arial"/>
    </font>
    <font>
      <u/>
      <sz val="10.0"/>
      <color theme="1"/>
      <name val="Arial"/>
    </font>
    <font>
      <u/>
      <sz val="10.0"/>
      <color rgb="FFFFFFFF"/>
      <name val="Arial"/>
    </font>
    <font>
      <i/>
      <u/>
      <sz val="10.0"/>
      <color rgb="FF0000CC"/>
      <name val="Arial"/>
    </font>
    <font>
      <sz val="10.0"/>
      <color rgb="FFFFFFFF"/>
      <name val="Arial"/>
    </font>
    <font>
      <b/>
      <u/>
      <sz val="10.0"/>
      <color rgb="FF000000"/>
      <name val="Arial"/>
    </font>
    <font>
      <b/>
      <i/>
      <sz val="10.0"/>
      <color rgb="FFFFFFFF"/>
      <name val="Arial"/>
    </font>
    <font>
      <i/>
      <sz val="10.0"/>
      <color rgb="FFFFFFFF"/>
      <name val="Arial"/>
    </font>
    <font>
      <u/>
      <sz val="10.0"/>
      <color theme="1"/>
      <name val="Arial"/>
    </font>
    <font>
      <b/>
      <u/>
      <sz val="10.0"/>
      <color theme="1"/>
      <name val="Arial"/>
    </font>
    <font>
      <i/>
      <u/>
      <sz val="10.0"/>
      <color rgb="FF0000CC"/>
      <name val="Arial"/>
    </font>
    <font>
      <u/>
      <sz val="10.0"/>
      <color rgb="FF0000CC"/>
      <name val="Arial"/>
    </font>
    <font>
      <u/>
      <sz val="10.0"/>
      <color theme="1"/>
      <name val="Arial"/>
    </font>
    <font>
      <u/>
      <sz val="10.0"/>
      <color theme="1"/>
      <name val="Arial"/>
    </font>
    <font>
      <i/>
      <u/>
      <sz val="10.0"/>
      <color theme="1"/>
      <name val="Arial"/>
    </font>
    <font>
      <i/>
      <u/>
      <sz val="10.0"/>
      <color theme="1"/>
      <name val="Arial"/>
    </font>
    <font>
      <i/>
      <u/>
      <sz val="10.0"/>
      <color theme="1"/>
      <name val="Arial"/>
    </font>
    <font>
      <i/>
      <u/>
      <sz val="10.0"/>
      <color theme="1"/>
      <name val="Arial"/>
    </font>
    <font>
      <u/>
      <sz val="10.0"/>
      <color theme="1"/>
      <name val="Arial"/>
    </font>
    <font>
      <b/>
      <u/>
      <sz val="10.0"/>
      <color theme="1"/>
      <name val="Arial"/>
    </font>
    <font>
      <b/>
      <u/>
      <sz val="10.0"/>
      <color theme="1"/>
      <name val="Arial"/>
    </font>
    <font>
      <b/>
      <u/>
      <sz val="10.0"/>
      <color theme="1"/>
      <name val="Arial"/>
    </font>
    <font>
      <b/>
      <u/>
      <sz val="10.0"/>
      <color theme="1"/>
      <name val="Arial"/>
    </font>
    <font>
      <b/>
      <u/>
      <sz val="10.0"/>
      <color theme="1"/>
      <name val="Arial"/>
    </font>
    <font>
      <i/>
      <sz val="10.0"/>
      <color rgb="FF7F7F7F"/>
      <name val="Arial"/>
    </font>
    <font>
      <i/>
      <sz val="10.0"/>
      <color rgb="FF0000FF"/>
      <name val="Arial"/>
    </font>
    <font>
      <u/>
      <sz val="10.0"/>
      <color theme="1"/>
      <name val="Arial"/>
    </font>
    <font>
      <u/>
      <sz val="10.0"/>
      <color theme="1"/>
      <name val="Arial"/>
    </font>
    <font>
      <u/>
      <sz val="10.0"/>
      <color theme="1"/>
      <name val="Arial"/>
    </font>
    <font>
      <u/>
      <sz val="10.0"/>
      <color theme="1"/>
      <name val="Arial"/>
    </font>
    <font>
      <u/>
      <sz val="10.0"/>
      <color rgb="FFFFFFFF"/>
      <name val="Arial"/>
    </font>
    <font>
      <b/>
      <i/>
      <sz val="10.0"/>
      <color rgb="FF0000FF"/>
      <name val="Arial"/>
    </font>
    <font>
      <b/>
      <u/>
      <sz val="10.0"/>
      <color rgb="FFFFFFFF"/>
      <name val="Arial"/>
    </font>
    <font>
      <u/>
      <sz val="10.0"/>
      <color rgb="FFFFFFFF"/>
      <name val="Arial"/>
    </font>
    <font>
      <u/>
      <sz val="10.0"/>
      <color rgb="FF7F7F7F"/>
      <name val="Arial"/>
    </font>
    <font>
      <u/>
      <sz val="10.0"/>
      <color rgb="FFFFFFFF"/>
      <name val="Arial"/>
    </font>
    <font>
      <sz val="9.0"/>
      <color rgb="FF000000"/>
      <name val="Arial"/>
    </font>
    <font>
      <sz val="9.0"/>
      <color rgb="FF0000CC"/>
      <name val="Arial"/>
    </font>
    <font>
      <sz val="9.0"/>
      <color theme="1"/>
      <name val="Arial"/>
    </font>
    <font>
      <b/>
      <sz val="9.0"/>
      <color theme="1"/>
      <name val="Arial"/>
    </font>
    <font>
      <i/>
      <sz val="9.0"/>
      <color rgb="FF000000"/>
      <name val="Arial"/>
    </font>
    <font>
      <u/>
      <sz val="9.0"/>
      <color rgb="FF000000"/>
      <name val="Arial"/>
    </font>
    <font>
      <b/>
      <sz val="9.0"/>
      <color rgb="FF000000"/>
      <name val="Arial"/>
    </font>
    <font>
      <b/>
      <u/>
      <sz val="9.0"/>
      <color rgb="FF000000"/>
      <name val="Arial"/>
    </font>
    <font>
      <b/>
      <i/>
      <u/>
      <sz val="9.0"/>
      <color rgb="FF000000"/>
      <name val="Arial"/>
    </font>
    <font>
      <b/>
      <u/>
      <sz val="9.0"/>
      <color rgb="FF000000"/>
      <name val="Arial"/>
    </font>
    <font>
      <u/>
      <sz val="9.0"/>
      <color theme="1"/>
      <name val="Arial"/>
    </font>
    <font>
      <u/>
      <sz val="9.0"/>
      <color rgb="FF000000"/>
      <name val="Arial"/>
    </font>
    <font>
      <sz val="9.0"/>
      <color rgb="FF7F7F7F"/>
      <name val="Arial"/>
    </font>
    <font>
      <u/>
      <sz val="9.0"/>
      <color theme="1"/>
      <name val="Arial"/>
    </font>
    <font>
      <u/>
      <sz val="9.0"/>
      <color rgb="FF000000"/>
      <name val="Arial"/>
    </font>
    <font>
      <i/>
      <u/>
      <sz val="9.0"/>
      <color rgb="FF0000CC"/>
      <name val="Arial"/>
    </font>
    <font>
      <i/>
      <u/>
      <sz val="9.0"/>
      <color rgb="FF70AD47"/>
      <name val="Arial"/>
    </font>
    <font>
      <sz val="9.0"/>
      <color rgb="FF70AD47"/>
      <name val="Arial"/>
    </font>
    <font>
      <u/>
      <sz val="9.0"/>
      <color rgb="FF000000"/>
      <name val="Arial"/>
    </font>
    <font>
      <i/>
      <u/>
      <sz val="9.0"/>
      <color rgb="FF000000"/>
      <name val="Arial"/>
    </font>
    <font>
      <u/>
      <sz val="9.0"/>
      <color rgb="FF000000"/>
      <name val="Arial"/>
    </font>
    <font>
      <i/>
      <sz val="9.0"/>
      <color theme="1"/>
      <name val="Arial"/>
    </font>
    <font>
      <i/>
      <u/>
      <sz val="9.0"/>
      <color rgb="FF70AD47"/>
      <name val="Arial"/>
    </font>
    <font>
      <i/>
      <sz val="9.0"/>
      <color rgb="FF70AD47"/>
      <name val="Arial"/>
    </font>
    <font>
      <u/>
      <sz val="9.0"/>
      <color rgb="FF000000"/>
      <name val="Arial"/>
    </font>
    <font>
      <i/>
      <sz val="9.0"/>
      <color rgb="FF0000FF"/>
      <name val="Arial"/>
    </font>
    <font>
      <i/>
      <u/>
      <sz val="9.0"/>
      <color rgb="FF000000"/>
      <name val="Arial"/>
    </font>
    <font>
      <sz val="9.0"/>
      <color rgb="FF2E75B5"/>
      <name val="Arial"/>
    </font>
    <font>
      <u/>
      <sz val="9.0"/>
      <color rgb="FF2E75B5"/>
      <name val="Arial"/>
    </font>
    <font>
      <i/>
      <u/>
      <sz val="9.0"/>
      <color rgb="FF2E75B5"/>
      <name val="Arial"/>
    </font>
    <font>
      <u/>
      <sz val="9.0"/>
      <color rgb="FF00B050"/>
      <name val="Arial"/>
    </font>
    <font>
      <sz val="9.0"/>
      <color rgb="FF00B050"/>
      <name val="Arial"/>
    </font>
    <font>
      <i/>
      <u/>
      <sz val="9.0"/>
      <color rgb="FF00B050"/>
      <name val="Arial"/>
    </font>
    <font>
      <i/>
      <u/>
      <sz val="9.0"/>
      <color rgb="FF000000"/>
      <name val="Arial"/>
    </font>
    <font>
      <i/>
      <u/>
      <sz val="9.0"/>
      <color rgb="FF000000"/>
      <name val="Arial"/>
    </font>
    <font>
      <i/>
      <sz val="9.0"/>
      <color rgb="FF7F7F7F"/>
      <name val="Arial"/>
    </font>
    <font>
      <i/>
      <u/>
      <sz val="9.0"/>
      <color rgb="FF7F7F7F"/>
      <name val="Arial"/>
    </font>
    <font>
      <i/>
      <u/>
      <sz val="9.0"/>
      <color rgb="FF7F7F7F"/>
      <name val="Arial"/>
    </font>
    <font>
      <i/>
      <sz val="9.0"/>
      <color rgb="FF2E75B5"/>
      <name val="Arial"/>
    </font>
    <font>
      <i/>
      <u/>
      <sz val="9.0"/>
      <color rgb="FF2E75B5"/>
      <name val="Arial"/>
    </font>
    <font>
      <sz val="9.0"/>
      <color rgb="FF548135"/>
      <name val="Arial"/>
    </font>
    <font>
      <u/>
      <sz val="9.0"/>
      <color rgb="FF548135"/>
      <name val="Arial"/>
    </font>
    <font>
      <i/>
      <u/>
      <sz val="9.0"/>
      <color rgb="FF548135"/>
      <name val="Arial"/>
    </font>
    <font>
      <i/>
      <u/>
      <sz val="9.0"/>
      <color rgb="FF2E75B5"/>
      <name val="Arial"/>
    </font>
    <font>
      <u/>
      <sz val="9.0"/>
      <color rgb="FF548135"/>
      <name val="Arial"/>
    </font>
    <font>
      <u/>
      <sz val="10.0"/>
      <color theme="1"/>
      <name val="Arial"/>
    </font>
    <font>
      <u/>
      <sz val="10.0"/>
      <color rgb="FF7F7F7F"/>
      <name val="Arial"/>
    </font>
    <font>
      <sz val="9.0"/>
      <color rgb="FFFFFFFF"/>
      <name val="Arial"/>
    </font>
    <font>
      <b/>
      <sz val="9.0"/>
      <color rgb="FFFFFFFF"/>
      <name val="Arial"/>
    </font>
    <font>
      <i/>
      <sz val="9.0"/>
      <color rgb="FF0000CC"/>
      <name val="Arial"/>
    </font>
    <font>
      <b/>
      <i/>
      <sz val="9.0"/>
      <color theme="1"/>
      <name val="Arial"/>
    </font>
    <font>
      <sz val="9.0"/>
      <color rgb="FF0000FF"/>
      <name val="Arial"/>
    </font>
    <font>
      <i/>
      <sz val="9.0"/>
      <color rgb="FFFFFFFF"/>
      <name val="Arial"/>
    </font>
    <font>
      <sz val="9.0"/>
      <color rgb="FF339966"/>
      <name val="Arial"/>
    </font>
    <font>
      <b/>
      <i/>
      <sz val="9.0"/>
      <color rgb="FFFFFFFF"/>
      <name val="Arial"/>
    </font>
    <font>
      <i/>
      <sz val="9.0"/>
      <color rgb="FFC00000"/>
      <name val="Arial"/>
    </font>
    <font>
      <i/>
      <sz val="9.0"/>
      <color rgb="FFED7D31"/>
      <name val="Arial"/>
    </font>
    <font>
      <sz val="9.0"/>
      <color rgb="FFED7D31"/>
      <name val="Arial"/>
    </font>
    <font>
      <b/>
      <sz val="9.0"/>
      <color rgb="FFED7D31"/>
      <name val="Arial"/>
    </font>
    <font>
      <b/>
      <i/>
      <sz val="9.0"/>
      <color rgb="FFED7D31"/>
      <name val="Arial"/>
    </font>
    <font>
      <strike/>
      <sz val="9.0"/>
      <color rgb="FFED7D31"/>
      <name val="Arial"/>
    </font>
    <font>
      <u/>
      <sz val="9.0"/>
      <color rgb="FFED7D31"/>
      <name val="Arial"/>
    </font>
    <font>
      <u/>
      <sz val="9.0"/>
      <color rgb="FFED7D31"/>
      <name val="Arial"/>
    </font>
    <font>
      <sz val="8.0"/>
      <color theme="1"/>
      <name val="Arial"/>
    </font>
    <font>
      <b/>
      <u/>
      <sz val="11.0"/>
      <color rgb="FF000000"/>
      <name val="Calibri"/>
    </font>
    <font>
      <b/>
      <u/>
      <sz val="11.0"/>
      <color rgb="FF000000"/>
      <name val="Calibri"/>
    </font>
    <font>
      <b/>
      <sz val="11.0"/>
      <color rgb="FF000000"/>
      <name val="Calibri"/>
    </font>
    <font>
      <b/>
      <u/>
      <sz val="11.0"/>
      <color rgb="FF000000"/>
      <name val="Calibri"/>
    </font>
    <font>
      <i/>
      <sz val="11.0"/>
      <color rgb="FF44546A"/>
      <name val="Calibri"/>
    </font>
    <font>
      <b/>
      <u/>
      <sz val="11.0"/>
      <color rgb="FF000000"/>
      <name val="Calibri"/>
    </font>
    <font>
      <b/>
      <u/>
      <sz val="11.0"/>
      <color rgb="FF000000"/>
      <name val="Calibri"/>
    </font>
    <font>
      <b/>
      <u/>
      <sz val="11.0"/>
      <color rgb="FF000000"/>
      <name val="Calibri"/>
    </font>
    <font>
      <b/>
      <u/>
      <sz val="11.0"/>
      <color rgb="FF000000"/>
      <name val="Calibri"/>
    </font>
    <font>
      <sz val="9.0"/>
      <color rgb="FF000000"/>
      <name val="Verdana"/>
    </font>
    <font>
      <sz val="9.0"/>
      <color theme="1"/>
      <name val="Verdana"/>
    </font>
    <font>
      <b/>
      <i/>
      <sz val="14.0"/>
      <color rgb="FF000000"/>
      <name val="Calibri"/>
    </font>
    <font>
      <sz val="8.0"/>
      <color rgb="FF000000"/>
      <name val="Arial"/>
    </font>
    <font>
      <b/>
      <sz val="16.0"/>
      <color rgb="FF000000"/>
      <name val="Calibri"/>
    </font>
    <font>
      <b/>
      <sz val="10.0"/>
      <color rgb="FF000000"/>
      <name val="Calibri"/>
    </font>
    <font>
      <b/>
      <u/>
      <sz val="10.0"/>
      <color rgb="FF8496B0"/>
      <name val="Calibri"/>
    </font>
    <font>
      <b/>
      <u/>
      <sz val="10.0"/>
      <color rgb="FF8496B0"/>
      <name val="Calibri"/>
    </font>
    <font>
      <i/>
      <sz val="9.0"/>
      <color rgb="FF000000"/>
      <name val="Calibri"/>
    </font>
    <font>
      <sz val="8.0"/>
      <color rgb="FF000000"/>
      <name val="Calibri"/>
    </font>
    <font>
      <sz val="8.0"/>
      <color rgb="FF333399"/>
      <name val="Calibri"/>
    </font>
    <font>
      <sz val="10.0"/>
      <color rgb="FF000000"/>
      <name val="Calibri"/>
    </font>
    <font>
      <b/>
      <u/>
      <sz val="10.0"/>
      <color rgb="FF8496B0"/>
      <name val="Calibri"/>
    </font>
    <font>
      <u/>
      <sz val="8.0"/>
      <color rgb="FF333399"/>
      <name val="Calibri"/>
    </font>
    <font>
      <u/>
      <sz val="8.0"/>
      <color rgb="FF333399"/>
      <name val="Calibri"/>
    </font>
    <font>
      <u/>
      <sz val="8.0"/>
      <color rgb="FF333399"/>
      <name val="Calibri"/>
    </font>
    <font>
      <b/>
      <sz val="9.0"/>
      <color rgb="FF0000CC"/>
      <name val="Arial"/>
    </font>
    <font>
      <b/>
      <i/>
      <sz val="9.0"/>
      <color rgb="FF0000CC"/>
      <name val="Arial"/>
    </font>
    <font>
      <u/>
      <sz val="9.0"/>
      <color rgb="FF0000CC"/>
      <name val="Arial"/>
    </font>
    <font>
      <u/>
      <sz val="9.0"/>
      <color rgb="FF0000CC"/>
      <name val="Arial"/>
    </font>
    <font>
      <sz val="8.0"/>
      <color rgb="FF0000CC"/>
      <name val="Arial"/>
    </font>
    <font>
      <b/>
      <sz val="16.0"/>
      <color rgb="FF000000"/>
      <name val="Arial"/>
    </font>
    <font>
      <u/>
      <sz val="8.0"/>
      <color rgb="FF0000FF"/>
      <name val="Arial"/>
    </font>
    <font>
      <b/>
      <sz val="8.0"/>
      <color rgb="FF800000"/>
      <name val="Arial"/>
    </font>
    <font>
      <b/>
      <sz val="8.0"/>
      <color rgb="FFFFFFFF"/>
      <name val="Arial"/>
    </font>
    <font>
      <u/>
      <sz val="8.0"/>
      <color rgb="FF0000FF"/>
      <name val="Calibri"/>
    </font>
    <font>
      <sz val="8.0"/>
      <color rgb="FF0000FF"/>
      <name val="Calibri"/>
    </font>
    <font>
      <sz val="12.0"/>
      <color rgb="FF000000"/>
      <name val="Arial"/>
    </font>
    <font>
      <u/>
      <sz val="12.0"/>
      <color rgb="FF0000FF"/>
      <name val="Arial"/>
    </font>
    <font>
      <sz val="8.0"/>
      <color rgb="FF0000FF"/>
      <name val="Arial"/>
    </font>
    <font>
      <sz val="6.0"/>
      <color rgb="FF000000"/>
      <name val="Arial"/>
    </font>
    <font>
      <u/>
      <sz val="8.0"/>
      <color rgb="FF0000FF"/>
      <name val="Calibri"/>
    </font>
    <font>
      <u/>
      <sz val="8.0"/>
      <color rgb="FF0000FF"/>
      <name val="Calibri"/>
    </font>
    <font>
      <b/>
      <i/>
      <sz val="10.0"/>
      <color rgb="FFC00000"/>
      <name val="Arial"/>
    </font>
    <font>
      <b/>
      <u/>
      <sz val="10.0"/>
      <color rgb="FFFFFFFF"/>
      <name val="Arial"/>
    </font>
    <font>
      <b/>
      <u/>
      <sz val="10.0"/>
      <color rgb="FF0000CC"/>
      <name val="Arial"/>
    </font>
    <font>
      <u/>
      <sz val="10.0"/>
      <color rgb="FF0000CC"/>
      <name val="Arial"/>
    </font>
    <font>
      <u/>
      <sz val="10.0"/>
      <color rgb="FF000000"/>
      <name val="Arial"/>
    </font>
    <font>
      <u/>
      <sz val="10.0"/>
      <color rgb="FF000000"/>
      <name val="Arial"/>
    </font>
    <font>
      <u/>
      <sz val="10.0"/>
      <color rgb="FF0000CC"/>
      <name val="Arial"/>
    </font>
    <font>
      <u/>
      <sz val="10.0"/>
      <color theme="1"/>
      <name val="Arial"/>
    </font>
    <font>
      <u/>
      <sz val="10.0"/>
      <color rgb="FF0000CC"/>
      <name val="Arial"/>
    </font>
    <font>
      <sz val="12.0"/>
      <color theme="1"/>
      <name val="Arial"/>
    </font>
    <font>
      <i/>
      <sz val="12.0"/>
      <color theme="1"/>
      <name val="Arial"/>
    </font>
    <font>
      <b/>
      <u/>
      <sz val="10.0"/>
      <color theme="1"/>
      <name val="Arial"/>
    </font>
    <font>
      <i/>
      <u/>
      <sz val="10.0"/>
      <color theme="1"/>
      <name val="Arial"/>
    </font>
    <font>
      <u/>
      <sz val="10.0"/>
      <color theme="1"/>
      <name val="Arial"/>
    </font>
    <font>
      <u/>
      <sz val="12.0"/>
      <color theme="1"/>
      <name val="Arial"/>
    </font>
    <font>
      <u/>
      <sz val="10.0"/>
      <color theme="1"/>
      <name val="Arial"/>
    </font>
    <font>
      <u/>
      <sz val="10.0"/>
      <color theme="1"/>
      <name val="Arial"/>
    </font>
    <font>
      <u/>
      <sz val="12.0"/>
      <color theme="1"/>
      <name val="Arial"/>
    </font>
    <font>
      <b/>
      <sz val="12.0"/>
      <color theme="1"/>
      <name val="Arial"/>
    </font>
    <font>
      <u/>
      <sz val="10.0"/>
      <color theme="1"/>
      <name val="Arial"/>
    </font>
    <font>
      <i/>
      <u/>
      <sz val="10.0"/>
      <color rgb="FF0000CC"/>
      <name val="Arial"/>
    </font>
    <font>
      <i/>
      <u/>
      <sz val="10.0"/>
      <color theme="1"/>
      <name val="Arial"/>
    </font>
    <font>
      <i/>
      <u/>
      <sz val="12.0"/>
      <color theme="1"/>
      <name val="Arial"/>
    </font>
    <font>
      <b/>
      <i/>
      <sz val="12.0"/>
      <color theme="1"/>
      <name val="Arial"/>
    </font>
    <font>
      <b/>
      <sz val="12.0"/>
      <color rgb="FF000000"/>
      <name val="Arial"/>
    </font>
    <font>
      <u/>
      <sz val="10.0"/>
      <color rgb="FF0000CC"/>
      <name val="Arial"/>
    </font>
    <font>
      <b/>
      <u/>
      <sz val="10.0"/>
      <color theme="1"/>
      <name val="Arial"/>
    </font>
    <font>
      <i/>
      <sz val="10.0"/>
      <color rgb="FF757070"/>
      <name val="Arial"/>
    </font>
    <font>
      <u/>
      <sz val="10.0"/>
      <color theme="1"/>
      <name val="Arial"/>
    </font>
    <font>
      <u/>
      <sz val="10.0"/>
      <color rgb="FF0000CC"/>
      <name val="Arial"/>
    </font>
    <font>
      <u/>
      <sz val="10.0"/>
      <color theme="1"/>
      <name val="Arial"/>
    </font>
    <font>
      <b/>
      <u/>
      <sz val="10.0"/>
      <color theme="1"/>
      <name val="Arial"/>
    </font>
    <font>
      <b/>
      <u/>
      <sz val="10.0"/>
      <color rgb="FF7F7F7F"/>
      <name val="Arial"/>
    </font>
    <font>
      <b/>
      <i/>
      <sz val="10.0"/>
      <color rgb="FF7F7F7F"/>
      <name val="Arial"/>
    </font>
    <font>
      <u/>
      <sz val="10.0"/>
      <color rgb="FF7F7F7F"/>
      <name val="Arial"/>
    </font>
    <font>
      <i/>
      <u/>
      <sz val="10.0"/>
      <color rgb="FF7F7F7F"/>
      <name val="Arial"/>
    </font>
    <font>
      <u/>
      <sz val="10.0"/>
      <color rgb="FF7F7F7F"/>
      <name val="Arial"/>
    </font>
    <font>
      <b/>
      <u/>
      <sz val="10.0"/>
      <color rgb="FF7F7F7F"/>
      <name val="Arial"/>
    </font>
    <font>
      <u/>
      <sz val="10.0"/>
      <color rgb="FF0000CC"/>
      <name val="Arial"/>
    </font>
    <font>
      <i/>
      <u/>
      <sz val="10.0"/>
      <color rgb="FF0000CC"/>
      <name val="Arial"/>
    </font>
    <font>
      <b/>
      <i/>
      <u/>
      <sz val="10.0"/>
      <color theme="1"/>
      <name val="Arial"/>
    </font>
    <font>
      <i/>
      <u/>
      <sz val="10.0"/>
      <color rgb="FF000000"/>
      <name val="Arial"/>
    </font>
    <font>
      <i/>
      <u/>
      <sz val="10.0"/>
      <color theme="1"/>
      <name val="Arial"/>
    </font>
    <font>
      <i/>
      <u/>
      <sz val="10.0"/>
      <color theme="1"/>
      <name val="Arial"/>
    </font>
    <font>
      <i/>
      <u/>
      <sz val="10.0"/>
      <color rgb="FF000000"/>
      <name val="Arial"/>
    </font>
    <font>
      <i/>
      <u/>
      <sz val="10.0"/>
      <color rgb="FF000000"/>
      <name val="Arial"/>
    </font>
    <font>
      <b/>
      <u/>
      <sz val="10.0"/>
      <color theme="1"/>
      <name val="Arial"/>
    </font>
  </fonts>
  <fills count="32">
    <fill>
      <patternFill patternType="none"/>
    </fill>
    <fill>
      <patternFill patternType="lightGray"/>
    </fill>
    <fill>
      <patternFill patternType="solid">
        <fgColor theme="0"/>
        <bgColor theme="0"/>
      </patternFill>
    </fill>
    <fill>
      <patternFill patternType="solid">
        <fgColor rgb="FF5B9BD5"/>
        <bgColor rgb="FF5B9BD5"/>
      </patternFill>
    </fill>
    <fill>
      <patternFill patternType="solid">
        <fgColor rgb="FFFFE598"/>
        <bgColor rgb="FFFFE598"/>
      </patternFill>
    </fill>
    <fill>
      <patternFill patternType="solid">
        <fgColor rgb="FF70AD47"/>
        <bgColor rgb="FF70AD47"/>
      </patternFill>
    </fill>
    <fill>
      <patternFill patternType="solid">
        <fgColor rgb="FF000000"/>
        <bgColor rgb="FF000000"/>
      </patternFill>
    </fill>
    <fill>
      <patternFill patternType="solid">
        <fgColor rgb="FFC5E0B3"/>
        <bgColor rgb="FFC5E0B3"/>
      </patternFill>
    </fill>
    <fill>
      <patternFill patternType="solid">
        <fgColor rgb="FFF4B083"/>
        <bgColor rgb="FFF4B083"/>
      </patternFill>
    </fill>
    <fill>
      <patternFill patternType="solid">
        <fgColor rgb="FFFFFFFF"/>
        <bgColor rgb="FFFFFFFF"/>
      </patternFill>
    </fill>
    <fill>
      <patternFill patternType="solid">
        <fgColor rgb="FFFEF2CB"/>
        <bgColor rgb="FFFEF2CB"/>
      </patternFill>
    </fill>
    <fill>
      <patternFill patternType="solid">
        <fgColor rgb="FFDADADA"/>
        <bgColor rgb="FFDADADA"/>
      </patternFill>
    </fill>
    <fill>
      <patternFill patternType="solid">
        <fgColor rgb="FFE7E6E6"/>
        <bgColor rgb="FFE7E6E6"/>
      </patternFill>
    </fill>
    <fill>
      <patternFill patternType="solid">
        <fgColor rgb="FFD0CECE"/>
        <bgColor rgb="FFD0CECE"/>
      </patternFill>
    </fill>
    <fill>
      <patternFill patternType="solid">
        <fgColor rgb="FF1FAAA7"/>
        <bgColor rgb="FF1FAAA7"/>
      </patternFill>
    </fill>
    <fill>
      <patternFill patternType="solid">
        <fgColor rgb="FFF2F2F2"/>
        <bgColor rgb="FFF2F2F2"/>
      </patternFill>
    </fill>
    <fill>
      <patternFill patternType="solid">
        <fgColor rgb="FFFFFF00"/>
        <bgColor rgb="FFFFFF00"/>
      </patternFill>
    </fill>
    <fill>
      <patternFill patternType="solid">
        <fgColor rgb="FF2F5496"/>
        <bgColor rgb="FF2F5496"/>
      </patternFill>
    </fill>
    <fill>
      <patternFill patternType="solid">
        <fgColor rgb="FF7F7F7F"/>
        <bgColor rgb="FF7F7F7F"/>
      </patternFill>
    </fill>
    <fill>
      <patternFill patternType="solid">
        <fgColor rgb="FFDEEAF6"/>
        <bgColor rgb="FFDEEAF6"/>
      </patternFill>
    </fill>
    <fill>
      <patternFill patternType="solid">
        <fgColor rgb="FFE2EFD9"/>
        <bgColor rgb="FFE2EFD9"/>
      </patternFill>
    </fill>
    <fill>
      <patternFill patternType="solid">
        <fgColor rgb="FFFBE4D5"/>
        <bgColor rgb="FFFBE4D5"/>
      </patternFill>
    </fill>
    <fill>
      <patternFill patternType="solid">
        <fgColor rgb="FFD8D8D8"/>
        <bgColor rgb="FFD8D8D8"/>
      </patternFill>
    </fill>
    <fill>
      <patternFill patternType="solid">
        <fgColor rgb="FFD9E2F3"/>
        <bgColor rgb="FFD9E2F3"/>
      </patternFill>
    </fill>
    <fill>
      <patternFill patternType="solid">
        <fgColor rgb="FFFFD965"/>
        <bgColor rgb="FFFFD965"/>
      </patternFill>
    </fill>
    <fill>
      <patternFill patternType="solid">
        <fgColor rgb="FFBDD6EE"/>
        <bgColor rgb="FFBDD6EE"/>
      </patternFill>
    </fill>
    <fill>
      <patternFill patternType="solid">
        <fgColor rgb="FFECECEC"/>
        <bgColor rgb="FFECECEC"/>
      </patternFill>
    </fill>
    <fill>
      <patternFill patternType="solid">
        <fgColor rgb="FF00B050"/>
        <bgColor rgb="FF00B050"/>
      </patternFill>
    </fill>
    <fill>
      <patternFill patternType="solid">
        <fgColor rgb="FFEEF3F8"/>
        <bgColor rgb="FFEEF3F8"/>
      </patternFill>
    </fill>
    <fill>
      <patternFill patternType="solid">
        <fgColor rgb="FF4F81BD"/>
        <bgColor rgb="FF4F81BD"/>
      </patternFill>
    </fill>
    <fill>
      <patternFill patternType="solid">
        <fgColor rgb="FF1E4E79"/>
        <bgColor rgb="FF1E4E79"/>
      </patternFill>
    </fill>
    <fill>
      <patternFill patternType="solid">
        <fgColor rgb="FFFFC000"/>
        <bgColor rgb="FFFFC000"/>
      </patternFill>
    </fill>
  </fills>
  <borders count="71">
    <border/>
    <border>
      <left/>
      <right/>
      <top/>
      <bottom/>
    </border>
    <border>
      <left/>
      <top/>
      <bottom/>
    </border>
    <border>
      <top/>
      <bottom/>
    </border>
    <border>
      <right/>
      <top/>
      <bottom/>
    </border>
    <border>
      <left/>
      <right/>
      <top style="medium">
        <color rgb="FF000000"/>
      </top>
      <bottom/>
    </border>
    <border>
      <left style="dotted">
        <color rgb="FF000000"/>
      </left>
      <right style="dotted">
        <color rgb="FF000000"/>
      </right>
      <top style="dotted">
        <color rgb="FF000000"/>
      </top>
      <bottom style="dotted">
        <color rgb="FF000000"/>
      </bottom>
    </border>
    <border>
      <left/>
      <right style="thin">
        <color rgb="FF000000"/>
      </right>
      <top style="medium">
        <color rgb="FF000000"/>
      </top>
      <bottom/>
    </border>
    <border>
      <top style="medium">
        <color rgb="FF000000"/>
      </top>
    </border>
    <border>
      <right style="thin">
        <color rgb="FF000000"/>
      </right>
      <top style="medium">
        <color rgb="FF000000"/>
      </top>
    </border>
    <border>
      <right style="dotted">
        <color rgb="FF000000"/>
      </right>
      <top style="medium">
        <color rgb="FF000000"/>
      </top>
    </border>
    <border>
      <right style="thin">
        <color rgb="FF000000"/>
      </right>
    </border>
    <border>
      <right style="dotted">
        <color rgb="FF000000"/>
      </right>
    </border>
    <border>
      <left/>
      <right style="thin">
        <color rgb="FF000000"/>
      </right>
      <top/>
      <bottom/>
    </border>
    <border>
      <left/>
      <right style="dotted">
        <color rgb="FF000000"/>
      </right>
      <top/>
      <bottom/>
    </border>
    <border>
      <left/>
      <right style="medium">
        <color rgb="FF000000"/>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top style="medium">
        <color rgb="FF000000"/>
      </top>
      <bottom/>
    </border>
    <border>
      <left style="thin">
        <color rgb="FF000000"/>
      </left>
      <top style="thin">
        <color rgb="FF000000"/>
      </top>
    </border>
    <border>
      <left style="thin">
        <color rgb="FF000000"/>
      </left>
    </border>
    <border>
      <left style="thin">
        <color rgb="FF000000"/>
      </left>
      <right/>
      <top style="thin">
        <color rgb="FF000000"/>
      </top>
      <bottom/>
    </border>
    <border>
      <left style="thin">
        <color rgb="FF000000"/>
      </left>
      <right style="thin">
        <color rgb="FF000000"/>
      </right>
    </border>
    <border>
      <left style="dotted">
        <color rgb="FF000000"/>
      </left>
      <right/>
      <top style="dotted">
        <color rgb="FF000000"/>
      </top>
      <bottom style="dotted">
        <color rgb="FF000000"/>
      </bottom>
    </border>
    <border>
      <left/>
      <right style="dotted">
        <color rgb="FF000000"/>
      </right>
      <top style="dotted">
        <color rgb="FF000000"/>
      </top>
      <bottom style="dotted">
        <color rgb="FF000000"/>
      </bottom>
    </border>
    <border>
      <left/>
      <right/>
      <top/>
      <bottom style="thin">
        <color rgb="FF000000"/>
      </bottom>
    </border>
    <border>
      <left/>
      <right/>
      <top style="thin">
        <color rgb="FF000000"/>
      </top>
      <bottom style="thin">
        <color rgb="FF000000"/>
      </bottom>
    </border>
    <border>
      <left/>
      <right/>
      <top style="thin">
        <color rgb="FF000000"/>
      </top>
      <bottom/>
    </border>
    <border>
      <left/>
      <right style="thin">
        <color rgb="FF000000"/>
      </right>
      <top style="thin">
        <color rgb="FF000000"/>
      </top>
      <bottom/>
    </border>
    <border>
      <left style="thin">
        <color rgb="FF000000"/>
      </left>
      <right/>
      <top/>
      <bottom/>
    </border>
    <border>
      <left style="thin">
        <color rgb="FF000000"/>
      </left>
      <right/>
      <top/>
      <bottom style="thin">
        <color rgb="FF000000"/>
      </bottom>
    </border>
    <border>
      <left/>
      <right style="thin">
        <color rgb="FF000000"/>
      </right>
      <top/>
      <bottom style="thin">
        <color rgb="FF000000"/>
      </bottom>
    </border>
    <border>
      <bottom style="thin">
        <color rgb="FF000000"/>
      </bottom>
    </border>
    <border>
      <right style="thin">
        <color rgb="FF000000"/>
      </right>
      <top style="thin">
        <color rgb="FF000000"/>
      </top>
    </border>
    <border>
      <right style="thin">
        <color rgb="FF000000"/>
      </right>
      <bottom style="thin">
        <color rgb="FF000000"/>
      </bottom>
    </border>
    <border>
      <left/>
      <top/>
      <bottom style="thin">
        <color rgb="FF000000"/>
      </bottom>
    </border>
    <border>
      <top/>
      <bottom style="thin">
        <color rgb="FF000000"/>
      </bottom>
    </border>
    <border>
      <right/>
      <top/>
      <bottom style="thin">
        <color rgb="FF000000"/>
      </bottom>
    </border>
    <border>
      <left style="thick">
        <color rgb="FFFFFFFF"/>
      </left>
      <right style="thick">
        <color rgb="FFFFFFFF"/>
      </right>
      <top style="thick">
        <color rgb="FFFFFFFF"/>
      </top>
    </border>
    <border>
      <left style="thick">
        <color rgb="FFFFFFFF"/>
      </left>
      <right style="thick">
        <color rgb="FFFFFFFF"/>
      </right>
    </border>
    <border>
      <left style="thick">
        <color rgb="FFFFFFFF"/>
      </left>
      <right style="thick">
        <color rgb="FFFFFFFF"/>
      </right>
      <bottom style="thick">
        <color rgb="FFFFFFFF"/>
      </bottom>
    </border>
    <border>
      <left/>
      <right style="dotted">
        <color rgb="FF969696"/>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bottom style="thin">
        <color rgb="FF000000"/>
      </bottom>
    </border>
    <border>
      <left/>
      <right/>
      <top/>
      <bottom style="thin">
        <color rgb="FF808080"/>
      </bottom>
    </border>
    <border>
      <left/>
      <right style="thin">
        <color rgb="FF808080"/>
      </right>
      <top/>
      <bottom/>
    </border>
    <border>
      <left style="medium">
        <color rgb="FF808080"/>
      </left>
      <right/>
      <top/>
      <bottom/>
    </border>
    <border>
      <left style="thin">
        <color rgb="FFFFFFFF"/>
      </left>
      <right style="thin">
        <color rgb="FFFFFFFF"/>
      </right>
      <top style="thin">
        <color rgb="FFFFFFFF"/>
      </top>
      <bottom style="thin">
        <color rgb="FFFFFFFF"/>
      </bottom>
    </border>
    <border>
      <left style="thin">
        <color rgb="FFF2F2F2"/>
      </left>
      <right style="thin">
        <color rgb="FFF2F2F2"/>
      </right>
      <top style="thin">
        <color rgb="FFF2F2F2"/>
      </top>
      <bottom style="thin">
        <color rgb="FFF2F2F2"/>
      </bottom>
    </border>
    <border>
      <left style="thin">
        <color rgb="FFF2F2F2"/>
      </left>
      <right style="thin">
        <color rgb="FFF2F2F2"/>
      </right>
      <top style="thin">
        <color rgb="FFF2F2F2"/>
      </top>
    </border>
    <border>
      <left style="thin">
        <color rgb="FFF2F2F2"/>
      </left>
      <right style="thin">
        <color rgb="FFF2F2F2"/>
      </right>
      <bottom style="thin">
        <color rgb="FFF2F2F2"/>
      </bottom>
    </border>
    <border>
      <left/>
      <right/>
      <top style="medium">
        <color rgb="FF808080"/>
      </top>
      <bottom/>
    </border>
    <border>
      <right style="thin">
        <color rgb="FF808080"/>
      </right>
    </border>
    <border>
      <top style="thin">
        <color rgb="FF000000"/>
      </top>
    </border>
    <border>
      <left style="medium">
        <color rgb="FF808080"/>
      </left>
    </border>
    <border>
      <left/>
      <right/>
      <top/>
    </border>
    <border>
      <left/>
      <right/>
      <bottom style="thin">
        <color rgb="FF000000"/>
      </bottom>
    </border>
    <border>
      <left/>
      <top/>
    </border>
    <border>
      <top/>
    </border>
    <border>
      <right/>
      <top/>
    </border>
    <border>
      <left/>
    </border>
    <border>
      <right/>
    </border>
    <border>
      <left/>
      <bottom/>
    </border>
    <border>
      <bottom/>
    </border>
    <border>
      <right/>
      <bottom/>
    </border>
    <border>
      <left/>
      <right/>
      <top/>
      <bottom style="medium">
        <color rgb="FF000000"/>
      </bottom>
    </border>
    <border>
      <left/>
      <right/>
      <top style="medium">
        <color rgb="FF000000"/>
      </top>
      <bottom style="medium">
        <color rgb="FF000000"/>
      </bottom>
    </border>
    <border>
      <left style="thin">
        <color rgb="FF000000"/>
      </lef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362">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1" fillId="4" fontId="1" numFmtId="0" xfId="0" applyBorder="1" applyFill="1" applyFont="1"/>
    <xf borderId="1" fillId="3" fontId="1" numFmtId="0" xfId="0" applyAlignment="1" applyBorder="1" applyFont="1">
      <alignment horizontal="center"/>
    </xf>
    <xf borderId="2" fillId="3" fontId="1" numFmtId="0" xfId="0" applyAlignment="1" applyBorder="1" applyFont="1">
      <alignment horizontal="center"/>
    </xf>
    <xf borderId="3" fillId="0" fontId="2" numFmtId="0" xfId="0" applyBorder="1" applyFont="1"/>
    <xf borderId="4" fillId="0" fontId="2" numFmtId="0" xfId="0" applyBorder="1" applyFont="1"/>
    <xf borderId="2" fillId="5" fontId="1" numFmtId="0" xfId="0" applyAlignment="1" applyBorder="1" applyFill="1" applyFont="1">
      <alignment horizontal="center"/>
    </xf>
    <xf borderId="0" fillId="0" fontId="3" numFmtId="0" xfId="0" applyFont="1"/>
    <xf borderId="0" fillId="0" fontId="4" numFmtId="0" xfId="0" applyAlignment="1" applyFont="1">
      <alignment horizontal="center" vertical="center"/>
    </xf>
    <xf borderId="0" fillId="0" fontId="5" numFmtId="0" xfId="0" applyAlignment="1" applyFont="1">
      <alignment horizontal="center"/>
    </xf>
    <xf quotePrefix="1" borderId="5" fillId="4" fontId="1" numFmtId="0" xfId="0" applyAlignment="1" applyBorder="1" applyFont="1">
      <alignment horizontal="right"/>
    </xf>
    <xf quotePrefix="1" borderId="5" fillId="6" fontId="1" numFmtId="0" xfId="0" applyAlignment="1" applyBorder="1" applyFill="1" applyFont="1">
      <alignment horizontal="right"/>
    </xf>
    <xf borderId="0" fillId="0" fontId="6" numFmtId="0" xfId="0" applyAlignment="1" applyFont="1">
      <alignment horizontal="right"/>
    </xf>
    <xf borderId="0" fillId="0" fontId="7" numFmtId="0" xfId="0" applyFont="1"/>
    <xf quotePrefix="1" borderId="0" fillId="0" fontId="6" numFmtId="0" xfId="0" applyAlignment="1" applyFont="1">
      <alignment horizontal="right"/>
    </xf>
    <xf borderId="0" fillId="0" fontId="8" numFmtId="164" xfId="0" applyAlignment="1" applyFont="1" applyNumberFormat="1">
      <alignment horizontal="left"/>
    </xf>
    <xf borderId="0" fillId="0" fontId="9" numFmtId="0" xfId="0" applyFont="1"/>
    <xf borderId="0" fillId="0" fontId="10" numFmtId="0" xfId="0" applyAlignment="1" applyFont="1">
      <alignment horizontal="left"/>
    </xf>
    <xf borderId="1" fillId="4" fontId="11" numFmtId="164" xfId="0" applyBorder="1" applyFont="1" applyNumberFormat="1"/>
    <xf borderId="0" fillId="0" fontId="12" numFmtId="37" xfId="0" applyAlignment="1" applyFont="1" applyNumberFormat="1">
      <alignment horizontal="right"/>
    </xf>
    <xf borderId="0" fillId="0" fontId="12" numFmtId="165" xfId="0" applyAlignment="1" applyFont="1" applyNumberFormat="1">
      <alignment horizontal="right"/>
    </xf>
    <xf borderId="0" fillId="0" fontId="13" numFmtId="165" xfId="0" applyAlignment="1" applyFont="1" applyNumberFormat="1">
      <alignment horizontal="right"/>
    </xf>
    <xf borderId="1" fillId="7" fontId="14" numFmtId="0" xfId="0" applyBorder="1" applyFill="1" applyFont="1"/>
    <xf borderId="1" fillId="2" fontId="6" numFmtId="164" xfId="0" applyAlignment="1" applyBorder="1" applyFont="1" applyNumberFormat="1">
      <alignment horizontal="left"/>
    </xf>
    <xf borderId="1" fillId="2" fontId="14" numFmtId="0" xfId="0" applyBorder="1" applyFont="1"/>
    <xf borderId="1" fillId="2" fontId="15" numFmtId="166" xfId="0" applyAlignment="1" applyBorder="1" applyFont="1" applyNumberFormat="1">
      <alignment horizontal="left"/>
    </xf>
    <xf borderId="1" fillId="2" fontId="16" numFmtId="167" xfId="0" applyAlignment="1" applyBorder="1" applyFont="1" applyNumberFormat="1">
      <alignment horizontal="right"/>
    </xf>
    <xf borderId="1" fillId="2" fontId="17" numFmtId="167" xfId="0" applyAlignment="1" applyBorder="1" applyFont="1" applyNumberFormat="1">
      <alignment horizontal="right"/>
    </xf>
    <xf borderId="1" fillId="2" fontId="11" numFmtId="167" xfId="0" applyAlignment="1" applyBorder="1" applyFont="1" applyNumberFormat="1">
      <alignment horizontal="right"/>
    </xf>
    <xf borderId="1" fillId="2" fontId="7" numFmtId="0" xfId="0" applyBorder="1" applyFont="1"/>
    <xf borderId="1" fillId="2" fontId="18" numFmtId="164" xfId="0" applyAlignment="1" applyBorder="1" applyFont="1" applyNumberFormat="1">
      <alignment horizontal="left"/>
    </xf>
    <xf borderId="6" fillId="2" fontId="19" numFmtId="166" xfId="0" applyAlignment="1" applyBorder="1" applyFont="1" applyNumberFormat="1">
      <alignment horizontal="center"/>
    </xf>
    <xf borderId="1" fillId="2" fontId="18" numFmtId="166" xfId="0" applyAlignment="1" applyBorder="1" applyFont="1" applyNumberFormat="1">
      <alignment horizontal="right"/>
    </xf>
    <xf borderId="1" fillId="2" fontId="20" numFmtId="166" xfId="0" applyAlignment="1" applyBorder="1" applyFont="1" applyNumberFormat="1">
      <alignment horizontal="right"/>
    </xf>
    <xf borderId="0" fillId="0" fontId="14" numFmtId="0" xfId="0" applyFont="1"/>
    <xf borderId="1" fillId="2" fontId="6" numFmtId="168" xfId="0" applyBorder="1" applyFont="1" applyNumberFormat="1"/>
    <xf borderId="1" fillId="2" fontId="11" numFmtId="168" xfId="0" applyBorder="1" applyFont="1" applyNumberFormat="1"/>
    <xf borderId="1" fillId="3" fontId="17" numFmtId="0" xfId="0" applyBorder="1" applyFont="1"/>
    <xf borderId="1" fillId="2" fontId="11" numFmtId="164" xfId="0" applyAlignment="1" applyBorder="1" applyFont="1" applyNumberFormat="1">
      <alignment horizontal="left"/>
    </xf>
    <xf borderId="1" fillId="2" fontId="21" numFmtId="0" xfId="0" applyBorder="1" applyFont="1"/>
    <xf borderId="1" fillId="2" fontId="22" numFmtId="166" xfId="0" applyAlignment="1" applyBorder="1" applyFont="1" applyNumberFormat="1">
      <alignment horizontal="left"/>
    </xf>
    <xf borderId="1" fillId="2" fontId="20" numFmtId="0" xfId="0" applyAlignment="1" applyBorder="1" applyFont="1">
      <alignment horizontal="left"/>
    </xf>
    <xf borderId="1" fillId="2" fontId="20" numFmtId="166" xfId="0" applyBorder="1" applyFont="1" applyNumberFormat="1"/>
    <xf borderId="0" fillId="0" fontId="21" numFmtId="0" xfId="0" applyFont="1"/>
    <xf borderId="1" fillId="2" fontId="20" numFmtId="164" xfId="0" applyAlignment="1" applyBorder="1" applyFont="1" applyNumberFormat="1">
      <alignment horizontal="left"/>
    </xf>
    <xf borderId="1" fillId="2" fontId="11" numFmtId="0" xfId="0" applyBorder="1" applyFont="1"/>
    <xf borderId="1" fillId="2" fontId="17" numFmtId="164" xfId="0" applyAlignment="1" applyBorder="1" applyFont="1" applyNumberFormat="1">
      <alignment horizontal="left"/>
    </xf>
    <xf borderId="0" fillId="0" fontId="11" numFmtId="0" xfId="0" applyFont="1"/>
    <xf borderId="1" fillId="2" fontId="17" numFmtId="0" xfId="0" applyAlignment="1" applyBorder="1" applyFont="1">
      <alignment horizontal="left"/>
    </xf>
    <xf borderId="1" fillId="2" fontId="6" numFmtId="167" xfId="0" applyAlignment="1" applyBorder="1" applyFont="1" applyNumberFormat="1">
      <alignment horizontal="right"/>
    </xf>
    <xf borderId="1" fillId="2" fontId="23" numFmtId="164" xfId="0" applyBorder="1" applyFont="1" applyNumberFormat="1"/>
    <xf borderId="1" fillId="2" fontId="24" numFmtId="164" xfId="0" applyAlignment="1" applyBorder="1" applyFont="1" applyNumberFormat="1">
      <alignment horizontal="left"/>
    </xf>
    <xf borderId="1" fillId="2" fontId="11" numFmtId="0" xfId="0" applyAlignment="1" applyBorder="1" applyFont="1">
      <alignment horizontal="left"/>
    </xf>
    <xf borderId="1" fillId="2" fontId="19" numFmtId="166" xfId="0" applyAlignment="1" applyBorder="1" applyFont="1" applyNumberFormat="1">
      <alignment horizontal="center"/>
    </xf>
    <xf borderId="1" fillId="2" fontId="25" numFmtId="0" xfId="0" applyAlignment="1" applyBorder="1" applyFont="1">
      <alignment horizontal="left"/>
    </xf>
    <xf borderId="1" fillId="2" fontId="26" numFmtId="0" xfId="0" applyBorder="1" applyFont="1"/>
    <xf borderId="1" fillId="2" fontId="27" numFmtId="166" xfId="0" applyAlignment="1" applyBorder="1" applyFont="1" applyNumberFormat="1">
      <alignment horizontal="center"/>
    </xf>
    <xf borderId="1" fillId="2" fontId="28" numFmtId="167" xfId="0" applyAlignment="1" applyBorder="1" applyFont="1" applyNumberFormat="1">
      <alignment horizontal="right"/>
    </xf>
    <xf borderId="1" fillId="2" fontId="29" numFmtId="167" xfId="0" applyAlignment="1" applyBorder="1" applyFont="1" applyNumberFormat="1">
      <alignment horizontal="right"/>
    </xf>
    <xf borderId="0" fillId="0" fontId="30" numFmtId="0" xfId="0" applyFont="1"/>
    <xf borderId="1" fillId="2" fontId="6" numFmtId="0" xfId="0" applyAlignment="1" applyBorder="1" applyFont="1">
      <alignment horizontal="left"/>
    </xf>
    <xf borderId="1" fillId="2" fontId="6" numFmtId="0" xfId="0" applyBorder="1" applyFont="1"/>
    <xf borderId="1" fillId="2" fontId="16" numFmtId="164" xfId="0" applyAlignment="1" applyBorder="1" applyFont="1" applyNumberFormat="1">
      <alignment horizontal="left"/>
    </xf>
    <xf borderId="1" fillId="2" fontId="18" numFmtId="0" xfId="0" applyAlignment="1" applyBorder="1" applyFont="1">
      <alignment horizontal="left"/>
    </xf>
    <xf borderId="1" fillId="2" fontId="31" numFmtId="164" xfId="0" applyAlignment="1" applyBorder="1" applyFont="1" applyNumberFormat="1">
      <alignment horizontal="left"/>
    </xf>
    <xf borderId="1" fillId="8" fontId="17" numFmtId="0" xfId="0" applyBorder="1" applyFill="1" applyFont="1"/>
    <xf borderId="1" fillId="2" fontId="32" numFmtId="0" xfId="0" applyBorder="1" applyFont="1"/>
    <xf borderId="1" fillId="2" fontId="19" numFmtId="10" xfId="0" applyAlignment="1" applyBorder="1" applyFont="1" applyNumberFormat="1">
      <alignment horizontal="center"/>
    </xf>
    <xf borderId="1" fillId="2" fontId="33" numFmtId="166" xfId="0" applyAlignment="1" applyBorder="1" applyFont="1" applyNumberFormat="1">
      <alignment horizontal="right"/>
    </xf>
    <xf borderId="1" fillId="2" fontId="34" numFmtId="166" xfId="0" applyBorder="1" applyFont="1" applyNumberFormat="1"/>
    <xf borderId="1" fillId="2" fontId="35" numFmtId="164" xfId="0" applyAlignment="1" applyBorder="1" applyFont="1" applyNumberFormat="1">
      <alignment horizontal="left"/>
    </xf>
    <xf borderId="1" fillId="2" fontId="36" numFmtId="0" xfId="0" applyAlignment="1" applyBorder="1" applyFont="1">
      <alignment horizontal="left"/>
    </xf>
    <xf borderId="1" fillId="2" fontId="37" numFmtId="167" xfId="0" applyAlignment="1" applyBorder="1" applyFont="1" applyNumberFormat="1">
      <alignment horizontal="right"/>
    </xf>
    <xf borderId="1" fillId="2" fontId="11" numFmtId="166" xfId="0" applyBorder="1" applyFont="1" applyNumberFormat="1"/>
    <xf borderId="1" fillId="2" fontId="6" numFmtId="169" xfId="0" applyAlignment="1" applyBorder="1" applyFont="1" applyNumberFormat="1">
      <alignment horizontal="right"/>
    </xf>
    <xf borderId="1" fillId="2" fontId="11" numFmtId="169" xfId="0" applyAlignment="1" applyBorder="1" applyFont="1" applyNumberFormat="1">
      <alignment horizontal="right"/>
    </xf>
    <xf borderId="1" fillId="4" fontId="17" numFmtId="0" xfId="0" applyBorder="1" applyFont="1"/>
    <xf borderId="1" fillId="2" fontId="21" numFmtId="0" xfId="0" applyAlignment="1" applyBorder="1" applyFont="1">
      <alignment horizontal="left"/>
    </xf>
    <xf borderId="1" fillId="9" fontId="21" numFmtId="0" xfId="0" applyBorder="1" applyFill="1" applyFont="1"/>
    <xf borderId="1" fillId="2" fontId="6" numFmtId="169" xfId="0" applyBorder="1" applyFont="1" applyNumberFormat="1"/>
    <xf borderId="1" fillId="2" fontId="11" numFmtId="38" xfId="0" applyAlignment="1" applyBorder="1" applyFont="1" applyNumberFormat="1">
      <alignment horizontal="right"/>
    </xf>
    <xf borderId="6" fillId="2" fontId="38" numFmtId="166" xfId="0" applyAlignment="1" applyBorder="1" applyFont="1" applyNumberFormat="1">
      <alignment horizontal="center"/>
    </xf>
    <xf borderId="6" fillId="2" fontId="19" numFmtId="166" xfId="0" applyBorder="1" applyFont="1" applyNumberFormat="1"/>
    <xf borderId="6" fillId="2" fontId="20" numFmtId="166" xfId="0" applyBorder="1" applyFont="1" applyNumberFormat="1"/>
    <xf borderId="1" fillId="2" fontId="11" numFmtId="164" xfId="0" applyBorder="1" applyFont="1" applyNumberFormat="1"/>
    <xf borderId="1" fillId="2" fontId="11" numFmtId="170" xfId="0" applyAlignment="1" applyBorder="1" applyFont="1" applyNumberFormat="1">
      <alignment horizontal="right"/>
    </xf>
    <xf borderId="0" fillId="0" fontId="39" numFmtId="0" xfId="0" applyFont="1"/>
    <xf borderId="1" fillId="2" fontId="39" numFmtId="0" xfId="0" applyBorder="1" applyFont="1"/>
    <xf borderId="1" fillId="2" fontId="18" numFmtId="38" xfId="0" applyBorder="1" applyFont="1" applyNumberFormat="1"/>
    <xf borderId="1" fillId="2" fontId="20" numFmtId="38" xfId="0" applyBorder="1" applyFont="1" applyNumberFormat="1"/>
    <xf borderId="1" fillId="2" fontId="32" numFmtId="167" xfId="0" applyAlignment="1" applyBorder="1" applyFont="1" applyNumberFormat="1">
      <alignment horizontal="right"/>
    </xf>
    <xf borderId="1" fillId="10" fontId="40" numFmtId="0" xfId="0" applyBorder="1" applyFill="1" applyFont="1"/>
    <xf borderId="1" fillId="2" fontId="40" numFmtId="0" xfId="0" applyBorder="1" applyFont="1"/>
    <xf borderId="1" fillId="2" fontId="41" numFmtId="166" xfId="0" applyBorder="1" applyFont="1" applyNumberFormat="1"/>
    <xf borderId="1" fillId="2" fontId="41" numFmtId="9" xfId="0" applyBorder="1" applyFont="1" applyNumberFormat="1"/>
    <xf borderId="1" fillId="3" fontId="1" numFmtId="0" xfId="0" applyAlignment="1" applyBorder="1" applyFont="1">
      <alignment horizontal="right"/>
    </xf>
    <xf borderId="0" fillId="0" fontId="1" numFmtId="0" xfId="0" applyFont="1"/>
    <xf quotePrefix="1" borderId="7" fillId="9" fontId="6" numFmtId="0" xfId="0" applyAlignment="1" applyBorder="1" applyFont="1">
      <alignment horizontal="right"/>
    </xf>
    <xf quotePrefix="1" borderId="8" fillId="0" fontId="6" numFmtId="0" xfId="0" applyAlignment="1" applyBorder="1" applyFont="1">
      <alignment horizontal="right"/>
    </xf>
    <xf borderId="8" fillId="0" fontId="6" numFmtId="0" xfId="0" applyAlignment="1" applyBorder="1" applyFont="1">
      <alignment horizontal="right"/>
    </xf>
    <xf borderId="9" fillId="0" fontId="6" numFmtId="0" xfId="0" applyAlignment="1" applyBorder="1" applyFont="1">
      <alignment horizontal="right"/>
    </xf>
    <xf borderId="10" fillId="0" fontId="6" numFmtId="0" xfId="0" applyAlignment="1" applyBorder="1" applyFont="1">
      <alignment horizontal="right"/>
    </xf>
    <xf borderId="0" fillId="0" fontId="11" numFmtId="0" xfId="0" applyAlignment="1" applyFont="1">
      <alignment horizontal="right"/>
    </xf>
    <xf borderId="1" fillId="3" fontId="42" numFmtId="0" xfId="0" applyBorder="1" applyFont="1"/>
    <xf borderId="11" fillId="0" fontId="12" numFmtId="37" xfId="0" applyAlignment="1" applyBorder="1" applyFont="1" applyNumberFormat="1">
      <alignment horizontal="right"/>
    </xf>
    <xf borderId="11" fillId="0" fontId="43" numFmtId="165" xfId="0" applyAlignment="1" applyBorder="1" applyFont="1" applyNumberFormat="1">
      <alignment horizontal="right"/>
    </xf>
    <xf borderId="12" fillId="0" fontId="44" numFmtId="165" xfId="0" applyAlignment="1" applyBorder="1" applyFont="1" applyNumberFormat="1">
      <alignment horizontal="right"/>
    </xf>
    <xf borderId="0" fillId="0" fontId="21" numFmtId="0" xfId="0" applyAlignment="1" applyFont="1">
      <alignment horizontal="right"/>
    </xf>
    <xf borderId="1" fillId="3" fontId="45" numFmtId="37" xfId="0" applyBorder="1" applyFont="1" applyNumberFormat="1"/>
    <xf borderId="1" fillId="9" fontId="6" numFmtId="164" xfId="0" applyAlignment="1" applyBorder="1" applyFont="1" applyNumberFormat="1">
      <alignment horizontal="left"/>
    </xf>
    <xf borderId="0" fillId="0" fontId="46" numFmtId="166" xfId="0" applyAlignment="1" applyFont="1" applyNumberFormat="1">
      <alignment horizontal="left"/>
    </xf>
    <xf borderId="1" fillId="4" fontId="16" numFmtId="167" xfId="0" applyAlignment="1" applyBorder="1" applyFont="1" applyNumberFormat="1">
      <alignment horizontal="right"/>
    </xf>
    <xf borderId="11" fillId="0" fontId="12" numFmtId="167" xfId="0" applyAlignment="1" applyBorder="1" applyFont="1" applyNumberFormat="1">
      <alignment horizontal="right"/>
    </xf>
    <xf borderId="0" fillId="0" fontId="6" numFmtId="167" xfId="0" applyAlignment="1" applyFont="1" applyNumberFormat="1">
      <alignment horizontal="right"/>
    </xf>
    <xf borderId="12" fillId="0" fontId="6" numFmtId="167" xfId="0" applyAlignment="1" applyBorder="1" applyFont="1" applyNumberFormat="1">
      <alignment horizontal="right"/>
    </xf>
    <xf borderId="1" fillId="3" fontId="47" numFmtId="171" xfId="0" applyBorder="1" applyFont="1" applyNumberFormat="1"/>
    <xf borderId="0" fillId="0" fontId="30" numFmtId="0" xfId="0" applyAlignment="1" applyFont="1">
      <alignment horizontal="center"/>
    </xf>
    <xf borderId="1" fillId="9" fontId="18" numFmtId="164" xfId="0" applyAlignment="1" applyBorder="1" applyFont="1" applyNumberFormat="1">
      <alignment horizontal="left"/>
    </xf>
    <xf borderId="6" fillId="9" fontId="19" numFmtId="166" xfId="0" applyAlignment="1" applyBorder="1" applyFont="1" applyNumberFormat="1">
      <alignment horizontal="center"/>
    </xf>
    <xf borderId="1" fillId="4" fontId="18" numFmtId="166" xfId="0" applyAlignment="1" applyBorder="1" applyFont="1" applyNumberFormat="1">
      <alignment horizontal="right"/>
    </xf>
    <xf borderId="11" fillId="0" fontId="18" numFmtId="166" xfId="0" applyAlignment="1" applyBorder="1" applyFont="1" applyNumberFormat="1">
      <alignment horizontal="right"/>
    </xf>
    <xf borderId="0" fillId="0" fontId="18" numFmtId="166" xfId="0" applyAlignment="1" applyFont="1" applyNumberFormat="1">
      <alignment horizontal="right"/>
    </xf>
    <xf borderId="12" fillId="0" fontId="18" numFmtId="166" xfId="0" applyAlignment="1" applyBorder="1" applyFont="1" applyNumberFormat="1">
      <alignment horizontal="right"/>
    </xf>
    <xf borderId="0" fillId="0" fontId="32" numFmtId="0" xfId="0" applyAlignment="1" applyFont="1">
      <alignment horizontal="right"/>
    </xf>
    <xf borderId="0" fillId="0" fontId="48" numFmtId="0" xfId="0" applyFont="1"/>
    <xf borderId="0" fillId="0" fontId="39" numFmtId="0" xfId="0" applyAlignment="1" applyFont="1">
      <alignment horizontal="center"/>
    </xf>
    <xf borderId="0" fillId="0" fontId="21" numFmtId="0" xfId="0" applyAlignment="1" applyFont="1">
      <alignment horizontal="center"/>
    </xf>
    <xf borderId="0" fillId="0" fontId="18" numFmtId="164" xfId="0" applyAlignment="1" applyFont="1" applyNumberFormat="1">
      <alignment horizontal="left"/>
    </xf>
    <xf borderId="1" fillId="4" fontId="6" numFmtId="168" xfId="0" applyBorder="1" applyFont="1" applyNumberFormat="1"/>
    <xf borderId="11" fillId="0" fontId="6" numFmtId="168" xfId="0" applyBorder="1" applyFont="1" applyNumberFormat="1"/>
    <xf borderId="0" fillId="0" fontId="6" numFmtId="168" xfId="0" applyFont="1" applyNumberFormat="1"/>
    <xf borderId="0" fillId="0" fontId="1" numFmtId="168" xfId="0" applyAlignment="1" applyFont="1" applyNumberFormat="1">
      <alignment horizontal="right"/>
    </xf>
    <xf borderId="0" fillId="0" fontId="19" numFmtId="166" xfId="0" applyAlignment="1" applyFont="1" applyNumberFormat="1">
      <alignment horizontal="right"/>
    </xf>
    <xf borderId="0" fillId="0" fontId="32" numFmtId="166" xfId="0" applyAlignment="1" applyFont="1" applyNumberFormat="1">
      <alignment horizontal="right"/>
    </xf>
    <xf borderId="0" fillId="0" fontId="11" numFmtId="164" xfId="0" applyAlignment="1" applyFont="1" applyNumberFormat="1">
      <alignment horizontal="left"/>
    </xf>
    <xf borderId="0" fillId="0" fontId="22" numFmtId="166" xfId="0" applyAlignment="1" applyFont="1" applyNumberFormat="1">
      <alignment horizontal="left"/>
    </xf>
    <xf borderId="1" fillId="4" fontId="17" numFmtId="167" xfId="0" applyAlignment="1" applyBorder="1" applyFont="1" applyNumberFormat="1">
      <alignment horizontal="right"/>
    </xf>
    <xf borderId="11" fillId="0" fontId="14" numFmtId="167" xfId="0" applyAlignment="1" applyBorder="1" applyFont="1" applyNumberFormat="1">
      <alignment horizontal="right"/>
    </xf>
    <xf borderId="0" fillId="0" fontId="11" numFmtId="167" xfId="0" applyAlignment="1" applyFont="1" applyNumberFormat="1">
      <alignment horizontal="right"/>
    </xf>
    <xf borderId="12" fillId="0" fontId="11" numFmtId="167" xfId="0" applyAlignment="1" applyBorder="1" applyFont="1" applyNumberFormat="1">
      <alignment horizontal="right"/>
    </xf>
    <xf borderId="1" fillId="3" fontId="47" numFmtId="167" xfId="0" applyBorder="1" applyFont="1" applyNumberFormat="1"/>
    <xf borderId="0" fillId="0" fontId="20" numFmtId="0" xfId="0" applyAlignment="1" applyFont="1">
      <alignment horizontal="left"/>
    </xf>
    <xf borderId="1" fillId="4" fontId="20" numFmtId="166" xfId="0" applyBorder="1" applyFont="1" applyNumberFormat="1"/>
    <xf borderId="11" fillId="0" fontId="20" numFmtId="166" xfId="0" applyBorder="1" applyFont="1" applyNumberFormat="1"/>
    <xf borderId="0" fillId="0" fontId="20" numFmtId="166" xfId="0" applyFont="1" applyNumberFormat="1"/>
    <xf borderId="11" fillId="0" fontId="20" numFmtId="166" xfId="0" applyAlignment="1" applyBorder="1" applyFont="1" applyNumberFormat="1">
      <alignment horizontal="right"/>
    </xf>
    <xf borderId="0" fillId="0" fontId="20" numFmtId="166" xfId="0" applyAlignment="1" applyFont="1" applyNumberFormat="1">
      <alignment horizontal="right"/>
    </xf>
    <xf borderId="12" fillId="0" fontId="20" numFmtId="166" xfId="0" applyAlignment="1" applyBorder="1" applyFont="1" applyNumberFormat="1">
      <alignment horizontal="right"/>
    </xf>
    <xf borderId="0" fillId="0" fontId="6" numFmtId="164" xfId="0" applyAlignment="1" applyFont="1" applyNumberFormat="1">
      <alignment horizontal="right"/>
    </xf>
    <xf borderId="1" fillId="3" fontId="49" numFmtId="166" xfId="0" applyBorder="1" applyFont="1" applyNumberFormat="1"/>
    <xf borderId="0" fillId="0" fontId="21" numFmtId="171" xfId="0" applyAlignment="1" applyFont="1" applyNumberFormat="1">
      <alignment horizontal="right"/>
    </xf>
    <xf borderId="0" fillId="0" fontId="6" numFmtId="0" xfId="0" applyFont="1"/>
    <xf borderId="0" fillId="0" fontId="20" numFmtId="164" xfId="0" applyAlignment="1" applyFont="1" applyNumberFormat="1">
      <alignment horizontal="left"/>
    </xf>
    <xf borderId="0" fillId="0" fontId="17" numFmtId="164" xfId="0" applyAlignment="1" applyFont="1" applyNumberFormat="1">
      <alignment horizontal="left"/>
    </xf>
    <xf borderId="1" fillId="4" fontId="20" numFmtId="166" xfId="0" applyAlignment="1" applyBorder="1" applyFont="1" applyNumberFormat="1">
      <alignment horizontal="right"/>
    </xf>
    <xf borderId="1" fillId="9" fontId="20" numFmtId="166" xfId="0" applyAlignment="1" applyBorder="1" applyFont="1" applyNumberFormat="1">
      <alignment horizontal="right"/>
    </xf>
    <xf borderId="1" fillId="3" fontId="50" numFmtId="166" xfId="0" applyBorder="1" applyFont="1" applyNumberFormat="1"/>
    <xf borderId="0" fillId="0" fontId="6" numFmtId="164" xfId="0" applyAlignment="1" applyFont="1" applyNumberFormat="1">
      <alignment horizontal="left"/>
    </xf>
    <xf borderId="0" fillId="0" fontId="17" numFmtId="0" xfId="0" applyAlignment="1" applyFont="1">
      <alignment horizontal="left"/>
    </xf>
    <xf borderId="1" fillId="4" fontId="6" numFmtId="167" xfId="0" applyAlignment="1" applyBorder="1" applyFont="1" applyNumberFormat="1">
      <alignment horizontal="right"/>
    </xf>
    <xf borderId="11" fillId="0" fontId="6" numFmtId="167" xfId="0" applyAlignment="1" applyBorder="1" applyFont="1" applyNumberFormat="1">
      <alignment horizontal="right"/>
    </xf>
    <xf borderId="1" fillId="3" fontId="1" numFmtId="167" xfId="0" applyBorder="1" applyFont="1" applyNumberFormat="1"/>
    <xf borderId="1" fillId="9" fontId="51" numFmtId="164" xfId="0" applyBorder="1" applyFont="1" applyNumberFormat="1"/>
    <xf borderId="1" fillId="9" fontId="52" numFmtId="164" xfId="0" applyAlignment="1" applyBorder="1" applyFont="1" applyNumberFormat="1">
      <alignment horizontal="left"/>
    </xf>
    <xf borderId="0" fillId="0" fontId="39" numFmtId="166" xfId="0" applyAlignment="1" applyFont="1" applyNumberFormat="1">
      <alignment horizontal="right"/>
    </xf>
    <xf borderId="1" fillId="9" fontId="20" numFmtId="0" xfId="0" applyAlignment="1" applyBorder="1" applyFont="1">
      <alignment horizontal="left"/>
    </xf>
    <xf borderId="0" fillId="0" fontId="19" numFmtId="166" xfId="0" applyAlignment="1" applyFont="1" applyNumberFormat="1">
      <alignment horizontal="center"/>
    </xf>
    <xf borderId="13" fillId="9" fontId="14" numFmtId="167" xfId="0" applyAlignment="1" applyBorder="1" applyFont="1" applyNumberFormat="1">
      <alignment horizontal="right"/>
    </xf>
    <xf borderId="0" fillId="0" fontId="11" numFmtId="172" xfId="0" applyAlignment="1" applyFont="1" applyNumberFormat="1">
      <alignment horizontal="right"/>
    </xf>
    <xf borderId="0" fillId="0" fontId="53" numFmtId="166" xfId="0" applyAlignment="1" applyFont="1" applyNumberFormat="1">
      <alignment horizontal="center"/>
    </xf>
    <xf borderId="1" fillId="4" fontId="54" numFmtId="167" xfId="0" applyAlignment="1" applyBorder="1" applyFont="1" applyNumberFormat="1">
      <alignment horizontal="right"/>
    </xf>
    <xf borderId="0" fillId="0" fontId="55" numFmtId="167" xfId="0" applyAlignment="1" applyFont="1" applyNumberFormat="1">
      <alignment horizontal="right"/>
    </xf>
    <xf borderId="12" fillId="0" fontId="56" numFmtId="167" xfId="0" applyAlignment="1" applyBorder="1" applyFont="1" applyNumberFormat="1">
      <alignment horizontal="right"/>
    </xf>
    <xf borderId="1" fillId="9" fontId="6" numFmtId="0" xfId="0" applyAlignment="1" applyBorder="1" applyFont="1">
      <alignment horizontal="left"/>
    </xf>
    <xf borderId="0" fillId="0" fontId="16" numFmtId="164" xfId="0" applyAlignment="1" applyFont="1" applyNumberFormat="1">
      <alignment horizontal="left"/>
    </xf>
    <xf borderId="1" fillId="3" fontId="1" numFmtId="170" xfId="0" applyBorder="1" applyFont="1" applyNumberFormat="1"/>
    <xf borderId="1" fillId="9" fontId="18" numFmtId="0" xfId="0" applyAlignment="1" applyBorder="1" applyFont="1">
      <alignment horizontal="left"/>
    </xf>
    <xf borderId="0" fillId="0" fontId="31" numFmtId="164" xfId="0" applyAlignment="1" applyFont="1" applyNumberFormat="1">
      <alignment horizontal="left"/>
    </xf>
    <xf borderId="0" fillId="0" fontId="32" numFmtId="0" xfId="0" applyFont="1"/>
    <xf borderId="6" fillId="9" fontId="19" numFmtId="10" xfId="0" applyAlignment="1" applyBorder="1" applyFont="1" applyNumberFormat="1">
      <alignment horizontal="center"/>
    </xf>
    <xf borderId="0" fillId="0" fontId="19" numFmtId="10" xfId="0" applyAlignment="1" applyFont="1" applyNumberFormat="1">
      <alignment horizontal="center"/>
    </xf>
    <xf borderId="1" fillId="4" fontId="57" numFmtId="166" xfId="0" applyAlignment="1" applyBorder="1" applyFont="1" applyNumberFormat="1">
      <alignment horizontal="right"/>
    </xf>
    <xf borderId="11" fillId="0" fontId="58" numFmtId="166" xfId="0" applyAlignment="1" applyBorder="1" applyFont="1" applyNumberFormat="1">
      <alignment horizontal="right"/>
    </xf>
    <xf borderId="0" fillId="0" fontId="59" numFmtId="166" xfId="0" applyAlignment="1" applyFont="1" applyNumberFormat="1">
      <alignment horizontal="right"/>
    </xf>
    <xf borderId="12" fillId="0" fontId="60" numFmtId="166" xfId="0" applyAlignment="1" applyBorder="1" applyFont="1" applyNumberFormat="1">
      <alignment horizontal="right"/>
    </xf>
    <xf borderId="0" fillId="0" fontId="18" numFmtId="0" xfId="0" applyAlignment="1" applyFont="1">
      <alignment horizontal="left"/>
    </xf>
    <xf borderId="0" fillId="0" fontId="61" numFmtId="166" xfId="0" applyFont="1" applyNumberFormat="1"/>
    <xf borderId="0" fillId="0" fontId="62" numFmtId="0" xfId="0" applyAlignment="1" applyFont="1">
      <alignment horizontal="left"/>
    </xf>
    <xf borderId="1" fillId="4" fontId="63" numFmtId="167" xfId="0" applyAlignment="1" applyBorder="1" applyFont="1" applyNumberFormat="1">
      <alignment horizontal="right"/>
    </xf>
    <xf borderId="11" fillId="0" fontId="64" numFmtId="167" xfId="0" applyAlignment="1" applyBorder="1" applyFont="1" applyNumberFormat="1">
      <alignment horizontal="right"/>
    </xf>
    <xf borderId="0" fillId="0" fontId="65" numFmtId="167" xfId="0" applyAlignment="1" applyFont="1" applyNumberFormat="1">
      <alignment horizontal="right"/>
    </xf>
    <xf borderId="12" fillId="0" fontId="66" numFmtId="167" xfId="0" applyAlignment="1" applyBorder="1" applyFont="1" applyNumberFormat="1">
      <alignment horizontal="right"/>
    </xf>
    <xf borderId="0" fillId="0" fontId="6" numFmtId="0" xfId="0" applyAlignment="1" applyFont="1">
      <alignment horizontal="left"/>
    </xf>
    <xf borderId="0" fillId="0" fontId="11" numFmtId="166" xfId="0" applyFont="1" applyNumberFormat="1"/>
    <xf borderId="1" fillId="4" fontId="6" numFmtId="169" xfId="0" applyAlignment="1" applyBorder="1" applyFont="1" applyNumberFormat="1">
      <alignment horizontal="right"/>
    </xf>
    <xf borderId="11" fillId="0" fontId="6" numFmtId="169" xfId="0" applyAlignment="1" applyBorder="1" applyFont="1" applyNumberFormat="1">
      <alignment horizontal="right"/>
    </xf>
    <xf borderId="0" fillId="0" fontId="6" numFmtId="169" xfId="0" applyAlignment="1" applyFont="1" applyNumberFormat="1">
      <alignment horizontal="right"/>
    </xf>
    <xf borderId="12" fillId="0" fontId="6" numFmtId="169" xfId="0" applyAlignment="1" applyBorder="1" applyFont="1" applyNumberFormat="1">
      <alignment horizontal="right"/>
    </xf>
    <xf borderId="1" fillId="3" fontId="1" numFmtId="169" xfId="0" applyBorder="1" applyFont="1" applyNumberFormat="1"/>
    <xf borderId="1" fillId="9" fontId="11" numFmtId="0" xfId="0" applyAlignment="1" applyBorder="1" applyFont="1">
      <alignment horizontal="left"/>
    </xf>
    <xf borderId="1" fillId="9" fontId="11" numFmtId="164" xfId="0" applyAlignment="1" applyBorder="1" applyFont="1" applyNumberFormat="1">
      <alignment horizontal="left"/>
    </xf>
    <xf borderId="1" fillId="10" fontId="11" numFmtId="167" xfId="0" applyAlignment="1" applyBorder="1" applyFont="1" applyNumberFormat="1">
      <alignment horizontal="right"/>
    </xf>
    <xf borderId="1" fillId="9" fontId="11" numFmtId="167" xfId="0" applyAlignment="1" applyBorder="1" applyFont="1" applyNumberFormat="1">
      <alignment horizontal="right"/>
    </xf>
    <xf borderId="14" fillId="9" fontId="11" numFmtId="167" xfId="0" applyAlignment="1" applyBorder="1" applyFont="1" applyNumberFormat="1">
      <alignment horizontal="right"/>
    </xf>
    <xf borderId="1" fillId="9" fontId="11" numFmtId="0" xfId="0" applyAlignment="1" applyBorder="1" applyFont="1">
      <alignment horizontal="right"/>
    </xf>
    <xf borderId="6" fillId="9" fontId="67" numFmtId="166" xfId="0" applyAlignment="1" applyBorder="1" applyFont="1" applyNumberFormat="1">
      <alignment horizontal="center"/>
    </xf>
    <xf borderId="1" fillId="9" fontId="21" numFmtId="0" xfId="0" applyAlignment="1" applyBorder="1" applyFont="1">
      <alignment horizontal="left"/>
    </xf>
    <xf borderId="13" fillId="9" fontId="20" numFmtId="166" xfId="0" applyAlignment="1" applyBorder="1" applyFont="1" applyNumberFormat="1">
      <alignment horizontal="right"/>
    </xf>
    <xf borderId="14" fillId="9" fontId="20" numFmtId="166" xfId="0" applyAlignment="1" applyBorder="1" applyFont="1" applyNumberFormat="1">
      <alignment horizontal="right"/>
    </xf>
    <xf borderId="0" fillId="0" fontId="21" numFmtId="0" xfId="0" applyAlignment="1" applyFont="1">
      <alignment horizontal="left"/>
    </xf>
    <xf borderId="1" fillId="9" fontId="21" numFmtId="0" xfId="0" applyAlignment="1" applyBorder="1" applyFont="1">
      <alignment horizontal="right"/>
    </xf>
    <xf borderId="1" fillId="4" fontId="6" numFmtId="169" xfId="0" applyBorder="1" applyFont="1" applyNumberFormat="1"/>
    <xf borderId="11" fillId="0" fontId="6" numFmtId="38" xfId="0" applyAlignment="1" applyBorder="1" applyFont="1" applyNumberFormat="1">
      <alignment horizontal="right"/>
    </xf>
    <xf borderId="0" fillId="0" fontId="6" numFmtId="38" xfId="0" applyAlignment="1" applyFont="1" applyNumberFormat="1">
      <alignment horizontal="right"/>
    </xf>
    <xf borderId="6" fillId="9" fontId="38" numFmtId="166" xfId="0" applyAlignment="1" applyBorder="1" applyFont="1" applyNumberFormat="1">
      <alignment horizontal="center"/>
    </xf>
    <xf borderId="1" fillId="6" fontId="1" numFmtId="0" xfId="0" applyBorder="1" applyFont="1"/>
    <xf borderId="1" fillId="6" fontId="49" numFmtId="0" xfId="0" applyAlignment="1" applyBorder="1" applyFont="1">
      <alignment horizontal="left"/>
    </xf>
    <xf borderId="1" fillId="6" fontId="17" numFmtId="0" xfId="0" applyBorder="1" applyFont="1"/>
    <xf borderId="1" fillId="6" fontId="19" numFmtId="166" xfId="0" applyAlignment="1" applyBorder="1" applyFont="1" applyNumberFormat="1">
      <alignment horizontal="right"/>
    </xf>
    <xf borderId="1" fillId="4" fontId="19" numFmtId="166" xfId="0" applyAlignment="1" applyBorder="1" applyFont="1" applyNumberFormat="1">
      <alignment horizontal="right"/>
    </xf>
    <xf borderId="15" fillId="6" fontId="19" numFmtId="166" xfId="0" applyAlignment="1" applyBorder="1" applyFont="1" applyNumberFormat="1">
      <alignment horizontal="right"/>
    </xf>
    <xf borderId="13" fillId="6" fontId="19" numFmtId="166" xfId="0" applyAlignment="1" applyBorder="1" applyFont="1" applyNumberFormat="1">
      <alignment horizontal="right"/>
    </xf>
    <xf borderId="16" fillId="0" fontId="6" numFmtId="166" xfId="0" applyAlignment="1" applyBorder="1" applyFont="1" applyNumberFormat="1">
      <alignment horizontal="right"/>
    </xf>
    <xf borderId="17" fillId="0" fontId="30" numFmtId="173" xfId="0" applyAlignment="1" applyBorder="1" applyFont="1" applyNumberFormat="1">
      <alignment vertical="center"/>
    </xf>
    <xf borderId="17" fillId="0" fontId="30" numFmtId="173" xfId="0" applyAlignment="1" applyBorder="1" applyFont="1" applyNumberFormat="1">
      <alignment horizontal="center" vertical="center"/>
    </xf>
    <xf borderId="17" fillId="0" fontId="30" numFmtId="165" xfId="0" applyAlignment="1" applyBorder="1" applyFont="1" applyNumberFormat="1">
      <alignment vertical="center"/>
    </xf>
    <xf borderId="18" fillId="0" fontId="30" numFmtId="165" xfId="0" applyAlignment="1" applyBorder="1" applyFont="1" applyNumberFormat="1">
      <alignment vertical="center"/>
    </xf>
    <xf borderId="6" fillId="0" fontId="19" numFmtId="166" xfId="0" applyBorder="1" applyFont="1" applyNumberFormat="1"/>
    <xf borderId="6" fillId="0" fontId="20" numFmtId="166" xfId="0" applyBorder="1" applyFont="1" applyNumberFormat="1"/>
    <xf borderId="0" fillId="0" fontId="11" numFmtId="170" xfId="0" applyAlignment="1" applyFont="1" applyNumberFormat="1">
      <alignment horizontal="right"/>
    </xf>
    <xf borderId="1" fillId="4" fontId="18" numFmtId="38" xfId="0" applyBorder="1" applyFont="1" applyNumberFormat="1"/>
    <xf borderId="0" fillId="0" fontId="18" numFmtId="38" xfId="0" applyFont="1" applyNumberFormat="1"/>
    <xf borderId="0" fillId="0" fontId="39" numFmtId="167" xfId="0" applyAlignment="1" applyFont="1" applyNumberFormat="1">
      <alignment horizontal="right"/>
    </xf>
    <xf borderId="1" fillId="4" fontId="18" numFmtId="166" xfId="0" applyBorder="1" applyFont="1" applyNumberFormat="1"/>
    <xf borderId="0" fillId="0" fontId="18" numFmtId="166" xfId="0" applyFont="1" applyNumberFormat="1"/>
    <xf borderId="0" fillId="0" fontId="32" numFmtId="167" xfId="0" applyAlignment="1" applyFont="1" applyNumberFormat="1">
      <alignment horizontal="right"/>
    </xf>
    <xf borderId="0" fillId="0" fontId="11" numFmtId="164" xfId="0" applyFont="1" applyNumberFormat="1"/>
    <xf borderId="1" fillId="4" fontId="11" numFmtId="164" xfId="0" applyAlignment="1" applyBorder="1" applyFont="1" applyNumberFormat="1">
      <alignment horizontal="right"/>
    </xf>
    <xf borderId="0" fillId="0" fontId="11" numFmtId="164" xfId="0" applyAlignment="1" applyFont="1" applyNumberFormat="1">
      <alignment horizontal="right"/>
    </xf>
    <xf borderId="1" fillId="3" fontId="47" numFmtId="164" xfId="0" applyBorder="1" applyFont="1" applyNumberFormat="1"/>
    <xf quotePrefix="1" borderId="0" fillId="0" fontId="11" numFmtId="164" xfId="0" applyAlignment="1" applyFont="1" applyNumberFormat="1">
      <alignment horizontal="left"/>
    </xf>
    <xf borderId="0" fillId="0" fontId="68" numFmtId="166" xfId="0" applyFont="1" applyNumberFormat="1"/>
    <xf borderId="1" fillId="4" fontId="68" numFmtId="166" xfId="0" applyAlignment="1" applyBorder="1" applyFont="1" applyNumberFormat="1">
      <alignment horizontal="right"/>
    </xf>
    <xf borderId="0" fillId="0" fontId="68" numFmtId="166" xfId="0" applyAlignment="1" applyFont="1" applyNumberFormat="1">
      <alignment horizontal="right"/>
    </xf>
    <xf quotePrefix="1" borderId="1" fillId="9" fontId="11" numFmtId="164" xfId="0" applyAlignment="1" applyBorder="1" applyFont="1" applyNumberFormat="1">
      <alignment horizontal="left"/>
    </xf>
    <xf borderId="6" fillId="9" fontId="19" numFmtId="174" xfId="0" applyBorder="1" applyFont="1" applyNumberFormat="1"/>
    <xf borderId="1" fillId="9" fontId="68" numFmtId="166" xfId="0" applyBorder="1" applyFont="1" applyNumberFormat="1"/>
    <xf borderId="1" fillId="9" fontId="68" numFmtId="166" xfId="0" applyAlignment="1" applyBorder="1" applyFont="1" applyNumberFormat="1">
      <alignment horizontal="right"/>
    </xf>
    <xf borderId="1" fillId="3" fontId="47" numFmtId="167" xfId="0" applyAlignment="1" applyBorder="1" applyFont="1" applyNumberFormat="1">
      <alignment horizontal="right"/>
    </xf>
    <xf quotePrefix="1" borderId="0" fillId="0" fontId="69" numFmtId="164" xfId="0" applyAlignment="1" applyFont="1" applyNumberFormat="1">
      <alignment horizontal="left"/>
    </xf>
    <xf borderId="0" fillId="0" fontId="70" numFmtId="164" xfId="0" applyFont="1" applyNumberFormat="1"/>
    <xf borderId="1" fillId="4" fontId="71" numFmtId="164" xfId="0" applyAlignment="1" applyBorder="1" applyFont="1" applyNumberFormat="1">
      <alignment horizontal="right"/>
    </xf>
    <xf borderId="0" fillId="0" fontId="72" numFmtId="164" xfId="0" applyAlignment="1" applyFont="1" applyNumberFormat="1">
      <alignment horizontal="right"/>
    </xf>
    <xf borderId="1" fillId="3" fontId="73" numFmtId="164" xfId="0" applyBorder="1" applyFont="1" applyNumberFormat="1"/>
    <xf borderId="0" fillId="0" fontId="6" numFmtId="164" xfId="0" applyFont="1" applyNumberFormat="1"/>
    <xf borderId="1" fillId="4" fontId="6" numFmtId="164" xfId="0" applyAlignment="1" applyBorder="1" applyFont="1" applyNumberFormat="1">
      <alignment horizontal="right"/>
    </xf>
    <xf borderId="1" fillId="3" fontId="1" numFmtId="164" xfId="0" applyBorder="1" applyFont="1" applyNumberFormat="1"/>
    <xf borderId="0" fillId="0" fontId="30" numFmtId="166" xfId="0" applyAlignment="1" applyFont="1" applyNumberFormat="1">
      <alignment horizontal="center"/>
    </xf>
    <xf borderId="0" fillId="0" fontId="19" numFmtId="166" xfId="0" applyFont="1" applyNumberFormat="1"/>
    <xf borderId="0" fillId="0" fontId="11" numFmtId="40" xfId="0" applyAlignment="1" applyFont="1" applyNumberFormat="1">
      <alignment horizontal="right"/>
    </xf>
    <xf borderId="0" fillId="0" fontId="11" numFmtId="40" xfId="0" applyAlignment="1" applyFont="1" applyNumberFormat="1">
      <alignment horizontal="center"/>
    </xf>
    <xf borderId="0" fillId="0" fontId="74" numFmtId="166" xfId="0" applyFont="1" applyNumberFormat="1"/>
    <xf borderId="0" fillId="0" fontId="74" numFmtId="166" xfId="0" applyAlignment="1" applyFont="1" applyNumberFormat="1">
      <alignment horizontal="right"/>
    </xf>
    <xf borderId="1" fillId="4" fontId="74" numFmtId="166" xfId="0" applyAlignment="1" applyBorder="1" applyFont="1" applyNumberFormat="1">
      <alignment horizontal="right"/>
    </xf>
    <xf borderId="0" fillId="0" fontId="18" numFmtId="167" xfId="0" applyAlignment="1" applyFont="1" applyNumberFormat="1">
      <alignment horizontal="right"/>
    </xf>
    <xf borderId="0" fillId="0" fontId="18" numFmtId="9" xfId="0" applyAlignment="1" applyFont="1" applyNumberFormat="1">
      <alignment horizontal="right"/>
    </xf>
    <xf borderId="19" fillId="6" fontId="1" numFmtId="164" xfId="0" applyAlignment="1" applyBorder="1" applyFont="1" applyNumberFormat="1">
      <alignment horizontal="left"/>
    </xf>
    <xf borderId="5" fillId="6" fontId="1" numFmtId="164" xfId="0" applyBorder="1" applyFont="1" applyNumberFormat="1"/>
    <xf borderId="5" fillId="4" fontId="1" numFmtId="164" xfId="0" applyBorder="1" applyFont="1" applyNumberFormat="1"/>
    <xf borderId="5" fillId="6" fontId="1" numFmtId="167" xfId="0" applyAlignment="1" applyBorder="1" applyFont="1" applyNumberFormat="1">
      <alignment horizontal="right"/>
    </xf>
    <xf borderId="0" fillId="0" fontId="1" numFmtId="167" xfId="0" applyAlignment="1" applyFont="1" applyNumberFormat="1">
      <alignment horizontal="right"/>
    </xf>
    <xf borderId="0" fillId="0" fontId="11" numFmtId="0" xfId="0" applyAlignment="1" applyFont="1">
      <alignment horizontal="left"/>
    </xf>
    <xf borderId="0" fillId="0" fontId="47" numFmtId="0" xfId="0" applyFont="1"/>
    <xf borderId="1" fillId="4" fontId="47" numFmtId="0" xfId="0" applyBorder="1" applyFont="1"/>
    <xf borderId="0" fillId="0" fontId="47" numFmtId="0" xfId="0" applyAlignment="1" applyFont="1">
      <alignment horizontal="right"/>
    </xf>
    <xf borderId="0" fillId="0" fontId="11" numFmtId="167" xfId="0" applyFont="1" applyNumberFormat="1"/>
    <xf borderId="1" fillId="9" fontId="1" numFmtId="167" xfId="0" applyAlignment="1" applyBorder="1" applyFont="1" applyNumberFormat="1">
      <alignment horizontal="right"/>
    </xf>
    <xf borderId="1" fillId="9" fontId="6" numFmtId="167" xfId="0" applyAlignment="1" applyBorder="1" applyFont="1" applyNumberFormat="1">
      <alignment horizontal="right"/>
    </xf>
    <xf borderId="1" fillId="9" fontId="50" numFmtId="166" xfId="0" applyBorder="1" applyFont="1" applyNumberFormat="1"/>
    <xf borderId="1" fillId="3" fontId="47" numFmtId="0" xfId="0" applyBorder="1" applyFont="1"/>
    <xf borderId="0" fillId="0" fontId="6" numFmtId="174" xfId="0" applyAlignment="1" applyFont="1" applyNumberFormat="1">
      <alignment horizontal="right"/>
    </xf>
    <xf borderId="1" fillId="9" fontId="47" numFmtId="0" xfId="0" applyBorder="1" applyFont="1"/>
    <xf borderId="1" fillId="3" fontId="47" numFmtId="0" xfId="0" applyAlignment="1" applyBorder="1" applyFont="1">
      <alignment vertical="center"/>
    </xf>
    <xf borderId="0" fillId="0" fontId="11" numFmtId="0" xfId="0" applyAlignment="1" applyFont="1">
      <alignment horizontal="center" vertical="center"/>
    </xf>
    <xf borderId="20" fillId="0" fontId="30" numFmtId="0" xfId="0" applyAlignment="1" applyBorder="1" applyFont="1">
      <alignment horizontal="center" vertical="center"/>
    </xf>
    <xf borderId="17" fillId="0" fontId="39" numFmtId="0" xfId="0" applyAlignment="1" applyBorder="1" applyFont="1">
      <alignment horizontal="center" vertical="center"/>
    </xf>
    <xf borderId="17" fillId="0" fontId="2" numFmtId="0" xfId="0" applyBorder="1" applyFont="1"/>
    <xf borderId="0" fillId="0" fontId="21" numFmtId="0" xfId="0" applyAlignment="1" applyFont="1">
      <alignment vertical="center"/>
    </xf>
    <xf borderId="21" fillId="0" fontId="39" numFmtId="0" xfId="0" applyAlignment="1" applyBorder="1" applyFont="1">
      <alignment vertical="center"/>
    </xf>
    <xf borderId="22" fillId="9" fontId="1" numFmtId="168" xfId="0" applyAlignment="1" applyBorder="1" applyFont="1" applyNumberFormat="1">
      <alignment horizontal="right" vertical="center"/>
    </xf>
    <xf borderId="17" fillId="0" fontId="39" numFmtId="166" xfId="0" applyAlignment="1" applyBorder="1" applyFont="1" applyNumberFormat="1">
      <alignment horizontal="right" vertical="center"/>
    </xf>
    <xf borderId="17" fillId="0" fontId="18" numFmtId="166" xfId="0" applyAlignment="1" applyBorder="1" applyFont="1" applyNumberFormat="1">
      <alignment horizontal="right" vertical="center"/>
    </xf>
    <xf borderId="21" fillId="0" fontId="30" numFmtId="0" xfId="0" applyAlignment="1" applyBorder="1" applyFont="1">
      <alignment vertical="center"/>
    </xf>
    <xf borderId="23" fillId="0" fontId="39" numFmtId="166" xfId="0" applyAlignment="1" applyBorder="1" applyFont="1" applyNumberFormat="1">
      <alignment horizontal="right" vertical="center"/>
    </xf>
    <xf borderId="0" fillId="0" fontId="21" numFmtId="171" xfId="0" applyAlignment="1" applyFont="1" applyNumberFormat="1">
      <alignment horizontal="right" vertical="center"/>
    </xf>
    <xf borderId="0" fillId="0" fontId="47" numFmtId="168" xfId="0" applyAlignment="1" applyFont="1" applyNumberFormat="1">
      <alignment horizontal="right"/>
    </xf>
    <xf borderId="23" fillId="0" fontId="18" numFmtId="166" xfId="0" applyAlignment="1" applyBorder="1" applyFont="1" applyNumberFormat="1">
      <alignment horizontal="right" vertical="center"/>
    </xf>
    <xf borderId="6" fillId="9" fontId="21" numFmtId="171" xfId="0" applyAlignment="1" applyBorder="1" applyFont="1" applyNumberFormat="1">
      <alignment horizontal="right" vertical="center"/>
    </xf>
    <xf borderId="1" fillId="3" fontId="1" numFmtId="0" xfId="0" applyAlignment="1" applyBorder="1" applyFont="1">
      <alignment vertical="center"/>
    </xf>
    <xf borderId="0" fillId="0" fontId="30" numFmtId="0" xfId="0" applyAlignment="1" applyFont="1">
      <alignment vertical="center"/>
    </xf>
    <xf borderId="0" fillId="0" fontId="30" numFmtId="0" xfId="0" applyAlignment="1" applyFont="1">
      <alignment horizontal="right"/>
    </xf>
    <xf borderId="6" fillId="0" fontId="22" numFmtId="166" xfId="0" applyBorder="1" applyFont="1" applyNumberFormat="1"/>
    <xf borderId="17" fillId="0" fontId="39" numFmtId="166" xfId="0" applyAlignment="1" applyBorder="1" applyFont="1" applyNumberFormat="1">
      <alignment horizontal="right"/>
    </xf>
    <xf borderId="17" fillId="0" fontId="22" numFmtId="166" xfId="0" applyAlignment="1" applyBorder="1" applyFont="1" applyNumberFormat="1">
      <alignment horizontal="right"/>
    </xf>
    <xf borderId="24" fillId="11" fontId="6" numFmtId="0" xfId="0" applyAlignment="1" applyBorder="1" applyFill="1" applyFont="1">
      <alignment horizontal="right"/>
    </xf>
    <xf borderId="25" fillId="11" fontId="6" numFmtId="167" xfId="0" applyAlignment="1" applyBorder="1" applyFont="1" applyNumberFormat="1">
      <alignment horizontal="right"/>
    </xf>
    <xf borderId="0" fillId="0" fontId="47" numFmtId="9" xfId="0" applyAlignment="1" applyFont="1" applyNumberFormat="1">
      <alignment horizontal="right"/>
    </xf>
    <xf borderId="1" fillId="4" fontId="21" numFmtId="0" xfId="0" applyBorder="1" applyFont="1"/>
    <xf borderId="1" fillId="5" fontId="1" numFmtId="0" xfId="0" applyBorder="1" applyFont="1"/>
    <xf borderId="1" fillId="5" fontId="1" numFmtId="0" xfId="0" applyAlignment="1" applyBorder="1" applyFont="1">
      <alignment horizontal="right"/>
    </xf>
    <xf borderId="1" fillId="5" fontId="75" numFmtId="0" xfId="0" applyBorder="1" applyFont="1"/>
    <xf borderId="1" fillId="5" fontId="76" numFmtId="37" xfId="0" applyBorder="1" applyFont="1" applyNumberFormat="1"/>
    <xf borderId="1" fillId="5" fontId="47" numFmtId="171" xfId="0" applyBorder="1" applyFont="1" applyNumberFormat="1"/>
    <xf borderId="1" fillId="5" fontId="47" numFmtId="167" xfId="0" applyBorder="1" applyFont="1" applyNumberFormat="1"/>
    <xf borderId="1" fillId="5" fontId="49" numFmtId="166" xfId="0" applyBorder="1" applyFont="1" applyNumberFormat="1"/>
    <xf borderId="1" fillId="5" fontId="50" numFmtId="166" xfId="0" applyBorder="1" applyFont="1" applyNumberFormat="1"/>
    <xf borderId="1" fillId="5" fontId="1" numFmtId="167" xfId="0" applyBorder="1" applyFont="1" applyNumberFormat="1"/>
    <xf borderId="13" fillId="9" fontId="77" numFmtId="167" xfId="0" applyAlignment="1" applyBorder="1" applyFont="1" applyNumberFormat="1">
      <alignment horizontal="right"/>
    </xf>
    <xf borderId="1" fillId="5" fontId="1" numFmtId="170" xfId="0" applyBorder="1" applyFont="1" applyNumberFormat="1"/>
    <xf borderId="1" fillId="5" fontId="1" numFmtId="169" xfId="0" applyBorder="1" applyFont="1" applyNumberFormat="1"/>
    <xf borderId="6" fillId="9" fontId="19" numFmtId="166" xfId="0" applyBorder="1" applyFont="1" applyNumberFormat="1"/>
    <xf borderId="6" fillId="9" fontId="20" numFmtId="166" xfId="0" applyBorder="1" applyFont="1" applyNumberFormat="1"/>
    <xf borderId="1" fillId="5" fontId="47" numFmtId="164" xfId="0" applyBorder="1" applyFont="1" applyNumberFormat="1"/>
    <xf borderId="1" fillId="5" fontId="47" numFmtId="167" xfId="0" applyAlignment="1" applyBorder="1" applyFont="1" applyNumberFormat="1">
      <alignment horizontal="right"/>
    </xf>
    <xf borderId="1" fillId="5" fontId="78" numFmtId="164" xfId="0" applyBorder="1" applyFont="1" applyNumberFormat="1"/>
    <xf borderId="1" fillId="5" fontId="1" numFmtId="164" xfId="0" applyBorder="1" applyFont="1" applyNumberFormat="1"/>
    <xf borderId="1" fillId="5" fontId="47" numFmtId="0" xfId="0" applyBorder="1" applyFont="1"/>
    <xf borderId="1" fillId="12" fontId="79" numFmtId="0" xfId="0" applyBorder="1" applyFill="1" applyFont="1"/>
    <xf borderId="1" fillId="12" fontId="79" numFmtId="0" xfId="0" applyAlignment="1" applyBorder="1" applyFont="1">
      <alignment horizontal="right"/>
    </xf>
    <xf borderId="1" fillId="9" fontId="79" numFmtId="0" xfId="0" applyAlignment="1" applyBorder="1" applyFont="1">
      <alignment horizontal="right"/>
    </xf>
    <xf borderId="1" fillId="12" fontId="79" numFmtId="0" xfId="0" applyAlignment="1" applyBorder="1" applyFont="1">
      <alignment horizontal="center"/>
    </xf>
    <xf borderId="1" fillId="12" fontId="80" numFmtId="168" xfId="0" applyAlignment="1" applyBorder="1" applyFont="1" applyNumberFormat="1">
      <alignment horizontal="right"/>
    </xf>
    <xf borderId="0" fillId="0" fontId="79" numFmtId="0" xfId="0" applyFont="1"/>
    <xf borderId="0" fillId="0" fontId="79" numFmtId="0" xfId="0" applyAlignment="1" applyFont="1">
      <alignment horizontal="right"/>
    </xf>
    <xf borderId="0" fillId="0" fontId="79" numFmtId="0" xfId="0" applyAlignment="1" applyFont="1">
      <alignment horizontal="center"/>
    </xf>
    <xf borderId="1" fillId="9" fontId="81" numFmtId="0" xfId="0" applyBorder="1" applyFont="1"/>
    <xf borderId="1" fillId="9" fontId="81" numFmtId="0" xfId="0" applyAlignment="1" applyBorder="1" applyFont="1">
      <alignment horizontal="right"/>
    </xf>
    <xf borderId="1" fillId="9" fontId="81" numFmtId="0" xfId="0" applyAlignment="1" applyBorder="1" applyFont="1">
      <alignment horizontal="center"/>
    </xf>
    <xf borderId="5" fillId="9" fontId="79" numFmtId="0" xfId="0" applyBorder="1" applyFont="1"/>
    <xf borderId="5" fillId="9" fontId="81" numFmtId="0" xfId="0" applyBorder="1" applyFont="1"/>
    <xf borderId="5" fillId="9" fontId="81" numFmtId="0" xfId="0" applyAlignment="1" applyBorder="1" applyFont="1">
      <alignment horizontal="right"/>
    </xf>
    <xf borderId="5" fillId="9" fontId="81" numFmtId="0" xfId="0" applyAlignment="1" applyBorder="1" applyFont="1">
      <alignment horizontal="center"/>
    </xf>
    <xf borderId="26" fillId="9" fontId="81" numFmtId="0" xfId="0" applyAlignment="1" applyBorder="1" applyFont="1">
      <alignment horizontal="right"/>
    </xf>
    <xf borderId="1" fillId="9" fontId="82" numFmtId="0" xfId="0" applyAlignment="1" applyBorder="1" applyFont="1">
      <alignment horizontal="center"/>
    </xf>
    <xf borderId="1" fillId="9" fontId="79" numFmtId="0" xfId="0" applyBorder="1" applyFont="1"/>
    <xf borderId="1" fillId="9" fontId="83" numFmtId="0" xfId="0" applyAlignment="1" applyBorder="1" applyFont="1">
      <alignment horizontal="center" vertical="center"/>
    </xf>
    <xf borderId="1" fillId="9" fontId="84" numFmtId="0" xfId="0" applyBorder="1" applyFont="1"/>
    <xf borderId="27" fillId="9" fontId="81" numFmtId="0" xfId="0" applyAlignment="1" applyBorder="1" applyFont="1">
      <alignment horizontal="right"/>
    </xf>
    <xf quotePrefix="1" borderId="26" fillId="9" fontId="85" numFmtId="0" xfId="0" applyAlignment="1" applyBorder="1" applyFont="1">
      <alignment horizontal="center"/>
    </xf>
    <xf borderId="1" fillId="13" fontId="86" numFmtId="0" xfId="0" applyBorder="1" applyFill="1" applyFont="1"/>
    <xf borderId="1" fillId="13" fontId="87" numFmtId="0" xfId="0" applyAlignment="1" applyBorder="1" applyFont="1">
      <alignment horizontal="center" vertical="center"/>
    </xf>
    <xf borderId="1" fillId="13" fontId="82" numFmtId="0" xfId="0" applyAlignment="1" applyBorder="1" applyFont="1">
      <alignment horizontal="right"/>
    </xf>
    <xf borderId="1" fillId="13" fontId="88" numFmtId="0" xfId="0" applyAlignment="1" applyBorder="1" applyFont="1">
      <alignment horizontal="center"/>
    </xf>
    <xf borderId="1" fillId="9" fontId="89" numFmtId="164" xfId="0" applyAlignment="1" applyBorder="1" applyFont="1" applyNumberFormat="1">
      <alignment horizontal="left"/>
    </xf>
    <xf borderId="1" fillId="9" fontId="90" numFmtId="0" xfId="0" applyAlignment="1" applyBorder="1" applyFont="1">
      <alignment horizontal="left"/>
    </xf>
    <xf borderId="1" fillId="9" fontId="91" numFmtId="165" xfId="0" applyAlignment="1" applyBorder="1" applyFont="1" applyNumberFormat="1">
      <alignment horizontal="right"/>
    </xf>
    <xf borderId="1" fillId="9" fontId="92" numFmtId="165" xfId="0" applyAlignment="1" applyBorder="1" applyFont="1" applyNumberFormat="1">
      <alignment horizontal="right"/>
    </xf>
    <xf borderId="1" fillId="9" fontId="93" numFmtId="0" xfId="0" applyAlignment="1" applyBorder="1" applyFont="1">
      <alignment horizontal="center"/>
    </xf>
    <xf borderId="1" fillId="9" fontId="81" numFmtId="164" xfId="0" applyAlignment="1" applyBorder="1" applyFont="1" applyNumberFormat="1">
      <alignment horizontal="left"/>
    </xf>
    <xf borderId="1" fillId="9" fontId="80" numFmtId="168" xfId="0" applyAlignment="1" applyBorder="1" applyFont="1" applyNumberFormat="1">
      <alignment horizontal="right"/>
    </xf>
    <xf borderId="1" fillId="9" fontId="81" numFmtId="168" xfId="0" applyAlignment="1" applyBorder="1" applyFont="1" applyNumberFormat="1">
      <alignment horizontal="right"/>
    </xf>
    <xf borderId="0" fillId="0" fontId="81" numFmtId="171" xfId="0" applyAlignment="1" applyFont="1" applyNumberFormat="1">
      <alignment horizontal="right"/>
    </xf>
    <xf borderId="1" fillId="9" fontId="79" numFmtId="37" xfId="0" applyAlignment="1" applyBorder="1" applyFont="1" applyNumberFormat="1">
      <alignment horizontal="right"/>
    </xf>
    <xf borderId="1" fillId="9" fontId="83" numFmtId="166" xfId="0" applyAlignment="1" applyBorder="1" applyFont="1" applyNumberFormat="1">
      <alignment horizontal="center"/>
    </xf>
    <xf borderId="1" fillId="9" fontId="91" numFmtId="0" xfId="0" applyBorder="1" applyFont="1"/>
    <xf borderId="1" fillId="9" fontId="94" numFmtId="166" xfId="0" applyAlignment="1" applyBorder="1" applyFont="1" applyNumberFormat="1">
      <alignment horizontal="left"/>
    </xf>
    <xf borderId="1" fillId="9" fontId="95" numFmtId="166" xfId="0" applyAlignment="1" applyBorder="1" applyFont="1" applyNumberFormat="1">
      <alignment horizontal="left"/>
    </xf>
    <xf borderId="1" fillId="9" fontId="96" numFmtId="167" xfId="0" applyAlignment="1" applyBorder="1" applyFont="1" applyNumberFormat="1">
      <alignment horizontal="right"/>
    </xf>
    <xf borderId="1" fillId="9" fontId="91" numFmtId="0" xfId="0" applyAlignment="1" applyBorder="1" applyFont="1">
      <alignment horizontal="center"/>
    </xf>
    <xf borderId="1" fillId="9" fontId="97" numFmtId="164" xfId="0" applyAlignment="1" applyBorder="1" applyFont="1" applyNumberFormat="1">
      <alignment horizontal="left"/>
    </xf>
    <xf borderId="1" fillId="9" fontId="79" numFmtId="167" xfId="0" applyAlignment="1" applyBorder="1" applyFont="1" applyNumberFormat="1">
      <alignment horizontal="right"/>
    </xf>
    <xf borderId="1" fillId="9" fontId="79" numFmtId="0" xfId="0" applyAlignment="1" applyBorder="1" applyFont="1">
      <alignment horizontal="center"/>
    </xf>
    <xf borderId="1" fillId="9" fontId="79" numFmtId="164" xfId="0" applyAlignment="1" applyBorder="1" applyFont="1" applyNumberFormat="1">
      <alignment horizontal="left"/>
    </xf>
    <xf borderId="1" fillId="9" fontId="83" numFmtId="167" xfId="0" applyAlignment="1" applyBorder="1" applyFont="1" applyNumberFormat="1">
      <alignment horizontal="right"/>
    </xf>
    <xf borderId="1" fillId="9" fontId="83" numFmtId="166" xfId="0" applyAlignment="1" applyBorder="1" applyFont="1" applyNumberFormat="1">
      <alignment horizontal="right"/>
    </xf>
    <xf borderId="1" fillId="9" fontId="79" numFmtId="168" xfId="0" applyBorder="1" applyFont="1" applyNumberFormat="1"/>
    <xf borderId="1" fillId="9" fontId="79" numFmtId="168" xfId="0" applyAlignment="1" applyBorder="1" applyFont="1" applyNumberFormat="1">
      <alignment horizontal="right"/>
    </xf>
    <xf borderId="1" fillId="9" fontId="98" numFmtId="166" xfId="0" applyAlignment="1" applyBorder="1" applyFont="1" applyNumberFormat="1">
      <alignment horizontal="left"/>
    </xf>
    <xf borderId="22" fillId="9" fontId="99" numFmtId="0" xfId="0" applyAlignment="1" applyBorder="1" applyFont="1">
      <alignment horizontal="left"/>
    </xf>
    <xf borderId="28" fillId="9" fontId="79" numFmtId="0" xfId="0" applyBorder="1" applyFont="1"/>
    <xf borderId="28" fillId="9" fontId="79" numFmtId="168" xfId="0" applyAlignment="1" applyBorder="1" applyFont="1" applyNumberFormat="1">
      <alignment horizontal="right"/>
    </xf>
    <xf borderId="28" fillId="9" fontId="83" numFmtId="166" xfId="0" applyAlignment="1" applyBorder="1" applyFont="1" applyNumberFormat="1">
      <alignment horizontal="right"/>
    </xf>
    <xf borderId="28" fillId="9" fontId="79" numFmtId="0" xfId="0" applyAlignment="1" applyBorder="1" applyFont="1">
      <alignment horizontal="right"/>
    </xf>
    <xf borderId="29" fillId="9" fontId="79" numFmtId="0" xfId="0" applyAlignment="1" applyBorder="1" applyFont="1">
      <alignment horizontal="center"/>
    </xf>
    <xf borderId="1" fillId="9" fontId="81" numFmtId="9" xfId="0" applyAlignment="1" applyBorder="1" applyFont="1" applyNumberFormat="1">
      <alignment horizontal="left"/>
    </xf>
    <xf borderId="30" fillId="9" fontId="81" numFmtId="9" xfId="0" applyAlignment="1" applyBorder="1" applyFont="1" applyNumberFormat="1">
      <alignment horizontal="left"/>
    </xf>
    <xf borderId="1" fillId="9" fontId="100" numFmtId="166" xfId="0" applyAlignment="1" applyBorder="1" applyFont="1" applyNumberFormat="1">
      <alignment horizontal="right"/>
    </xf>
    <xf borderId="13" fillId="9" fontId="100" numFmtId="166" xfId="0" applyAlignment="1" applyBorder="1" applyFont="1" applyNumberFormat="1">
      <alignment horizontal="right"/>
    </xf>
    <xf borderId="1" fillId="9" fontId="81" numFmtId="0" xfId="0" applyAlignment="1" applyBorder="1" applyFont="1">
      <alignment horizontal="left" vertical="center"/>
    </xf>
    <xf borderId="30" fillId="9" fontId="81" numFmtId="0" xfId="0" applyAlignment="1" applyBorder="1" applyFont="1">
      <alignment horizontal="left" vertical="center"/>
    </xf>
    <xf borderId="1" fillId="9" fontId="81" numFmtId="9" xfId="0" applyAlignment="1" applyBorder="1" applyFont="1" applyNumberFormat="1">
      <alignment horizontal="left" vertical="center"/>
    </xf>
    <xf borderId="31" fillId="9" fontId="81" numFmtId="9" xfId="0" applyAlignment="1" applyBorder="1" applyFont="1" applyNumberFormat="1">
      <alignment horizontal="left" vertical="center"/>
    </xf>
    <xf borderId="26" fillId="9" fontId="79" numFmtId="0" xfId="0" applyBorder="1" applyFont="1"/>
    <xf borderId="26" fillId="9" fontId="100" numFmtId="166" xfId="0" applyAlignment="1" applyBorder="1" applyFont="1" applyNumberFormat="1">
      <alignment horizontal="right"/>
    </xf>
    <xf borderId="26" fillId="9" fontId="79" numFmtId="168" xfId="0" applyAlignment="1" applyBorder="1" applyFont="1" applyNumberFormat="1">
      <alignment horizontal="right"/>
    </xf>
    <xf borderId="26" fillId="9" fontId="83" numFmtId="166" xfId="0" applyAlignment="1" applyBorder="1" applyFont="1" applyNumberFormat="1">
      <alignment horizontal="right"/>
    </xf>
    <xf borderId="26" fillId="9" fontId="79" numFmtId="0" xfId="0" applyAlignment="1" applyBorder="1" applyFont="1">
      <alignment horizontal="right"/>
    </xf>
    <xf borderId="32" fillId="9" fontId="100" numFmtId="166" xfId="0" applyAlignment="1" applyBorder="1" applyFont="1" applyNumberFormat="1">
      <alignment horizontal="right"/>
    </xf>
    <xf borderId="1" fillId="9" fontId="79" numFmtId="0" xfId="0" applyAlignment="1" applyBorder="1" applyFont="1">
      <alignment horizontal="left"/>
    </xf>
    <xf borderId="1" fillId="9" fontId="83" numFmtId="0" xfId="0" applyAlignment="1" applyBorder="1" applyFont="1">
      <alignment horizontal="left"/>
    </xf>
    <xf borderId="1" fillId="9" fontId="83" numFmtId="168" xfId="0" applyBorder="1" applyFont="1" applyNumberFormat="1"/>
    <xf borderId="1" fillId="9" fontId="83" numFmtId="168" xfId="0" applyAlignment="1" applyBorder="1" applyFont="1" applyNumberFormat="1">
      <alignment horizontal="right"/>
    </xf>
    <xf borderId="1" fillId="9" fontId="83" numFmtId="0" xfId="0" applyAlignment="1" applyBorder="1" applyFont="1">
      <alignment horizontal="right"/>
    </xf>
    <xf borderId="1" fillId="9" fontId="83" numFmtId="0" xfId="0" applyAlignment="1" applyBorder="1" applyFont="1">
      <alignment horizontal="center"/>
    </xf>
    <xf borderId="1" fillId="9" fontId="83" numFmtId="0" xfId="0" applyBorder="1" applyFont="1"/>
    <xf borderId="1" fillId="9" fontId="83" numFmtId="164" xfId="0" applyAlignment="1" applyBorder="1" applyFont="1" applyNumberFormat="1">
      <alignment horizontal="left"/>
    </xf>
    <xf borderId="1" fillId="13" fontId="96" numFmtId="0" xfId="0" applyBorder="1" applyFont="1"/>
    <xf borderId="1" fillId="13" fontId="101" numFmtId="166" xfId="0" applyAlignment="1" applyBorder="1" applyFont="1" applyNumberFormat="1">
      <alignment horizontal="left"/>
    </xf>
    <xf borderId="1" fillId="13" fontId="96" numFmtId="168" xfId="0" applyBorder="1" applyFont="1" applyNumberFormat="1"/>
    <xf borderId="1" fillId="13" fontId="96" numFmtId="168" xfId="0" applyAlignment="1" applyBorder="1" applyFont="1" applyNumberFormat="1">
      <alignment horizontal="right"/>
    </xf>
    <xf borderId="1" fillId="13" fontId="102" numFmtId="166" xfId="0" applyAlignment="1" applyBorder="1" applyFont="1" applyNumberFormat="1">
      <alignment horizontal="right"/>
    </xf>
    <xf borderId="1" fillId="13" fontId="79" numFmtId="0" xfId="0" applyAlignment="1" applyBorder="1" applyFont="1">
      <alignment horizontal="right"/>
    </xf>
    <xf borderId="1" fillId="13" fontId="91" numFmtId="0" xfId="0" applyAlignment="1" applyBorder="1" applyFont="1">
      <alignment horizontal="center"/>
    </xf>
    <xf borderId="1" fillId="13" fontId="91" numFmtId="0" xfId="0" applyBorder="1" applyFont="1"/>
    <xf borderId="1" fillId="9" fontId="83" numFmtId="9" xfId="0" applyAlignment="1" applyBorder="1" applyFont="1" applyNumberFormat="1">
      <alignment horizontal="center"/>
    </xf>
    <xf borderId="1" fillId="9" fontId="81" numFmtId="168" xfId="0" applyBorder="1" applyFont="1" applyNumberFormat="1"/>
    <xf borderId="22" fillId="9" fontId="103" numFmtId="164" xfId="0" applyAlignment="1" applyBorder="1" applyFont="1" applyNumberFormat="1">
      <alignment horizontal="left"/>
    </xf>
    <xf borderId="28" fillId="9" fontId="79" numFmtId="0" xfId="0" applyAlignment="1" applyBorder="1" applyFont="1">
      <alignment horizontal="left"/>
    </xf>
    <xf borderId="29" fillId="9" fontId="83" numFmtId="166" xfId="0" applyAlignment="1" applyBorder="1" applyFont="1" applyNumberFormat="1">
      <alignment horizontal="right"/>
    </xf>
    <xf borderId="30" fillId="9" fontId="79" numFmtId="164" xfId="0" applyAlignment="1" applyBorder="1" applyFont="1" applyNumberFormat="1">
      <alignment horizontal="left"/>
    </xf>
    <xf borderId="13" fillId="9" fontId="83" numFmtId="166" xfId="0" applyAlignment="1" applyBorder="1" applyFont="1" applyNumberFormat="1">
      <alignment horizontal="right"/>
    </xf>
    <xf borderId="30" fillId="9" fontId="79" numFmtId="0" xfId="0" applyBorder="1" applyFont="1"/>
    <xf borderId="30" fillId="9" fontId="100" numFmtId="9" xfId="0" applyAlignment="1" applyBorder="1" applyFont="1" applyNumberFormat="1">
      <alignment horizontal="left"/>
    </xf>
    <xf borderId="1" fillId="9" fontId="104" numFmtId="166" xfId="0" applyAlignment="1" applyBorder="1" applyFont="1" applyNumberFormat="1">
      <alignment horizontal="left"/>
    </xf>
    <xf borderId="30" fillId="9" fontId="100" numFmtId="0" xfId="0" applyAlignment="1" applyBorder="1" applyFont="1">
      <alignment horizontal="left" vertical="center"/>
    </xf>
    <xf borderId="31" fillId="9" fontId="100" numFmtId="9" xfId="0" applyAlignment="1" applyBorder="1" applyFont="1" applyNumberFormat="1">
      <alignment horizontal="left" vertical="center"/>
    </xf>
    <xf borderId="26" fillId="9" fontId="104" numFmtId="166" xfId="0" applyAlignment="1" applyBorder="1" applyFont="1" applyNumberFormat="1">
      <alignment horizontal="left"/>
    </xf>
    <xf borderId="22" fillId="9" fontId="105" numFmtId="164" xfId="0" applyAlignment="1" applyBorder="1" applyFont="1" applyNumberFormat="1">
      <alignment horizontal="left"/>
    </xf>
    <xf borderId="30" fillId="9" fontId="83" numFmtId="164" xfId="0" applyAlignment="1" applyBorder="1" applyFont="1" applyNumberFormat="1">
      <alignment horizontal="left"/>
    </xf>
    <xf borderId="1" fillId="10" fontId="106" numFmtId="0" xfId="0" applyBorder="1" applyFont="1"/>
    <xf borderId="1" fillId="10" fontId="106" numFmtId="0" xfId="0" applyAlignment="1" applyBorder="1" applyFont="1">
      <alignment horizontal="right"/>
    </xf>
    <xf borderId="1" fillId="9" fontId="106" numFmtId="0" xfId="0" applyAlignment="1" applyBorder="1" applyFont="1">
      <alignment horizontal="right"/>
    </xf>
    <xf borderId="1" fillId="10" fontId="106" numFmtId="0" xfId="0" applyAlignment="1" applyBorder="1" applyFont="1">
      <alignment horizontal="center"/>
    </xf>
    <xf borderId="1" fillId="10" fontId="107" numFmtId="0" xfId="0" applyBorder="1" applyFont="1"/>
    <xf borderId="1" fillId="10" fontId="106" numFmtId="164" xfId="0" applyAlignment="1" applyBorder="1" applyFont="1" applyNumberFormat="1">
      <alignment horizontal="left"/>
    </xf>
    <xf borderId="1" fillId="10" fontId="108" numFmtId="166" xfId="0" applyAlignment="1" applyBorder="1" applyFont="1" applyNumberFormat="1">
      <alignment horizontal="left"/>
    </xf>
    <xf borderId="1" fillId="10" fontId="106" numFmtId="168" xfId="0" applyAlignment="1" applyBorder="1" applyFont="1" applyNumberFormat="1">
      <alignment horizontal="right"/>
    </xf>
    <xf borderId="1" fillId="9" fontId="106" numFmtId="168" xfId="0" applyAlignment="1" applyBorder="1" applyFont="1" applyNumberFormat="1">
      <alignment horizontal="right"/>
    </xf>
    <xf borderId="1" fillId="10" fontId="106" numFmtId="37" xfId="0" applyAlignment="1" applyBorder="1" applyFont="1" applyNumberFormat="1">
      <alignment horizontal="right"/>
    </xf>
    <xf borderId="1" fillId="10" fontId="79" numFmtId="0" xfId="0" applyBorder="1" applyFont="1"/>
    <xf borderId="1" fillId="10" fontId="79" numFmtId="0" xfId="0" applyAlignment="1" applyBorder="1" applyFont="1">
      <alignment horizontal="right"/>
    </xf>
    <xf borderId="1" fillId="10" fontId="79" numFmtId="0" xfId="0" applyAlignment="1" applyBorder="1" applyFont="1">
      <alignment horizontal="center"/>
    </xf>
    <xf borderId="1" fillId="10" fontId="109" numFmtId="0" xfId="0" applyBorder="1" applyFont="1"/>
    <xf borderId="1" fillId="10" fontId="110" numFmtId="0" xfId="0" applyBorder="1" applyFont="1"/>
    <xf borderId="1" fillId="10" fontId="110" numFmtId="0" xfId="0" applyAlignment="1" applyBorder="1" applyFont="1">
      <alignment horizontal="right"/>
    </xf>
    <xf borderId="1" fillId="9" fontId="110" numFmtId="0" xfId="0" applyAlignment="1" applyBorder="1" applyFont="1">
      <alignment horizontal="right"/>
    </xf>
    <xf borderId="1" fillId="10" fontId="91" numFmtId="0" xfId="0" applyBorder="1" applyFont="1"/>
    <xf borderId="1" fillId="10" fontId="110" numFmtId="164" xfId="0" applyAlignment="1" applyBorder="1" applyFont="1" applyNumberFormat="1">
      <alignment horizontal="left"/>
    </xf>
    <xf borderId="1" fillId="10" fontId="111" numFmtId="166" xfId="0" applyAlignment="1" applyBorder="1" applyFont="1" applyNumberFormat="1">
      <alignment horizontal="left"/>
    </xf>
    <xf borderId="1" fillId="10" fontId="110" numFmtId="168" xfId="0" applyAlignment="1" applyBorder="1" applyFont="1" applyNumberFormat="1">
      <alignment horizontal="right"/>
    </xf>
    <xf borderId="1" fillId="9" fontId="110" numFmtId="168" xfId="0" applyAlignment="1" applyBorder="1" applyFont="1" applyNumberFormat="1">
      <alignment horizontal="right"/>
    </xf>
    <xf borderId="1" fillId="10" fontId="79" numFmtId="37" xfId="0" applyAlignment="1" applyBorder="1" applyFont="1" applyNumberFormat="1">
      <alignment horizontal="right"/>
    </xf>
    <xf borderId="1" fillId="10" fontId="91" numFmtId="0" xfId="0" applyAlignment="1" applyBorder="1" applyFont="1">
      <alignment horizontal="center"/>
    </xf>
    <xf borderId="1" fillId="10" fontId="112" numFmtId="164" xfId="0" applyAlignment="1" applyBorder="1" applyFont="1" applyNumberFormat="1">
      <alignment horizontal="left"/>
    </xf>
    <xf borderId="1" fillId="10" fontId="79" numFmtId="0" xfId="0" applyAlignment="1" applyBorder="1" applyFont="1">
      <alignment horizontal="left"/>
    </xf>
    <xf borderId="1" fillId="10" fontId="83" numFmtId="166" xfId="0" applyAlignment="1" applyBorder="1" applyFont="1" applyNumberFormat="1">
      <alignment horizontal="right"/>
    </xf>
    <xf borderId="1" fillId="10" fontId="83" numFmtId="164" xfId="0" applyAlignment="1" applyBorder="1" applyFont="1" applyNumberFormat="1">
      <alignment horizontal="left"/>
    </xf>
    <xf borderId="1" fillId="10" fontId="113" numFmtId="166" xfId="0" applyAlignment="1" applyBorder="1" applyFont="1" applyNumberFormat="1">
      <alignment horizontal="left"/>
    </xf>
    <xf borderId="1" fillId="10" fontId="79" numFmtId="168" xfId="0" applyBorder="1" applyFont="1" applyNumberFormat="1"/>
    <xf borderId="22" fillId="10" fontId="81" numFmtId="9" xfId="0" applyAlignment="1" applyBorder="1" applyFont="1" applyNumberFormat="1">
      <alignment horizontal="left"/>
    </xf>
    <xf borderId="28" fillId="10" fontId="104" numFmtId="166" xfId="0" applyAlignment="1" applyBorder="1" applyFont="1" applyNumberFormat="1">
      <alignment horizontal="left"/>
    </xf>
    <xf borderId="28" fillId="10" fontId="100" numFmtId="166" xfId="0" applyAlignment="1" applyBorder="1" applyFont="1" applyNumberFormat="1">
      <alignment horizontal="right"/>
    </xf>
    <xf borderId="28" fillId="9" fontId="100" numFmtId="166" xfId="0" applyAlignment="1" applyBorder="1" applyFont="1" applyNumberFormat="1">
      <alignment horizontal="right"/>
    </xf>
    <xf borderId="28" fillId="10" fontId="83" numFmtId="166" xfId="0" applyAlignment="1" applyBorder="1" applyFont="1" applyNumberFormat="1">
      <alignment horizontal="right"/>
    </xf>
    <xf borderId="29" fillId="10" fontId="100" numFmtId="166" xfId="0" applyAlignment="1" applyBorder="1" applyFont="1" applyNumberFormat="1">
      <alignment horizontal="right"/>
    </xf>
    <xf borderId="30" fillId="10" fontId="81" numFmtId="0" xfId="0" applyAlignment="1" applyBorder="1" applyFont="1">
      <alignment horizontal="left" vertical="center"/>
    </xf>
    <xf borderId="1" fillId="10" fontId="104" numFmtId="166" xfId="0" applyAlignment="1" applyBorder="1" applyFont="1" applyNumberFormat="1">
      <alignment horizontal="left"/>
    </xf>
    <xf borderId="1" fillId="10" fontId="100" numFmtId="166" xfId="0" applyAlignment="1" applyBorder="1" applyFont="1" applyNumberFormat="1">
      <alignment horizontal="right"/>
    </xf>
    <xf borderId="13" fillId="10" fontId="100" numFmtId="166" xfId="0" applyAlignment="1" applyBorder="1" applyFont="1" applyNumberFormat="1">
      <alignment horizontal="right"/>
    </xf>
    <xf borderId="31" fillId="10" fontId="81" numFmtId="9" xfId="0" applyAlignment="1" applyBorder="1" applyFont="1" applyNumberFormat="1">
      <alignment horizontal="left" vertical="center"/>
    </xf>
    <xf borderId="26" fillId="10" fontId="104" numFmtId="166" xfId="0" applyAlignment="1" applyBorder="1" applyFont="1" applyNumberFormat="1">
      <alignment horizontal="left"/>
    </xf>
    <xf borderId="26" fillId="10" fontId="100" numFmtId="166" xfId="0" applyAlignment="1" applyBorder="1" applyFont="1" applyNumberFormat="1">
      <alignment horizontal="right"/>
    </xf>
    <xf borderId="26" fillId="10" fontId="83" numFmtId="166" xfId="0" applyAlignment="1" applyBorder="1" applyFont="1" applyNumberFormat="1">
      <alignment horizontal="right"/>
    </xf>
    <xf borderId="32" fillId="10" fontId="100" numFmtId="166" xfId="0" applyAlignment="1" applyBorder="1" applyFont="1" applyNumberFormat="1">
      <alignment horizontal="right"/>
    </xf>
    <xf borderId="1" fillId="10" fontId="114" numFmtId="0" xfId="0" applyBorder="1" applyFont="1"/>
    <xf borderId="1" fillId="10" fontId="115" numFmtId="0" xfId="0" applyBorder="1" applyFont="1"/>
    <xf borderId="1" fillId="10" fontId="114" numFmtId="0" xfId="0" applyAlignment="1" applyBorder="1" applyFont="1">
      <alignment horizontal="right"/>
    </xf>
    <xf borderId="1" fillId="9" fontId="114" numFmtId="0" xfId="0" applyAlignment="1" applyBorder="1" applyFont="1">
      <alignment horizontal="right"/>
    </xf>
    <xf borderId="1" fillId="10" fontId="114" numFmtId="0" xfId="0" applyAlignment="1" applyBorder="1" applyFont="1">
      <alignment horizontal="center"/>
    </xf>
    <xf borderId="1" fillId="10" fontId="114" numFmtId="164" xfId="0" applyAlignment="1" applyBorder="1" applyFont="1" applyNumberFormat="1">
      <alignment horizontal="left"/>
    </xf>
    <xf borderId="1" fillId="10" fontId="116" numFmtId="166" xfId="0" applyAlignment="1" applyBorder="1" applyFont="1" applyNumberFormat="1">
      <alignment horizontal="left"/>
    </xf>
    <xf borderId="1" fillId="10" fontId="114" numFmtId="168" xfId="0" applyAlignment="1" applyBorder="1" applyFont="1" applyNumberFormat="1">
      <alignment horizontal="right"/>
    </xf>
    <xf borderId="1" fillId="9" fontId="114" numFmtId="168" xfId="0" applyAlignment="1" applyBorder="1" applyFont="1" applyNumberFormat="1">
      <alignment horizontal="right"/>
    </xf>
    <xf borderId="1" fillId="10" fontId="114" numFmtId="37" xfId="0" applyAlignment="1" applyBorder="1" applyFont="1" applyNumberFormat="1">
      <alignment horizontal="right"/>
    </xf>
    <xf borderId="1" fillId="10" fontId="114" numFmtId="166" xfId="0" applyAlignment="1" applyBorder="1" applyFont="1" applyNumberFormat="1">
      <alignment horizontal="right"/>
    </xf>
    <xf borderId="1" fillId="10" fontId="79" numFmtId="168" xfId="0" applyAlignment="1" applyBorder="1" applyFont="1" applyNumberFormat="1">
      <alignment horizontal="right"/>
    </xf>
    <xf borderId="1" fillId="10" fontId="117" numFmtId="0" xfId="0" applyBorder="1" applyFont="1"/>
    <xf borderId="1" fillId="10" fontId="118" numFmtId="0" xfId="0" applyAlignment="1" applyBorder="1" applyFont="1">
      <alignment horizontal="left"/>
    </xf>
    <xf borderId="1" fillId="10" fontId="117" numFmtId="0" xfId="0" applyAlignment="1" applyBorder="1" applyFont="1">
      <alignment horizontal="right"/>
    </xf>
    <xf borderId="1" fillId="9" fontId="117" numFmtId="0" xfId="0" applyAlignment="1" applyBorder="1" applyFont="1">
      <alignment horizontal="right"/>
    </xf>
    <xf borderId="1" fillId="10" fontId="117" numFmtId="0" xfId="0" applyAlignment="1" applyBorder="1" applyFont="1">
      <alignment horizontal="center"/>
    </xf>
    <xf borderId="1" fillId="10" fontId="117" numFmtId="164" xfId="0" applyAlignment="1" applyBorder="1" applyFont="1" applyNumberFormat="1">
      <alignment horizontal="left"/>
    </xf>
    <xf borderId="1" fillId="10" fontId="117" numFmtId="168" xfId="0" applyAlignment="1" applyBorder="1" applyFont="1" applyNumberFormat="1">
      <alignment horizontal="right"/>
    </xf>
    <xf borderId="1" fillId="9" fontId="117" numFmtId="168" xfId="0" applyAlignment="1" applyBorder="1" applyFont="1" applyNumberFormat="1">
      <alignment horizontal="right"/>
    </xf>
    <xf borderId="1" fillId="10" fontId="117" numFmtId="37" xfId="0" applyAlignment="1" applyBorder="1" applyFont="1" applyNumberFormat="1">
      <alignment horizontal="right"/>
    </xf>
    <xf borderId="1" fillId="10" fontId="119" numFmtId="0" xfId="0" applyBorder="1" applyFont="1"/>
    <xf borderId="1" fillId="10" fontId="119" numFmtId="0" xfId="0" applyAlignment="1" applyBorder="1" applyFont="1">
      <alignment horizontal="right"/>
    </xf>
    <xf borderId="1" fillId="9" fontId="119" numFmtId="0" xfId="0" applyAlignment="1" applyBorder="1" applyFont="1">
      <alignment horizontal="right"/>
    </xf>
    <xf borderId="1" fillId="10" fontId="119" numFmtId="0" xfId="0" applyAlignment="1" applyBorder="1" applyFont="1">
      <alignment horizontal="center"/>
    </xf>
    <xf borderId="1" fillId="10" fontId="83" numFmtId="9" xfId="0" applyAlignment="1" applyBorder="1" applyFont="1" applyNumberFormat="1">
      <alignment horizontal="center"/>
    </xf>
    <xf borderId="22" fillId="10" fontId="120" numFmtId="0" xfId="0" applyBorder="1" applyFont="1"/>
    <xf borderId="28" fillId="10" fontId="119" numFmtId="0" xfId="0" applyBorder="1" applyFont="1"/>
    <xf borderId="28" fillId="10" fontId="119" numFmtId="0" xfId="0" applyAlignment="1" applyBorder="1" applyFont="1">
      <alignment horizontal="right"/>
    </xf>
    <xf borderId="28" fillId="9" fontId="119" numFmtId="0" xfId="0" applyAlignment="1" applyBorder="1" applyFont="1">
      <alignment horizontal="right"/>
    </xf>
    <xf borderId="29" fillId="10" fontId="119" numFmtId="0" xfId="0" applyAlignment="1" applyBorder="1" applyFont="1">
      <alignment horizontal="right"/>
    </xf>
    <xf borderId="30" fillId="10" fontId="119" numFmtId="164" xfId="0" applyAlignment="1" applyBorder="1" applyFont="1" applyNumberFormat="1">
      <alignment horizontal="left"/>
    </xf>
    <xf borderId="1" fillId="10" fontId="121" numFmtId="166" xfId="0" applyAlignment="1" applyBorder="1" applyFont="1" applyNumberFormat="1">
      <alignment horizontal="left"/>
    </xf>
    <xf borderId="1" fillId="10" fontId="119" numFmtId="168" xfId="0" applyAlignment="1" applyBorder="1" applyFont="1" applyNumberFormat="1">
      <alignment horizontal="right"/>
    </xf>
    <xf borderId="1" fillId="9" fontId="119" numFmtId="168" xfId="0" applyAlignment="1" applyBorder="1" applyFont="1" applyNumberFormat="1">
      <alignment horizontal="right"/>
    </xf>
    <xf borderId="13" fillId="10" fontId="119" numFmtId="168" xfId="0" applyAlignment="1" applyBorder="1" applyFont="1" applyNumberFormat="1">
      <alignment horizontal="right"/>
    </xf>
    <xf borderId="1" fillId="10" fontId="119" numFmtId="37" xfId="0" applyAlignment="1" applyBorder="1" applyFont="1" applyNumberFormat="1">
      <alignment horizontal="right"/>
    </xf>
    <xf borderId="31" fillId="10" fontId="117" numFmtId="164" xfId="0" applyAlignment="1" applyBorder="1" applyFont="1" applyNumberFormat="1">
      <alignment horizontal="left"/>
    </xf>
    <xf borderId="26" fillId="10" fontId="122" numFmtId="166" xfId="0" applyAlignment="1" applyBorder="1" applyFont="1" applyNumberFormat="1">
      <alignment horizontal="left"/>
    </xf>
    <xf borderId="26" fillId="10" fontId="117" numFmtId="168" xfId="0" applyAlignment="1" applyBorder="1" applyFont="1" applyNumberFormat="1">
      <alignment horizontal="right"/>
    </xf>
    <xf borderId="26" fillId="9" fontId="117" numFmtId="168" xfId="0" applyAlignment="1" applyBorder="1" applyFont="1" applyNumberFormat="1">
      <alignment horizontal="right"/>
    </xf>
    <xf borderId="32" fillId="10" fontId="117" numFmtId="168" xfId="0" applyAlignment="1" applyBorder="1" applyFont="1" applyNumberFormat="1">
      <alignment horizontal="right"/>
    </xf>
    <xf borderId="1" fillId="10" fontId="123" numFmtId="168" xfId="0" applyAlignment="1" applyBorder="1" applyFont="1" applyNumberFormat="1">
      <alignment horizontal="right"/>
    </xf>
    <xf borderId="1" fillId="10" fontId="117" numFmtId="9" xfId="0" applyAlignment="1" applyBorder="1" applyFont="1" applyNumberFormat="1">
      <alignment horizontal="right"/>
    </xf>
    <xf borderId="0" fillId="0" fontId="119" numFmtId="0" xfId="0" applyFont="1"/>
    <xf borderId="0" fillId="0" fontId="119" numFmtId="0" xfId="0" applyAlignment="1" applyFont="1">
      <alignment horizontal="right"/>
    </xf>
    <xf borderId="0" fillId="0" fontId="119" numFmtId="0" xfId="0" applyAlignment="1" applyFont="1">
      <alignment horizontal="center"/>
    </xf>
    <xf borderId="1" fillId="5" fontId="6" numFmtId="0" xfId="0" applyBorder="1" applyFont="1"/>
    <xf borderId="11" fillId="0" fontId="6" numFmtId="37" xfId="0" applyAlignment="1" applyBorder="1" applyFont="1" applyNumberFormat="1">
      <alignment horizontal="right"/>
    </xf>
    <xf borderId="11" fillId="0" fontId="11" numFmtId="167" xfId="0" applyAlignment="1" applyBorder="1" applyFont="1" applyNumberFormat="1">
      <alignment horizontal="right"/>
    </xf>
    <xf borderId="1" fillId="9" fontId="14" numFmtId="167" xfId="0" applyAlignment="1" applyBorder="1" applyFont="1" applyNumberFormat="1">
      <alignment horizontal="right"/>
    </xf>
    <xf borderId="13" fillId="9" fontId="11" numFmtId="167" xfId="0" applyAlignment="1" applyBorder="1" applyFont="1" applyNumberFormat="1">
      <alignment horizontal="right"/>
    </xf>
    <xf borderId="1" fillId="9" fontId="124" numFmtId="0" xfId="0" applyAlignment="1" applyBorder="1" applyFont="1">
      <alignment horizontal="left"/>
    </xf>
    <xf borderId="1" fillId="9" fontId="125" numFmtId="167" xfId="0" applyAlignment="1" applyBorder="1" applyFont="1" applyNumberFormat="1">
      <alignment horizontal="right"/>
    </xf>
    <xf borderId="1" fillId="9" fontId="17" numFmtId="0" xfId="0" applyBorder="1" applyFont="1"/>
    <xf borderId="1" fillId="9" fontId="11" numFmtId="166" xfId="0" applyBorder="1" applyFont="1" applyNumberFormat="1"/>
    <xf borderId="1" fillId="9" fontId="6" numFmtId="169" xfId="0" applyBorder="1" applyFont="1" applyNumberFormat="1"/>
    <xf borderId="1" fillId="9" fontId="1" numFmtId="167" xfId="0" applyBorder="1" applyFont="1" applyNumberFormat="1"/>
    <xf borderId="15" fillId="6" fontId="20" numFmtId="166" xfId="0" applyAlignment="1" applyBorder="1" applyFont="1" applyNumberFormat="1">
      <alignment horizontal="right"/>
    </xf>
    <xf borderId="6" fillId="0" fontId="67" numFmtId="166" xfId="0" applyBorder="1" applyFont="1" applyNumberFormat="1"/>
    <xf borderId="6" fillId="0" fontId="17" numFmtId="174" xfId="0" applyBorder="1" applyFont="1" applyNumberFormat="1"/>
    <xf borderId="5" fillId="6" fontId="6" numFmtId="164" xfId="0" applyBorder="1" applyFont="1" applyNumberFormat="1"/>
    <xf borderId="2" fillId="9" fontId="1" numFmtId="0" xfId="0" applyAlignment="1" applyBorder="1" applyFont="1">
      <alignment horizontal="center"/>
    </xf>
    <xf borderId="0" fillId="0" fontId="47" numFmtId="0" xfId="0" applyAlignment="1" applyFont="1">
      <alignment horizontal="center" vertical="center"/>
    </xf>
    <xf borderId="1" fillId="4" fontId="47" numFmtId="0" xfId="0" applyAlignment="1" applyBorder="1" applyFont="1">
      <alignment horizontal="center" vertical="center"/>
    </xf>
    <xf borderId="1" fillId="5" fontId="47" numFmtId="0" xfId="0" applyAlignment="1" applyBorder="1" applyFont="1">
      <alignment horizontal="center" vertical="center"/>
    </xf>
    <xf borderId="1" fillId="5" fontId="47" numFmtId="0" xfId="0" applyAlignment="1" applyBorder="1" applyFont="1">
      <alignment vertical="center"/>
    </xf>
    <xf borderId="0" fillId="0" fontId="47" numFmtId="0" xfId="0" applyAlignment="1" applyFont="1">
      <alignment vertical="center"/>
    </xf>
    <xf borderId="1" fillId="4" fontId="47" numFmtId="0" xfId="0" applyAlignment="1" applyBorder="1" applyFont="1">
      <alignment vertical="center"/>
    </xf>
    <xf borderId="0" fillId="0" fontId="11" numFmtId="0" xfId="0" applyAlignment="1" applyFont="1">
      <alignment horizontal="right" vertical="center"/>
    </xf>
    <xf borderId="0" fillId="0" fontId="47" numFmtId="0" xfId="0" applyAlignment="1" applyFont="1">
      <alignment horizontal="right" vertical="center"/>
    </xf>
    <xf borderId="0" fillId="0" fontId="47" numFmtId="168" xfId="0" applyAlignment="1" applyFont="1" applyNumberFormat="1">
      <alignment horizontal="right" vertical="center"/>
    </xf>
    <xf borderId="1" fillId="5" fontId="1" numFmtId="0" xfId="0" applyAlignment="1" applyBorder="1" applyFont="1">
      <alignment vertical="center"/>
    </xf>
    <xf borderId="0" fillId="0" fontId="126" numFmtId="0" xfId="0" applyFont="1"/>
    <xf borderId="0" fillId="0" fontId="81" numFmtId="0" xfId="0" applyFont="1"/>
    <xf borderId="1" fillId="12" fontId="81" numFmtId="0" xfId="0" applyBorder="1" applyFont="1"/>
    <xf borderId="26" fillId="9" fontId="82" numFmtId="0" xfId="0" applyAlignment="1" applyBorder="1" applyFont="1">
      <alignment vertical="center"/>
    </xf>
    <xf borderId="33" fillId="0" fontId="127" numFmtId="0" xfId="0" applyAlignment="1" applyBorder="1" applyFont="1">
      <alignment vertical="center"/>
    </xf>
    <xf borderId="33" fillId="0" fontId="82" numFmtId="0" xfId="0" applyAlignment="1" applyBorder="1" applyFont="1">
      <alignment vertical="center"/>
    </xf>
    <xf borderId="26" fillId="12" fontId="82" numFmtId="0" xfId="0" applyAlignment="1" applyBorder="1" applyFont="1">
      <alignment vertical="center"/>
    </xf>
    <xf borderId="1" fillId="9" fontId="82" numFmtId="0" xfId="0" applyAlignment="1" applyBorder="1" applyFont="1">
      <alignment vertical="center"/>
    </xf>
    <xf borderId="0" fillId="0" fontId="127" numFmtId="0" xfId="0" applyAlignment="1" applyFont="1">
      <alignment vertical="center"/>
    </xf>
    <xf borderId="0" fillId="0" fontId="82" numFmtId="0" xfId="0" applyAlignment="1" applyFont="1">
      <alignment vertical="center"/>
    </xf>
    <xf borderId="1" fillId="12" fontId="82" numFmtId="0" xfId="0" applyAlignment="1" applyBorder="1" applyFont="1">
      <alignment vertical="center"/>
    </xf>
    <xf borderId="1" fillId="9" fontId="100" numFmtId="0" xfId="0" applyAlignment="1" applyBorder="1" applyFont="1">
      <alignment vertical="top"/>
    </xf>
    <xf borderId="1" fillId="9" fontId="82" numFmtId="0" xfId="0" applyAlignment="1" applyBorder="1" applyFont="1">
      <alignment vertical="top"/>
    </xf>
    <xf borderId="0" fillId="0" fontId="127" numFmtId="0" xfId="0" applyAlignment="1" applyFont="1">
      <alignment vertical="top"/>
    </xf>
    <xf borderId="0" fillId="0" fontId="82" numFmtId="0" xfId="0" applyAlignment="1" applyFont="1">
      <alignment vertical="top"/>
    </xf>
    <xf borderId="1" fillId="12" fontId="82" numFmtId="0" xfId="0" applyAlignment="1" applyBorder="1" applyFont="1">
      <alignment vertical="top"/>
    </xf>
    <xf borderId="1" fillId="9" fontId="82" numFmtId="0" xfId="0" applyAlignment="1" applyBorder="1" applyFont="1">
      <alignment horizontal="center" vertical="top"/>
    </xf>
    <xf borderId="1" fillId="9" fontId="81" numFmtId="0" xfId="0" applyAlignment="1" applyBorder="1" applyFont="1">
      <alignment horizontal="center" vertical="top"/>
    </xf>
    <xf borderId="1" fillId="9" fontId="82" numFmtId="172" xfId="0" applyAlignment="1" applyBorder="1" applyFont="1" applyNumberFormat="1">
      <alignment horizontal="center" shrinkToFit="0" vertical="top" wrapText="1"/>
    </xf>
    <xf borderId="2" fillId="9" fontId="82" numFmtId="0" xfId="0" applyAlignment="1" applyBorder="1" applyFont="1">
      <alignment horizontal="center"/>
    </xf>
    <xf borderId="0" fillId="0" fontId="126" numFmtId="0" xfId="0" applyAlignment="1" applyFont="1">
      <alignment vertical="top"/>
    </xf>
    <xf borderId="0" fillId="0" fontId="81" numFmtId="0" xfId="0" applyAlignment="1" applyFont="1">
      <alignment vertical="top"/>
    </xf>
    <xf borderId="1" fillId="12" fontId="81" numFmtId="0" xfId="0" applyAlignment="1" applyBorder="1" applyFont="1">
      <alignment vertical="top"/>
    </xf>
    <xf borderId="26" fillId="9" fontId="82" numFmtId="0" xfId="0" applyAlignment="1" applyBorder="1" applyFont="1">
      <alignment horizontal="center" shrinkToFit="0" wrapText="1"/>
    </xf>
    <xf borderId="26" fillId="9" fontId="82" numFmtId="172" xfId="0" applyAlignment="1" applyBorder="1" applyFont="1" applyNumberFormat="1">
      <alignment horizontal="center"/>
    </xf>
    <xf borderId="1" fillId="9" fontId="82" numFmtId="172" xfId="0" applyAlignment="1" applyBorder="1" applyFont="1" applyNumberFormat="1">
      <alignment horizontal="center"/>
    </xf>
    <xf borderId="26" fillId="9" fontId="82" numFmtId="172" xfId="0" applyAlignment="1" applyBorder="1" applyFont="1" applyNumberFormat="1">
      <alignment horizontal="center" shrinkToFit="0" wrapText="1"/>
    </xf>
    <xf quotePrefix="1" borderId="26" fillId="9" fontId="82" numFmtId="0" xfId="0" applyAlignment="1" applyBorder="1" applyFont="1">
      <alignment horizontal="center"/>
    </xf>
    <xf borderId="26" fillId="9" fontId="82" numFmtId="0" xfId="0" applyAlignment="1" applyBorder="1" applyFont="1">
      <alignment horizontal="center"/>
    </xf>
    <xf borderId="1" fillId="9" fontId="82" numFmtId="0" xfId="0" applyAlignment="1" applyBorder="1" applyFont="1">
      <alignment horizontal="center" shrinkToFit="0" vertical="center" wrapText="1"/>
    </xf>
    <xf borderId="1" fillId="9" fontId="82" numFmtId="0" xfId="0" applyAlignment="1" applyBorder="1" applyFont="1">
      <alignment horizontal="center" vertical="center"/>
    </xf>
    <xf borderId="1" fillId="9" fontId="82" numFmtId="172" xfId="0" applyAlignment="1" applyBorder="1" applyFont="1" applyNumberFormat="1">
      <alignment horizontal="center" vertical="center"/>
    </xf>
    <xf borderId="1" fillId="9" fontId="82" numFmtId="172" xfId="0" applyAlignment="1" applyBorder="1" applyFont="1" applyNumberFormat="1">
      <alignment horizontal="center" shrinkToFit="0" vertical="center" wrapText="1"/>
    </xf>
    <xf quotePrefix="1" borderId="1" fillId="9" fontId="79" numFmtId="14" xfId="0" applyAlignment="1" applyBorder="1" applyFont="1" applyNumberFormat="1">
      <alignment vertical="top"/>
    </xf>
    <xf borderId="1" fillId="9" fontId="104" numFmtId="166" xfId="0" applyAlignment="1" applyBorder="1" applyFont="1" applyNumberFormat="1">
      <alignment horizontal="right" vertical="top"/>
    </xf>
    <xf borderId="1" fillId="9" fontId="81" numFmtId="175" xfId="0" applyAlignment="1" applyBorder="1" applyFont="1" applyNumberFormat="1">
      <alignment vertical="top"/>
    </xf>
    <xf borderId="1" fillId="9" fontId="81" numFmtId="175" xfId="0" applyAlignment="1" applyBorder="1" applyFont="1" applyNumberFormat="1">
      <alignment horizontal="left" shrinkToFit="0" vertical="top" wrapText="1"/>
    </xf>
    <xf borderId="1" fillId="9" fontId="81" numFmtId="175" xfId="0" applyAlignment="1" applyBorder="1" applyFont="1" applyNumberFormat="1">
      <alignment shrinkToFit="0" vertical="top" wrapText="1"/>
    </xf>
    <xf borderId="1" fillId="9" fontId="80" numFmtId="170" xfId="0" applyAlignment="1" applyBorder="1" applyFont="1" applyNumberFormat="1">
      <alignment vertical="top"/>
    </xf>
    <xf borderId="1" fillId="9" fontId="81" numFmtId="170" xfId="0" applyAlignment="1" applyBorder="1" applyFont="1" applyNumberFormat="1">
      <alignment vertical="top"/>
    </xf>
    <xf borderId="1" fillId="9" fontId="81" numFmtId="166" xfId="0" applyAlignment="1" applyBorder="1" applyFont="1" applyNumberFormat="1">
      <alignment vertical="top"/>
    </xf>
    <xf borderId="1" fillId="9" fontId="81" numFmtId="176" xfId="0" applyAlignment="1" applyBorder="1" applyFont="1" applyNumberFormat="1">
      <alignment vertical="top"/>
    </xf>
    <xf borderId="1" fillId="9" fontId="91" numFmtId="176" xfId="0" applyAlignment="1" applyBorder="1" applyFont="1" applyNumberFormat="1">
      <alignment horizontal="right" vertical="top"/>
    </xf>
    <xf borderId="1" fillId="9" fontId="126" numFmtId="0" xfId="0" applyAlignment="1" applyBorder="1" applyFont="1">
      <alignment vertical="top"/>
    </xf>
    <xf borderId="1" fillId="9" fontId="81" numFmtId="0" xfId="0" applyAlignment="1" applyBorder="1" applyFont="1">
      <alignment vertical="top"/>
    </xf>
    <xf borderId="1" fillId="9" fontId="128" numFmtId="166" xfId="0" applyAlignment="1" applyBorder="1" applyFont="1" applyNumberFormat="1">
      <alignment horizontal="right" vertical="top"/>
    </xf>
    <xf borderId="1" fillId="9" fontId="80" numFmtId="170" xfId="0" applyAlignment="1" applyBorder="1" applyFont="1" applyNumberFormat="1">
      <alignment horizontal="right" vertical="top"/>
    </xf>
    <xf borderId="1" fillId="9" fontId="81" numFmtId="176" xfId="0" applyAlignment="1" applyBorder="1" applyFont="1" applyNumberFormat="1">
      <alignment horizontal="right" vertical="top"/>
    </xf>
    <xf borderId="1" fillId="9" fontId="85" numFmtId="14" xfId="0" applyAlignment="1" applyBorder="1" applyFont="1" applyNumberFormat="1">
      <alignment horizontal="left"/>
    </xf>
    <xf borderId="1" fillId="9" fontId="104" numFmtId="166" xfId="0" applyAlignment="1" applyBorder="1" applyFont="1" applyNumberFormat="1">
      <alignment horizontal="right"/>
    </xf>
    <xf borderId="1" fillId="9" fontId="81" numFmtId="175" xfId="0" applyBorder="1" applyFont="1" applyNumberFormat="1"/>
    <xf borderId="1" fillId="9" fontId="82" numFmtId="175" xfId="0" applyAlignment="1" applyBorder="1" applyFont="1" applyNumberFormat="1">
      <alignment horizontal="left"/>
    </xf>
    <xf borderId="1" fillId="9" fontId="81" numFmtId="170" xfId="0" applyBorder="1" applyFont="1" applyNumberFormat="1"/>
    <xf borderId="1" fillId="9" fontId="81" numFmtId="166" xfId="0" applyBorder="1" applyFont="1" applyNumberFormat="1"/>
    <xf borderId="1" fillId="9" fontId="81" numFmtId="176" xfId="0" applyBorder="1" applyFont="1" applyNumberFormat="1"/>
    <xf borderId="1" fillId="9" fontId="91" numFmtId="176" xfId="0" applyAlignment="1" applyBorder="1" applyFont="1" applyNumberFormat="1">
      <alignment horizontal="right"/>
    </xf>
    <xf borderId="22" fillId="9" fontId="81" numFmtId="175" xfId="0" applyBorder="1" applyFont="1" applyNumberFormat="1"/>
    <xf borderId="28" fillId="9" fontId="104" numFmtId="166" xfId="0" applyAlignment="1" applyBorder="1" applyFont="1" applyNumberFormat="1">
      <alignment horizontal="right"/>
    </xf>
    <xf borderId="28" fillId="9" fontId="81" numFmtId="170" xfId="0" applyBorder="1" applyFont="1" applyNumberFormat="1"/>
    <xf borderId="28" fillId="9" fontId="81" numFmtId="166" xfId="0" applyBorder="1" applyFont="1" applyNumberFormat="1"/>
    <xf borderId="28" fillId="9" fontId="81" numFmtId="176" xfId="0" applyBorder="1" applyFont="1" applyNumberFormat="1"/>
    <xf borderId="28" fillId="9" fontId="91" numFmtId="176" xfId="0" applyAlignment="1" applyBorder="1" applyFont="1" applyNumberFormat="1">
      <alignment horizontal="right"/>
    </xf>
    <xf borderId="34" fillId="0" fontId="126" numFmtId="0" xfId="0" applyBorder="1" applyFont="1"/>
    <xf borderId="1" fillId="9" fontId="81" numFmtId="0" xfId="0" applyAlignment="1" applyBorder="1" applyFont="1">
      <alignment horizontal="left"/>
    </xf>
    <xf borderId="30" fillId="9" fontId="82" numFmtId="9" xfId="0" applyAlignment="1" applyBorder="1" applyFont="1" applyNumberFormat="1">
      <alignment horizontal="left"/>
    </xf>
    <xf borderId="1" fillId="9" fontId="81" numFmtId="176" xfId="0" applyAlignment="1" applyBorder="1" applyFont="1" applyNumberFormat="1">
      <alignment horizontal="right"/>
    </xf>
    <xf borderId="11" fillId="0" fontId="126" numFmtId="0" xfId="0" applyBorder="1" applyFont="1"/>
    <xf borderId="30" fillId="9" fontId="82" numFmtId="0" xfId="0" applyAlignment="1" applyBorder="1" applyFont="1">
      <alignment horizontal="left" vertical="center"/>
    </xf>
    <xf borderId="30" fillId="9" fontId="82" numFmtId="9" xfId="0" applyAlignment="1" applyBorder="1" applyFont="1" applyNumberFormat="1">
      <alignment horizontal="left" vertical="center"/>
    </xf>
    <xf borderId="31" fillId="9" fontId="81" numFmtId="0" xfId="0" applyBorder="1" applyFont="1"/>
    <xf borderId="26" fillId="9" fontId="81" numFmtId="0" xfId="0" applyBorder="1" applyFont="1"/>
    <xf borderId="35" fillId="0" fontId="126" numFmtId="0" xfId="0" applyBorder="1" applyFont="1"/>
    <xf borderId="0" fillId="0" fontId="81" numFmtId="0" xfId="0" applyAlignment="1" applyFont="1">
      <alignment vertical="center"/>
    </xf>
    <xf borderId="1" fillId="14" fontId="127" numFmtId="0" xfId="0" applyAlignment="1" applyBorder="1" applyFill="1" applyFont="1">
      <alignment horizontal="left" vertical="center"/>
    </xf>
    <xf borderId="1" fillId="14" fontId="81" numFmtId="0" xfId="0" applyAlignment="1" applyBorder="1" applyFont="1">
      <alignment vertical="center"/>
    </xf>
    <xf borderId="1" fillId="14" fontId="127" numFmtId="176" xfId="0" applyAlignment="1" applyBorder="1" applyFont="1" applyNumberFormat="1">
      <alignment vertical="center"/>
    </xf>
    <xf borderId="1" fillId="14" fontId="127" numFmtId="0" xfId="0" applyAlignment="1" applyBorder="1" applyFont="1">
      <alignment vertical="center"/>
    </xf>
    <xf borderId="1" fillId="14" fontId="127" numFmtId="170" xfId="0" applyAlignment="1" applyBorder="1" applyFont="1" applyNumberFormat="1">
      <alignment vertical="center"/>
    </xf>
    <xf borderId="1" fillId="14" fontId="127" numFmtId="168" xfId="0" applyAlignment="1" applyBorder="1" applyFont="1" applyNumberFormat="1">
      <alignment horizontal="right" vertical="center"/>
    </xf>
    <xf borderId="1" fillId="14" fontId="127" numFmtId="170" xfId="0" applyAlignment="1" applyBorder="1" applyFont="1" applyNumberFormat="1">
      <alignment horizontal="right" vertical="center"/>
    </xf>
    <xf borderId="1" fillId="12" fontId="81" numFmtId="0" xfId="0" applyAlignment="1" applyBorder="1" applyFont="1">
      <alignment vertical="center"/>
    </xf>
    <xf borderId="1" fillId="9" fontId="100" numFmtId="0" xfId="0" applyBorder="1" applyFont="1"/>
    <xf borderId="1" fillId="15" fontId="81" numFmtId="0" xfId="0" applyBorder="1" applyFill="1" applyFont="1"/>
    <xf borderId="1" fillId="15" fontId="126" numFmtId="0" xfId="0" applyBorder="1" applyFont="1"/>
    <xf quotePrefix="1" borderId="1" fillId="15" fontId="85" numFmtId="14" xfId="0" applyAlignment="1" applyBorder="1" applyFont="1" applyNumberFormat="1">
      <alignment vertical="center"/>
    </xf>
    <xf borderId="1" fillId="15" fontId="104" numFmtId="166" xfId="0" applyAlignment="1" applyBorder="1" applyFont="1" applyNumberFormat="1">
      <alignment horizontal="right" vertical="center"/>
    </xf>
    <xf borderId="1" fillId="15" fontId="82" numFmtId="175" xfId="0" applyAlignment="1" applyBorder="1" applyFont="1" applyNumberFormat="1">
      <alignment vertical="center"/>
    </xf>
    <xf borderId="1" fillId="15" fontId="82" numFmtId="175" xfId="0" applyAlignment="1" applyBorder="1" applyFont="1" applyNumberFormat="1">
      <alignment horizontal="left" vertical="center"/>
    </xf>
    <xf borderId="1" fillId="15" fontId="80" numFmtId="170" xfId="0" applyAlignment="1" applyBorder="1" applyFont="1" applyNumberFormat="1">
      <alignment vertical="center"/>
    </xf>
    <xf borderId="1" fillId="15" fontId="81" numFmtId="166" xfId="0" applyAlignment="1" applyBorder="1" applyFont="1" applyNumberFormat="1">
      <alignment vertical="center"/>
    </xf>
    <xf borderId="1" fillId="15" fontId="81" numFmtId="176" xfId="0" applyAlignment="1" applyBorder="1" applyFont="1" applyNumberFormat="1">
      <alignment vertical="center"/>
    </xf>
    <xf borderId="1" fillId="15" fontId="91" numFmtId="176" xfId="0" applyAlignment="1" applyBorder="1" applyFont="1" applyNumberFormat="1">
      <alignment horizontal="right" vertical="center"/>
    </xf>
    <xf borderId="1" fillId="15" fontId="126" numFmtId="0" xfId="0" applyAlignment="1" applyBorder="1" applyFont="1">
      <alignment vertical="center"/>
    </xf>
    <xf borderId="1" fillId="15" fontId="81" numFmtId="0" xfId="0" applyAlignment="1" applyBorder="1" applyFont="1">
      <alignment vertical="center"/>
    </xf>
    <xf borderId="1" fillId="12" fontId="126" numFmtId="0" xfId="0" applyBorder="1" applyFont="1"/>
    <xf borderId="1" fillId="10" fontId="81" numFmtId="0" xfId="0" applyBorder="1" applyFont="1"/>
    <xf borderId="1" fillId="16" fontId="81" numFmtId="0" xfId="0" applyBorder="1" applyFill="1" applyFont="1"/>
    <xf borderId="1" fillId="12" fontId="7" numFmtId="0" xfId="0" applyBorder="1" applyFont="1"/>
    <xf borderId="26" fillId="10" fontId="82" numFmtId="0" xfId="0" applyAlignment="1" applyBorder="1" applyFont="1">
      <alignment vertical="center"/>
    </xf>
    <xf borderId="26" fillId="9" fontId="82" numFmtId="0" xfId="0" applyAlignment="1" applyBorder="1" applyFont="1">
      <alignment horizontal="center" vertical="center"/>
    </xf>
    <xf borderId="26" fillId="15" fontId="82" numFmtId="0" xfId="0" applyAlignment="1" applyBorder="1" applyFont="1">
      <alignment vertical="center"/>
    </xf>
    <xf borderId="26" fillId="6" fontId="82" numFmtId="0" xfId="0" applyAlignment="1" applyBorder="1" applyFont="1">
      <alignment vertical="center"/>
    </xf>
    <xf borderId="1" fillId="10" fontId="127" numFmtId="0" xfId="0" applyAlignment="1" applyBorder="1" applyFont="1">
      <alignment vertical="center"/>
    </xf>
    <xf borderId="1" fillId="9" fontId="127" numFmtId="0" xfId="0" applyAlignment="1" applyBorder="1" applyFont="1">
      <alignment vertical="center"/>
    </xf>
    <xf borderId="1" fillId="9" fontId="127" numFmtId="0" xfId="0" applyAlignment="1" applyBorder="1" applyFont="1">
      <alignment horizontal="center" vertical="center"/>
    </xf>
    <xf borderId="1" fillId="15" fontId="82" numFmtId="0" xfId="0" applyAlignment="1" applyBorder="1" applyFont="1">
      <alignment vertical="center"/>
    </xf>
    <xf borderId="1" fillId="6" fontId="82" numFmtId="0" xfId="0" applyAlignment="1" applyBorder="1" applyFont="1">
      <alignment vertical="center"/>
    </xf>
    <xf borderId="1" fillId="10" fontId="100" numFmtId="177" xfId="0" applyBorder="1" applyFont="1" applyNumberFormat="1"/>
    <xf borderId="1" fillId="10" fontId="81" numFmtId="0" xfId="0" applyAlignment="1" applyBorder="1" applyFont="1">
      <alignment horizontal="center"/>
    </xf>
    <xf borderId="1" fillId="9" fontId="129" numFmtId="0" xfId="0" applyAlignment="1" applyBorder="1" applyFont="1">
      <alignment horizontal="left"/>
    </xf>
    <xf borderId="0" fillId="0" fontId="81" numFmtId="0" xfId="0" applyAlignment="1" applyFont="1">
      <alignment horizontal="center"/>
    </xf>
    <xf borderId="0" fillId="0" fontId="82" numFmtId="0" xfId="0" applyAlignment="1" applyFont="1">
      <alignment horizontal="center"/>
    </xf>
    <xf borderId="1" fillId="6" fontId="81" numFmtId="0" xfId="0" applyBorder="1" applyFont="1"/>
    <xf borderId="36" fillId="9" fontId="82" numFmtId="0" xfId="0" applyAlignment="1" applyBorder="1" applyFont="1">
      <alignment horizontal="center"/>
    </xf>
    <xf borderId="37" fillId="0" fontId="2" numFmtId="0" xfId="0" applyBorder="1" applyFont="1"/>
    <xf borderId="38" fillId="0" fontId="2" numFmtId="0" xfId="0" applyBorder="1" applyFont="1"/>
    <xf borderId="33" fillId="0" fontId="82" numFmtId="0" xfId="0" applyAlignment="1" applyBorder="1" applyFont="1">
      <alignment horizontal="center"/>
    </xf>
    <xf borderId="33" fillId="0" fontId="2" numFmtId="0" xfId="0" applyBorder="1" applyFont="1"/>
    <xf borderId="26" fillId="10" fontId="82" numFmtId="0" xfId="0" applyAlignment="1" applyBorder="1" applyFont="1">
      <alignment horizontal="left"/>
    </xf>
    <xf borderId="26" fillId="10" fontId="82" numFmtId="172" xfId="0" applyAlignment="1" applyBorder="1" applyFont="1" applyNumberFormat="1">
      <alignment horizontal="center"/>
    </xf>
    <xf borderId="1" fillId="9" fontId="82" numFmtId="0" xfId="0" applyAlignment="1" applyBorder="1" applyFont="1">
      <alignment horizontal="center" shrinkToFit="0" wrapText="1"/>
    </xf>
    <xf borderId="26" fillId="9" fontId="82" numFmtId="172" xfId="0" applyAlignment="1" applyBorder="1" applyFont="1" applyNumberFormat="1">
      <alignment horizontal="center" shrinkToFit="0" vertical="center" wrapText="1"/>
    </xf>
    <xf quotePrefix="1" borderId="26" fillId="9" fontId="82" numFmtId="0" xfId="0" applyAlignment="1" applyBorder="1" applyFont="1">
      <alignment horizontal="center" shrinkToFit="0" wrapText="1"/>
    </xf>
    <xf borderId="28" fillId="9" fontId="82" numFmtId="0" xfId="0" applyAlignment="1" applyBorder="1" applyFont="1">
      <alignment horizontal="center" shrinkToFit="0" wrapText="1"/>
    </xf>
    <xf quotePrefix="1" borderId="27" fillId="9" fontId="82" numFmtId="0" xfId="0" applyAlignment="1" applyBorder="1" applyFont="1">
      <alignment horizontal="center"/>
    </xf>
    <xf quotePrefix="1" borderId="1" fillId="9" fontId="82" numFmtId="0" xfId="0" applyAlignment="1" applyBorder="1" applyFont="1">
      <alignment horizontal="center"/>
    </xf>
    <xf borderId="13" fillId="9" fontId="82" numFmtId="0" xfId="0" applyAlignment="1" applyBorder="1" applyFont="1">
      <alignment horizontal="center"/>
    </xf>
    <xf borderId="0" fillId="0" fontId="127" numFmtId="0" xfId="0" applyAlignment="1" applyFont="1">
      <alignment horizontal="right"/>
    </xf>
    <xf borderId="1" fillId="10" fontId="130" numFmtId="0" xfId="0" applyAlignment="1" applyBorder="1" applyFont="1">
      <alignment vertical="center"/>
    </xf>
    <xf borderId="1" fillId="10" fontId="81" numFmtId="175" xfId="0" applyAlignment="1" applyBorder="1" applyFont="1" applyNumberFormat="1">
      <alignment vertical="center"/>
    </xf>
    <xf borderId="39" fillId="17" fontId="127" numFmtId="0" xfId="0" applyAlignment="1" applyBorder="1" applyFill="1" applyFont="1">
      <alignment horizontal="center" textRotation="90" vertical="center"/>
    </xf>
    <xf borderId="1" fillId="9" fontId="127" numFmtId="0" xfId="0" applyAlignment="1" applyBorder="1" applyFont="1">
      <alignment horizontal="center" textRotation="90" vertical="center"/>
    </xf>
    <xf borderId="1" fillId="9" fontId="85" numFmtId="0" xfId="0" applyAlignment="1" applyBorder="1" applyFont="1">
      <alignment horizontal="left" shrinkToFit="0" vertical="center" wrapText="1"/>
    </xf>
    <xf borderId="1" fillId="9" fontId="104" numFmtId="166" xfId="0" applyAlignment="1" applyBorder="1" applyFont="1" applyNumberFormat="1">
      <alignment horizontal="right" vertical="center"/>
    </xf>
    <xf borderId="1" fillId="9" fontId="80" numFmtId="175" xfId="0" applyAlignment="1" applyBorder="1" applyFont="1" applyNumberFormat="1">
      <alignment vertical="center"/>
    </xf>
    <xf borderId="1" fillId="9" fontId="128" numFmtId="166" xfId="0" applyAlignment="1" applyBorder="1" applyFont="1" applyNumberFormat="1">
      <alignment horizontal="right" vertical="center"/>
    </xf>
    <xf borderId="1" fillId="9" fontId="80" numFmtId="178" xfId="0" applyAlignment="1" applyBorder="1" applyFont="1" applyNumberFormat="1">
      <alignment vertical="center"/>
    </xf>
    <xf borderId="13" fillId="9" fontId="81" numFmtId="178" xfId="0" applyAlignment="1" applyBorder="1" applyFont="1" applyNumberFormat="1">
      <alignment vertical="center"/>
    </xf>
    <xf borderId="1" fillId="9" fontId="100" numFmtId="166" xfId="0" applyAlignment="1" applyBorder="1" applyFont="1" applyNumberFormat="1">
      <alignment horizontal="center" vertical="center"/>
    </xf>
    <xf borderId="1" fillId="9" fontId="130" numFmtId="169" xfId="0" applyAlignment="1" applyBorder="1" applyFont="1" applyNumberFormat="1">
      <alignment vertical="center"/>
    </xf>
    <xf borderId="1" fillId="9" fontId="128" numFmtId="166" xfId="0" applyAlignment="1" applyBorder="1" applyFont="1" applyNumberFormat="1">
      <alignment horizontal="center" vertical="center"/>
    </xf>
    <xf borderId="1" fillId="9" fontId="100" numFmtId="166" xfId="0" applyAlignment="1" applyBorder="1" applyFont="1" applyNumberFormat="1">
      <alignment vertical="center"/>
    </xf>
    <xf borderId="1" fillId="9" fontId="81" numFmtId="166" xfId="0" applyAlignment="1" applyBorder="1" applyFont="1" applyNumberFormat="1">
      <alignment vertical="center"/>
    </xf>
    <xf borderId="28" fillId="9" fontId="100" numFmtId="166" xfId="0" applyAlignment="1" applyBorder="1" applyFont="1" applyNumberFormat="1">
      <alignment horizontal="right" vertical="center"/>
    </xf>
    <xf borderId="1" fillId="9" fontId="100" numFmtId="166" xfId="0" applyAlignment="1" applyBorder="1" applyFont="1" applyNumberFormat="1">
      <alignment horizontal="right" vertical="center"/>
    </xf>
    <xf borderId="13" fillId="9" fontId="81" numFmtId="166" xfId="0" applyAlignment="1" applyBorder="1" applyFont="1" applyNumberFormat="1">
      <alignment horizontal="right" vertical="center"/>
    </xf>
    <xf borderId="1" fillId="9" fontId="81" numFmtId="176" xfId="0" applyAlignment="1" applyBorder="1" applyFont="1" applyNumberFormat="1">
      <alignment vertical="center"/>
    </xf>
    <xf borderId="1" fillId="9" fontId="91" numFmtId="176" xfId="0" applyAlignment="1" applyBorder="1" applyFont="1" applyNumberFormat="1">
      <alignment horizontal="right" vertical="center"/>
    </xf>
    <xf borderId="0" fillId="0" fontId="131" numFmtId="166" xfId="0" applyAlignment="1" applyFont="1" applyNumberFormat="1">
      <alignment vertical="center"/>
    </xf>
    <xf borderId="0" fillId="0" fontId="81" numFmtId="176" xfId="0" applyAlignment="1" applyFont="1" applyNumberFormat="1">
      <alignment vertical="center"/>
    </xf>
    <xf borderId="0" fillId="0" fontId="91" numFmtId="176" xfId="0" applyAlignment="1" applyFont="1" applyNumberFormat="1">
      <alignment horizontal="right" vertical="center"/>
    </xf>
    <xf borderId="0" fillId="0" fontId="104" numFmtId="166" xfId="0" applyAlignment="1" applyFont="1" applyNumberFormat="1">
      <alignment horizontal="right" vertical="center"/>
    </xf>
    <xf borderId="1" fillId="9" fontId="81" numFmtId="0" xfId="0" applyAlignment="1" applyBorder="1" applyFont="1">
      <alignment vertical="center"/>
    </xf>
    <xf borderId="1" fillId="6" fontId="81" numFmtId="0" xfId="0" applyAlignment="1" applyBorder="1" applyFont="1">
      <alignment vertical="center"/>
    </xf>
    <xf borderId="40" fillId="0" fontId="2" numFmtId="0" xfId="0" applyBorder="1" applyFont="1"/>
    <xf borderId="41" fillId="0" fontId="2" numFmtId="0" xfId="0" applyBorder="1" applyFont="1"/>
    <xf borderId="0" fillId="0" fontId="81" numFmtId="176" xfId="0" applyAlignment="1" applyFont="1" applyNumberFormat="1">
      <alignment horizontal="right" vertical="center"/>
    </xf>
    <xf borderId="39" fillId="18" fontId="127" numFmtId="0" xfId="0" applyAlignment="1" applyBorder="1" applyFill="1" applyFont="1">
      <alignment horizontal="center" textRotation="90" vertical="center"/>
    </xf>
    <xf borderId="0" fillId="0" fontId="80" numFmtId="178" xfId="0" applyAlignment="1" applyFont="1" applyNumberFormat="1">
      <alignment horizontal="right" vertical="center"/>
    </xf>
    <xf borderId="1" fillId="9" fontId="81" numFmtId="166" xfId="0" applyAlignment="1" applyBorder="1" applyFont="1" applyNumberFormat="1">
      <alignment horizontal="right" vertical="center"/>
    </xf>
    <xf borderId="1" fillId="9" fontId="81" numFmtId="176" xfId="0" applyAlignment="1" applyBorder="1" applyFont="1" applyNumberFormat="1">
      <alignment horizontal="right" vertical="center"/>
    </xf>
    <xf borderId="0" fillId="0" fontId="131" numFmtId="166" xfId="0" applyAlignment="1" applyFont="1" applyNumberFormat="1">
      <alignment horizontal="right" vertical="center"/>
    </xf>
    <xf borderId="0" fillId="0" fontId="80" numFmtId="178" xfId="0" applyAlignment="1" applyFont="1" applyNumberFormat="1">
      <alignment vertical="center"/>
    </xf>
    <xf borderId="1" fillId="10" fontId="130" numFmtId="0" xfId="0" applyBorder="1" applyFont="1"/>
    <xf borderId="1" fillId="10" fontId="81" numFmtId="178" xfId="0" applyBorder="1" applyFont="1" applyNumberFormat="1"/>
    <xf borderId="1" fillId="9" fontId="82" numFmtId="0" xfId="0" applyAlignment="1" applyBorder="1" applyFont="1">
      <alignment horizontal="left" shrinkToFit="0" wrapText="1"/>
    </xf>
    <xf borderId="1" fillId="9" fontId="81" numFmtId="178" xfId="0" applyBorder="1" applyFont="1" applyNumberFormat="1"/>
    <xf borderId="1" fillId="9" fontId="132" numFmtId="168" xfId="0" applyBorder="1" applyFont="1" applyNumberFormat="1"/>
    <xf borderId="1" fillId="9" fontId="81" numFmtId="166" xfId="0" applyAlignment="1" applyBorder="1" applyFont="1" applyNumberFormat="1">
      <alignment horizontal="center"/>
    </xf>
    <xf borderId="1" fillId="9" fontId="130" numFmtId="169" xfId="0" applyBorder="1" applyFont="1" applyNumberFormat="1"/>
    <xf borderId="1" fillId="9" fontId="131" numFmtId="166" xfId="0" applyBorder="1" applyFont="1" applyNumberFormat="1"/>
    <xf borderId="1" fillId="9" fontId="82" numFmtId="0" xfId="0" applyAlignment="1" applyBorder="1" applyFont="1">
      <alignment horizontal="left"/>
    </xf>
    <xf borderId="22" fillId="9" fontId="132" numFmtId="168" xfId="0" applyBorder="1" applyFont="1" applyNumberFormat="1"/>
    <xf borderId="28" fillId="9" fontId="132" numFmtId="168" xfId="0" applyBorder="1" applyFont="1" applyNumberFormat="1"/>
    <xf borderId="28" fillId="9" fontId="131" numFmtId="166" xfId="0" applyBorder="1" applyFont="1" applyNumberFormat="1"/>
    <xf borderId="29" fillId="9" fontId="104" numFmtId="166" xfId="0" applyAlignment="1" applyBorder="1" applyFont="1" applyNumberFormat="1">
      <alignment horizontal="right"/>
    </xf>
    <xf borderId="1" fillId="10" fontId="131" numFmtId="166" xfId="0" applyAlignment="1" applyBorder="1" applyFont="1" applyNumberFormat="1">
      <alignment horizontal="left"/>
    </xf>
    <xf borderId="1" fillId="9" fontId="131" numFmtId="166" xfId="0" applyAlignment="1" applyBorder="1" applyFont="1" applyNumberFormat="1">
      <alignment horizontal="left"/>
    </xf>
    <xf borderId="1" fillId="9" fontId="100" numFmtId="166" xfId="0" applyAlignment="1" applyBorder="1" applyFont="1" applyNumberFormat="1">
      <alignment horizontal="center"/>
    </xf>
    <xf borderId="1" fillId="9" fontId="81" numFmtId="166" xfId="0" applyAlignment="1" applyBorder="1" applyFont="1" applyNumberFormat="1">
      <alignment horizontal="right"/>
    </xf>
    <xf borderId="13" fillId="9" fontId="104" numFmtId="166" xfId="0" applyAlignment="1" applyBorder="1" applyFont="1" applyNumberFormat="1">
      <alignment horizontal="left"/>
    </xf>
    <xf borderId="1" fillId="10" fontId="81" numFmtId="176" xfId="0" applyAlignment="1" applyBorder="1" applyFont="1" applyNumberFormat="1">
      <alignment horizontal="left"/>
    </xf>
    <xf borderId="1" fillId="9" fontId="81" numFmtId="176" xfId="0" applyAlignment="1" applyBorder="1" applyFont="1" applyNumberFormat="1">
      <alignment horizontal="left"/>
    </xf>
    <xf borderId="1" fillId="9" fontId="82" numFmtId="9" xfId="0" applyAlignment="1" applyBorder="1" applyFont="1" applyNumberFormat="1">
      <alignment horizontal="left" vertical="center"/>
    </xf>
    <xf borderId="31" fillId="9" fontId="81" numFmtId="170" xfId="0" applyBorder="1" applyFont="1" applyNumberFormat="1"/>
    <xf borderId="26" fillId="9" fontId="81" numFmtId="170" xfId="0" applyBorder="1" applyFont="1" applyNumberFormat="1"/>
    <xf borderId="26" fillId="9" fontId="81" numFmtId="166" xfId="0" applyAlignment="1" applyBorder="1" applyFont="1" applyNumberFormat="1">
      <alignment horizontal="right"/>
    </xf>
    <xf borderId="26" fillId="9" fontId="81" numFmtId="176" xfId="0" applyAlignment="1" applyBorder="1" applyFont="1" applyNumberFormat="1">
      <alignment horizontal="right"/>
    </xf>
    <xf borderId="32" fillId="9" fontId="104" numFmtId="166" xfId="0" applyAlignment="1" applyBorder="1" applyFont="1" applyNumberFormat="1">
      <alignment horizontal="left"/>
    </xf>
    <xf borderId="1" fillId="14" fontId="133" numFmtId="166" xfId="0" applyAlignment="1" applyBorder="1" applyFont="1" applyNumberFormat="1">
      <alignment horizontal="center" vertical="center"/>
    </xf>
    <xf borderId="1" fillId="9" fontId="100" numFmtId="0" xfId="0" applyAlignment="1" applyBorder="1" applyFont="1">
      <alignment horizontal="left"/>
    </xf>
    <xf borderId="1" fillId="9" fontId="134" numFmtId="0" xfId="0" applyBorder="1" applyFont="1"/>
    <xf borderId="1" fillId="9" fontId="100" numFmtId="166" xfId="0" applyAlignment="1" applyBorder="1" applyFont="1" applyNumberFormat="1">
      <alignment horizontal="left"/>
    </xf>
    <xf borderId="1" fillId="9" fontId="81" numFmtId="166" xfId="0" applyAlignment="1" applyBorder="1" applyFont="1" applyNumberFormat="1">
      <alignment horizontal="left"/>
    </xf>
    <xf borderId="1" fillId="10" fontId="126" numFmtId="0" xfId="0" applyAlignment="1" applyBorder="1" applyFont="1">
      <alignment vertical="center"/>
    </xf>
    <xf borderId="1" fillId="9" fontId="126" numFmtId="0" xfId="0" applyAlignment="1" applyBorder="1" applyFont="1">
      <alignment vertical="center"/>
    </xf>
    <xf borderId="1" fillId="9" fontId="127" numFmtId="174" xfId="0" applyAlignment="1" applyBorder="1" applyFont="1" applyNumberFormat="1">
      <alignment vertical="center"/>
    </xf>
    <xf borderId="1" fillId="9" fontId="131" numFmtId="166" xfId="0" applyAlignment="1" applyBorder="1" applyFont="1" applyNumberFormat="1">
      <alignment horizontal="right" vertical="center"/>
    </xf>
    <xf borderId="1" fillId="9" fontId="126" numFmtId="166" xfId="0" applyAlignment="1" applyBorder="1" applyFont="1" applyNumberFormat="1">
      <alignment vertical="center"/>
    </xf>
    <xf borderId="1" fillId="9" fontId="126" numFmtId="166" xfId="0" applyAlignment="1" applyBorder="1" applyFont="1" applyNumberFormat="1">
      <alignment horizontal="center" vertical="center"/>
    </xf>
    <xf borderId="1" fillId="9" fontId="126" numFmtId="176" xfId="0" applyAlignment="1" applyBorder="1" applyFont="1" applyNumberFormat="1">
      <alignment vertical="center"/>
    </xf>
    <xf borderId="1" fillId="9" fontId="126" numFmtId="176" xfId="0" applyAlignment="1" applyBorder="1" applyFont="1" applyNumberFormat="1">
      <alignment horizontal="right" vertical="center"/>
    </xf>
    <xf borderId="1" fillId="9" fontId="133" numFmtId="166" xfId="0" applyAlignment="1" applyBorder="1" applyFont="1" applyNumberFormat="1">
      <alignment vertical="center"/>
    </xf>
    <xf borderId="1" fillId="6" fontId="126" numFmtId="0" xfId="0" applyAlignment="1" applyBorder="1" applyFont="1">
      <alignment vertical="center"/>
    </xf>
    <xf borderId="1" fillId="12" fontId="126" numFmtId="0" xfId="0" applyAlignment="1" applyBorder="1" applyFont="1">
      <alignment vertical="center"/>
    </xf>
    <xf borderId="1" fillId="12" fontId="135" numFmtId="0" xfId="0" applyAlignment="1" applyBorder="1" applyFont="1">
      <alignment horizontal="left"/>
    </xf>
    <xf borderId="1" fillId="12" fontId="136" numFmtId="0" xfId="0" applyAlignment="1" applyBorder="1" applyFont="1">
      <alignment vertical="center"/>
    </xf>
    <xf borderId="1" fillId="12" fontId="137" numFmtId="174" xfId="0" applyAlignment="1" applyBorder="1" applyFont="1" applyNumberFormat="1">
      <alignment vertical="center"/>
    </xf>
    <xf borderId="1" fillId="12" fontId="135" numFmtId="166" xfId="0" applyAlignment="1" applyBorder="1" applyFont="1" applyNumberFormat="1">
      <alignment horizontal="right" vertical="center"/>
    </xf>
    <xf borderId="1" fillId="12" fontId="136" numFmtId="166" xfId="0" applyAlignment="1" applyBorder="1" applyFont="1" applyNumberFormat="1">
      <alignment vertical="center"/>
    </xf>
    <xf borderId="1" fillId="12" fontId="136" numFmtId="166" xfId="0" applyAlignment="1" applyBorder="1" applyFont="1" applyNumberFormat="1">
      <alignment horizontal="center" vertical="center"/>
    </xf>
    <xf borderId="1" fillId="12" fontId="136" numFmtId="176" xfId="0" applyAlignment="1" applyBorder="1" applyFont="1" applyNumberFormat="1">
      <alignment vertical="center"/>
    </xf>
    <xf borderId="1" fillId="12" fontId="136" numFmtId="176" xfId="0" applyAlignment="1" applyBorder="1" applyFont="1" applyNumberFormat="1">
      <alignment horizontal="right" vertical="center"/>
    </xf>
    <xf borderId="1" fillId="12" fontId="138" numFmtId="166" xfId="0" applyAlignment="1" applyBorder="1" applyFont="1" applyNumberFormat="1">
      <alignment vertical="center"/>
    </xf>
    <xf borderId="1" fillId="12" fontId="139" numFmtId="0" xfId="0" applyAlignment="1" applyBorder="1" applyFont="1">
      <alignment vertical="center"/>
    </xf>
    <xf borderId="1" fillId="12" fontId="137" numFmtId="0" xfId="0" applyAlignment="1" applyBorder="1" applyFont="1">
      <alignment horizontal="left" vertical="center"/>
    </xf>
    <xf borderId="1" fillId="12" fontId="136" numFmtId="0" xfId="0" applyBorder="1" applyFont="1"/>
    <xf borderId="1" fillId="12" fontId="136" numFmtId="174" xfId="0" applyAlignment="1" applyBorder="1" applyFont="1" applyNumberFormat="1">
      <alignment horizontal="right"/>
    </xf>
    <xf borderId="1" fillId="12" fontId="136" numFmtId="0" xfId="0" applyAlignment="1" applyBorder="1" applyFont="1">
      <alignment horizontal="center"/>
    </xf>
    <xf borderId="1" fillId="12" fontId="136" numFmtId="174" xfId="0" applyBorder="1" applyFont="1" applyNumberFormat="1"/>
    <xf borderId="1" fillId="12" fontId="140" numFmtId="174" xfId="0" applyAlignment="1" applyBorder="1" applyFont="1" applyNumberFormat="1">
      <alignment horizontal="right"/>
    </xf>
    <xf borderId="1" fillId="12" fontId="141" numFmtId="174" xfId="0" applyBorder="1" applyFont="1" applyNumberFormat="1"/>
    <xf borderId="1" fillId="12" fontId="130" numFmtId="0" xfId="0" applyBorder="1" applyFont="1"/>
    <xf borderId="1" fillId="12" fontId="81" numFmtId="175" xfId="0" applyBorder="1" applyFont="1" applyNumberFormat="1"/>
    <xf borderId="1" fillId="12" fontId="137" numFmtId="0" xfId="0" applyAlignment="1" applyBorder="1" applyFont="1">
      <alignment horizontal="left"/>
    </xf>
    <xf borderId="1" fillId="12" fontId="135" numFmtId="166" xfId="0" applyAlignment="1" applyBorder="1" applyFont="1" applyNumberFormat="1">
      <alignment horizontal="right"/>
    </xf>
    <xf borderId="1" fillId="12" fontId="136" numFmtId="175" xfId="0" applyBorder="1" applyFont="1" applyNumberFormat="1"/>
    <xf borderId="1" fillId="12" fontId="136" numFmtId="178" xfId="0" applyBorder="1" applyFont="1" applyNumberFormat="1"/>
    <xf borderId="1" fillId="12" fontId="135" numFmtId="166" xfId="0" applyBorder="1" applyFont="1" applyNumberFormat="1"/>
    <xf borderId="1" fillId="12" fontId="136" numFmtId="169" xfId="0" applyBorder="1" applyFont="1" applyNumberFormat="1"/>
    <xf borderId="1" fillId="12" fontId="136" numFmtId="166" xfId="0" applyAlignment="1" applyBorder="1" applyFont="1" applyNumberFormat="1">
      <alignment horizontal="center"/>
    </xf>
    <xf borderId="1" fillId="12" fontId="136" numFmtId="166" xfId="0" applyBorder="1" applyFont="1" applyNumberFormat="1"/>
    <xf borderId="1" fillId="12" fontId="136" numFmtId="176" xfId="0" applyBorder="1" applyFont="1" applyNumberFormat="1"/>
    <xf borderId="1" fillId="12" fontId="136" numFmtId="176" xfId="0" applyAlignment="1" applyBorder="1" applyFont="1" applyNumberFormat="1">
      <alignment horizontal="right"/>
    </xf>
    <xf borderId="1" fillId="12" fontId="81" numFmtId="0" xfId="0" applyAlignment="1" applyBorder="1" applyFont="1">
      <alignment horizontal="center"/>
    </xf>
    <xf borderId="42" fillId="12" fontId="142" numFmtId="0" xfId="0" applyAlignment="1" applyBorder="1" applyFont="1">
      <alignment vertical="top"/>
    </xf>
    <xf borderId="1" fillId="9" fontId="126" numFmtId="0" xfId="0" applyBorder="1" applyFont="1"/>
    <xf borderId="0" fillId="0" fontId="7" numFmtId="0" xfId="0" applyAlignment="1" applyFont="1">
      <alignment horizontal="left"/>
    </xf>
    <xf borderId="1" fillId="9" fontId="7" numFmtId="0" xfId="0" applyBorder="1" applyFont="1"/>
    <xf borderId="0" fillId="0" fontId="143" numFmtId="0" xfId="0" applyAlignment="1" applyFont="1">
      <alignment horizontal="center"/>
    </xf>
    <xf borderId="0" fillId="0" fontId="144" numFmtId="9" xfId="0" applyAlignment="1" applyFont="1" applyNumberFormat="1">
      <alignment horizontal="right"/>
    </xf>
    <xf borderId="0" fillId="0" fontId="145" numFmtId="0" xfId="0" applyAlignment="1" applyFont="1">
      <alignment horizontal="right"/>
    </xf>
    <xf borderId="0" fillId="0" fontId="7" numFmtId="0" xfId="0" applyAlignment="1" applyFont="1">
      <alignment horizontal="center"/>
    </xf>
    <xf borderId="0" fillId="0" fontId="145" numFmtId="0" xfId="0" applyAlignment="1" applyFont="1">
      <alignment horizontal="center"/>
    </xf>
    <xf borderId="0" fillId="0" fontId="7" numFmtId="0" xfId="0" applyAlignment="1" applyFont="1">
      <alignment horizontal="right"/>
    </xf>
    <xf borderId="0" fillId="0" fontId="146" numFmtId="0" xfId="0" applyAlignment="1" applyFont="1">
      <alignment horizontal="left"/>
    </xf>
    <xf borderId="0" fillId="0" fontId="147" numFmtId="166" xfId="0" applyAlignment="1" applyFont="1" applyNumberFormat="1">
      <alignment horizontal="right"/>
    </xf>
    <xf borderId="43" fillId="0" fontId="145" numFmtId="0" xfId="0" applyAlignment="1" applyBorder="1" applyFont="1">
      <alignment horizontal="right"/>
    </xf>
    <xf borderId="33" fillId="0" fontId="145" numFmtId="0" xfId="0" applyAlignment="1" applyBorder="1" applyFont="1">
      <alignment horizontal="center"/>
    </xf>
    <xf borderId="0" fillId="0" fontId="145" numFmtId="0" xfId="0" applyAlignment="1" applyFont="1">
      <alignment horizontal="left"/>
    </xf>
    <xf borderId="1" fillId="19" fontId="7" numFmtId="171" xfId="0" applyAlignment="1" applyBorder="1" applyFill="1" applyFont="1" applyNumberFormat="1">
      <alignment horizontal="left"/>
    </xf>
    <xf borderId="1" fillId="9" fontId="7" numFmtId="171" xfId="0" applyAlignment="1" applyBorder="1" applyFont="1" applyNumberFormat="1">
      <alignment horizontal="right"/>
    </xf>
    <xf borderId="1" fillId="19" fontId="7" numFmtId="171" xfId="0" applyAlignment="1" applyBorder="1" applyFont="1" applyNumberFormat="1">
      <alignment horizontal="right"/>
    </xf>
    <xf borderId="23" fillId="0" fontId="7" numFmtId="168" xfId="0" applyAlignment="1" applyBorder="1" applyFont="1" applyNumberFormat="1">
      <alignment horizontal="right"/>
    </xf>
    <xf borderId="0" fillId="0" fontId="7" numFmtId="171" xfId="0" applyAlignment="1" applyFont="1" applyNumberFormat="1">
      <alignment horizontal="right"/>
    </xf>
    <xf borderId="0" fillId="0" fontId="41" numFmtId="166" xfId="0" applyAlignment="1" applyFont="1" applyNumberFormat="1">
      <alignment horizontal="right"/>
    </xf>
    <xf borderId="1" fillId="20" fontId="7" numFmtId="171" xfId="0" applyAlignment="1" applyBorder="1" applyFill="1" applyFont="1" applyNumberFormat="1">
      <alignment horizontal="left"/>
    </xf>
    <xf borderId="1" fillId="20" fontId="7" numFmtId="171" xfId="0" applyAlignment="1" applyBorder="1" applyFont="1" applyNumberFormat="1">
      <alignment horizontal="right"/>
    </xf>
    <xf borderId="1" fillId="9" fontId="7" numFmtId="171" xfId="0" applyAlignment="1" applyBorder="1" applyFont="1" applyNumberFormat="1">
      <alignment horizontal="left"/>
    </xf>
    <xf borderId="1" fillId="9" fontId="7" numFmtId="0" xfId="0" applyAlignment="1" applyBorder="1" applyFont="1">
      <alignment horizontal="right"/>
    </xf>
    <xf borderId="44" fillId="9" fontId="7" numFmtId="168" xfId="0" applyAlignment="1" applyBorder="1" applyFont="1" applyNumberFormat="1">
      <alignment horizontal="right"/>
    </xf>
    <xf borderId="1" fillId="9" fontId="145" numFmtId="0" xfId="0" applyAlignment="1" applyBorder="1" applyFont="1">
      <alignment horizontal="right"/>
    </xf>
    <xf borderId="1" fillId="9" fontId="41" numFmtId="166" xfId="0" applyAlignment="1" applyBorder="1" applyFont="1" applyNumberFormat="1">
      <alignment horizontal="right"/>
    </xf>
    <xf borderId="1" fillId="9" fontId="7" numFmtId="0" xfId="0" applyAlignment="1" applyBorder="1" applyFont="1">
      <alignment horizontal="left"/>
    </xf>
    <xf borderId="0" fillId="0" fontId="148" numFmtId="9" xfId="0" applyAlignment="1" applyFont="1" applyNumberFormat="1">
      <alignment horizontal="left"/>
    </xf>
    <xf borderId="1" fillId="9" fontId="149" numFmtId="9" xfId="0" applyAlignment="1" applyBorder="1" applyFont="1" applyNumberFormat="1">
      <alignment horizontal="right"/>
    </xf>
    <xf borderId="0" fillId="0" fontId="150" numFmtId="0" xfId="0" applyAlignment="1" applyFont="1">
      <alignment horizontal="right"/>
    </xf>
    <xf borderId="0" fillId="0" fontId="151" numFmtId="9" xfId="0" applyAlignment="1" applyFont="1" applyNumberFormat="1">
      <alignment horizontal="center"/>
    </xf>
    <xf borderId="33" fillId="0" fontId="145" numFmtId="0" xfId="0" applyBorder="1" applyFont="1"/>
    <xf borderId="1" fillId="13" fontId="7" numFmtId="171" xfId="0" applyAlignment="1" applyBorder="1" applyFont="1" applyNumberFormat="1">
      <alignment horizontal="left"/>
    </xf>
    <xf borderId="1" fillId="13" fontId="7" numFmtId="171" xfId="0" applyAlignment="1" applyBorder="1" applyFont="1" applyNumberFormat="1">
      <alignment horizontal="right"/>
    </xf>
    <xf borderId="0" fillId="0" fontId="152" numFmtId="176" xfId="0" applyAlignment="1" applyFont="1" applyNumberFormat="1">
      <alignment horizontal="center"/>
    </xf>
    <xf borderId="0" fillId="0" fontId="7" numFmtId="167" xfId="0" applyFont="1" applyNumberFormat="1"/>
    <xf borderId="0" fillId="0" fontId="7" numFmtId="171" xfId="0" applyAlignment="1" applyFont="1" applyNumberFormat="1">
      <alignment horizontal="left"/>
    </xf>
    <xf borderId="1" fillId="21" fontId="7" numFmtId="171" xfId="0" applyAlignment="1" applyBorder="1" applyFill="1" applyFont="1" applyNumberFormat="1">
      <alignment horizontal="left"/>
    </xf>
    <xf borderId="1" fillId="21" fontId="7" numFmtId="171" xfId="0" applyAlignment="1" applyBorder="1" applyFont="1" applyNumberFormat="1">
      <alignment horizontal="right"/>
    </xf>
    <xf borderId="0" fillId="0" fontId="153" numFmtId="176" xfId="0" applyAlignment="1" applyFont="1" applyNumberFormat="1">
      <alignment horizontal="center"/>
    </xf>
    <xf borderId="0" fillId="0" fontId="7" numFmtId="9" xfId="0" applyFont="1" applyNumberFormat="1"/>
    <xf borderId="45" fillId="0" fontId="7" numFmtId="168" xfId="0" applyAlignment="1" applyBorder="1" applyFont="1" applyNumberFormat="1">
      <alignment horizontal="right"/>
    </xf>
    <xf borderId="0" fillId="0" fontId="7" numFmtId="168" xfId="0" applyAlignment="1" applyFont="1" applyNumberFormat="1">
      <alignment horizontal="right"/>
    </xf>
    <xf borderId="0" fillId="0" fontId="7" numFmtId="172" xfId="0" applyAlignment="1" applyFont="1" applyNumberFormat="1">
      <alignment horizontal="right"/>
    </xf>
    <xf borderId="0" fillId="0" fontId="41" numFmtId="0" xfId="0" applyAlignment="1" applyFont="1">
      <alignment horizontal="left" shrinkToFit="0" vertical="top" wrapText="1"/>
    </xf>
    <xf borderId="0" fillId="0" fontId="41" numFmtId="0" xfId="0" applyAlignment="1" applyFont="1">
      <alignment horizontal="left"/>
    </xf>
    <xf borderId="1" fillId="6" fontId="7" numFmtId="0" xfId="0" applyAlignment="1" applyBorder="1" applyFont="1">
      <alignment horizontal="left"/>
    </xf>
    <xf borderId="1" fillId="6" fontId="7" numFmtId="0" xfId="0" applyBorder="1" applyFont="1"/>
    <xf borderId="1" fillId="6" fontId="41" numFmtId="0" xfId="0" applyAlignment="1" applyBorder="1" applyFont="1">
      <alignment horizontal="left"/>
    </xf>
    <xf borderId="1" fillId="6" fontId="7" numFmtId="171" xfId="0" applyAlignment="1" applyBorder="1" applyFont="1" applyNumberFormat="1">
      <alignment horizontal="right"/>
    </xf>
    <xf borderId="1" fillId="6" fontId="7" numFmtId="0" xfId="0" applyAlignment="1" applyBorder="1" applyFont="1">
      <alignment horizontal="right"/>
    </xf>
    <xf borderId="1" fillId="6" fontId="7" numFmtId="168" xfId="0" applyAlignment="1" applyBorder="1" applyFont="1" applyNumberFormat="1">
      <alignment horizontal="right"/>
    </xf>
    <xf borderId="1" fillId="6" fontId="145" numFmtId="0" xfId="0" applyAlignment="1" applyBorder="1" applyFont="1">
      <alignment horizontal="right"/>
    </xf>
    <xf borderId="1" fillId="6" fontId="153" numFmtId="176" xfId="0" applyAlignment="1" applyBorder="1" applyFont="1" applyNumberFormat="1">
      <alignment horizontal="center"/>
    </xf>
    <xf borderId="1" fillId="9" fontId="7" numFmtId="168" xfId="0" applyAlignment="1" applyBorder="1" applyFont="1" applyNumberFormat="1">
      <alignment horizontal="right"/>
    </xf>
    <xf borderId="0" fillId="0" fontId="145" numFmtId="171" xfId="0" applyAlignment="1" applyFont="1" applyNumberFormat="1">
      <alignment horizontal="center"/>
    </xf>
    <xf borderId="33" fillId="0" fontId="145" numFmtId="0" xfId="0" applyAlignment="1" applyBorder="1" applyFont="1">
      <alignment horizontal="right"/>
    </xf>
    <xf borderId="0" fillId="0" fontId="7" numFmtId="167" xfId="0" applyAlignment="1" applyFont="1" applyNumberFormat="1">
      <alignment horizontal="right"/>
    </xf>
    <xf borderId="0" fillId="0" fontId="145" numFmtId="179" xfId="0" applyAlignment="1" applyFont="1" applyNumberFormat="1">
      <alignment horizontal="right"/>
    </xf>
    <xf borderId="0" fillId="0" fontId="145" numFmtId="0" xfId="0" applyFont="1"/>
    <xf borderId="1" fillId="22" fontId="7" numFmtId="0" xfId="0" applyBorder="1" applyFill="1" applyFont="1"/>
    <xf borderId="46" fillId="22" fontId="7" numFmtId="0" xfId="0" applyBorder="1" applyFont="1"/>
    <xf borderId="46" fillId="16" fontId="7" numFmtId="0" xfId="0" applyBorder="1" applyFont="1"/>
    <xf borderId="47" fillId="22" fontId="7" numFmtId="0" xfId="0" applyBorder="1" applyFont="1"/>
    <xf borderId="1" fillId="16" fontId="7" numFmtId="0" xfId="0" applyBorder="1" applyFont="1"/>
    <xf borderId="48" fillId="22" fontId="7" numFmtId="0" xfId="0" applyBorder="1" applyFont="1"/>
    <xf borderId="0" fillId="0" fontId="154" numFmtId="0" xfId="0" applyAlignment="1" applyFont="1">
      <alignment horizontal="left" vertical="top"/>
    </xf>
    <xf borderId="0" fillId="0" fontId="155" numFmtId="0" xfId="0" applyFont="1"/>
    <xf borderId="49" fillId="15" fontId="156" numFmtId="0" xfId="0" applyBorder="1" applyFont="1"/>
    <xf borderId="50" fillId="15" fontId="157" numFmtId="0" xfId="0" applyAlignment="1" applyBorder="1" applyFont="1">
      <alignment horizontal="left" shrinkToFit="0" vertical="top" wrapText="1"/>
    </xf>
    <xf borderId="51" fillId="15" fontId="157" numFmtId="0" xfId="0" applyAlignment="1" applyBorder="1" applyFont="1">
      <alignment horizontal="left" shrinkToFit="0" vertical="top" wrapText="1"/>
    </xf>
    <xf borderId="49" fillId="16" fontId="158" numFmtId="0" xfId="0" applyAlignment="1" applyBorder="1" applyFont="1">
      <alignment horizontal="left" shrinkToFit="0" vertical="top" wrapText="1"/>
    </xf>
    <xf borderId="49" fillId="9" fontId="159" numFmtId="0" xfId="0" applyAlignment="1" applyBorder="1" applyFont="1">
      <alignment horizontal="left" shrinkToFit="0" vertical="top" wrapText="1"/>
    </xf>
    <xf borderId="0" fillId="0" fontId="160" numFmtId="0" xfId="0" applyAlignment="1" applyFont="1">
      <alignment horizontal="left" shrinkToFit="0" vertical="top" wrapText="1"/>
    </xf>
    <xf borderId="52" fillId="0" fontId="2" numFmtId="0" xfId="0" applyBorder="1" applyFont="1"/>
    <xf borderId="49" fillId="16" fontId="7" numFmtId="0" xfId="0" applyBorder="1" applyFont="1"/>
    <xf borderId="1" fillId="16" fontId="161" numFmtId="180" xfId="0" applyAlignment="1" applyBorder="1" applyFont="1" applyNumberFormat="1">
      <alignment horizontal="left"/>
    </xf>
    <xf borderId="49" fillId="9" fontId="161" numFmtId="180" xfId="0" applyAlignment="1" applyBorder="1" applyFont="1" applyNumberFormat="1">
      <alignment horizontal="left"/>
    </xf>
    <xf borderId="1" fillId="16" fontId="162" numFmtId="0" xfId="0" applyAlignment="1" applyBorder="1" applyFont="1">
      <alignment horizontal="left" shrinkToFit="0" vertical="top" wrapText="1"/>
    </xf>
    <xf borderId="49" fillId="9" fontId="162" numFmtId="0" xfId="0" applyAlignment="1" applyBorder="1" applyFont="1">
      <alignment horizontal="left" shrinkToFit="0" vertical="top" wrapText="1"/>
    </xf>
    <xf borderId="1" fillId="15" fontId="157" numFmtId="181" xfId="0" applyAlignment="1" applyBorder="1" applyFont="1" applyNumberFormat="1">
      <alignment horizontal="right" vertical="top"/>
    </xf>
    <xf borderId="1" fillId="15" fontId="157" numFmtId="182" xfId="0" applyAlignment="1" applyBorder="1" applyFont="1" applyNumberFormat="1">
      <alignment horizontal="right" vertical="top"/>
    </xf>
    <xf borderId="1" fillId="16" fontId="157" numFmtId="181" xfId="0" applyAlignment="1" applyBorder="1" applyFont="1" applyNumberFormat="1">
      <alignment horizontal="right" vertical="top"/>
    </xf>
    <xf borderId="1" fillId="9" fontId="163" numFmtId="0" xfId="0" applyAlignment="1" applyBorder="1" applyFont="1">
      <alignment horizontal="left" vertical="top"/>
    </xf>
    <xf borderId="1" fillId="15" fontId="163" numFmtId="181" xfId="0" applyAlignment="1" applyBorder="1" applyFont="1" applyNumberFormat="1">
      <alignment horizontal="right" vertical="top"/>
    </xf>
    <xf borderId="1" fillId="15" fontId="163" numFmtId="182" xfId="0" applyAlignment="1" applyBorder="1" applyFont="1" applyNumberFormat="1">
      <alignment horizontal="right" vertical="top"/>
    </xf>
    <xf borderId="1" fillId="9" fontId="163" numFmtId="181" xfId="0" applyAlignment="1" applyBorder="1" applyFont="1" applyNumberFormat="1">
      <alignment horizontal="right" vertical="top"/>
    </xf>
    <xf borderId="1" fillId="16" fontId="163" numFmtId="181" xfId="0" applyAlignment="1" applyBorder="1" applyFont="1" applyNumberFormat="1">
      <alignment horizontal="right" vertical="top"/>
    </xf>
    <xf borderId="47" fillId="16" fontId="7" numFmtId="0" xfId="0" applyBorder="1" applyFont="1"/>
    <xf borderId="1" fillId="16" fontId="163" numFmtId="0" xfId="0" applyAlignment="1" applyBorder="1" applyFont="1">
      <alignment horizontal="left" vertical="top"/>
    </xf>
    <xf borderId="1" fillId="16" fontId="163" numFmtId="182" xfId="0" applyAlignment="1" applyBorder="1" applyFont="1" applyNumberFormat="1">
      <alignment horizontal="right" vertical="top"/>
    </xf>
    <xf borderId="48" fillId="16" fontId="7" numFmtId="0" xfId="0" applyBorder="1" applyFont="1"/>
    <xf borderId="1" fillId="16" fontId="157" numFmtId="0" xfId="0" applyAlignment="1" applyBorder="1" applyFont="1">
      <alignment horizontal="left" vertical="top"/>
    </xf>
    <xf borderId="28" fillId="16" fontId="157" numFmtId="181" xfId="0" applyAlignment="1" applyBorder="1" applyFont="1" applyNumberFormat="1">
      <alignment horizontal="right" vertical="top"/>
    </xf>
    <xf borderId="28" fillId="16" fontId="157" numFmtId="182" xfId="0" applyAlignment="1" applyBorder="1" applyFont="1" applyNumberFormat="1">
      <alignment horizontal="right" vertical="top"/>
    </xf>
    <xf borderId="1" fillId="9" fontId="157" numFmtId="0" xfId="0" applyAlignment="1" applyBorder="1" applyFont="1">
      <alignment horizontal="left" vertical="top"/>
    </xf>
    <xf borderId="28" fillId="15" fontId="157" numFmtId="181" xfId="0" applyAlignment="1" applyBorder="1" applyFont="1" applyNumberFormat="1">
      <alignment horizontal="right" vertical="top"/>
    </xf>
    <xf borderId="28" fillId="15" fontId="157" numFmtId="182" xfId="0" applyAlignment="1" applyBorder="1" applyFont="1" applyNumberFormat="1">
      <alignment horizontal="right" vertical="top"/>
    </xf>
    <xf borderId="28" fillId="9" fontId="157" numFmtId="181" xfId="0" applyAlignment="1" applyBorder="1" applyFont="1" applyNumberFormat="1">
      <alignment horizontal="right" vertical="top"/>
    </xf>
    <xf borderId="1" fillId="16" fontId="157" numFmtId="182" xfId="0" applyAlignment="1" applyBorder="1" applyFont="1" applyNumberFormat="1">
      <alignment horizontal="right" vertical="top"/>
    </xf>
    <xf borderId="1" fillId="15" fontId="163" numFmtId="183" xfId="0" applyAlignment="1" applyBorder="1" applyFont="1" applyNumberFormat="1">
      <alignment horizontal="right" vertical="top"/>
    </xf>
    <xf borderId="1" fillId="9" fontId="163" numFmtId="183" xfId="0" applyAlignment="1" applyBorder="1" applyFont="1" applyNumberFormat="1">
      <alignment horizontal="right" vertical="top"/>
    </xf>
    <xf borderId="1" fillId="16" fontId="163" numFmtId="183" xfId="0" applyAlignment="1" applyBorder="1" applyFont="1" applyNumberFormat="1">
      <alignment horizontal="right" vertical="top"/>
    </xf>
    <xf borderId="1" fillId="15" fontId="163" numFmtId="49" xfId="0" applyAlignment="1" applyBorder="1" applyFont="1" applyNumberFormat="1">
      <alignment horizontal="right" vertical="top"/>
    </xf>
    <xf borderId="1" fillId="9" fontId="163" numFmtId="49" xfId="0" applyAlignment="1" applyBorder="1" applyFont="1" applyNumberFormat="1">
      <alignment horizontal="right" vertical="top"/>
    </xf>
    <xf borderId="1" fillId="16" fontId="163" numFmtId="49" xfId="0" applyAlignment="1" applyBorder="1" applyFont="1" applyNumberFormat="1">
      <alignment horizontal="right" vertical="top"/>
    </xf>
    <xf borderId="0" fillId="0" fontId="142" numFmtId="0" xfId="0" applyFont="1"/>
    <xf borderId="53" fillId="22" fontId="7" numFmtId="0" xfId="0" applyBorder="1" applyFont="1"/>
    <xf borderId="53" fillId="16" fontId="7" numFmtId="0" xfId="0" applyBorder="1" applyFont="1"/>
    <xf borderId="46" fillId="20" fontId="7" numFmtId="0" xfId="0" applyBorder="1" applyFont="1"/>
    <xf borderId="1" fillId="20" fontId="7" numFmtId="0" xfId="0" applyBorder="1" applyFont="1"/>
    <xf borderId="49" fillId="20" fontId="164" numFmtId="0" xfId="0" applyAlignment="1" applyBorder="1" applyFont="1">
      <alignment horizontal="left" shrinkToFit="0" vertical="top" wrapText="1"/>
    </xf>
    <xf borderId="49" fillId="20" fontId="161" numFmtId="180" xfId="0" applyAlignment="1" applyBorder="1" applyFont="1" applyNumberFormat="1">
      <alignment horizontal="left"/>
    </xf>
    <xf borderId="49" fillId="0" fontId="7" numFmtId="0" xfId="0" applyBorder="1" applyFont="1"/>
    <xf borderId="49" fillId="20" fontId="7" numFmtId="0" xfId="0" applyBorder="1" applyFont="1"/>
    <xf borderId="49" fillId="9" fontId="165" numFmtId="0" xfId="0" applyAlignment="1" applyBorder="1" applyFont="1">
      <alignment horizontal="left" shrinkToFit="0" vertical="top" wrapText="1"/>
    </xf>
    <xf borderId="1" fillId="9" fontId="166" numFmtId="0" xfId="0" applyAlignment="1" applyBorder="1" applyFont="1">
      <alignment horizontal="left" shrinkToFit="0" vertical="top" wrapText="1"/>
    </xf>
    <xf borderId="1" fillId="20" fontId="157" numFmtId="181" xfId="0" applyAlignment="1" applyBorder="1" applyFont="1" applyNumberFormat="1">
      <alignment horizontal="right" vertical="top"/>
    </xf>
    <xf borderId="1" fillId="20" fontId="163" numFmtId="181" xfId="0" applyAlignment="1" applyBorder="1" applyFont="1" applyNumberFormat="1">
      <alignment horizontal="right" vertical="top"/>
    </xf>
    <xf borderId="47" fillId="4" fontId="7" numFmtId="0" xfId="0" applyBorder="1" applyFont="1"/>
    <xf borderId="1" fillId="4" fontId="7" numFmtId="0" xfId="0" applyBorder="1" applyFont="1"/>
    <xf borderId="1" fillId="4" fontId="157" numFmtId="0" xfId="0" applyAlignment="1" applyBorder="1" applyFont="1">
      <alignment horizontal="left" vertical="top"/>
    </xf>
    <xf borderId="28" fillId="4" fontId="157" numFmtId="181" xfId="0" applyAlignment="1" applyBorder="1" applyFont="1" applyNumberFormat="1">
      <alignment horizontal="right" vertical="top"/>
    </xf>
    <xf borderId="28" fillId="4" fontId="157" numFmtId="182" xfId="0" applyAlignment="1" applyBorder="1" applyFont="1" applyNumberFormat="1">
      <alignment horizontal="right" vertical="top"/>
    </xf>
    <xf borderId="28" fillId="20" fontId="157" numFmtId="181" xfId="0" applyAlignment="1" applyBorder="1" applyFont="1" applyNumberFormat="1">
      <alignment horizontal="right" vertical="top"/>
    </xf>
    <xf borderId="48" fillId="4" fontId="7" numFmtId="0" xfId="0" applyBorder="1" applyFont="1"/>
    <xf borderId="1" fillId="4" fontId="163" numFmtId="0" xfId="0" applyAlignment="1" applyBorder="1" applyFont="1">
      <alignment horizontal="left" vertical="top"/>
    </xf>
    <xf borderId="1" fillId="4" fontId="163" numFmtId="181" xfId="0" applyAlignment="1" applyBorder="1" applyFont="1" applyNumberFormat="1">
      <alignment horizontal="right" vertical="top"/>
    </xf>
    <xf borderId="1" fillId="4" fontId="163" numFmtId="182" xfId="0" applyAlignment="1" applyBorder="1" applyFont="1" applyNumberFormat="1">
      <alignment horizontal="right" vertical="top"/>
    </xf>
    <xf borderId="50" fillId="4" fontId="157" numFmtId="0" xfId="0" applyAlignment="1" applyBorder="1" applyFont="1">
      <alignment horizontal="left" shrinkToFit="0" vertical="top" wrapText="1"/>
    </xf>
    <xf borderId="47" fillId="10" fontId="7" numFmtId="0" xfId="0" applyBorder="1" applyFont="1"/>
    <xf borderId="1" fillId="10" fontId="7" numFmtId="0" xfId="0" applyBorder="1" applyFont="1"/>
    <xf borderId="1" fillId="10" fontId="163" numFmtId="0" xfId="0" applyAlignment="1" applyBorder="1" applyFont="1">
      <alignment horizontal="left" vertical="top"/>
    </xf>
    <xf borderId="1" fillId="10" fontId="163" numFmtId="181" xfId="0" applyAlignment="1" applyBorder="1" applyFont="1" applyNumberFormat="1">
      <alignment horizontal="right" vertical="top"/>
    </xf>
    <xf borderId="1" fillId="10" fontId="163" numFmtId="182" xfId="0" applyAlignment="1" applyBorder="1" applyFont="1" applyNumberFormat="1">
      <alignment horizontal="right" vertical="top"/>
    </xf>
    <xf borderId="48" fillId="10" fontId="7" numFmtId="0" xfId="0" applyBorder="1" applyFont="1"/>
    <xf borderId="54" fillId="0" fontId="7" numFmtId="0" xfId="0" applyBorder="1" applyFont="1"/>
    <xf borderId="0" fillId="0" fontId="157" numFmtId="0" xfId="0" applyAlignment="1" applyFont="1">
      <alignment horizontal="left" vertical="top"/>
    </xf>
    <xf borderId="55" fillId="0" fontId="157" numFmtId="181" xfId="0" applyAlignment="1" applyBorder="1" applyFont="1" applyNumberFormat="1">
      <alignment horizontal="right" vertical="top"/>
    </xf>
    <xf borderId="55" fillId="0" fontId="157" numFmtId="182" xfId="0" applyAlignment="1" applyBorder="1" applyFont="1" applyNumberFormat="1">
      <alignment horizontal="right" vertical="top"/>
    </xf>
    <xf borderId="56" fillId="0" fontId="7" numFmtId="0" xfId="0" applyBorder="1" applyFont="1"/>
    <xf borderId="1" fillId="20" fontId="157" numFmtId="182" xfId="0" applyAlignment="1" applyBorder="1" applyFont="1" applyNumberFormat="1">
      <alignment horizontal="right" vertical="top"/>
    </xf>
    <xf borderId="1" fillId="9" fontId="163" numFmtId="182" xfId="0" applyAlignment="1" applyBorder="1" applyFont="1" applyNumberFormat="1">
      <alignment horizontal="right" vertical="top"/>
    </xf>
    <xf borderId="1" fillId="20" fontId="163" numFmtId="182" xfId="0" applyAlignment="1" applyBorder="1" applyFont="1" applyNumberFormat="1">
      <alignment horizontal="right" vertical="top"/>
    </xf>
    <xf borderId="28" fillId="20" fontId="157" numFmtId="182" xfId="0" applyAlignment="1" applyBorder="1" applyFont="1" applyNumberFormat="1">
      <alignment horizontal="right" vertical="top"/>
    </xf>
    <xf borderId="1" fillId="20" fontId="163" numFmtId="49" xfId="0" applyAlignment="1" applyBorder="1" applyFont="1" applyNumberFormat="1">
      <alignment horizontal="right" vertical="top"/>
    </xf>
    <xf borderId="47" fillId="23" fontId="7" numFmtId="0" xfId="0" applyBorder="1" applyFill="1" applyFont="1"/>
    <xf borderId="1" fillId="23" fontId="7" numFmtId="0" xfId="0" applyBorder="1" applyFont="1"/>
    <xf borderId="1" fillId="23" fontId="163" numFmtId="0" xfId="0" applyAlignment="1" applyBorder="1" applyFont="1">
      <alignment horizontal="left" vertical="top"/>
    </xf>
    <xf borderId="1" fillId="23" fontId="163" numFmtId="181" xfId="0" applyAlignment="1" applyBorder="1" applyFont="1" applyNumberFormat="1">
      <alignment horizontal="right" vertical="top"/>
    </xf>
    <xf borderId="1" fillId="23" fontId="163" numFmtId="182" xfId="0" applyAlignment="1" applyBorder="1" applyFont="1" applyNumberFormat="1">
      <alignment horizontal="right" vertical="top"/>
    </xf>
    <xf borderId="48" fillId="23" fontId="7" numFmtId="0" xfId="0" applyBorder="1" applyFont="1"/>
    <xf borderId="1" fillId="15" fontId="163" numFmtId="184" xfId="0" applyAlignment="1" applyBorder="1" applyFont="1" applyNumberFormat="1">
      <alignment horizontal="right" vertical="top"/>
    </xf>
    <xf borderId="1" fillId="9" fontId="163" numFmtId="184" xfId="0" applyAlignment="1" applyBorder="1" applyFont="1" applyNumberFormat="1">
      <alignment horizontal="right" vertical="top"/>
    </xf>
    <xf borderId="1" fillId="20" fontId="163" numFmtId="184" xfId="0" applyAlignment="1" applyBorder="1" applyFont="1" applyNumberFormat="1">
      <alignment horizontal="right" vertical="top"/>
    </xf>
    <xf borderId="47" fillId="9" fontId="7" numFmtId="0" xfId="0" applyBorder="1" applyFont="1"/>
    <xf borderId="48" fillId="9" fontId="7" numFmtId="0" xfId="0" applyBorder="1" applyFont="1"/>
    <xf borderId="47" fillId="24" fontId="7" numFmtId="0" xfId="0" applyBorder="1" applyFill="1" applyFont="1"/>
    <xf borderId="1" fillId="24" fontId="7" numFmtId="0" xfId="0" applyBorder="1" applyFont="1"/>
    <xf borderId="1" fillId="24" fontId="163" numFmtId="0" xfId="0" applyAlignment="1" applyBorder="1" applyFont="1">
      <alignment horizontal="left" vertical="top"/>
    </xf>
    <xf borderId="1" fillId="24" fontId="163" numFmtId="181" xfId="0" applyAlignment="1" applyBorder="1" applyFont="1" applyNumberFormat="1">
      <alignment horizontal="right" vertical="top"/>
    </xf>
    <xf borderId="1" fillId="24" fontId="163" numFmtId="182" xfId="0" applyAlignment="1" applyBorder="1" applyFont="1" applyNumberFormat="1">
      <alignment horizontal="right" vertical="top"/>
    </xf>
    <xf borderId="48" fillId="24" fontId="7" numFmtId="0" xfId="0" applyBorder="1" applyFont="1"/>
    <xf borderId="47" fillId="8" fontId="7" numFmtId="0" xfId="0" applyBorder="1" applyFont="1"/>
    <xf borderId="1" fillId="8" fontId="7" numFmtId="0" xfId="0" applyBorder="1" applyFont="1"/>
    <xf borderId="1" fillId="8" fontId="163" numFmtId="0" xfId="0" applyAlignment="1" applyBorder="1" applyFont="1">
      <alignment horizontal="left" vertical="top"/>
    </xf>
    <xf borderId="1" fillId="8" fontId="163" numFmtId="181" xfId="0" applyAlignment="1" applyBorder="1" applyFont="1" applyNumberFormat="1">
      <alignment horizontal="right" vertical="top"/>
    </xf>
    <xf borderId="1" fillId="8" fontId="163" numFmtId="182" xfId="0" applyAlignment="1" applyBorder="1" applyFont="1" applyNumberFormat="1">
      <alignment horizontal="right" vertical="top"/>
    </xf>
    <xf borderId="48" fillId="8" fontId="7" numFmtId="0" xfId="0" applyBorder="1" applyFont="1"/>
    <xf borderId="47" fillId="5" fontId="7" numFmtId="0" xfId="0" applyBorder="1" applyFont="1"/>
    <xf borderId="1" fillId="5" fontId="7" numFmtId="0" xfId="0" applyBorder="1" applyFont="1"/>
    <xf borderId="1" fillId="5" fontId="163" numFmtId="0" xfId="0" applyAlignment="1" applyBorder="1" applyFont="1">
      <alignment horizontal="left" vertical="top"/>
    </xf>
    <xf borderId="1" fillId="5" fontId="163" numFmtId="181" xfId="0" applyAlignment="1" applyBorder="1" applyFont="1" applyNumberFormat="1">
      <alignment horizontal="right" vertical="top"/>
    </xf>
    <xf borderId="1" fillId="5" fontId="163" numFmtId="182" xfId="0" applyAlignment="1" applyBorder="1" applyFont="1" applyNumberFormat="1">
      <alignment horizontal="right" vertical="top"/>
    </xf>
    <xf borderId="48" fillId="5" fontId="7" numFmtId="0" xfId="0" applyBorder="1" applyFont="1"/>
    <xf borderId="47" fillId="25" fontId="7" numFmtId="0" xfId="0" applyBorder="1" applyFill="1" applyFont="1"/>
    <xf borderId="1" fillId="25" fontId="7" numFmtId="0" xfId="0" applyBorder="1" applyFont="1"/>
    <xf borderId="1" fillId="25" fontId="163" numFmtId="0" xfId="0" applyAlignment="1" applyBorder="1" applyFont="1">
      <alignment horizontal="left" vertical="top"/>
    </xf>
    <xf borderId="1" fillId="25" fontId="163" numFmtId="181" xfId="0" applyAlignment="1" applyBorder="1" applyFont="1" applyNumberFormat="1">
      <alignment horizontal="right" vertical="top"/>
    </xf>
    <xf borderId="1" fillId="25" fontId="163" numFmtId="182" xfId="0" applyAlignment="1" applyBorder="1" applyFont="1" applyNumberFormat="1">
      <alignment horizontal="right" vertical="top"/>
    </xf>
    <xf borderId="48" fillId="25" fontId="7" numFmtId="0" xfId="0" applyBorder="1" applyFont="1"/>
    <xf borderId="47" fillId="26" fontId="7" numFmtId="0" xfId="0" applyBorder="1" applyFill="1" applyFont="1"/>
    <xf borderId="1" fillId="26" fontId="7" numFmtId="0" xfId="0" applyBorder="1" applyFont="1"/>
    <xf borderId="1" fillId="26" fontId="163" numFmtId="0" xfId="0" applyAlignment="1" applyBorder="1" applyFont="1">
      <alignment horizontal="left" vertical="top"/>
    </xf>
    <xf borderId="1" fillId="26" fontId="163" numFmtId="181" xfId="0" applyAlignment="1" applyBorder="1" applyFont="1" applyNumberFormat="1">
      <alignment horizontal="right" vertical="top"/>
    </xf>
    <xf borderId="1" fillId="26" fontId="163" numFmtId="182" xfId="0" applyAlignment="1" applyBorder="1" applyFont="1" applyNumberFormat="1">
      <alignment horizontal="right" vertical="top"/>
    </xf>
    <xf borderId="48" fillId="26" fontId="7" numFmtId="0" xfId="0" applyBorder="1" applyFont="1"/>
    <xf borderId="53" fillId="20" fontId="7" numFmtId="0" xfId="0" applyBorder="1" applyFont="1"/>
    <xf borderId="1" fillId="10" fontId="157" numFmtId="0" xfId="0" applyAlignment="1" applyBorder="1" applyFont="1">
      <alignment horizontal="left" vertical="top"/>
    </xf>
    <xf borderId="28" fillId="10" fontId="157" numFmtId="181" xfId="0" applyAlignment="1" applyBorder="1" applyFont="1" applyNumberFormat="1">
      <alignment horizontal="right" vertical="top"/>
    </xf>
    <xf borderId="28" fillId="10" fontId="157" numFmtId="182" xfId="0" applyAlignment="1" applyBorder="1" applyFont="1" applyNumberFormat="1">
      <alignment horizontal="right" vertical="top"/>
    </xf>
    <xf borderId="50" fillId="10" fontId="157" numFmtId="0" xfId="0" applyAlignment="1" applyBorder="1" applyFont="1">
      <alignment horizontal="left" shrinkToFit="0" vertical="top" wrapText="1"/>
    </xf>
    <xf borderId="47" fillId="27" fontId="7" numFmtId="0" xfId="0" applyBorder="1" applyFill="1" applyFont="1"/>
    <xf borderId="1" fillId="27" fontId="7" numFmtId="0" xfId="0" applyBorder="1" applyFont="1"/>
    <xf borderId="1" fillId="27" fontId="163" numFmtId="0" xfId="0" applyAlignment="1" applyBorder="1" applyFont="1">
      <alignment horizontal="left" vertical="top"/>
    </xf>
    <xf borderId="1" fillId="27" fontId="163" numFmtId="181" xfId="0" applyAlignment="1" applyBorder="1" applyFont="1" applyNumberFormat="1">
      <alignment horizontal="right" vertical="top"/>
    </xf>
    <xf borderId="1" fillId="27" fontId="163" numFmtId="182" xfId="0" applyAlignment="1" applyBorder="1" applyFont="1" applyNumberFormat="1">
      <alignment horizontal="right" vertical="top"/>
    </xf>
    <xf borderId="48" fillId="27" fontId="7" numFmtId="0" xfId="0" applyBorder="1" applyFont="1"/>
    <xf borderId="1" fillId="20" fontId="163" numFmtId="183" xfId="0" applyAlignment="1" applyBorder="1" applyFont="1" applyNumberFormat="1">
      <alignment horizontal="right" vertical="top"/>
    </xf>
    <xf borderId="47" fillId="7" fontId="7" numFmtId="0" xfId="0" applyBorder="1" applyFont="1"/>
    <xf borderId="1" fillId="7" fontId="7" numFmtId="0" xfId="0" applyBorder="1" applyFont="1"/>
    <xf borderId="1" fillId="7" fontId="163" numFmtId="0" xfId="0" applyAlignment="1" applyBorder="1" applyFont="1">
      <alignment horizontal="left" vertical="top"/>
    </xf>
    <xf borderId="1" fillId="7" fontId="163" numFmtId="182" xfId="0" applyAlignment="1" applyBorder="1" applyFont="1" applyNumberFormat="1">
      <alignment horizontal="right" vertical="top"/>
    </xf>
    <xf borderId="48" fillId="7" fontId="7" numFmtId="0" xfId="0" applyBorder="1" applyFont="1"/>
    <xf borderId="1" fillId="7" fontId="163" numFmtId="181" xfId="0" applyAlignment="1" applyBorder="1" applyFont="1" applyNumberFormat="1">
      <alignment horizontal="right" vertical="top"/>
    </xf>
    <xf borderId="1" fillId="7" fontId="163" numFmtId="183" xfId="0" applyAlignment="1" applyBorder="1" applyFont="1" applyNumberFormat="1">
      <alignment horizontal="right" vertical="top"/>
    </xf>
    <xf borderId="49" fillId="20" fontId="167" numFmtId="0" xfId="0" applyAlignment="1" applyBorder="1" applyFont="1">
      <alignment horizontal="left" shrinkToFit="0" vertical="top" wrapText="1"/>
    </xf>
    <xf borderId="1" fillId="4" fontId="163" numFmtId="183" xfId="0" applyAlignment="1" applyBorder="1" applyFont="1" applyNumberFormat="1">
      <alignment horizontal="right" vertical="top"/>
    </xf>
    <xf borderId="1" fillId="10" fontId="80" numFmtId="0" xfId="0" applyBorder="1" applyFont="1"/>
    <xf borderId="1" fillId="9" fontId="80" numFmtId="0" xfId="0" applyBorder="1" applyFont="1"/>
    <xf borderId="1" fillId="10" fontId="168" numFmtId="0" xfId="0" applyBorder="1" applyFont="1"/>
    <xf borderId="1" fillId="10" fontId="128" numFmtId="177" xfId="0" applyBorder="1" applyFont="1" applyNumberFormat="1"/>
    <xf borderId="26" fillId="10" fontId="168" numFmtId="0" xfId="0" applyAlignment="1" applyBorder="1" applyFont="1">
      <alignment vertical="center"/>
    </xf>
    <xf borderId="26" fillId="9" fontId="168" numFmtId="0" xfId="0" applyAlignment="1" applyBorder="1" applyFont="1">
      <alignment vertical="center"/>
    </xf>
    <xf borderId="33" fillId="0" fontId="168" numFmtId="0" xfId="0" applyAlignment="1" applyBorder="1" applyFont="1">
      <alignment vertical="center"/>
    </xf>
    <xf borderId="1" fillId="10" fontId="168" numFmtId="0" xfId="0" applyAlignment="1" applyBorder="1" applyFont="1">
      <alignment vertical="center"/>
    </xf>
    <xf borderId="1" fillId="9" fontId="168" numFmtId="0" xfId="0" applyAlignment="1" applyBorder="1" applyFont="1">
      <alignment vertical="center"/>
    </xf>
    <xf borderId="0" fillId="0" fontId="168" numFmtId="0" xfId="0" applyAlignment="1" applyFont="1">
      <alignment vertical="center"/>
    </xf>
    <xf borderId="1" fillId="10" fontId="80" numFmtId="0" xfId="0" applyAlignment="1" applyBorder="1" applyFont="1">
      <alignment horizontal="center"/>
    </xf>
    <xf borderId="1" fillId="9" fontId="168" numFmtId="0" xfId="0" applyAlignment="1" applyBorder="1" applyFont="1">
      <alignment horizontal="center"/>
    </xf>
    <xf borderId="57" fillId="9" fontId="168" numFmtId="172" xfId="0" applyAlignment="1" applyBorder="1" applyFont="1" applyNumberFormat="1">
      <alignment horizontal="center" shrinkToFit="0" vertical="center" wrapText="1"/>
    </xf>
    <xf borderId="57" fillId="9" fontId="168" numFmtId="0" xfId="0" applyAlignment="1" applyBorder="1" applyFont="1">
      <alignment horizontal="center" shrinkToFit="0" vertical="center" wrapText="1"/>
    </xf>
    <xf borderId="36" fillId="9" fontId="168" numFmtId="0" xfId="0" applyAlignment="1" applyBorder="1" applyFont="1">
      <alignment horizontal="center"/>
    </xf>
    <xf borderId="2" fillId="9" fontId="168" numFmtId="0" xfId="0" applyAlignment="1" applyBorder="1" applyFont="1">
      <alignment horizontal="center"/>
    </xf>
    <xf borderId="36" fillId="10" fontId="168" numFmtId="0" xfId="0" applyAlignment="1" applyBorder="1" applyFont="1">
      <alignment horizontal="center"/>
    </xf>
    <xf borderId="0" fillId="0" fontId="168" numFmtId="0" xfId="0" applyAlignment="1" applyFont="1">
      <alignment horizontal="center"/>
    </xf>
    <xf borderId="0" fillId="0" fontId="80" numFmtId="0" xfId="0" applyFont="1"/>
    <xf borderId="26" fillId="10" fontId="168" numFmtId="0" xfId="0" applyAlignment="1" applyBorder="1" applyFont="1">
      <alignment horizontal="left"/>
    </xf>
    <xf borderId="26" fillId="10" fontId="168" numFmtId="172" xfId="0" applyAlignment="1" applyBorder="1" applyFont="1" applyNumberFormat="1">
      <alignment horizontal="center"/>
    </xf>
    <xf borderId="1" fillId="10" fontId="168" numFmtId="172" xfId="0" applyAlignment="1" applyBorder="1" applyFont="1" applyNumberFormat="1">
      <alignment horizontal="center"/>
    </xf>
    <xf borderId="26" fillId="9" fontId="168" numFmtId="0" xfId="0" applyAlignment="1" applyBorder="1" applyFont="1">
      <alignment horizontal="left"/>
    </xf>
    <xf borderId="58" fillId="0" fontId="2" numFmtId="0" xfId="0" applyBorder="1" applyFont="1"/>
    <xf borderId="26" fillId="9" fontId="168" numFmtId="0" xfId="0" applyAlignment="1" applyBorder="1" applyFont="1">
      <alignment horizontal="center"/>
    </xf>
    <xf quotePrefix="1" borderId="27" fillId="9" fontId="168" numFmtId="0" xfId="0" applyAlignment="1" applyBorder="1" applyFont="1">
      <alignment horizontal="center" shrinkToFit="0" wrapText="1"/>
    </xf>
    <xf borderId="28" fillId="9" fontId="168" numFmtId="0" xfId="0" applyAlignment="1" applyBorder="1" applyFont="1">
      <alignment horizontal="center"/>
    </xf>
    <xf quotePrefix="1" borderId="27" fillId="9" fontId="168" numFmtId="0" xfId="0" applyAlignment="1" applyBorder="1" applyFont="1">
      <alignment horizontal="center"/>
    </xf>
    <xf quotePrefix="1" borderId="1" fillId="9" fontId="168" numFmtId="0" xfId="0" applyAlignment="1" applyBorder="1" applyFont="1">
      <alignment horizontal="center"/>
    </xf>
    <xf quotePrefix="1" borderId="26" fillId="9" fontId="168" numFmtId="0" xfId="0" applyAlignment="1" applyBorder="1" applyFont="1">
      <alignment horizontal="center"/>
    </xf>
    <xf borderId="1" fillId="9" fontId="168" numFmtId="0" xfId="0" applyAlignment="1" applyBorder="1" applyFont="1">
      <alignment horizontal="right"/>
    </xf>
    <xf quotePrefix="1" borderId="26" fillId="10" fontId="168" numFmtId="0" xfId="0" applyAlignment="1" applyBorder="1" applyFont="1">
      <alignment horizontal="center"/>
    </xf>
    <xf borderId="1" fillId="10" fontId="168" numFmtId="0" xfId="0" applyAlignment="1" applyBorder="1" applyFont="1">
      <alignment horizontal="center"/>
    </xf>
    <xf borderId="26" fillId="16" fontId="168" numFmtId="0" xfId="0" applyAlignment="1" applyBorder="1" applyFont="1">
      <alignment horizontal="center"/>
    </xf>
    <xf borderId="1" fillId="10" fontId="80" numFmtId="175" xfId="0" applyBorder="1" applyFont="1" applyNumberFormat="1"/>
    <xf borderId="39" fillId="17" fontId="168" numFmtId="0" xfId="0" applyAlignment="1" applyBorder="1" applyFont="1">
      <alignment horizontal="center" textRotation="90" vertical="center"/>
    </xf>
    <xf borderId="1" fillId="9" fontId="168" numFmtId="0" xfId="0" applyAlignment="1" applyBorder="1" applyFont="1">
      <alignment horizontal="center" textRotation="90" vertical="center"/>
    </xf>
    <xf borderId="1" fillId="9" fontId="168" numFmtId="0" xfId="0" applyAlignment="1" applyBorder="1" applyFont="1">
      <alignment horizontal="left"/>
    </xf>
    <xf borderId="1" fillId="9" fontId="128" numFmtId="166" xfId="0" applyAlignment="1" applyBorder="1" applyFont="1" applyNumberFormat="1">
      <alignment horizontal="right"/>
    </xf>
    <xf borderId="1" fillId="9" fontId="80" numFmtId="175" xfId="0" applyBorder="1" applyFont="1" applyNumberFormat="1"/>
    <xf borderId="1" fillId="9" fontId="80" numFmtId="178" xfId="0" applyBorder="1" applyFont="1" applyNumberFormat="1"/>
    <xf borderId="1" fillId="9" fontId="128" numFmtId="166" xfId="0" applyAlignment="1" applyBorder="1" applyFont="1" applyNumberFormat="1">
      <alignment horizontal="center"/>
    </xf>
    <xf borderId="1" fillId="9" fontId="80" numFmtId="169" xfId="0" applyBorder="1" applyFont="1" applyNumberFormat="1"/>
    <xf borderId="1" fillId="9" fontId="128" numFmtId="166" xfId="0" applyBorder="1" applyFont="1" applyNumberFormat="1"/>
    <xf borderId="1" fillId="9" fontId="128" numFmtId="176" xfId="0" applyAlignment="1" applyBorder="1" applyFont="1" applyNumberFormat="1">
      <alignment horizontal="right"/>
    </xf>
    <xf borderId="28" fillId="9" fontId="128" numFmtId="166" xfId="0" applyBorder="1" applyFont="1" applyNumberFormat="1"/>
    <xf borderId="1" fillId="9" fontId="80" numFmtId="166" xfId="0" applyBorder="1" applyFont="1" applyNumberFormat="1"/>
    <xf borderId="28" fillId="9" fontId="80" numFmtId="166" xfId="0" applyBorder="1" applyFont="1" applyNumberFormat="1"/>
    <xf borderId="1" fillId="9" fontId="80" numFmtId="176" xfId="0" applyAlignment="1" applyBorder="1" applyFont="1" applyNumberFormat="1">
      <alignment horizontal="right"/>
    </xf>
    <xf borderId="1" fillId="9" fontId="80" numFmtId="176" xfId="0" applyBorder="1" applyFont="1" applyNumberFormat="1"/>
    <xf borderId="1" fillId="10" fontId="80" numFmtId="176" xfId="0" applyBorder="1" applyFont="1" applyNumberFormat="1"/>
    <xf borderId="1" fillId="10" fontId="80" numFmtId="176" xfId="0" applyAlignment="1" applyBorder="1" applyFont="1" applyNumberFormat="1">
      <alignment horizontal="right"/>
    </xf>
    <xf borderId="1" fillId="16" fontId="80" numFmtId="176" xfId="0" applyBorder="1" applyFont="1" applyNumberFormat="1"/>
    <xf borderId="0" fillId="0" fontId="128" numFmtId="166" xfId="0" applyAlignment="1" applyFont="1" applyNumberFormat="1">
      <alignment horizontal="right"/>
    </xf>
    <xf borderId="1" fillId="10" fontId="128" numFmtId="166" xfId="0" applyBorder="1" applyFont="1" applyNumberFormat="1"/>
    <xf borderId="1" fillId="10" fontId="128" numFmtId="176" xfId="0" applyAlignment="1" applyBorder="1" applyFont="1" applyNumberFormat="1">
      <alignment horizontal="right"/>
    </xf>
    <xf borderId="1" fillId="22" fontId="80" numFmtId="166" xfId="0" applyBorder="1" applyFont="1" applyNumberFormat="1"/>
    <xf borderId="1" fillId="22" fontId="80" numFmtId="176" xfId="0" applyAlignment="1" applyBorder="1" applyFont="1" applyNumberFormat="1">
      <alignment horizontal="right"/>
    </xf>
    <xf borderId="39" fillId="14" fontId="168" numFmtId="0" xfId="0" applyAlignment="1" applyBorder="1" applyFont="1">
      <alignment horizontal="center" textRotation="90" vertical="center"/>
    </xf>
    <xf borderId="1" fillId="10" fontId="80" numFmtId="178" xfId="0" applyBorder="1" applyFont="1" applyNumberFormat="1"/>
    <xf borderId="1" fillId="9" fontId="80" numFmtId="168" xfId="0" applyBorder="1" applyFont="1" applyNumberFormat="1"/>
    <xf borderId="1" fillId="9" fontId="80" numFmtId="166" xfId="0" applyAlignment="1" applyBorder="1" applyFont="1" applyNumberFormat="1">
      <alignment horizontal="center"/>
    </xf>
    <xf borderId="1" fillId="10" fontId="128" numFmtId="166" xfId="0" applyAlignment="1" applyBorder="1" applyFont="1" applyNumberFormat="1">
      <alignment horizontal="left"/>
    </xf>
    <xf borderId="1" fillId="9" fontId="128" numFmtId="166" xfId="0" applyAlignment="1" applyBorder="1" applyFont="1" applyNumberFormat="1">
      <alignment horizontal="left"/>
    </xf>
    <xf borderId="22" fillId="9" fontId="168" numFmtId="9" xfId="0" applyAlignment="1" applyBorder="1" applyFont="1" applyNumberFormat="1">
      <alignment horizontal="left"/>
    </xf>
    <xf borderId="28" fillId="9" fontId="128" numFmtId="166" xfId="0" applyAlignment="1" applyBorder="1" applyFont="1" applyNumberFormat="1">
      <alignment horizontal="left"/>
    </xf>
    <xf borderId="28" fillId="9" fontId="80" numFmtId="168" xfId="0" applyBorder="1" applyFont="1" applyNumberFormat="1"/>
    <xf borderId="28" fillId="9" fontId="128" numFmtId="166" xfId="0" applyAlignment="1" applyBorder="1" applyFont="1" applyNumberFormat="1">
      <alignment horizontal="center"/>
    </xf>
    <xf borderId="28" fillId="9" fontId="80" numFmtId="169" xfId="0" applyBorder="1" applyFont="1" applyNumberFormat="1"/>
    <xf borderId="55" fillId="0" fontId="80" numFmtId="0" xfId="0" applyBorder="1" applyFont="1"/>
    <xf borderId="28" fillId="9" fontId="80" numFmtId="166" xfId="0" applyAlignment="1" applyBorder="1" applyFont="1" applyNumberFormat="1">
      <alignment horizontal="right"/>
    </xf>
    <xf borderId="28" fillId="9" fontId="128" numFmtId="166" xfId="0" applyAlignment="1" applyBorder="1" applyFont="1" applyNumberFormat="1">
      <alignment horizontal="right"/>
    </xf>
    <xf borderId="28" fillId="9" fontId="80" numFmtId="176" xfId="0" applyAlignment="1" applyBorder="1" applyFont="1" applyNumberFormat="1">
      <alignment horizontal="right"/>
    </xf>
    <xf borderId="28" fillId="10" fontId="80" numFmtId="176" xfId="0" applyAlignment="1" applyBorder="1" applyFont="1" applyNumberFormat="1">
      <alignment horizontal="right"/>
    </xf>
    <xf borderId="29" fillId="10" fontId="80" numFmtId="176" xfId="0" applyAlignment="1" applyBorder="1" applyFont="1" applyNumberFormat="1">
      <alignment horizontal="right"/>
    </xf>
    <xf borderId="55" fillId="0" fontId="80" numFmtId="176" xfId="0" applyAlignment="1" applyBorder="1" applyFont="1" applyNumberFormat="1">
      <alignment horizontal="right"/>
    </xf>
    <xf borderId="29" fillId="16" fontId="80" numFmtId="176" xfId="0" applyAlignment="1" applyBorder="1" applyFont="1" applyNumberFormat="1">
      <alignment horizontal="right"/>
    </xf>
    <xf borderId="0" fillId="0" fontId="128" numFmtId="166" xfId="0" applyAlignment="1" applyFont="1" applyNumberFormat="1">
      <alignment horizontal="left"/>
    </xf>
    <xf borderId="1" fillId="10" fontId="80" numFmtId="176" xfId="0" applyAlignment="1" applyBorder="1" applyFont="1" applyNumberFormat="1">
      <alignment horizontal="left"/>
    </xf>
    <xf borderId="1" fillId="9" fontId="80" numFmtId="176" xfId="0" applyAlignment="1" applyBorder="1" applyFont="1" applyNumberFormat="1">
      <alignment horizontal="left"/>
    </xf>
    <xf borderId="30" fillId="9" fontId="168" numFmtId="0" xfId="0" applyAlignment="1" applyBorder="1" applyFont="1">
      <alignment horizontal="left" vertical="center"/>
    </xf>
    <xf borderId="1" fillId="9" fontId="80" numFmtId="166" xfId="0" applyAlignment="1" applyBorder="1" applyFont="1" applyNumberFormat="1">
      <alignment horizontal="right"/>
    </xf>
    <xf borderId="13" fillId="10" fontId="80" numFmtId="176" xfId="0" applyAlignment="1" applyBorder="1" applyFont="1" applyNumberFormat="1">
      <alignment horizontal="right"/>
    </xf>
    <xf borderId="31" fillId="9" fontId="168" numFmtId="9" xfId="0" applyAlignment="1" applyBorder="1" applyFont="1" applyNumberFormat="1">
      <alignment horizontal="left" vertical="center"/>
    </xf>
    <xf borderId="26" fillId="9" fontId="128" numFmtId="166" xfId="0" applyAlignment="1" applyBorder="1" applyFont="1" applyNumberFormat="1">
      <alignment horizontal="left"/>
    </xf>
    <xf borderId="26" fillId="9" fontId="80" numFmtId="168" xfId="0" applyBorder="1" applyFont="1" applyNumberFormat="1"/>
    <xf borderId="26" fillId="9" fontId="128" numFmtId="166" xfId="0" applyAlignment="1" applyBorder="1" applyFont="1" applyNumberFormat="1">
      <alignment horizontal="center"/>
    </xf>
    <xf borderId="26" fillId="9" fontId="80" numFmtId="169" xfId="0" applyBorder="1" applyFont="1" applyNumberFormat="1"/>
    <xf borderId="26" fillId="10" fontId="80" numFmtId="0" xfId="0" applyBorder="1" applyFont="1"/>
    <xf borderId="26" fillId="9" fontId="80" numFmtId="166" xfId="0" applyAlignment="1" applyBorder="1" applyFont="1" applyNumberFormat="1">
      <alignment horizontal="right"/>
    </xf>
    <xf borderId="26" fillId="9" fontId="128" numFmtId="166" xfId="0" applyAlignment="1" applyBorder="1" applyFont="1" applyNumberFormat="1">
      <alignment horizontal="right"/>
    </xf>
    <xf borderId="26" fillId="9" fontId="80" numFmtId="176" xfId="0" applyAlignment="1" applyBorder="1" applyFont="1" applyNumberFormat="1">
      <alignment horizontal="right"/>
    </xf>
    <xf borderId="26" fillId="10" fontId="80" numFmtId="176" xfId="0" applyAlignment="1" applyBorder="1" applyFont="1" applyNumberFormat="1">
      <alignment horizontal="right"/>
    </xf>
    <xf borderId="32" fillId="10" fontId="80" numFmtId="176" xfId="0" applyAlignment="1" applyBorder="1" applyFont="1" applyNumberFormat="1">
      <alignment horizontal="right"/>
    </xf>
    <xf borderId="1" fillId="9" fontId="80" numFmtId="166" xfId="0" applyAlignment="1" applyBorder="1" applyFont="1" applyNumberFormat="1">
      <alignment horizontal="left"/>
    </xf>
    <xf borderId="1" fillId="10" fontId="80" numFmtId="0" xfId="0" applyAlignment="1" applyBorder="1" applyFont="1">
      <alignment vertical="center"/>
    </xf>
    <xf borderId="1" fillId="9" fontId="128" numFmtId="0" xfId="0" applyAlignment="1" applyBorder="1" applyFont="1">
      <alignment horizontal="left"/>
    </xf>
    <xf borderId="1" fillId="9" fontId="80" numFmtId="0" xfId="0" applyAlignment="1" applyBorder="1" applyFont="1">
      <alignment vertical="center"/>
    </xf>
    <xf borderId="1" fillId="9" fontId="168" numFmtId="174" xfId="0" applyAlignment="1" applyBorder="1" applyFont="1" applyNumberFormat="1">
      <alignment vertical="center"/>
    </xf>
    <xf borderId="1" fillId="9" fontId="80" numFmtId="166" xfId="0" applyAlignment="1" applyBorder="1" applyFont="1" applyNumberFormat="1">
      <alignment vertical="center"/>
    </xf>
    <xf borderId="1" fillId="9" fontId="80" numFmtId="174" xfId="0" applyAlignment="1" applyBorder="1" applyFont="1" applyNumberFormat="1">
      <alignment vertical="center"/>
    </xf>
    <xf borderId="1" fillId="9" fontId="80" numFmtId="176" xfId="0" applyAlignment="1" applyBorder="1" applyFont="1" applyNumberFormat="1">
      <alignment horizontal="right" vertical="center"/>
    </xf>
    <xf borderId="1" fillId="9" fontId="80" numFmtId="176" xfId="0" applyAlignment="1" applyBorder="1" applyFont="1" applyNumberFormat="1">
      <alignment vertical="center"/>
    </xf>
    <xf borderId="1" fillId="9" fontId="169" numFmtId="166" xfId="0" applyAlignment="1" applyBorder="1" applyFont="1" applyNumberFormat="1">
      <alignment vertical="center"/>
    </xf>
    <xf borderId="1" fillId="10" fontId="80" numFmtId="176" xfId="0" applyAlignment="1" applyBorder="1" applyFont="1" applyNumberFormat="1">
      <alignment vertical="center"/>
    </xf>
    <xf borderId="1" fillId="10" fontId="80" numFmtId="176" xfId="0" applyAlignment="1" applyBorder="1" applyFont="1" applyNumberFormat="1">
      <alignment horizontal="right" vertical="center"/>
    </xf>
    <xf borderId="1" fillId="10" fontId="128" numFmtId="166" xfId="0" applyAlignment="1" applyBorder="1" applyFont="1" applyNumberFormat="1">
      <alignment horizontal="right" vertical="center"/>
    </xf>
    <xf borderId="1" fillId="10" fontId="168" numFmtId="0" xfId="0" applyAlignment="1" applyBorder="1" applyFont="1">
      <alignment horizontal="left" vertical="center"/>
    </xf>
    <xf borderId="1" fillId="10" fontId="168" numFmtId="174" xfId="0" applyAlignment="1" applyBorder="1" applyFont="1" applyNumberFormat="1">
      <alignment vertical="center"/>
    </xf>
    <xf borderId="1" fillId="10" fontId="80" numFmtId="166" xfId="0" applyAlignment="1" applyBorder="1" applyFont="1" applyNumberFormat="1">
      <alignment vertical="center"/>
    </xf>
    <xf borderId="1" fillId="10" fontId="80" numFmtId="174" xfId="0" applyAlignment="1" applyBorder="1" applyFont="1" applyNumberFormat="1">
      <alignment vertical="center"/>
    </xf>
    <xf borderId="1" fillId="10" fontId="169" numFmtId="166" xfId="0" applyAlignment="1" applyBorder="1" applyFont="1" applyNumberFormat="1">
      <alignment vertical="center"/>
    </xf>
    <xf borderId="1" fillId="10" fontId="80" numFmtId="174" xfId="0" applyAlignment="1" applyBorder="1" applyFont="1" applyNumberFormat="1">
      <alignment horizontal="right"/>
    </xf>
    <xf borderId="1" fillId="10" fontId="80" numFmtId="174" xfId="0" applyBorder="1" applyFont="1" applyNumberFormat="1"/>
    <xf borderId="1" fillId="10" fontId="170" numFmtId="174" xfId="0" applyAlignment="1" applyBorder="1" applyFont="1" applyNumberFormat="1">
      <alignment horizontal="right"/>
    </xf>
    <xf borderId="1" fillId="10" fontId="171" numFmtId="174" xfId="0" applyBorder="1" applyFont="1" applyNumberFormat="1"/>
    <xf borderId="1" fillId="10" fontId="168" numFmtId="0" xfId="0" applyAlignment="1" applyBorder="1" applyFont="1">
      <alignment horizontal="left"/>
    </xf>
    <xf borderId="1" fillId="10" fontId="128" numFmtId="166" xfId="0" applyAlignment="1" applyBorder="1" applyFont="1" applyNumberFormat="1">
      <alignment horizontal="right"/>
    </xf>
    <xf borderId="1" fillId="10" fontId="80" numFmtId="169" xfId="0" applyBorder="1" applyFont="1" applyNumberFormat="1"/>
    <xf borderId="1" fillId="10" fontId="80" numFmtId="166" xfId="0" applyBorder="1" applyFont="1" applyNumberFormat="1"/>
    <xf borderId="1" fillId="16" fontId="80" numFmtId="0" xfId="0" applyBorder="1" applyFont="1"/>
    <xf borderId="42" fillId="28" fontId="172" numFmtId="0" xfId="0" applyAlignment="1" applyBorder="1" applyFill="1" applyFont="1">
      <alignment vertical="top"/>
    </xf>
    <xf borderId="42" fillId="9" fontId="172" numFmtId="0" xfId="0" applyAlignment="1" applyBorder="1" applyFont="1">
      <alignment vertical="top"/>
    </xf>
    <xf borderId="0" fillId="0" fontId="7" numFmtId="0" xfId="0" applyAlignment="1" applyFont="1">
      <alignment shrinkToFit="0" wrapText="1"/>
    </xf>
    <xf borderId="0" fillId="0" fontId="173" numFmtId="0" xfId="0" applyAlignment="1" applyFont="1">
      <alignment horizontal="left"/>
    </xf>
    <xf borderId="0" fillId="0" fontId="155" numFmtId="0" xfId="0" applyAlignment="1" applyFont="1">
      <alignment horizontal="right"/>
    </xf>
    <xf borderId="0" fillId="0" fontId="174" numFmtId="0" xfId="0" applyAlignment="1" applyFont="1">
      <alignment shrinkToFit="0" wrapText="1"/>
    </xf>
    <xf borderId="0" fillId="0" fontId="155" numFmtId="0" xfId="0" applyAlignment="1" applyFont="1">
      <alignment horizontal="right" vertical="top"/>
    </xf>
    <xf borderId="59" fillId="9" fontId="175" numFmtId="0" xfId="0" applyAlignment="1" applyBorder="1" applyFont="1">
      <alignment horizontal="left" shrinkToFit="0" vertical="top" wrapText="1"/>
    </xf>
    <xf borderId="60" fillId="0" fontId="2" numFmtId="0" xfId="0" applyBorder="1" applyFont="1"/>
    <xf borderId="61" fillId="0" fontId="2" numFmtId="0" xfId="0" applyBorder="1" applyFont="1"/>
    <xf borderId="62" fillId="0" fontId="2" numFmtId="0" xfId="0" applyBorder="1" applyFont="1"/>
    <xf borderId="63" fillId="0" fontId="2" numFmtId="0" xfId="0" applyBorder="1" applyFont="1"/>
    <xf borderId="1" fillId="9" fontId="155" numFmtId="0" xfId="0" applyAlignment="1" applyBorder="1" applyFont="1">
      <alignment horizontal="right"/>
    </xf>
    <xf borderId="0" fillId="0" fontId="155" numFmtId="14" xfId="0" applyAlignment="1" applyFont="1" applyNumberFormat="1">
      <alignment horizontal="left"/>
    </xf>
    <xf borderId="64" fillId="0" fontId="2" numFmtId="0" xfId="0" applyBorder="1" applyFont="1"/>
    <xf borderId="65" fillId="0" fontId="2" numFmtId="0" xfId="0" applyBorder="1" applyFont="1"/>
    <xf borderId="66" fillId="0" fontId="2" numFmtId="0" xfId="0" applyBorder="1" applyFont="1"/>
    <xf borderId="28" fillId="29" fontId="176" numFmtId="0" xfId="0" applyAlignment="1" applyBorder="1" applyFill="1" applyFont="1">
      <alignment horizontal="center" shrinkToFit="0" vertical="center" wrapText="1"/>
    </xf>
    <xf borderId="29" fillId="29" fontId="176" numFmtId="0" xfId="0" applyAlignment="1" applyBorder="1" applyFont="1">
      <alignment horizontal="center" shrinkToFit="0" vertical="center" wrapText="1"/>
    </xf>
    <xf borderId="42" fillId="28" fontId="142" numFmtId="0" xfId="0" applyAlignment="1" applyBorder="1" applyFont="1">
      <alignment vertical="top"/>
    </xf>
    <xf borderId="42" fillId="28" fontId="142" numFmtId="185" xfId="0" applyAlignment="1" applyBorder="1" applyFont="1" applyNumberFormat="1">
      <alignment horizontal="right" vertical="top"/>
    </xf>
    <xf borderId="42" fillId="28" fontId="142" numFmtId="0" xfId="0" applyAlignment="1" applyBorder="1" applyFont="1">
      <alignment shrinkToFit="0" vertical="top" wrapText="1"/>
    </xf>
    <xf borderId="42" fillId="28" fontId="142" numFmtId="182" xfId="0" applyAlignment="1" applyBorder="1" applyFont="1" applyNumberFormat="1">
      <alignment horizontal="right" vertical="top"/>
    </xf>
    <xf borderId="42" fillId="28" fontId="142" numFmtId="186" xfId="0" applyAlignment="1" applyBorder="1" applyFont="1" applyNumberFormat="1">
      <alignment horizontal="right" vertical="top"/>
    </xf>
    <xf borderId="42" fillId="28" fontId="177" numFmtId="0" xfId="0" applyAlignment="1" applyBorder="1" applyFont="1">
      <alignment horizontal="left" vertical="top"/>
    </xf>
    <xf borderId="42" fillId="28" fontId="178" numFmtId="0" xfId="0" applyAlignment="1" applyBorder="1" applyFont="1">
      <alignment horizontal="left" vertical="top"/>
    </xf>
    <xf borderId="42" fillId="9" fontId="142" numFmtId="0" xfId="0" applyAlignment="1" applyBorder="1" applyFont="1">
      <alignment vertical="top"/>
    </xf>
    <xf borderId="42" fillId="9" fontId="142" numFmtId="185" xfId="0" applyAlignment="1" applyBorder="1" applyFont="1" applyNumberFormat="1">
      <alignment horizontal="right" vertical="top"/>
    </xf>
    <xf borderId="42" fillId="9" fontId="142" numFmtId="0" xfId="0" applyAlignment="1" applyBorder="1" applyFont="1">
      <alignment shrinkToFit="0" vertical="top" wrapText="1"/>
    </xf>
    <xf borderId="42" fillId="9" fontId="142" numFmtId="182" xfId="0" applyAlignment="1" applyBorder="1" applyFont="1" applyNumberFormat="1">
      <alignment horizontal="right" vertical="top"/>
    </xf>
    <xf borderId="42" fillId="9" fontId="142" numFmtId="186" xfId="0" applyAlignment="1" applyBorder="1" applyFont="1" applyNumberFormat="1">
      <alignment horizontal="right" vertical="top"/>
    </xf>
    <xf borderId="42" fillId="9" fontId="178" numFmtId="0" xfId="0" applyAlignment="1" applyBorder="1" applyFont="1">
      <alignment horizontal="left" vertical="top"/>
    </xf>
    <xf borderId="1" fillId="9" fontId="155" numFmtId="0" xfId="0" applyBorder="1" applyFont="1"/>
    <xf borderId="2" fillId="9" fontId="173" numFmtId="0" xfId="0" applyAlignment="1" applyBorder="1" applyFont="1">
      <alignment horizontal="center"/>
    </xf>
    <xf borderId="1" fillId="9" fontId="155" numFmtId="187" xfId="0" applyBorder="1" applyFont="1" applyNumberFormat="1"/>
    <xf borderId="1" fillId="9" fontId="155" numFmtId="185" xfId="0" applyBorder="1" applyFont="1" applyNumberFormat="1"/>
    <xf borderId="1" fillId="9" fontId="155" numFmtId="188" xfId="0" applyBorder="1" applyFont="1" applyNumberFormat="1"/>
    <xf borderId="1" fillId="9" fontId="155" numFmtId="2" xfId="0" applyBorder="1" applyFont="1" applyNumberFormat="1"/>
    <xf borderId="1" fillId="9" fontId="155" numFmtId="3" xfId="0" applyBorder="1" applyFont="1" applyNumberFormat="1"/>
    <xf borderId="1" fillId="9" fontId="30" numFmtId="0" xfId="0" applyBorder="1" applyFont="1"/>
    <xf borderId="1" fillId="9" fontId="175" numFmtId="0" xfId="0" applyBorder="1" applyFont="1"/>
    <xf borderId="1" fillId="9" fontId="179" numFmtId="0" xfId="0" applyAlignment="1" applyBorder="1" applyFont="1">
      <alignment horizontal="right"/>
    </xf>
    <xf borderId="1" fillId="9" fontId="180" numFmtId="0" xfId="0" applyBorder="1" applyFont="1"/>
    <xf borderId="0" fillId="0" fontId="181" numFmtId="0" xfId="0" applyAlignment="1" applyFont="1">
      <alignment shrinkToFit="0" wrapText="1"/>
    </xf>
    <xf borderId="2" fillId="9" fontId="155" numFmtId="0" xfId="0" applyAlignment="1" applyBorder="1" applyFont="1">
      <alignment horizontal="left"/>
    </xf>
    <xf borderId="1" fillId="9" fontId="155" numFmtId="0" xfId="0" applyAlignment="1" applyBorder="1" applyFont="1">
      <alignment horizontal="right" shrinkToFit="0" vertical="top" wrapText="1"/>
    </xf>
    <xf borderId="1" fillId="9" fontId="155" numFmtId="14" xfId="0" applyAlignment="1" applyBorder="1" applyFont="1" applyNumberFormat="1">
      <alignment horizontal="left"/>
    </xf>
    <xf borderId="1" fillId="9" fontId="175" numFmtId="0" xfId="0" applyAlignment="1" applyBorder="1" applyFont="1">
      <alignment vertical="top"/>
    </xf>
    <xf borderId="1" fillId="9" fontId="182" numFmtId="0" xfId="0" applyBorder="1" applyFont="1"/>
    <xf borderId="42" fillId="28" fontId="142" numFmtId="0" xfId="0" applyAlignment="1" applyBorder="1" applyFont="1">
      <alignment horizontal="left" vertical="top"/>
    </xf>
    <xf borderId="42" fillId="28" fontId="142" numFmtId="0" xfId="0" applyAlignment="1" applyBorder="1" applyFont="1">
      <alignment horizontal="right" vertical="top"/>
    </xf>
    <xf borderId="42" fillId="28" fontId="142" numFmtId="189" xfId="0" applyAlignment="1" applyBorder="1" applyFont="1" applyNumberFormat="1">
      <alignment horizontal="right" vertical="top"/>
    </xf>
    <xf borderId="42" fillId="28" fontId="142" numFmtId="188" xfId="0" applyAlignment="1" applyBorder="1" applyFont="1" applyNumberFormat="1">
      <alignment horizontal="right" vertical="top"/>
    </xf>
    <xf borderId="42" fillId="28" fontId="142" numFmtId="188" xfId="0" applyAlignment="1" applyBorder="1" applyFont="1" applyNumberFormat="1">
      <alignment horizontal="left" vertical="top"/>
    </xf>
    <xf borderId="42" fillId="28" fontId="142" numFmtId="190" xfId="0" applyAlignment="1" applyBorder="1" applyFont="1" applyNumberFormat="1">
      <alignment horizontal="right" vertical="top"/>
    </xf>
    <xf borderId="42" fillId="28" fontId="142" numFmtId="191" xfId="0" applyAlignment="1" applyBorder="1" applyFont="1" applyNumberFormat="1">
      <alignment horizontal="right" vertical="top"/>
    </xf>
    <xf borderId="42" fillId="28" fontId="142" numFmtId="192" xfId="0" applyAlignment="1" applyBorder="1" applyFont="1" applyNumberFormat="1">
      <alignment horizontal="right" vertical="top"/>
    </xf>
    <xf borderId="42" fillId="9" fontId="142" numFmtId="0" xfId="0" applyAlignment="1" applyBorder="1" applyFont="1">
      <alignment horizontal="left" vertical="top"/>
    </xf>
    <xf borderId="42" fillId="9" fontId="142" numFmtId="0" xfId="0" applyAlignment="1" applyBorder="1" applyFont="1">
      <alignment horizontal="right" vertical="top"/>
    </xf>
    <xf borderId="42" fillId="9" fontId="142" numFmtId="189" xfId="0" applyAlignment="1" applyBorder="1" applyFont="1" applyNumberFormat="1">
      <alignment horizontal="right" vertical="top"/>
    </xf>
    <xf borderId="42" fillId="9" fontId="142" numFmtId="188" xfId="0" applyAlignment="1" applyBorder="1" applyFont="1" applyNumberFormat="1">
      <alignment horizontal="right" vertical="top"/>
    </xf>
    <xf borderId="42" fillId="9" fontId="142" numFmtId="188" xfId="0" applyAlignment="1" applyBorder="1" applyFont="1" applyNumberFormat="1">
      <alignment horizontal="left" vertical="top"/>
    </xf>
    <xf borderId="42" fillId="9" fontId="142" numFmtId="190" xfId="0" applyAlignment="1" applyBorder="1" applyFont="1" applyNumberFormat="1">
      <alignment horizontal="right" vertical="top"/>
    </xf>
    <xf borderId="42" fillId="9" fontId="142" numFmtId="191" xfId="0" applyAlignment="1" applyBorder="1" applyFont="1" applyNumberFormat="1">
      <alignment horizontal="right" vertical="top"/>
    </xf>
    <xf borderId="42" fillId="9" fontId="142" numFmtId="192" xfId="0" applyAlignment="1" applyBorder="1" applyFont="1" applyNumberFormat="1">
      <alignment horizontal="right" vertical="top"/>
    </xf>
    <xf borderId="42" fillId="9" fontId="183" numFmtId="0" xfId="0" applyAlignment="1" applyBorder="1" applyFont="1">
      <alignment horizontal="left" vertical="top"/>
    </xf>
    <xf borderId="0" fillId="0" fontId="155" numFmtId="187" xfId="0" applyFont="1" applyNumberFormat="1"/>
    <xf borderId="0" fillId="0" fontId="155" numFmtId="185" xfId="0" applyFont="1" applyNumberFormat="1"/>
    <xf borderId="0" fillId="0" fontId="155" numFmtId="188" xfId="0" applyFont="1" applyNumberFormat="1"/>
    <xf borderId="0" fillId="0" fontId="155" numFmtId="2" xfId="0" applyFont="1" applyNumberFormat="1"/>
    <xf borderId="0" fillId="0" fontId="155" numFmtId="3" xfId="0" applyFont="1" applyNumberFormat="1"/>
    <xf borderId="42" fillId="28" fontId="142" numFmtId="193" xfId="0" applyAlignment="1" applyBorder="1" applyFont="1" applyNumberFormat="1">
      <alignment horizontal="right" vertical="top"/>
    </xf>
    <xf borderId="42" fillId="28" fontId="142" numFmtId="194" xfId="0" applyAlignment="1" applyBorder="1" applyFont="1" applyNumberFormat="1">
      <alignment horizontal="right" vertical="top"/>
    </xf>
    <xf borderId="42" fillId="9" fontId="142" numFmtId="193" xfId="0" applyAlignment="1" applyBorder="1" applyFont="1" applyNumberFormat="1">
      <alignment horizontal="right" vertical="top"/>
    </xf>
    <xf borderId="42" fillId="9" fontId="142" numFmtId="194" xfId="0" applyAlignment="1" applyBorder="1" applyFont="1" applyNumberFormat="1">
      <alignment horizontal="right" vertical="top"/>
    </xf>
    <xf borderId="42" fillId="28" fontId="142" numFmtId="185" xfId="0" applyAlignment="1" applyBorder="1" applyFont="1" applyNumberFormat="1">
      <alignment horizontal="right" shrinkToFit="0" vertical="top" wrapText="1"/>
    </xf>
    <xf borderId="42" fillId="28" fontId="142" numFmtId="182" xfId="0" applyAlignment="1" applyBorder="1" applyFont="1" applyNumberFormat="1">
      <alignment horizontal="right" shrinkToFit="0" vertical="top" wrapText="1"/>
    </xf>
    <xf borderId="42" fillId="28" fontId="142" numFmtId="186" xfId="0" applyAlignment="1" applyBorder="1" applyFont="1" applyNumberFormat="1">
      <alignment horizontal="right" shrinkToFit="0" vertical="top" wrapText="1"/>
    </xf>
    <xf borderId="42" fillId="28" fontId="142" numFmtId="193" xfId="0" applyAlignment="1" applyBorder="1" applyFont="1" applyNumberFormat="1">
      <alignment horizontal="right" shrinkToFit="0" vertical="top" wrapText="1"/>
    </xf>
    <xf borderId="42" fillId="28" fontId="142" numFmtId="194" xfId="0" applyAlignment="1" applyBorder="1" applyFont="1" applyNumberFormat="1">
      <alignment horizontal="right" shrinkToFit="0" vertical="top" wrapText="1"/>
    </xf>
    <xf borderId="42" fillId="28" fontId="178" numFmtId="0" xfId="0" applyAlignment="1" applyBorder="1" applyFont="1">
      <alignment horizontal="left" shrinkToFit="0" vertical="top" wrapText="1"/>
    </xf>
    <xf borderId="42" fillId="9" fontId="142" numFmtId="185" xfId="0" applyAlignment="1" applyBorder="1" applyFont="1" applyNumberFormat="1">
      <alignment horizontal="right" shrinkToFit="0" vertical="top" wrapText="1"/>
    </xf>
    <xf borderId="42" fillId="9" fontId="142" numFmtId="182" xfId="0" applyAlignment="1" applyBorder="1" applyFont="1" applyNumberFormat="1">
      <alignment horizontal="right" shrinkToFit="0" vertical="top" wrapText="1"/>
    </xf>
    <xf borderId="42" fillId="9" fontId="142" numFmtId="186" xfId="0" applyAlignment="1" applyBorder="1" applyFont="1" applyNumberFormat="1">
      <alignment horizontal="right" shrinkToFit="0" vertical="top" wrapText="1"/>
    </xf>
    <xf borderId="42" fillId="9" fontId="142" numFmtId="193" xfId="0" applyAlignment="1" applyBorder="1" applyFont="1" applyNumberFormat="1">
      <alignment horizontal="right" shrinkToFit="0" vertical="top" wrapText="1"/>
    </xf>
    <xf borderId="42" fillId="9" fontId="142" numFmtId="194" xfId="0" applyAlignment="1" applyBorder="1" applyFont="1" applyNumberFormat="1">
      <alignment horizontal="right" shrinkToFit="0" vertical="top" wrapText="1"/>
    </xf>
    <xf borderId="42" fillId="9" fontId="184" numFmtId="0" xfId="0" applyAlignment="1" applyBorder="1" applyFont="1">
      <alignment horizontal="left" shrinkToFit="0" vertical="top" wrapText="1"/>
    </xf>
    <xf borderId="0" fillId="0" fontId="142" numFmtId="0" xfId="0" applyAlignment="1" applyFont="1">
      <alignment shrinkToFit="0" wrapText="1"/>
    </xf>
    <xf borderId="67" fillId="30" fontId="1" numFmtId="0" xfId="0" applyBorder="1" applyFill="1" applyFont="1"/>
    <xf borderId="1" fillId="30" fontId="1" numFmtId="0" xfId="0" applyBorder="1" applyFont="1"/>
    <xf borderId="67" fillId="9" fontId="1" numFmtId="0" xfId="0" applyBorder="1" applyFont="1"/>
    <xf borderId="67" fillId="14" fontId="1" numFmtId="0" xfId="0" applyBorder="1" applyFont="1"/>
    <xf borderId="0" fillId="0" fontId="185" numFmtId="0" xfId="0" applyAlignment="1" applyFont="1">
      <alignment vertical="center"/>
    </xf>
    <xf borderId="0" fillId="0" fontId="39" numFmtId="0" xfId="0" applyAlignment="1" applyFont="1">
      <alignment vertical="center"/>
    </xf>
    <xf borderId="0" fillId="0" fontId="39" numFmtId="0" xfId="0" applyAlignment="1" applyFont="1">
      <alignment horizontal="right" vertical="center"/>
    </xf>
    <xf borderId="0" fillId="0" fontId="16" numFmtId="179" xfId="0" applyAlignment="1" applyFont="1" applyNumberFormat="1">
      <alignment vertical="center"/>
    </xf>
    <xf borderId="1" fillId="9" fontId="39" numFmtId="0" xfId="0" applyAlignment="1" applyBorder="1" applyFont="1">
      <alignment vertical="center"/>
    </xf>
    <xf borderId="1" fillId="6" fontId="39" numFmtId="0" xfId="0" applyAlignment="1" applyBorder="1" applyFont="1">
      <alignment vertical="center"/>
    </xf>
    <xf borderId="0" fillId="0" fontId="22" numFmtId="166" xfId="0" applyAlignment="1" applyFont="1" applyNumberFormat="1">
      <alignment vertical="center"/>
    </xf>
    <xf borderId="68" fillId="6" fontId="1" numFmtId="0" xfId="0" applyAlignment="1" applyBorder="1" applyFont="1">
      <alignment horizontal="right"/>
    </xf>
    <xf quotePrefix="1" borderId="1" fillId="6" fontId="1" numFmtId="0" xfId="0" applyAlignment="1" applyBorder="1" applyFont="1">
      <alignment horizontal="right"/>
    </xf>
    <xf quotePrefix="1" borderId="1" fillId="30" fontId="1" numFmtId="0" xfId="0" applyAlignment="1" applyBorder="1" applyFont="1">
      <alignment horizontal="right"/>
    </xf>
    <xf borderId="1" fillId="9" fontId="186" numFmtId="0" xfId="0" applyBorder="1" applyFont="1"/>
    <xf quotePrefix="1" borderId="1" fillId="12" fontId="187" numFmtId="0" xfId="0" applyBorder="1" applyFont="1"/>
    <xf borderId="1" fillId="12" fontId="188" numFmtId="0" xfId="0" applyBorder="1" applyFont="1"/>
    <xf borderId="1" fillId="9" fontId="189" numFmtId="0" xfId="0" applyBorder="1" applyFont="1"/>
    <xf borderId="1" fillId="6" fontId="190" numFmtId="0" xfId="0" applyBorder="1" applyFont="1"/>
    <xf borderId="0" fillId="0" fontId="191" numFmtId="37" xfId="0" applyAlignment="1" applyFont="1" applyNumberFormat="1">
      <alignment horizontal="right"/>
    </xf>
    <xf borderId="1" fillId="9" fontId="192" numFmtId="37" xfId="0" applyBorder="1" applyFont="1" applyNumberFormat="1"/>
    <xf borderId="1" fillId="12" fontId="193" numFmtId="37" xfId="0" applyBorder="1" applyFont="1" applyNumberFormat="1"/>
    <xf borderId="1" fillId="5" fontId="30" numFmtId="0" xfId="0" applyBorder="1" applyFont="1"/>
    <xf borderId="20" fillId="0" fontId="6" numFmtId="164" xfId="0" applyAlignment="1" applyBorder="1" applyFont="1" applyNumberFormat="1">
      <alignment horizontal="left"/>
    </xf>
    <xf borderId="55" fillId="0" fontId="16" numFmtId="173" xfId="0" applyBorder="1" applyFont="1" applyNumberFormat="1"/>
    <xf borderId="1" fillId="9" fontId="6" numFmtId="37" xfId="0" applyBorder="1" applyFont="1" applyNumberFormat="1"/>
    <xf borderId="1" fillId="9" fontId="194" numFmtId="172" xfId="0" applyBorder="1" applyFont="1" applyNumberFormat="1"/>
    <xf borderId="1" fillId="6" fontId="30" numFmtId="0" xfId="0" applyBorder="1" applyFont="1"/>
    <xf borderId="69" fillId="0" fontId="18" numFmtId="164" xfId="0" applyAlignment="1" applyBorder="1" applyFont="1" applyNumberFormat="1">
      <alignment horizontal="left"/>
    </xf>
    <xf borderId="33" fillId="0" fontId="18" numFmtId="166" xfId="0" applyAlignment="1" applyBorder="1" applyFont="1" applyNumberFormat="1">
      <alignment horizontal="right"/>
    </xf>
    <xf borderId="1" fillId="9" fontId="6" numFmtId="38" xfId="0" applyBorder="1" applyFont="1" applyNumberFormat="1"/>
    <xf borderId="1" fillId="9" fontId="11" numFmtId="38" xfId="0" applyBorder="1" applyFont="1" applyNumberFormat="1"/>
    <xf borderId="1" fillId="9" fontId="194" numFmtId="38" xfId="0" applyBorder="1" applyFont="1" applyNumberFormat="1"/>
    <xf borderId="1" fillId="6" fontId="21" numFmtId="0" xfId="0" applyBorder="1" applyFont="1"/>
    <xf borderId="0" fillId="0" fontId="11" numFmtId="172" xfId="0" applyFont="1" applyNumberFormat="1"/>
    <xf borderId="0" fillId="0" fontId="17" numFmtId="195" xfId="0" applyFont="1" applyNumberFormat="1"/>
    <xf borderId="1" fillId="9" fontId="11" numFmtId="172" xfId="0" applyBorder="1" applyFont="1" applyNumberFormat="1"/>
    <xf borderId="1" fillId="9" fontId="11" numFmtId="196" xfId="0" applyBorder="1" applyFont="1" applyNumberFormat="1"/>
    <xf borderId="1" fillId="6" fontId="11" numFmtId="172" xfId="0" applyBorder="1" applyFont="1" applyNumberFormat="1"/>
    <xf borderId="0" fillId="0" fontId="20" numFmtId="40" xfId="0" applyAlignment="1" applyFont="1" applyNumberFormat="1">
      <alignment horizontal="left"/>
    </xf>
    <xf borderId="0" fillId="0" fontId="17" numFmtId="37" xfId="0" applyAlignment="1" applyFont="1" applyNumberFormat="1">
      <alignment horizontal="left"/>
    </xf>
    <xf borderId="1" fillId="9" fontId="20" numFmtId="166" xfId="0" applyBorder="1" applyFont="1" applyNumberFormat="1"/>
    <xf borderId="1" fillId="9" fontId="195" numFmtId="197" xfId="0" applyBorder="1" applyFont="1" applyNumberFormat="1"/>
    <xf borderId="1" fillId="9" fontId="21" numFmtId="172" xfId="0" applyBorder="1" applyFont="1" applyNumberFormat="1"/>
    <xf borderId="1" fillId="9" fontId="179" numFmtId="172" xfId="0" applyBorder="1" applyFont="1" applyNumberFormat="1"/>
    <xf borderId="0" fillId="0" fontId="196" numFmtId="164" xfId="0" applyAlignment="1" applyFont="1" applyNumberFormat="1">
      <alignment horizontal="left"/>
    </xf>
    <xf borderId="0" fillId="0" fontId="19" numFmtId="166" xfId="0" applyAlignment="1" applyFont="1" applyNumberFormat="1">
      <alignment horizontal="left"/>
    </xf>
    <xf borderId="0" fillId="0" fontId="197" numFmtId="166" xfId="0" applyFont="1" applyNumberFormat="1"/>
    <xf borderId="1" fillId="9" fontId="198" numFmtId="171" xfId="0" applyBorder="1" applyFont="1" applyNumberFormat="1"/>
    <xf borderId="1" fillId="9" fontId="199" numFmtId="171" xfId="0" applyBorder="1" applyFont="1" applyNumberFormat="1"/>
    <xf borderId="1" fillId="9" fontId="14" numFmtId="0" xfId="0" applyBorder="1" applyFont="1"/>
    <xf borderId="1" fillId="6" fontId="14" numFmtId="0" xfId="0" applyBorder="1" applyFont="1"/>
    <xf borderId="0" fillId="0" fontId="11" numFmtId="175" xfId="0" applyAlignment="1" applyFont="1" applyNumberFormat="1">
      <alignment horizontal="right"/>
    </xf>
    <xf borderId="1" fillId="9" fontId="11" numFmtId="0" xfId="0" applyBorder="1" applyFont="1"/>
    <xf borderId="1" fillId="6" fontId="11" numFmtId="0" xfId="0" applyBorder="1" applyFont="1"/>
    <xf borderId="0" fillId="0" fontId="200" numFmtId="175" xfId="0" applyAlignment="1" applyFont="1" applyNumberFormat="1">
      <alignment horizontal="right"/>
    </xf>
    <xf borderId="1" fillId="9" fontId="201" numFmtId="172" xfId="0" applyBorder="1" applyFont="1" applyNumberFormat="1"/>
    <xf borderId="1" fillId="9" fontId="202" numFmtId="172" xfId="0" applyBorder="1" applyFont="1" applyNumberFormat="1"/>
    <xf borderId="0" fillId="0" fontId="6" numFmtId="172" xfId="0" applyAlignment="1" applyFont="1" applyNumberFormat="1">
      <alignment horizontal="right"/>
    </xf>
    <xf borderId="1" fillId="9" fontId="6" numFmtId="172" xfId="0" applyBorder="1" applyFont="1" applyNumberFormat="1"/>
    <xf borderId="1" fillId="9" fontId="203" numFmtId="172" xfId="0" applyBorder="1" applyFont="1" applyNumberFormat="1"/>
    <xf borderId="1" fillId="9" fontId="6" numFmtId="0" xfId="0" applyBorder="1" applyFont="1"/>
    <xf borderId="1" fillId="6" fontId="6" numFmtId="0" xfId="0" applyBorder="1" applyFont="1"/>
    <xf borderId="0" fillId="0" fontId="21" numFmtId="195" xfId="0" applyFont="1" applyNumberFormat="1"/>
    <xf borderId="0" fillId="0" fontId="204" numFmtId="37" xfId="0" applyAlignment="1" applyFont="1" applyNumberFormat="1">
      <alignment horizontal="left"/>
    </xf>
    <xf borderId="1" fillId="9" fontId="11" numFmtId="195" xfId="0" applyBorder="1" applyFont="1" applyNumberFormat="1"/>
    <xf borderId="1" fillId="9" fontId="194" numFmtId="195" xfId="0" applyBorder="1" applyFont="1" applyNumberFormat="1"/>
    <xf borderId="0" fillId="0" fontId="20" numFmtId="166" xfId="0" applyAlignment="1" applyFont="1" applyNumberFormat="1">
      <alignment horizontal="center"/>
    </xf>
    <xf borderId="1" fillId="9" fontId="195" numFmtId="169" xfId="0" applyBorder="1" applyFont="1" applyNumberFormat="1"/>
    <xf borderId="0" fillId="0" fontId="205" numFmtId="166" xfId="0" applyFont="1" applyNumberFormat="1"/>
    <xf borderId="1" fillId="9" fontId="206" numFmtId="166" xfId="0" applyBorder="1" applyFont="1" applyNumberFormat="1"/>
    <xf borderId="1" fillId="9" fontId="207" numFmtId="166" xfId="0" applyBorder="1" applyFont="1" applyNumberFormat="1"/>
    <xf borderId="1" fillId="9" fontId="195" numFmtId="166" xfId="0" applyBorder="1" applyFont="1" applyNumberFormat="1"/>
    <xf borderId="0" fillId="0" fontId="11" numFmtId="195" xfId="0" applyFont="1" applyNumberFormat="1"/>
    <xf borderId="0" fillId="0" fontId="20" numFmtId="9" xfId="0" applyFont="1" applyNumberFormat="1"/>
    <xf borderId="1" fillId="9" fontId="18" numFmtId="166" xfId="0" applyBorder="1" applyFont="1" applyNumberFormat="1"/>
    <xf borderId="1" fillId="9" fontId="208" numFmtId="169" xfId="0" applyBorder="1" applyFont="1" applyNumberFormat="1"/>
    <xf borderId="0" fillId="0" fontId="17" numFmtId="0" xfId="0" applyFont="1"/>
    <xf borderId="16" fillId="0" fontId="6" numFmtId="164" xfId="0" applyAlignment="1" applyBorder="1" applyFont="1" applyNumberFormat="1">
      <alignment horizontal="left"/>
    </xf>
    <xf borderId="17" fillId="0" fontId="17" numFmtId="197" xfId="0" applyAlignment="1" applyBorder="1" applyFont="1" applyNumberFormat="1">
      <alignment horizontal="right"/>
    </xf>
    <xf borderId="1" fillId="9" fontId="30" numFmtId="172" xfId="0" applyBorder="1" applyFont="1" applyNumberFormat="1"/>
    <xf borderId="1" fillId="9" fontId="209" numFmtId="172" xfId="0" applyBorder="1" applyFont="1" applyNumberFormat="1"/>
    <xf borderId="1" fillId="5" fontId="14" numFmtId="0" xfId="0" applyBorder="1" applyFont="1"/>
    <xf borderId="22" fillId="9" fontId="6" numFmtId="164" xfId="0" applyAlignment="1" applyBorder="1" applyFont="1" applyNumberFormat="1">
      <alignment horizontal="left"/>
    </xf>
    <xf borderId="55" fillId="0" fontId="6" numFmtId="167" xfId="0" applyAlignment="1" applyBorder="1" applyFont="1" applyNumberFormat="1">
      <alignment horizontal="right"/>
    </xf>
    <xf borderId="1" fillId="9" fontId="11" numFmtId="171" xfId="0" applyBorder="1" applyFont="1" applyNumberFormat="1"/>
    <xf borderId="1" fillId="9" fontId="194" numFmtId="171" xfId="0" applyBorder="1" applyFont="1" applyNumberFormat="1"/>
    <xf borderId="31" fillId="9" fontId="18" numFmtId="164" xfId="0" applyAlignment="1" applyBorder="1" applyFont="1" applyNumberFormat="1">
      <alignment horizontal="left"/>
    </xf>
    <xf borderId="1" fillId="9" fontId="6" numFmtId="171" xfId="0" applyBorder="1" applyFont="1" applyNumberFormat="1"/>
    <xf borderId="1" fillId="9" fontId="20" numFmtId="0" xfId="0" applyBorder="1" applyFont="1"/>
    <xf borderId="1" fillId="9" fontId="18" numFmtId="0" xfId="0" applyBorder="1" applyFont="1"/>
    <xf borderId="0" fillId="0" fontId="17" numFmtId="172" xfId="0" applyAlignment="1" applyFont="1" applyNumberFormat="1">
      <alignment horizontal="right"/>
    </xf>
    <xf borderId="0" fillId="0" fontId="210" numFmtId="172" xfId="0" applyAlignment="1" applyFont="1" applyNumberFormat="1">
      <alignment horizontal="right"/>
    </xf>
    <xf borderId="1" fillId="9" fontId="211" numFmtId="172" xfId="0" applyBorder="1" applyFont="1" applyNumberFormat="1"/>
    <xf borderId="1" fillId="9" fontId="30" numFmtId="164" xfId="0" applyAlignment="1" applyBorder="1" applyFont="1" applyNumberFormat="1">
      <alignment horizontal="left"/>
    </xf>
    <xf borderId="0" fillId="0" fontId="30" numFmtId="172" xfId="0" applyAlignment="1" applyFont="1" applyNumberFormat="1">
      <alignment horizontal="right"/>
    </xf>
    <xf borderId="1" fillId="9" fontId="6" numFmtId="167" xfId="0" applyBorder="1" applyFont="1" applyNumberFormat="1"/>
    <xf borderId="0" fillId="0" fontId="212" numFmtId="166" xfId="0" applyAlignment="1" applyFont="1" applyNumberFormat="1">
      <alignment horizontal="right"/>
    </xf>
    <xf borderId="0" fillId="0" fontId="212" numFmtId="166" xfId="0" applyFont="1" applyNumberFormat="1"/>
    <xf borderId="1" fillId="9" fontId="20" numFmtId="164" xfId="0" applyBorder="1" applyFont="1" applyNumberFormat="1"/>
    <xf borderId="1" fillId="9" fontId="20" numFmtId="197" xfId="0" applyBorder="1" applyFont="1" applyNumberFormat="1"/>
    <xf borderId="1" fillId="9" fontId="18" numFmtId="197" xfId="0" applyBorder="1" applyFont="1" applyNumberFormat="1"/>
    <xf borderId="0" fillId="0" fontId="19" numFmtId="0" xfId="0" applyAlignment="1" applyFont="1">
      <alignment horizontal="left"/>
    </xf>
    <xf borderId="0" fillId="0" fontId="17" numFmtId="167" xfId="0" applyAlignment="1" applyFont="1" applyNumberFormat="1">
      <alignment horizontal="right"/>
    </xf>
    <xf borderId="1" fillId="9" fontId="11" numFmtId="167" xfId="0" applyBorder="1" applyFont="1" applyNumberFormat="1"/>
    <xf borderId="1" fillId="9" fontId="6" numFmtId="197" xfId="0" applyBorder="1" applyFont="1" applyNumberFormat="1"/>
    <xf borderId="0" fillId="0" fontId="213" numFmtId="0" xfId="0" applyAlignment="1" applyFont="1">
      <alignment horizontal="left"/>
    </xf>
    <xf borderId="1" fillId="9" fontId="214" numFmtId="167" xfId="0" applyAlignment="1" applyBorder="1" applyFont="1" applyNumberFormat="1">
      <alignment horizontal="right"/>
    </xf>
    <xf borderId="1" fillId="9" fontId="215" numFmtId="167" xfId="0" applyBorder="1" applyFont="1" applyNumberFormat="1"/>
    <xf borderId="1" fillId="9" fontId="216" numFmtId="197" xfId="0" applyBorder="1" applyFont="1" applyNumberFormat="1"/>
    <xf borderId="1" fillId="9" fontId="18" numFmtId="198" xfId="0" applyBorder="1" applyFont="1" applyNumberFormat="1"/>
    <xf borderId="0" fillId="0" fontId="217" numFmtId="164" xfId="0" applyAlignment="1" applyFont="1" applyNumberFormat="1">
      <alignment horizontal="left"/>
    </xf>
    <xf borderId="0" fillId="0" fontId="67" numFmtId="0" xfId="0" applyAlignment="1" applyFont="1">
      <alignment horizontal="left"/>
    </xf>
    <xf borderId="0" fillId="0" fontId="67" numFmtId="9" xfId="0" applyFont="1" applyNumberFormat="1"/>
    <xf borderId="1" fillId="9" fontId="67" numFmtId="0" xfId="0" applyBorder="1" applyFont="1"/>
    <xf borderId="1" fillId="9" fontId="218" numFmtId="198" xfId="0" applyBorder="1" applyFont="1" applyNumberFormat="1"/>
    <xf borderId="0" fillId="0" fontId="14" numFmtId="0" xfId="0" applyAlignment="1" applyFont="1">
      <alignment horizontal="left"/>
    </xf>
    <xf borderId="0" fillId="0" fontId="67" numFmtId="166" xfId="0" applyAlignment="1" applyFont="1" applyNumberFormat="1">
      <alignment horizontal="right"/>
    </xf>
    <xf borderId="1" fillId="9" fontId="14" numFmtId="167" xfId="0" applyBorder="1" applyFont="1" applyNumberFormat="1"/>
    <xf borderId="1" fillId="9" fontId="12" numFmtId="198" xfId="0" applyBorder="1" applyFont="1" applyNumberFormat="1"/>
    <xf borderId="0" fillId="0" fontId="67" numFmtId="166" xfId="0" applyAlignment="1" applyFont="1" applyNumberFormat="1">
      <alignment horizontal="left"/>
    </xf>
    <xf borderId="0" fillId="0" fontId="219" numFmtId="0" xfId="0" applyAlignment="1" applyFont="1">
      <alignment horizontal="left"/>
    </xf>
    <xf borderId="0" fillId="0" fontId="220" numFmtId="166" xfId="0" applyAlignment="1" applyFont="1" applyNumberFormat="1">
      <alignment horizontal="right"/>
    </xf>
    <xf borderId="1" fillId="9" fontId="221" numFmtId="167" xfId="0" applyBorder="1" applyFont="1" applyNumberFormat="1"/>
    <xf borderId="1" fillId="9" fontId="222" numFmtId="198" xfId="0" applyBorder="1" applyFont="1" applyNumberFormat="1"/>
    <xf borderId="0" fillId="0" fontId="12" numFmtId="164" xfId="0" applyAlignment="1" applyFont="1" applyNumberFormat="1">
      <alignment horizontal="left"/>
    </xf>
    <xf borderId="0" fillId="0" fontId="12" numFmtId="0" xfId="0" applyFont="1"/>
    <xf borderId="0" fillId="0" fontId="218" numFmtId="166" xfId="0" applyAlignment="1" applyFont="1" applyNumberFormat="1">
      <alignment horizontal="left"/>
    </xf>
    <xf borderId="0" fillId="0" fontId="218" numFmtId="166" xfId="0" applyAlignment="1" applyFont="1" applyNumberFormat="1">
      <alignment horizontal="right"/>
    </xf>
    <xf borderId="1" fillId="5" fontId="11" numFmtId="0" xfId="0" applyBorder="1" applyFont="1"/>
    <xf borderId="1" fillId="9" fontId="18" numFmtId="166" xfId="0" applyAlignment="1" applyBorder="1" applyFont="1" applyNumberFormat="1">
      <alignment horizontal="right"/>
    </xf>
    <xf borderId="1" fillId="9" fontId="17" numFmtId="167" xfId="0" applyAlignment="1" applyBorder="1" applyFont="1" applyNumberFormat="1">
      <alignment horizontal="right"/>
    </xf>
    <xf borderId="0" fillId="0" fontId="68" numFmtId="166" xfId="0" applyAlignment="1" applyFont="1" applyNumberFormat="1">
      <alignment horizontal="center"/>
    </xf>
    <xf borderId="0" fillId="0" fontId="223" numFmtId="167" xfId="0" applyAlignment="1" applyFont="1" applyNumberFormat="1">
      <alignment horizontal="right"/>
    </xf>
    <xf borderId="1" fillId="9" fontId="6" numFmtId="170" xfId="0" applyBorder="1" applyFont="1" applyNumberFormat="1"/>
    <xf borderId="1" fillId="9" fontId="19" numFmtId="166" xfId="0" applyBorder="1" applyFont="1" applyNumberFormat="1"/>
    <xf borderId="1" fillId="9" fontId="32" numFmtId="0" xfId="0" applyBorder="1" applyFont="1"/>
    <xf borderId="1" fillId="6" fontId="32" numFmtId="0" xfId="0" applyBorder="1" applyFont="1"/>
    <xf borderId="1" fillId="9" fontId="224" numFmtId="166" xfId="0" applyBorder="1" applyFont="1" applyNumberFormat="1"/>
    <xf borderId="1" fillId="9" fontId="225" numFmtId="166" xfId="0" applyBorder="1" applyFont="1" applyNumberFormat="1"/>
    <xf borderId="0" fillId="0" fontId="226" numFmtId="0" xfId="0" applyFont="1"/>
    <xf borderId="0" fillId="0" fontId="227" numFmtId="0" xfId="0" applyAlignment="1" applyFont="1">
      <alignment horizontal="left"/>
    </xf>
    <xf borderId="1" fillId="9" fontId="228" numFmtId="166" xfId="0" applyAlignment="1" applyBorder="1" applyFont="1" applyNumberFormat="1">
      <alignment horizontal="right"/>
    </xf>
    <xf borderId="1" fillId="9" fontId="229" numFmtId="0" xfId="0" applyBorder="1" applyFont="1"/>
    <xf borderId="1" fillId="6" fontId="230" numFmtId="0" xfId="0" applyBorder="1" applyFont="1"/>
    <xf borderId="1" fillId="9" fontId="231" numFmtId="167" xfId="0" applyAlignment="1" applyBorder="1" applyFont="1" applyNumberFormat="1">
      <alignment horizontal="right"/>
    </xf>
    <xf borderId="1" fillId="31" fontId="17" numFmtId="167" xfId="0" applyAlignment="1" applyBorder="1" applyFill="1" applyFont="1" applyNumberFormat="1">
      <alignment horizontal="right"/>
    </xf>
    <xf borderId="1" fillId="5" fontId="21" numFmtId="0" xfId="0" applyBorder="1" applyFont="1"/>
    <xf borderId="34" fillId="0" fontId="11" numFmtId="0" xfId="0" applyAlignment="1" applyBorder="1" applyFont="1">
      <alignment horizontal="left" shrinkToFit="0" wrapText="1"/>
    </xf>
    <xf borderId="70" fillId="0" fontId="11" numFmtId="0" xfId="0" applyAlignment="1" applyBorder="1" applyFont="1">
      <alignment horizontal="left" shrinkToFit="0" wrapText="1"/>
    </xf>
    <xf borderId="23" fillId="0" fontId="11" numFmtId="0" xfId="0" applyAlignment="1" applyBorder="1" applyFont="1">
      <alignment horizontal="left" shrinkToFit="0" wrapText="1"/>
    </xf>
    <xf borderId="43" fillId="0" fontId="11" numFmtId="0" xfId="0" applyAlignment="1" applyBorder="1" applyFont="1">
      <alignment horizontal="left" shrinkToFit="0" wrapText="1"/>
    </xf>
    <xf borderId="43" fillId="0" fontId="21" numFmtId="0" xfId="0" applyBorder="1" applyFont="1"/>
    <xf borderId="0" fillId="0" fontId="21" numFmtId="199" xfId="0" applyFont="1" applyNumberFormat="1"/>
    <xf borderId="0" fillId="0" fontId="21" numFmtId="171" xfId="0" applyFont="1" applyNumberFormat="1"/>
    <xf borderId="43" fillId="0" fontId="11" numFmtId="167" xfId="0" applyAlignment="1" applyBorder="1" applyFont="1" applyNumberFormat="1">
      <alignment horizontal="left" shrinkToFit="0" wrapText="1"/>
    </xf>
    <xf borderId="43" fillId="0" fontId="11" numFmtId="167" xfId="0" applyAlignment="1" applyBorder="1" applyFont="1" applyNumberFormat="1">
      <alignment horizontal="right"/>
    </xf>
    <xf borderId="43" fillId="0" fontId="1" numFmtId="0" xfId="0" applyAlignment="1" applyBorder="1" applyFont="1">
      <alignment horizontal="right"/>
    </xf>
    <xf borderId="43" fillId="0" fontId="32" numFmtId="166" xfId="0" applyBorder="1" applyFont="1" applyNumberFormat="1"/>
  </cellXfs>
  <cellStyles count="1">
    <cellStyle xfId="0" name="Normal" builtinId="0"/>
  </cellStyles>
  <dxfs count="2">
    <dxf>
      <font/>
      <fill>
        <patternFill patternType="solid">
          <fgColor rgb="FFE2EFD9"/>
          <bgColor rgb="FFE2EFD9"/>
        </patternFill>
      </fill>
      <border/>
    </dxf>
    <dxf>
      <font/>
      <fill>
        <patternFill patternType="none"/>
      </fill>
      <border>
        <top style="thin">
          <color rgb="FF000000"/>
        </top>
        <bottom style="thin">
          <color rgb="FF000000"/>
        </bottom>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3.png"/><Relationship Id="rId5"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9.png"/></Relationships>
</file>

<file path=xl/drawings/_rels/drawing22.xml.rels><?xml version="1.0" encoding="UTF-8" standalone="yes"?><Relationships xmlns="http://schemas.openxmlformats.org/package/2006/relationships"><Relationship Id="rId1" Type="http://schemas.openxmlformats.org/officeDocument/2006/relationships/image" Target="../media/image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457200</xdr:colOff>
      <xdr:row>11</xdr:row>
      <xdr:rowOff>9525</xdr:rowOff>
    </xdr:from>
    <xdr:ext cx="257175" cy="523875"/>
    <xdr:sp>
      <xdr:nvSpPr>
        <xdr:cNvPr id="3" name="Shape 3"/>
        <xdr:cNvSpPr txBox="1"/>
      </xdr:nvSpPr>
      <xdr:spPr>
        <a:xfrm rot="-5400000">
          <a:off x="5088825" y="3656175"/>
          <a:ext cx="514350" cy="2476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Arial"/>
            <a:buNone/>
          </a:pPr>
          <a:r>
            <a:rPr b="1" i="1" lang="en-US" sz="1000">
              <a:solidFill>
                <a:schemeClr val="dk1"/>
              </a:solidFill>
              <a:latin typeface="Arial"/>
              <a:ea typeface="Arial"/>
              <a:cs typeface="Arial"/>
              <a:sym typeface="Arial"/>
            </a:rPr>
            <a:t>TR %</a:t>
          </a:r>
          <a:endParaRPr sz="1400"/>
        </a:p>
      </xdr:txBody>
    </xdr:sp>
    <xdr:clientData fLocksWithSheet="0"/>
  </xdr:oneCellAnchor>
  <xdr:oneCellAnchor>
    <xdr:from>
      <xdr:col>22</xdr:col>
      <xdr:colOff>66675</xdr:colOff>
      <xdr:row>64</xdr:row>
      <xdr:rowOff>85725</xdr:rowOff>
    </xdr:from>
    <xdr:ext cx="257175" cy="1476375"/>
    <xdr:sp>
      <xdr:nvSpPr>
        <xdr:cNvPr id="4" name="Shape 4"/>
        <xdr:cNvSpPr txBox="1"/>
      </xdr:nvSpPr>
      <xdr:spPr>
        <a:xfrm rot="-5400000">
          <a:off x="4612575" y="3656175"/>
          <a:ext cx="1466850" cy="24765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000"/>
            <a:buFont typeface="Arial"/>
            <a:buNone/>
          </a:pPr>
          <a:r>
            <a:rPr b="1" i="1" lang="en-US" sz="1000">
              <a:solidFill>
                <a:schemeClr val="dk1"/>
              </a:solidFill>
              <a:latin typeface="Arial"/>
              <a:ea typeface="Arial"/>
              <a:cs typeface="Arial"/>
              <a:sym typeface="Arial"/>
            </a:rPr>
            <a:t>TGR %</a:t>
          </a:r>
          <a:endParaRPr sz="1400"/>
        </a:p>
      </xdr:txBody>
    </xdr:sp>
    <xdr:clientData fLocksWithSheet="0"/>
  </xdr:oneCellAnchor>
  <xdr:oneCellAnchor>
    <xdr:from>
      <xdr:col>19</xdr:col>
      <xdr:colOff>600075</xdr:colOff>
      <xdr:row>63</xdr:row>
      <xdr:rowOff>47625</xdr:rowOff>
    </xdr:from>
    <xdr:ext cx="352425" cy="1762125"/>
    <xdr:sp>
      <xdr:nvSpPr>
        <xdr:cNvPr id="5" name="Shape 5"/>
        <xdr:cNvSpPr txBox="1"/>
      </xdr:nvSpPr>
      <xdr:spPr>
        <a:xfrm rot="-5400000">
          <a:off x="4469700" y="3608550"/>
          <a:ext cx="1752600" cy="34290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000"/>
            <a:buFont typeface="Arial"/>
            <a:buNone/>
          </a:pPr>
          <a:r>
            <a:rPr b="1" i="0" lang="en-US" sz="1000">
              <a:solidFill>
                <a:schemeClr val="lt1"/>
              </a:solidFill>
              <a:latin typeface="Arial"/>
              <a:ea typeface="Arial"/>
              <a:cs typeface="Arial"/>
              <a:sym typeface="Arial"/>
            </a:rPr>
            <a:t>STANDALONE CASE</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457200</xdr:colOff>
      <xdr:row>11</xdr:row>
      <xdr:rowOff>9525</xdr:rowOff>
    </xdr:from>
    <xdr:ext cx="257175" cy="523875"/>
    <xdr:sp>
      <xdr:nvSpPr>
        <xdr:cNvPr id="6" name="Shape 6"/>
        <xdr:cNvSpPr txBox="1"/>
      </xdr:nvSpPr>
      <xdr:spPr>
        <a:xfrm rot="-5400000">
          <a:off x="5088825" y="3656175"/>
          <a:ext cx="514350" cy="2476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Arial"/>
            <a:buNone/>
          </a:pPr>
          <a:r>
            <a:rPr b="1" i="1" lang="en-US" sz="1000">
              <a:solidFill>
                <a:schemeClr val="dk1"/>
              </a:solidFill>
              <a:latin typeface="Arial"/>
              <a:ea typeface="Arial"/>
              <a:cs typeface="Arial"/>
              <a:sym typeface="Arial"/>
            </a:rPr>
            <a:t>TR %</a:t>
          </a:r>
          <a:endParaRPr sz="1400"/>
        </a:p>
      </xdr:txBody>
    </xdr:sp>
    <xdr:clientData fLocksWithSheet="0"/>
  </xdr:oneCellAnchor>
  <xdr:oneCellAnchor>
    <xdr:from>
      <xdr:col>22</xdr:col>
      <xdr:colOff>66675</xdr:colOff>
      <xdr:row>64</xdr:row>
      <xdr:rowOff>85725</xdr:rowOff>
    </xdr:from>
    <xdr:ext cx="257175" cy="1476375"/>
    <xdr:sp>
      <xdr:nvSpPr>
        <xdr:cNvPr id="7" name="Shape 7"/>
        <xdr:cNvSpPr txBox="1"/>
      </xdr:nvSpPr>
      <xdr:spPr>
        <a:xfrm rot="-5400000">
          <a:off x="4612575" y="3656175"/>
          <a:ext cx="1466850" cy="24765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000"/>
            <a:buFont typeface="Arial"/>
            <a:buNone/>
          </a:pPr>
          <a:r>
            <a:rPr b="1" i="1" lang="en-US" sz="1000">
              <a:solidFill>
                <a:schemeClr val="dk1"/>
              </a:solidFill>
              <a:latin typeface="Arial"/>
              <a:ea typeface="Arial"/>
              <a:cs typeface="Arial"/>
              <a:sym typeface="Arial"/>
            </a:rPr>
            <a:t>TGR %</a:t>
          </a:r>
          <a:endParaRPr sz="1400"/>
        </a:p>
      </xdr:txBody>
    </xdr:sp>
    <xdr:clientData fLocksWithSheet="0"/>
  </xdr:oneCellAnchor>
  <xdr:oneCellAnchor>
    <xdr:from>
      <xdr:col>19</xdr:col>
      <xdr:colOff>600075</xdr:colOff>
      <xdr:row>62</xdr:row>
      <xdr:rowOff>228600</xdr:rowOff>
    </xdr:from>
    <xdr:ext cx="390525" cy="1933575"/>
    <xdr:sp>
      <xdr:nvSpPr>
        <xdr:cNvPr id="8" name="Shape 8"/>
        <xdr:cNvSpPr txBox="1"/>
      </xdr:nvSpPr>
      <xdr:spPr>
        <a:xfrm rot="-5400000">
          <a:off x="4383975" y="3589500"/>
          <a:ext cx="1924050" cy="381000"/>
        </a:xfrm>
        <a:prstGeom prst="rect">
          <a:avLst/>
        </a:prstGeom>
        <a:solidFill>
          <a:schemeClr val="accent6"/>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000"/>
            <a:buFont typeface="Arial"/>
            <a:buNone/>
          </a:pPr>
          <a:r>
            <a:rPr b="1" i="0" lang="en-US" sz="1000">
              <a:solidFill>
                <a:schemeClr val="lt1"/>
              </a:solidFill>
              <a:latin typeface="Arial"/>
              <a:ea typeface="Arial"/>
              <a:cs typeface="Arial"/>
              <a:sym typeface="Arial"/>
            </a:rPr>
            <a:t>SYNERGY BASE CASE</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47625</xdr:colOff>
      <xdr:row>64</xdr:row>
      <xdr:rowOff>28575</xdr:rowOff>
    </xdr:from>
    <xdr:ext cx="257175" cy="1219200"/>
    <xdr:sp>
      <xdr:nvSpPr>
        <xdr:cNvPr id="9" name="Shape 9"/>
        <xdr:cNvSpPr txBox="1"/>
      </xdr:nvSpPr>
      <xdr:spPr>
        <a:xfrm rot="-5400000">
          <a:off x="4741163" y="3656175"/>
          <a:ext cx="1209675" cy="24765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000"/>
            <a:buFont typeface="Arial"/>
            <a:buNone/>
          </a:pPr>
          <a:r>
            <a:rPr b="1" i="1" lang="en-US" sz="1000">
              <a:solidFill>
                <a:schemeClr val="dk1"/>
              </a:solidFill>
              <a:latin typeface="Arial"/>
              <a:ea typeface="Arial"/>
              <a:cs typeface="Arial"/>
              <a:sym typeface="Arial"/>
            </a:rPr>
            <a:t>TGR %</a:t>
          </a:r>
          <a:endParaRPr sz="1400"/>
        </a:p>
      </xdr:txBody>
    </xdr:sp>
    <xdr:clientData fLocksWithSheet="0"/>
  </xdr:oneCellAnchor>
  <xdr:oneCellAnchor>
    <xdr:from>
      <xdr:col>19</xdr:col>
      <xdr:colOff>552450</xdr:colOff>
      <xdr:row>63</xdr:row>
      <xdr:rowOff>28575</xdr:rowOff>
    </xdr:from>
    <xdr:ext cx="381000" cy="1581150"/>
    <xdr:sp>
      <xdr:nvSpPr>
        <xdr:cNvPr id="10" name="Shape 10"/>
        <xdr:cNvSpPr txBox="1"/>
      </xdr:nvSpPr>
      <xdr:spPr>
        <a:xfrm rot="-5400000">
          <a:off x="4560188" y="3594263"/>
          <a:ext cx="1571625" cy="371475"/>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000"/>
            <a:buFont typeface="Arial"/>
            <a:buNone/>
          </a:pPr>
          <a:r>
            <a:rPr b="1" i="0" lang="en-US" sz="1000">
              <a:solidFill>
                <a:schemeClr val="lt1"/>
              </a:solidFill>
              <a:latin typeface="Arial"/>
              <a:ea typeface="Arial"/>
              <a:cs typeface="Arial"/>
              <a:sym typeface="Arial"/>
            </a:rPr>
            <a:t>SYNERGY CASE</a:t>
          </a:r>
          <a:endParaRPr b="1" i="0" sz="1000">
            <a:solidFill>
              <a:schemeClr val="lt1"/>
            </a:solidFill>
            <a:latin typeface="Arial"/>
            <a:ea typeface="Arial"/>
            <a:cs typeface="Arial"/>
            <a:sym typeface="Arial"/>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28</xdr:row>
      <xdr:rowOff>9525</xdr:rowOff>
    </xdr:from>
    <xdr:ext cx="5457825" cy="1962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66675</xdr:colOff>
      <xdr:row>26</xdr:row>
      <xdr:rowOff>9525</xdr:rowOff>
    </xdr:from>
    <xdr:ext cx="5753100" cy="41624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26</xdr:row>
      <xdr:rowOff>38100</xdr:rowOff>
    </xdr:from>
    <xdr:ext cx="4752975" cy="420052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34</xdr:col>
      <xdr:colOff>19050</xdr:colOff>
      <xdr:row>26</xdr:row>
      <xdr:rowOff>38100</xdr:rowOff>
    </xdr:from>
    <xdr:ext cx="5667375" cy="41624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123825</xdr:colOff>
      <xdr:row>58</xdr:row>
      <xdr:rowOff>57150</xdr:rowOff>
    </xdr:from>
    <xdr:ext cx="4419600" cy="37814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34</xdr:col>
      <xdr:colOff>104775</xdr:colOff>
      <xdr:row>59</xdr:row>
      <xdr:rowOff>133350</xdr:rowOff>
    </xdr:from>
    <xdr:ext cx="5334000" cy="333375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76200</xdr:rowOff>
    </xdr:from>
    <xdr:ext cx="1971675" cy="3048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0</xdr:row>
      <xdr:rowOff>95250</xdr:rowOff>
    </xdr:from>
    <xdr:ext cx="5800725" cy="697230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1</xdr:row>
      <xdr:rowOff>66675</xdr:rowOff>
    </xdr:from>
    <xdr:ext cx="1971675" cy="3048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1</xdr:row>
      <xdr:rowOff>66675</xdr:rowOff>
    </xdr:from>
    <xdr:ext cx="1971675" cy="3048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1</xdr:row>
      <xdr:rowOff>66675</xdr:rowOff>
    </xdr:from>
    <xdr:ext cx="1971675" cy="3048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76200</xdr:rowOff>
    </xdr:from>
    <xdr:ext cx="1971675" cy="3048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76200</xdr:rowOff>
    </xdr:from>
    <xdr:ext cx="1971675" cy="3048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1</xdr:row>
      <xdr:rowOff>66675</xdr:rowOff>
    </xdr:from>
    <xdr:ext cx="1971675" cy="3048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1</xdr:row>
      <xdr:rowOff>66675</xdr:rowOff>
    </xdr:from>
    <xdr:ext cx="1971675" cy="3048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85725</xdr:rowOff>
    </xdr:from>
    <xdr:ext cx="1971675" cy="3048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76200</xdr:rowOff>
    </xdr:from>
    <xdr:ext cx="1971675" cy="3048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28800" cy="314325"/>
    <xdr:pic>
      <xdr:nvPicPr>
        <xdr:cNvPr descr="Picture"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19275" cy="314325"/>
    <xdr:pic>
      <xdr:nvPicPr>
        <xdr:cNvPr descr="Picture"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1857375" cy="314325"/>
    <xdr:pic>
      <xdr:nvPicPr>
        <xdr:cNvPr descr="Picture"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my.pitchbook.com/?pcc=199881-19"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outlineLevelCol="1"/>
  <cols>
    <col customWidth="1" min="1" max="1" width="8.71"/>
    <col customWidth="1" min="2" max="2" width="18.86"/>
    <col customWidth="1" hidden="1" min="3" max="4" width="7.29" outlineLevel="1"/>
    <col customWidth="1" hidden="1" min="5" max="5" width="9.14" outlineLevel="1"/>
    <col customWidth="1" hidden="1" min="6" max="6" width="7.29" outlineLevel="1"/>
    <col collapsed="1" customWidth="1" hidden="1" min="7" max="7" width="7.29"/>
    <col customWidth="1" min="8" max="10" width="14.57"/>
    <col customWidth="1" min="11" max="11" width="8.71"/>
    <col customWidth="1" min="12" max="14" width="14.57"/>
    <col customWidth="1" min="15" max="26" width="8.71"/>
  </cols>
  <sheetData>
    <row r="1" ht="14.25" customHeight="1">
      <c r="A1" s="1"/>
      <c r="B1" s="1"/>
      <c r="C1" s="2"/>
      <c r="D1" s="2"/>
      <c r="E1" s="2"/>
      <c r="F1" s="3"/>
      <c r="G1" s="4" t="s">
        <v>0</v>
      </c>
      <c r="H1" s="5" t="s">
        <v>1</v>
      </c>
      <c r="I1" s="6"/>
      <c r="J1" s="7"/>
      <c r="L1" s="8" t="s">
        <v>2</v>
      </c>
      <c r="M1" s="6"/>
      <c r="N1" s="7"/>
    </row>
    <row r="2" ht="14.25" customHeight="1">
      <c r="A2" s="9"/>
      <c r="B2" s="10"/>
      <c r="C2" s="9"/>
      <c r="D2" s="11"/>
      <c r="E2" s="9"/>
      <c r="F2" s="12" t="s">
        <v>3</v>
      </c>
      <c r="G2" s="13" t="s">
        <v>4</v>
      </c>
      <c r="H2" s="14" t="s">
        <v>5</v>
      </c>
      <c r="I2" s="14">
        <v>2020.0</v>
      </c>
      <c r="J2" s="14">
        <v>2021.0</v>
      </c>
      <c r="K2" s="15"/>
      <c r="L2" s="16" t="s">
        <v>6</v>
      </c>
      <c r="M2" s="14">
        <v>2020.0</v>
      </c>
      <c r="N2" s="14">
        <v>2021.0</v>
      </c>
      <c r="O2" s="15"/>
      <c r="P2" s="15"/>
      <c r="Q2" s="15"/>
      <c r="R2" s="15"/>
      <c r="S2" s="15"/>
      <c r="T2" s="15"/>
    </row>
    <row r="3" ht="14.25" customHeight="1">
      <c r="A3" s="9"/>
      <c r="B3" s="17"/>
      <c r="C3" s="18"/>
      <c r="D3" s="19"/>
      <c r="E3" s="19"/>
      <c r="F3" s="20"/>
      <c r="G3" s="21"/>
      <c r="H3" s="22"/>
      <c r="I3" s="22"/>
      <c r="J3" s="23"/>
      <c r="K3" s="15"/>
      <c r="L3" s="22"/>
      <c r="M3" s="22"/>
      <c r="N3" s="23"/>
      <c r="O3" s="15"/>
      <c r="P3" s="15"/>
      <c r="Q3" s="15"/>
      <c r="R3" s="15"/>
      <c r="S3" s="15"/>
      <c r="T3" s="15"/>
    </row>
    <row r="4" ht="14.25" customHeight="1">
      <c r="A4" s="24"/>
      <c r="B4" s="25" t="s">
        <v>7</v>
      </c>
      <c r="C4" s="26"/>
      <c r="D4" s="27"/>
      <c r="E4" s="27"/>
      <c r="F4" s="28">
        <v>24.9</v>
      </c>
      <c r="G4" s="29">
        <v>27.1</v>
      </c>
      <c r="H4" s="29">
        <f>14.5+17.3</f>
        <v>31.8</v>
      </c>
      <c r="I4" s="29">
        <f>45.2</f>
        <v>45.2</v>
      </c>
      <c r="J4" s="30">
        <f>60.1</f>
        <v>60.1</v>
      </c>
      <c r="K4" s="31"/>
      <c r="L4" s="29">
        <f>14.5+19.3</f>
        <v>33.8</v>
      </c>
      <c r="M4" s="29">
        <v>59.73</v>
      </c>
      <c r="N4" s="30">
        <v>80.5</v>
      </c>
      <c r="O4" s="31"/>
      <c r="P4" s="31"/>
      <c r="Q4" s="31"/>
      <c r="R4" s="31"/>
      <c r="S4" s="31"/>
      <c r="T4" s="31"/>
      <c r="U4" s="31"/>
      <c r="V4" s="31"/>
      <c r="W4" s="31"/>
      <c r="X4" s="31"/>
      <c r="Y4" s="31"/>
      <c r="Z4" s="31"/>
      <c r="AA4" s="31"/>
    </row>
    <row r="5" ht="14.25" customHeight="1">
      <c r="A5" s="24"/>
      <c r="B5" s="32" t="s">
        <v>8</v>
      </c>
      <c r="C5" s="33">
        <v>0.32</v>
      </c>
      <c r="D5" s="33">
        <v>0.4</v>
      </c>
      <c r="E5" s="27"/>
      <c r="F5" s="34">
        <v>0.1875783388932657</v>
      </c>
      <c r="G5" s="35">
        <v>0.08835341365461868</v>
      </c>
      <c r="H5" s="35">
        <f t="shared" ref="H5:J5" si="1">H4/G4-1</f>
        <v>0.1734317343</v>
      </c>
      <c r="I5" s="35">
        <f t="shared" si="1"/>
        <v>0.4213836478</v>
      </c>
      <c r="J5" s="35">
        <f t="shared" si="1"/>
        <v>0.3296460177</v>
      </c>
      <c r="K5" s="31"/>
      <c r="L5" s="35"/>
      <c r="M5" s="35">
        <f t="shared" ref="M5:N5" si="2">M4/L4-1</f>
        <v>0.7671597633</v>
      </c>
      <c r="N5" s="35">
        <f t="shared" si="2"/>
        <v>0.3477314582</v>
      </c>
      <c r="O5" s="31"/>
      <c r="P5" s="31"/>
      <c r="Q5" s="31"/>
      <c r="R5" s="31"/>
      <c r="S5" s="31"/>
      <c r="T5" s="31"/>
      <c r="U5" s="31"/>
      <c r="V5" s="31"/>
      <c r="W5" s="31"/>
      <c r="X5" s="31"/>
      <c r="Y5" s="31"/>
      <c r="Z5" s="31"/>
      <c r="AA5" s="31"/>
    </row>
    <row r="6" ht="14.25" customHeight="1">
      <c r="A6" s="36"/>
      <c r="B6" s="32"/>
      <c r="C6" s="26"/>
      <c r="D6" s="27"/>
      <c r="E6" s="27"/>
      <c r="F6" s="37"/>
      <c r="G6" s="38"/>
      <c r="H6" s="38"/>
      <c r="I6" s="35"/>
      <c r="J6" s="35"/>
      <c r="K6" s="31"/>
      <c r="L6" s="38"/>
      <c r="M6" s="35"/>
      <c r="N6" s="35"/>
      <c r="O6" s="31"/>
      <c r="P6" s="31"/>
      <c r="Q6" s="31"/>
      <c r="R6" s="31"/>
      <c r="S6" s="31"/>
      <c r="T6" s="31"/>
      <c r="U6" s="31"/>
      <c r="V6" s="31"/>
      <c r="W6" s="31"/>
      <c r="X6" s="31"/>
      <c r="Y6" s="31"/>
      <c r="Z6" s="31"/>
      <c r="AA6" s="31"/>
    </row>
    <row r="7" ht="14.25" customHeight="1">
      <c r="A7" s="39"/>
      <c r="B7" s="40" t="s">
        <v>9</v>
      </c>
      <c r="C7" s="41"/>
      <c r="D7" s="41"/>
      <c r="E7" s="42"/>
      <c r="F7" s="29">
        <v>9.443509089999997</v>
      </c>
      <c r="G7" s="29">
        <v>10.942581</v>
      </c>
      <c r="H7" s="29">
        <f>5.41+7.41</f>
        <v>12.82</v>
      </c>
      <c r="I7" s="29">
        <v>16.43</v>
      </c>
      <c r="J7" s="30">
        <v>23.12</v>
      </c>
      <c r="K7" s="31"/>
      <c r="L7" s="29">
        <f>5.4+8.2</f>
        <v>13.6</v>
      </c>
      <c r="M7" s="29">
        <v>22.06</v>
      </c>
      <c r="N7" s="30">
        <v>31.1</v>
      </c>
      <c r="O7" s="31"/>
      <c r="P7" s="31"/>
      <c r="Q7" s="31"/>
      <c r="R7" s="31"/>
      <c r="S7" s="31"/>
      <c r="T7" s="31"/>
      <c r="U7" s="31"/>
      <c r="V7" s="31"/>
      <c r="W7" s="31"/>
      <c r="X7" s="31"/>
      <c r="Y7" s="31"/>
      <c r="Z7" s="31"/>
      <c r="AA7" s="31"/>
    </row>
    <row r="8" ht="14.25" customHeight="1">
      <c r="A8" s="39"/>
      <c r="B8" s="43" t="s">
        <v>10</v>
      </c>
      <c r="C8" s="33">
        <v>0.0</v>
      </c>
      <c r="D8" s="33">
        <v>0.0</v>
      </c>
      <c r="E8" s="41"/>
      <c r="F8" s="44">
        <f t="shared" ref="F8:J8" si="3">F7/F4</f>
        <v>0.3792573932</v>
      </c>
      <c r="G8" s="44">
        <f t="shared" si="3"/>
        <v>0.4037852768</v>
      </c>
      <c r="H8" s="44">
        <f t="shared" si="3"/>
        <v>0.4031446541</v>
      </c>
      <c r="I8" s="44">
        <f t="shared" si="3"/>
        <v>0.3634955752</v>
      </c>
      <c r="J8" s="35">
        <f t="shared" si="3"/>
        <v>0.3846921797</v>
      </c>
      <c r="K8" s="31"/>
      <c r="L8" s="44">
        <f t="shared" ref="L8:N8" si="4">L7/L4</f>
        <v>0.4023668639</v>
      </c>
      <c r="M8" s="44">
        <f t="shared" si="4"/>
        <v>0.3693286456</v>
      </c>
      <c r="N8" s="35">
        <f t="shared" si="4"/>
        <v>0.3863354037</v>
      </c>
      <c r="O8" s="31"/>
      <c r="P8" s="31"/>
      <c r="Q8" s="31"/>
      <c r="R8" s="31"/>
      <c r="S8" s="31"/>
      <c r="T8" s="31"/>
      <c r="U8" s="31"/>
      <c r="V8" s="31"/>
      <c r="W8" s="31"/>
      <c r="X8" s="31"/>
      <c r="Y8" s="31"/>
      <c r="Z8" s="31"/>
      <c r="AA8" s="31"/>
    </row>
    <row r="9" ht="14.25" customHeight="1">
      <c r="A9" s="45"/>
      <c r="B9" s="46"/>
      <c r="C9" s="47"/>
      <c r="D9" s="48"/>
      <c r="E9" s="48"/>
      <c r="F9" s="35"/>
      <c r="G9" s="35"/>
      <c r="H9" s="35"/>
      <c r="I9" s="35"/>
      <c r="J9" s="35"/>
      <c r="K9" s="31"/>
      <c r="L9" s="35"/>
      <c r="M9" s="35"/>
      <c r="N9" s="35"/>
      <c r="O9" s="31"/>
      <c r="P9" s="31"/>
      <c r="Q9" s="31"/>
      <c r="R9" s="31"/>
      <c r="S9" s="31"/>
      <c r="T9" s="31"/>
      <c r="U9" s="31"/>
      <c r="V9" s="31"/>
      <c r="W9" s="31"/>
      <c r="X9" s="31"/>
      <c r="Y9" s="31"/>
      <c r="Z9" s="31"/>
      <c r="AA9" s="31"/>
    </row>
    <row r="10" ht="14.25" customHeight="1">
      <c r="A10" s="49"/>
      <c r="B10" s="25" t="s">
        <v>11</v>
      </c>
      <c r="C10" s="47"/>
      <c r="D10" s="50"/>
      <c r="E10" s="50"/>
      <c r="F10" s="51">
        <f t="shared" ref="F10:J10" si="5">F4-F7</f>
        <v>15.45649091</v>
      </c>
      <c r="G10" s="30">
        <f t="shared" si="5"/>
        <v>16.157419</v>
      </c>
      <c r="H10" s="30">
        <f t="shared" si="5"/>
        <v>18.98</v>
      </c>
      <c r="I10" s="30">
        <f t="shared" si="5"/>
        <v>28.77</v>
      </c>
      <c r="J10" s="30">
        <f t="shared" si="5"/>
        <v>36.98</v>
      </c>
      <c r="K10" s="31"/>
      <c r="L10" s="30">
        <f t="shared" ref="L10:N10" si="6">L4-L7</f>
        <v>20.2</v>
      </c>
      <c r="M10" s="30">
        <f t="shared" si="6"/>
        <v>37.67</v>
      </c>
      <c r="N10" s="30">
        <f t="shared" si="6"/>
        <v>49.4</v>
      </c>
      <c r="O10" s="31"/>
      <c r="P10" s="31"/>
      <c r="Q10" s="31"/>
      <c r="R10" s="31"/>
      <c r="S10" s="31"/>
      <c r="T10" s="31"/>
      <c r="U10" s="31"/>
      <c r="V10" s="31"/>
      <c r="W10" s="31"/>
      <c r="X10" s="31"/>
      <c r="Y10" s="31"/>
      <c r="Z10" s="31"/>
      <c r="AA10" s="31"/>
    </row>
    <row r="11" ht="14.25" customHeight="1">
      <c r="A11" s="49"/>
      <c r="B11" s="32" t="s">
        <v>12</v>
      </c>
      <c r="C11" s="47"/>
      <c r="D11" s="50"/>
      <c r="E11" s="50"/>
      <c r="F11" s="34">
        <f t="shared" ref="F11:J11" si="7">F10/F4</f>
        <v>0.6207426068</v>
      </c>
      <c r="G11" s="35">
        <f t="shared" si="7"/>
        <v>0.5962147232</v>
      </c>
      <c r="H11" s="35">
        <f t="shared" si="7"/>
        <v>0.5968553459</v>
      </c>
      <c r="I11" s="35">
        <f t="shared" si="7"/>
        <v>0.6365044248</v>
      </c>
      <c r="J11" s="35">
        <f t="shared" si="7"/>
        <v>0.6153078203</v>
      </c>
      <c r="K11" s="31"/>
      <c r="L11" s="35">
        <f t="shared" ref="L11:N11" si="8">L10/L4</f>
        <v>0.5976331361</v>
      </c>
      <c r="M11" s="35">
        <f t="shared" si="8"/>
        <v>0.6306713544</v>
      </c>
      <c r="N11" s="35">
        <f t="shared" si="8"/>
        <v>0.6136645963</v>
      </c>
      <c r="O11" s="31"/>
      <c r="P11" s="31"/>
      <c r="Q11" s="31"/>
      <c r="R11" s="31"/>
      <c r="S11" s="31"/>
      <c r="T11" s="31"/>
      <c r="U11" s="31"/>
      <c r="V11" s="31"/>
      <c r="W11" s="31"/>
      <c r="X11" s="31"/>
      <c r="Y11" s="31"/>
      <c r="Z11" s="31"/>
      <c r="AA11" s="31"/>
    </row>
    <row r="12" ht="14.25" customHeight="1">
      <c r="A12" s="45"/>
      <c r="B12" s="52"/>
      <c r="C12" s="47"/>
      <c r="D12" s="48"/>
      <c r="E12" s="48"/>
      <c r="F12" s="44"/>
      <c r="G12" s="35"/>
      <c r="H12" s="35"/>
      <c r="I12" s="35"/>
      <c r="J12" s="35"/>
      <c r="K12" s="31"/>
      <c r="L12" s="35"/>
      <c r="M12" s="35"/>
      <c r="N12" s="35"/>
      <c r="O12" s="31"/>
      <c r="P12" s="31"/>
      <c r="Q12" s="31"/>
      <c r="R12" s="31"/>
      <c r="S12" s="31"/>
      <c r="T12" s="31"/>
      <c r="U12" s="31"/>
      <c r="V12" s="31"/>
      <c r="W12" s="31"/>
      <c r="X12" s="31"/>
      <c r="Y12" s="31"/>
      <c r="Z12" s="31"/>
      <c r="AA12" s="31"/>
    </row>
    <row r="13" ht="14.25" customHeight="1">
      <c r="A13" s="45"/>
      <c r="B13" s="53" t="s">
        <v>13</v>
      </c>
      <c r="C13" s="47"/>
      <c r="D13" s="48"/>
      <c r="E13" s="48"/>
      <c r="F13" s="44"/>
      <c r="G13" s="35"/>
      <c r="H13" s="35"/>
      <c r="I13" s="35"/>
      <c r="J13" s="35" t="s">
        <v>14</v>
      </c>
      <c r="K13" s="31"/>
      <c r="L13" s="35"/>
      <c r="M13" s="35"/>
      <c r="N13" s="35" t="s">
        <v>14</v>
      </c>
      <c r="O13" s="31"/>
      <c r="P13" s="31"/>
      <c r="Q13" s="31"/>
      <c r="R13" s="31"/>
      <c r="S13" s="31"/>
      <c r="T13" s="31"/>
      <c r="U13" s="31"/>
      <c r="V13" s="31"/>
      <c r="W13" s="31"/>
      <c r="X13" s="31"/>
      <c r="Y13" s="31"/>
      <c r="Z13" s="31"/>
      <c r="AA13" s="31"/>
    </row>
    <row r="14" ht="14.25" customHeight="1">
      <c r="A14" s="45"/>
      <c r="B14" s="54" t="s">
        <v>15</v>
      </c>
      <c r="C14" s="47"/>
      <c r="D14" s="55"/>
      <c r="E14" s="55"/>
      <c r="F14" s="29">
        <v>7.727007</v>
      </c>
      <c r="G14" s="29">
        <v>7.614628000000001</v>
      </c>
      <c r="H14" s="29">
        <f>4+5.19</f>
        <v>9.19</v>
      </c>
      <c r="I14" s="29">
        <f>13</f>
        <v>13</v>
      </c>
      <c r="J14" s="30">
        <f>14.96</f>
        <v>14.96</v>
      </c>
      <c r="K14" s="31"/>
      <c r="L14" s="29">
        <f>4+5.9</f>
        <v>9.9</v>
      </c>
      <c r="M14" s="29">
        <v>14.3</v>
      </c>
      <c r="N14" s="30">
        <v>16.4</v>
      </c>
      <c r="O14" s="31"/>
      <c r="P14" s="31"/>
      <c r="Q14" s="31"/>
      <c r="R14" s="31"/>
      <c r="S14" s="31"/>
      <c r="T14" s="31"/>
      <c r="U14" s="31"/>
      <c r="V14" s="31"/>
      <c r="W14" s="31"/>
      <c r="X14" s="31"/>
      <c r="Y14" s="31"/>
      <c r="Z14" s="31"/>
      <c r="AA14" s="31"/>
    </row>
    <row r="15" ht="14.25" customHeight="1">
      <c r="A15" s="45" t="s">
        <v>16</v>
      </c>
      <c r="B15" s="54" t="s">
        <v>17</v>
      </c>
      <c r="C15" s="47"/>
      <c r="D15" s="55"/>
      <c r="E15" s="55"/>
      <c r="F15" s="29">
        <v>7.308554</v>
      </c>
      <c r="G15" s="29">
        <v>6.9924409999999995</v>
      </c>
      <c r="H15" s="29">
        <f>0.12+0.12</f>
        <v>0.24</v>
      </c>
      <c r="I15" s="29">
        <f t="shared" ref="I15:J15" si="9">0.24</f>
        <v>0.24</v>
      </c>
      <c r="J15" s="30">
        <f t="shared" si="9"/>
        <v>0.24</v>
      </c>
      <c r="K15" s="31"/>
      <c r="L15" s="29">
        <f>0.1+1.6</f>
        <v>1.7</v>
      </c>
      <c r="M15" s="29">
        <v>3.4</v>
      </c>
      <c r="N15" s="30">
        <v>0.4</v>
      </c>
      <c r="O15" s="31"/>
      <c r="P15" s="31"/>
      <c r="Q15" s="31"/>
      <c r="R15" s="31"/>
      <c r="S15" s="31"/>
      <c r="T15" s="31"/>
      <c r="U15" s="31"/>
      <c r="V15" s="31"/>
      <c r="W15" s="31"/>
      <c r="X15" s="31"/>
      <c r="Y15" s="31"/>
      <c r="Z15" s="31"/>
      <c r="AA15" s="31"/>
    </row>
    <row r="16" ht="14.25" customHeight="1">
      <c r="A16" s="45" t="s">
        <v>17</v>
      </c>
      <c r="B16" s="56" t="s">
        <v>16</v>
      </c>
      <c r="C16" s="57"/>
      <c r="D16" s="58"/>
      <c r="E16" s="58"/>
      <c r="F16" s="59">
        <v>0.11224999999999952</v>
      </c>
      <c r="G16" s="59">
        <v>0.01817800000000247</v>
      </c>
      <c r="H16" s="59">
        <f>5.11+5.24</f>
        <v>10.35</v>
      </c>
      <c r="I16" s="59">
        <f>11.53</f>
        <v>11.53</v>
      </c>
      <c r="J16" s="60">
        <f>13.06</f>
        <v>13.06</v>
      </c>
      <c r="K16" s="31"/>
      <c r="L16" s="59">
        <f>5.1+6.2</f>
        <v>11.3</v>
      </c>
      <c r="M16" s="59">
        <v>13.6</v>
      </c>
      <c r="N16" s="60">
        <v>15.1</v>
      </c>
      <c r="O16" s="31"/>
      <c r="P16" s="31"/>
      <c r="Q16" s="31"/>
      <c r="R16" s="31"/>
      <c r="S16" s="31"/>
      <c r="T16" s="31"/>
      <c r="U16" s="31"/>
      <c r="V16" s="31"/>
      <c r="W16" s="31"/>
      <c r="X16" s="31"/>
      <c r="Y16" s="31"/>
      <c r="Z16" s="31"/>
      <c r="AA16" s="31"/>
    </row>
    <row r="17" ht="14.25" customHeight="1">
      <c r="A17" s="61"/>
      <c r="B17" s="62" t="s">
        <v>18</v>
      </c>
      <c r="C17" s="63"/>
      <c r="D17" s="64"/>
      <c r="E17" s="64"/>
      <c r="F17" s="51">
        <f t="shared" ref="F17:J17" si="10">SUM(F14:F16)</f>
        <v>15.147811</v>
      </c>
      <c r="G17" s="30">
        <f t="shared" si="10"/>
        <v>14.625247</v>
      </c>
      <c r="H17" s="30">
        <f t="shared" si="10"/>
        <v>19.78</v>
      </c>
      <c r="I17" s="30">
        <f t="shared" si="10"/>
        <v>24.77</v>
      </c>
      <c r="J17" s="30">
        <f t="shared" si="10"/>
        <v>28.26</v>
      </c>
      <c r="K17" s="31"/>
      <c r="L17" s="30">
        <f t="shared" ref="L17:N17" si="11">SUM(L14:L16)</f>
        <v>22.9</v>
      </c>
      <c r="M17" s="30">
        <f t="shared" si="11"/>
        <v>31.3</v>
      </c>
      <c r="N17" s="30">
        <f t="shared" si="11"/>
        <v>31.9</v>
      </c>
      <c r="O17" s="31"/>
      <c r="P17" s="31"/>
      <c r="Q17" s="31"/>
      <c r="R17" s="31"/>
      <c r="S17" s="31"/>
      <c r="T17" s="31"/>
      <c r="U17" s="31"/>
      <c r="V17" s="31"/>
      <c r="W17" s="31"/>
      <c r="X17" s="31"/>
      <c r="Y17" s="31"/>
      <c r="Z17" s="31"/>
      <c r="AA17" s="31"/>
    </row>
    <row r="18" ht="14.25" customHeight="1">
      <c r="A18" s="61"/>
      <c r="B18" s="65" t="s">
        <v>19</v>
      </c>
      <c r="C18" s="63"/>
      <c r="D18" s="64"/>
      <c r="E18" s="64"/>
      <c r="F18" s="34">
        <f t="shared" ref="F18:J18" si="12">F17/F4</f>
        <v>0.6083458233</v>
      </c>
      <c r="G18" s="35">
        <f t="shared" si="12"/>
        <v>0.5396770111</v>
      </c>
      <c r="H18" s="35">
        <f t="shared" si="12"/>
        <v>0.6220125786</v>
      </c>
      <c r="I18" s="35">
        <f t="shared" si="12"/>
        <v>0.5480088496</v>
      </c>
      <c r="J18" s="35">
        <f t="shared" si="12"/>
        <v>0.4702163062</v>
      </c>
      <c r="K18" s="31"/>
      <c r="L18" s="35">
        <f t="shared" ref="L18:N18" si="13">L17/L4</f>
        <v>0.6775147929</v>
      </c>
      <c r="M18" s="35">
        <f t="shared" si="13"/>
        <v>0.5240247782</v>
      </c>
      <c r="N18" s="35">
        <f t="shared" si="13"/>
        <v>0.3962732919</v>
      </c>
      <c r="O18" s="31"/>
      <c r="P18" s="31"/>
      <c r="Q18" s="31"/>
      <c r="R18" s="31"/>
      <c r="S18" s="31"/>
      <c r="T18" s="31"/>
      <c r="U18" s="31"/>
      <c r="V18" s="31"/>
      <c r="W18" s="31"/>
      <c r="X18" s="31"/>
      <c r="Y18" s="31"/>
      <c r="Z18" s="31"/>
      <c r="AA18" s="31"/>
    </row>
    <row r="19" ht="14.25" customHeight="1">
      <c r="A19" s="45"/>
      <c r="B19" s="65"/>
      <c r="C19" s="47"/>
      <c r="D19" s="66"/>
      <c r="E19" s="66"/>
      <c r="F19" s="34"/>
      <c r="G19" s="35"/>
      <c r="H19" s="35"/>
      <c r="I19" s="35"/>
      <c r="J19" s="35"/>
      <c r="K19" s="31"/>
      <c r="L19" s="35"/>
      <c r="M19" s="35"/>
      <c r="N19" s="35"/>
      <c r="O19" s="31"/>
      <c r="P19" s="31"/>
      <c r="Q19" s="31"/>
      <c r="R19" s="31"/>
      <c r="S19" s="31"/>
      <c r="T19" s="31"/>
      <c r="U19" s="31"/>
      <c r="V19" s="31"/>
      <c r="W19" s="31"/>
      <c r="X19" s="31"/>
      <c r="Y19" s="31"/>
      <c r="Z19" s="31"/>
      <c r="AA19" s="31"/>
    </row>
    <row r="20" ht="14.25" customHeight="1">
      <c r="A20" s="45"/>
      <c r="B20" s="53" t="s">
        <v>20</v>
      </c>
      <c r="C20" s="47"/>
      <c r="D20" s="66"/>
      <c r="E20" s="66"/>
      <c r="F20" s="35"/>
      <c r="G20" s="35"/>
      <c r="H20" s="35"/>
      <c r="I20" s="35"/>
      <c r="J20" s="35"/>
      <c r="K20" s="31"/>
      <c r="L20" s="35"/>
      <c r="M20" s="35"/>
      <c r="N20" s="35"/>
      <c r="O20" s="31"/>
      <c r="P20" s="31"/>
      <c r="Q20" s="31"/>
      <c r="R20" s="31"/>
      <c r="S20" s="31"/>
      <c r="T20" s="31"/>
      <c r="U20" s="31"/>
      <c r="V20" s="31"/>
      <c r="W20" s="31"/>
      <c r="X20" s="31"/>
      <c r="Y20" s="31"/>
      <c r="Z20" s="31"/>
      <c r="AA20" s="31"/>
    </row>
    <row r="21" ht="14.25" customHeight="1">
      <c r="A21" s="67"/>
      <c r="B21" s="43" t="s">
        <v>15</v>
      </c>
      <c r="C21" s="33">
        <v>0.0</v>
      </c>
      <c r="D21" s="33">
        <v>0.0</v>
      </c>
      <c r="E21" s="68"/>
      <c r="F21" s="35">
        <f t="shared" ref="F21:I21" si="14">F14/F$4</f>
        <v>0.3103215663</v>
      </c>
      <c r="G21" s="35">
        <f t="shared" si="14"/>
        <v>0.280982583</v>
      </c>
      <c r="H21" s="35">
        <f t="shared" si="14"/>
        <v>0.2889937107</v>
      </c>
      <c r="I21" s="35">
        <f t="shared" si="14"/>
        <v>0.2876106195</v>
      </c>
      <c r="J21" s="35">
        <f t="shared" ref="J21:J23" si="17">I21+$C21</f>
        <v>0.2876106195</v>
      </c>
      <c r="K21" s="31"/>
      <c r="L21" s="35">
        <f t="shared" ref="L21:M21" si="15">L14/L$4</f>
        <v>0.2928994083</v>
      </c>
      <c r="M21" s="35">
        <f t="shared" si="15"/>
        <v>0.2394106814</v>
      </c>
      <c r="N21" s="35">
        <f t="shared" ref="N21:N23" si="19">M21+$C21</f>
        <v>0.2394106814</v>
      </c>
      <c r="O21" s="31"/>
      <c r="P21" s="31"/>
      <c r="Q21" s="31"/>
      <c r="R21" s="31"/>
      <c r="S21" s="31"/>
      <c r="T21" s="31"/>
      <c r="U21" s="31"/>
      <c r="V21" s="31"/>
      <c r="W21" s="31"/>
      <c r="X21" s="31"/>
      <c r="Y21" s="31"/>
      <c r="Z21" s="31"/>
      <c r="AA21" s="31"/>
    </row>
    <row r="22" ht="14.25" customHeight="1">
      <c r="A22" s="67"/>
      <c r="B22" s="43" t="s">
        <v>17</v>
      </c>
      <c r="C22" s="33">
        <v>0.0</v>
      </c>
      <c r="D22" s="33">
        <v>0.0</v>
      </c>
      <c r="E22" s="68"/>
      <c r="F22" s="35">
        <f t="shared" ref="F22:I22" si="16">F15/F$4</f>
        <v>0.2935162249</v>
      </c>
      <c r="G22" s="35">
        <f t="shared" si="16"/>
        <v>0.2580236531</v>
      </c>
      <c r="H22" s="35">
        <f t="shared" si="16"/>
        <v>0.007547169811</v>
      </c>
      <c r="I22" s="35">
        <f t="shared" si="16"/>
        <v>0.005309734513</v>
      </c>
      <c r="J22" s="35">
        <f t="shared" si="17"/>
        <v>0.005309734513</v>
      </c>
      <c r="K22" s="31"/>
      <c r="L22" s="35">
        <f t="shared" ref="L22:M22" si="18">L15/L$4</f>
        <v>0.05029585799</v>
      </c>
      <c r="M22" s="35">
        <f t="shared" si="18"/>
        <v>0.05692281935</v>
      </c>
      <c r="N22" s="35">
        <f t="shared" si="19"/>
        <v>0.05692281935</v>
      </c>
      <c r="O22" s="31"/>
      <c r="P22" s="31"/>
      <c r="Q22" s="31"/>
      <c r="R22" s="31"/>
      <c r="S22" s="31"/>
      <c r="T22" s="31"/>
      <c r="U22" s="31"/>
      <c r="V22" s="31"/>
      <c r="W22" s="31"/>
      <c r="X22" s="31"/>
      <c r="Y22" s="31"/>
      <c r="Z22" s="31"/>
      <c r="AA22" s="31"/>
    </row>
    <row r="23" ht="14.25" customHeight="1">
      <c r="A23" s="67"/>
      <c r="B23" s="43" t="s">
        <v>16</v>
      </c>
      <c r="C23" s="33">
        <v>0.0</v>
      </c>
      <c r="D23" s="33">
        <v>0.0</v>
      </c>
      <c r="E23" s="69"/>
      <c r="F23" s="70">
        <f t="shared" ref="F23:I23" si="20">F16/F$4</f>
        <v>0.004508032129</v>
      </c>
      <c r="G23" s="70">
        <f t="shared" si="20"/>
        <v>0.0006707749077</v>
      </c>
      <c r="H23" s="70">
        <f t="shared" si="20"/>
        <v>0.3254716981</v>
      </c>
      <c r="I23" s="70">
        <f t="shared" si="20"/>
        <v>0.2550884956</v>
      </c>
      <c r="J23" s="70">
        <f t="shared" si="17"/>
        <v>0.2550884956</v>
      </c>
      <c r="K23" s="31"/>
      <c r="L23" s="70">
        <f t="shared" ref="L23:M23" si="21">L16/L$4</f>
        <v>0.3343195266</v>
      </c>
      <c r="M23" s="70">
        <f t="shared" si="21"/>
        <v>0.2276912774</v>
      </c>
      <c r="N23" s="70">
        <f t="shared" si="19"/>
        <v>0.2276912774</v>
      </c>
      <c r="O23" s="31"/>
      <c r="P23" s="31"/>
      <c r="Q23" s="31"/>
      <c r="R23" s="31"/>
      <c r="S23" s="31"/>
      <c r="T23" s="31"/>
      <c r="U23" s="31"/>
      <c r="V23" s="31"/>
      <c r="W23" s="31"/>
      <c r="X23" s="31"/>
      <c r="Y23" s="31"/>
      <c r="Z23" s="31"/>
      <c r="AA23" s="31"/>
    </row>
    <row r="24" ht="14.25" customHeight="1">
      <c r="A24" s="45"/>
      <c r="B24" s="65" t="s">
        <v>21</v>
      </c>
      <c r="C24" s="71"/>
      <c r="D24" s="72"/>
      <c r="E24" s="72"/>
      <c r="F24" s="34">
        <f t="shared" ref="F24:J24" si="22">SUM(F21:F23)</f>
        <v>0.6083458233</v>
      </c>
      <c r="G24" s="35">
        <f t="shared" si="22"/>
        <v>0.5396770111</v>
      </c>
      <c r="H24" s="35">
        <f t="shared" si="22"/>
        <v>0.6220125786</v>
      </c>
      <c r="I24" s="35">
        <f t="shared" si="22"/>
        <v>0.5480088496</v>
      </c>
      <c r="J24" s="35">
        <f t="shared" si="22"/>
        <v>0.5480088496</v>
      </c>
      <c r="K24" s="31"/>
      <c r="L24" s="35">
        <f t="shared" ref="L24:N24" si="23">SUM(L21:L23)</f>
        <v>0.6775147929</v>
      </c>
      <c r="M24" s="35">
        <f t="shared" si="23"/>
        <v>0.5240247782</v>
      </c>
      <c r="N24" s="35">
        <f t="shared" si="23"/>
        <v>0.5240247782</v>
      </c>
      <c r="O24" s="31"/>
      <c r="P24" s="31"/>
      <c r="Q24" s="31"/>
      <c r="R24" s="31"/>
      <c r="S24" s="31"/>
      <c r="T24" s="31"/>
      <c r="U24" s="31"/>
      <c r="V24" s="31"/>
      <c r="W24" s="31"/>
      <c r="X24" s="31"/>
      <c r="Y24" s="31"/>
      <c r="Z24" s="31"/>
      <c r="AA24" s="31"/>
    </row>
    <row r="25" ht="14.25" customHeight="1">
      <c r="A25" s="45"/>
      <c r="B25" s="73"/>
      <c r="C25" s="71"/>
      <c r="D25" s="72"/>
      <c r="E25" s="72"/>
      <c r="F25" s="74"/>
      <c r="G25" s="60"/>
      <c r="H25" s="60"/>
      <c r="I25" s="60"/>
      <c r="J25" s="60"/>
      <c r="K25" s="31"/>
      <c r="L25" s="60"/>
      <c r="M25" s="60"/>
      <c r="N25" s="60"/>
      <c r="O25" s="31"/>
      <c r="P25" s="31"/>
      <c r="Q25" s="31"/>
      <c r="R25" s="31"/>
      <c r="S25" s="31"/>
      <c r="T25" s="31"/>
      <c r="U25" s="31"/>
      <c r="V25" s="31"/>
      <c r="W25" s="31"/>
      <c r="X25" s="31"/>
      <c r="Y25" s="31"/>
      <c r="Z25" s="31"/>
      <c r="AA25" s="31"/>
    </row>
    <row r="26" ht="14.25" customHeight="1">
      <c r="A26" s="45"/>
      <c r="B26" s="62" t="s">
        <v>22</v>
      </c>
      <c r="C26" s="75"/>
      <c r="D26" s="72"/>
      <c r="E26" s="72"/>
      <c r="F26" s="51">
        <f t="shared" ref="F26:J26" si="24">F10-F17</f>
        <v>0.30867991</v>
      </c>
      <c r="G26" s="30">
        <f t="shared" si="24"/>
        <v>1.532172</v>
      </c>
      <c r="H26" s="30">
        <f t="shared" si="24"/>
        <v>-0.8</v>
      </c>
      <c r="I26" s="30">
        <f t="shared" si="24"/>
        <v>4</v>
      </c>
      <c r="J26" s="30">
        <f t="shared" si="24"/>
        <v>8.72</v>
      </c>
      <c r="K26" s="31"/>
      <c r="L26" s="30">
        <f t="shared" ref="L26:N26" si="25">L10-L17</f>
        <v>-2.7</v>
      </c>
      <c r="M26" s="30">
        <f t="shared" si="25"/>
        <v>6.37</v>
      </c>
      <c r="N26" s="30">
        <f t="shared" si="25"/>
        <v>17.5</v>
      </c>
      <c r="O26" s="31"/>
      <c r="P26" s="31"/>
      <c r="Q26" s="31"/>
      <c r="R26" s="31"/>
      <c r="S26" s="31"/>
      <c r="T26" s="31"/>
      <c r="U26" s="31"/>
      <c r="V26" s="31"/>
      <c r="W26" s="31"/>
      <c r="X26" s="31"/>
      <c r="Y26" s="31"/>
      <c r="Z26" s="31"/>
      <c r="AA26" s="31"/>
    </row>
    <row r="27" ht="14.25" customHeight="1">
      <c r="A27" s="45"/>
      <c r="B27" s="65" t="s">
        <v>12</v>
      </c>
      <c r="C27" s="47"/>
      <c r="D27" s="25"/>
      <c r="E27" s="25"/>
      <c r="F27" s="34">
        <f t="shared" ref="F27:J27" si="26">F26/F4</f>
        <v>0.01239678353</v>
      </c>
      <c r="G27" s="35">
        <f t="shared" si="26"/>
        <v>0.05653771218</v>
      </c>
      <c r="H27" s="35">
        <f t="shared" si="26"/>
        <v>-0.0251572327</v>
      </c>
      <c r="I27" s="35">
        <f t="shared" si="26"/>
        <v>0.08849557522</v>
      </c>
      <c r="J27" s="35">
        <f t="shared" si="26"/>
        <v>0.1450915141</v>
      </c>
      <c r="K27" s="31"/>
      <c r="L27" s="35">
        <f t="shared" ref="L27:N27" si="27">L26/L4</f>
        <v>-0.0798816568</v>
      </c>
      <c r="M27" s="35">
        <f t="shared" si="27"/>
        <v>0.1066465763</v>
      </c>
      <c r="N27" s="35">
        <f t="shared" si="27"/>
        <v>0.2173913043</v>
      </c>
      <c r="O27" s="31"/>
      <c r="P27" s="31"/>
      <c r="Q27" s="31"/>
      <c r="R27" s="31"/>
      <c r="S27" s="31"/>
      <c r="T27" s="31"/>
      <c r="U27" s="31"/>
      <c r="V27" s="31"/>
      <c r="W27" s="31"/>
      <c r="X27" s="31"/>
      <c r="Y27" s="31"/>
      <c r="Z27" s="31"/>
      <c r="AA27" s="31"/>
    </row>
    <row r="28" ht="14.25" customHeight="1">
      <c r="A28" s="45"/>
      <c r="B28" s="62"/>
      <c r="C28" s="47"/>
      <c r="D28" s="32"/>
      <c r="E28" s="32"/>
      <c r="F28" s="76"/>
      <c r="G28" s="77"/>
      <c r="H28" s="77"/>
      <c r="I28" s="77"/>
      <c r="J28" s="77"/>
      <c r="K28" s="31"/>
      <c r="L28" s="77"/>
      <c r="M28" s="77"/>
      <c r="N28" s="77"/>
      <c r="O28" s="31"/>
      <c r="P28" s="31"/>
      <c r="Q28" s="31"/>
      <c r="R28" s="31"/>
      <c r="S28" s="31"/>
      <c r="T28" s="31"/>
      <c r="U28" s="31"/>
      <c r="V28" s="31"/>
      <c r="W28" s="31"/>
      <c r="X28" s="31"/>
      <c r="Y28" s="31"/>
      <c r="Z28" s="31"/>
      <c r="AA28" s="31"/>
    </row>
    <row r="29" ht="14.25" customHeight="1">
      <c r="A29" s="78"/>
      <c r="B29" s="54" t="s">
        <v>23</v>
      </c>
      <c r="C29" s="47"/>
      <c r="D29" s="40"/>
      <c r="E29" s="40"/>
      <c r="F29" s="30">
        <v>0.9948363899999998</v>
      </c>
      <c r="G29" s="30">
        <v>2.2</v>
      </c>
      <c r="H29" s="30">
        <f>H35</f>
        <v>1.28</v>
      </c>
      <c r="I29" s="30">
        <v>1.3</v>
      </c>
      <c r="J29" s="30">
        <v>2.8</v>
      </c>
      <c r="K29" s="31"/>
      <c r="L29" s="30">
        <f>0.3+0.4+0.32+0.32</f>
        <v>1.34</v>
      </c>
      <c r="M29" s="30">
        <f>2.1+0.32</f>
        <v>2.42</v>
      </c>
      <c r="N29" s="30">
        <f>3.9+0.32</f>
        <v>4.22</v>
      </c>
      <c r="O29" s="31"/>
      <c r="P29" s="31"/>
      <c r="Q29" s="31"/>
      <c r="R29" s="31"/>
      <c r="S29" s="31"/>
      <c r="T29" s="31"/>
      <c r="U29" s="31"/>
      <c r="V29" s="31"/>
      <c r="W29" s="31"/>
      <c r="X29" s="31"/>
      <c r="Y29" s="31"/>
      <c r="Z29" s="31"/>
      <c r="AA29" s="31"/>
    </row>
    <row r="30" ht="14.25" customHeight="1">
      <c r="A30" s="78"/>
      <c r="B30" s="43" t="s">
        <v>10</v>
      </c>
      <c r="C30" s="33">
        <v>0.05</v>
      </c>
      <c r="D30" s="33">
        <f>C30</f>
        <v>0.05</v>
      </c>
      <c r="E30" s="79"/>
      <c r="F30" s="35">
        <f t="shared" ref="F30:J30" si="28">F29/F4</f>
        <v>0.03995326867</v>
      </c>
      <c r="G30" s="35">
        <f t="shared" si="28"/>
        <v>0.08118081181</v>
      </c>
      <c r="H30" s="35">
        <f t="shared" si="28"/>
        <v>0.04025157233</v>
      </c>
      <c r="I30" s="35">
        <f t="shared" si="28"/>
        <v>0.02876106195</v>
      </c>
      <c r="J30" s="35">
        <f t="shared" si="28"/>
        <v>0.0465890183</v>
      </c>
      <c r="K30" s="31"/>
      <c r="L30" s="35">
        <f t="shared" ref="L30:N30" si="29">L29/L4</f>
        <v>0.03964497041</v>
      </c>
      <c r="M30" s="35">
        <f t="shared" si="29"/>
        <v>0.04051565378</v>
      </c>
      <c r="N30" s="35">
        <f t="shared" si="29"/>
        <v>0.05242236025</v>
      </c>
      <c r="O30" s="31"/>
      <c r="P30" s="31"/>
      <c r="Q30" s="31"/>
      <c r="R30" s="31"/>
      <c r="S30" s="31"/>
      <c r="T30" s="31"/>
      <c r="U30" s="31"/>
      <c r="V30" s="31"/>
      <c r="W30" s="31"/>
      <c r="X30" s="31"/>
      <c r="Y30" s="31"/>
      <c r="Z30" s="31"/>
      <c r="AA30" s="31"/>
    </row>
    <row r="31" ht="14.25" customHeight="1">
      <c r="A31" s="80"/>
      <c r="B31" s="43"/>
      <c r="C31" s="47"/>
      <c r="D31" s="79"/>
      <c r="E31" s="79"/>
      <c r="F31" s="35"/>
      <c r="G31" s="35"/>
      <c r="H31" s="35"/>
      <c r="I31" s="35"/>
      <c r="J31" s="35"/>
      <c r="K31" s="31"/>
      <c r="L31" s="35"/>
      <c r="M31" s="35"/>
      <c r="N31" s="35"/>
      <c r="O31" s="31"/>
      <c r="P31" s="31"/>
      <c r="Q31" s="31"/>
      <c r="R31" s="31"/>
      <c r="S31" s="31"/>
      <c r="T31" s="31"/>
      <c r="U31" s="31"/>
      <c r="V31" s="31"/>
      <c r="W31" s="31"/>
      <c r="X31" s="31"/>
      <c r="Y31" s="31"/>
      <c r="Z31" s="31"/>
      <c r="AA31" s="31"/>
    </row>
    <row r="32" ht="14.25" customHeight="1">
      <c r="A32" s="45"/>
      <c r="B32" s="62" t="s">
        <v>24</v>
      </c>
      <c r="C32" s="75"/>
      <c r="D32" s="79"/>
      <c r="E32" s="79"/>
      <c r="F32" s="51">
        <f t="shared" ref="F32:J32" si="30">F26+F29</f>
        <v>1.3035163</v>
      </c>
      <c r="G32" s="30">
        <f t="shared" si="30"/>
        <v>3.732172</v>
      </c>
      <c r="H32" s="30">
        <f t="shared" si="30"/>
        <v>0.48</v>
      </c>
      <c r="I32" s="30">
        <f t="shared" si="30"/>
        <v>5.3</v>
      </c>
      <c r="J32" s="30">
        <f t="shared" si="30"/>
        <v>11.52</v>
      </c>
      <c r="K32" s="31"/>
      <c r="L32" s="30">
        <f t="shared" ref="L32:N32" si="31">L26+L29</f>
        <v>-1.36</v>
      </c>
      <c r="M32" s="30">
        <f t="shared" si="31"/>
        <v>8.79</v>
      </c>
      <c r="N32" s="30">
        <f t="shared" si="31"/>
        <v>21.72</v>
      </c>
      <c r="O32" s="31"/>
      <c r="P32" s="31"/>
      <c r="Q32" s="31"/>
      <c r="R32" s="31"/>
      <c r="S32" s="31"/>
      <c r="T32" s="31"/>
      <c r="U32" s="31"/>
      <c r="V32" s="31"/>
      <c r="W32" s="31"/>
      <c r="X32" s="31"/>
      <c r="Y32" s="31"/>
      <c r="Z32" s="31"/>
      <c r="AA32" s="31"/>
    </row>
    <row r="33" ht="14.25" customHeight="1">
      <c r="A33" s="45"/>
      <c r="B33" s="65" t="s">
        <v>12</v>
      </c>
      <c r="C33" s="75"/>
      <c r="D33" s="79"/>
      <c r="E33" s="79"/>
      <c r="F33" s="34">
        <f t="shared" ref="F33:J33" si="32">F32/F4</f>
        <v>0.05235005221</v>
      </c>
      <c r="G33" s="35">
        <f t="shared" si="32"/>
        <v>0.137718524</v>
      </c>
      <c r="H33" s="35">
        <f t="shared" si="32"/>
        <v>0.01509433962</v>
      </c>
      <c r="I33" s="35">
        <f t="shared" si="32"/>
        <v>0.1172566372</v>
      </c>
      <c r="J33" s="35">
        <f t="shared" si="32"/>
        <v>0.1916805324</v>
      </c>
      <c r="K33" s="31"/>
      <c r="L33" s="35">
        <f t="shared" ref="L33:N33" si="33">L32/L4</f>
        <v>-0.04023668639</v>
      </c>
      <c r="M33" s="35">
        <f t="shared" si="33"/>
        <v>0.14716223</v>
      </c>
      <c r="N33" s="35">
        <f t="shared" si="33"/>
        <v>0.2698136646</v>
      </c>
      <c r="O33" s="31"/>
      <c r="P33" s="31"/>
      <c r="Q33" s="31"/>
      <c r="R33" s="31"/>
      <c r="S33" s="31"/>
      <c r="T33" s="31"/>
      <c r="U33" s="31"/>
      <c r="V33" s="31"/>
      <c r="W33" s="31"/>
      <c r="X33" s="31"/>
      <c r="Y33" s="31"/>
      <c r="Z33" s="31"/>
      <c r="AA33" s="31"/>
    </row>
    <row r="34" ht="14.25" customHeight="1">
      <c r="A34" s="45"/>
      <c r="B34" s="62"/>
      <c r="C34" s="75"/>
      <c r="D34" s="79"/>
      <c r="E34" s="79"/>
      <c r="F34" s="81"/>
      <c r="G34" s="82"/>
      <c r="H34" s="82"/>
      <c r="I34" s="30"/>
      <c r="J34" s="30"/>
      <c r="K34" s="31"/>
      <c r="L34" s="82"/>
      <c r="M34" s="30"/>
      <c r="N34" s="30"/>
      <c r="O34" s="31"/>
      <c r="P34" s="31"/>
      <c r="Q34" s="31"/>
      <c r="R34" s="31"/>
      <c r="S34" s="31"/>
      <c r="T34" s="31"/>
      <c r="U34" s="31"/>
      <c r="V34" s="31"/>
      <c r="W34" s="31"/>
      <c r="X34" s="31"/>
      <c r="Y34" s="31"/>
      <c r="Z34" s="31"/>
      <c r="AA34" s="31"/>
    </row>
    <row r="35" ht="14.25" customHeight="1">
      <c r="A35" s="78"/>
      <c r="B35" s="62" t="s">
        <v>25</v>
      </c>
      <c r="C35" s="75"/>
      <c r="D35" s="79"/>
      <c r="E35" s="79"/>
      <c r="F35" s="29">
        <v>0.0</v>
      </c>
      <c r="G35" s="29">
        <v>1.0</v>
      </c>
      <c r="H35" s="29">
        <f>(0.32*2)+(0.32*2)</f>
        <v>1.28</v>
      </c>
      <c r="I35" s="29">
        <f t="shared" ref="I35:J35" si="34">I29</f>
        <v>1.3</v>
      </c>
      <c r="J35" s="30">
        <f t="shared" si="34"/>
        <v>2.8</v>
      </c>
      <c r="K35" s="31"/>
      <c r="L35" s="29">
        <f t="shared" ref="L35:N35" si="35">L29</f>
        <v>1.34</v>
      </c>
      <c r="M35" s="29">
        <f t="shared" si="35"/>
        <v>2.42</v>
      </c>
      <c r="N35" s="30">
        <f t="shared" si="35"/>
        <v>4.22</v>
      </c>
      <c r="O35" s="31"/>
      <c r="P35" s="31"/>
      <c r="Q35" s="31"/>
      <c r="R35" s="31"/>
      <c r="S35" s="31"/>
      <c r="T35" s="31"/>
      <c r="U35" s="31"/>
      <c r="V35" s="31"/>
      <c r="W35" s="31"/>
      <c r="X35" s="31"/>
      <c r="Y35" s="31"/>
      <c r="Z35" s="31"/>
      <c r="AA35" s="31"/>
    </row>
    <row r="36" ht="14.25" customHeight="1">
      <c r="A36" s="78"/>
      <c r="B36" s="65" t="s">
        <v>10</v>
      </c>
      <c r="C36" s="83">
        <f t="shared" ref="C36:D36" si="36">C30</f>
        <v>0.05</v>
      </c>
      <c r="D36" s="83">
        <f t="shared" si="36"/>
        <v>0.05</v>
      </c>
      <c r="E36" s="79"/>
      <c r="F36" s="35">
        <f t="shared" ref="F36:J36" si="37">F35/F4</f>
        <v>0</v>
      </c>
      <c r="G36" s="35">
        <f t="shared" si="37"/>
        <v>0.036900369</v>
      </c>
      <c r="H36" s="35">
        <f t="shared" si="37"/>
        <v>0.04025157233</v>
      </c>
      <c r="I36" s="35">
        <f t="shared" si="37"/>
        <v>0.02876106195</v>
      </c>
      <c r="J36" s="35">
        <f t="shared" si="37"/>
        <v>0.0465890183</v>
      </c>
      <c r="K36" s="31"/>
      <c r="L36" s="35">
        <f t="shared" ref="L36:N36" si="38">L35/L4</f>
        <v>0.03964497041</v>
      </c>
      <c r="M36" s="35">
        <f t="shared" si="38"/>
        <v>0.04051565378</v>
      </c>
      <c r="N36" s="35">
        <f t="shared" si="38"/>
        <v>0.05242236025</v>
      </c>
      <c r="O36" s="31"/>
      <c r="P36" s="31"/>
      <c r="Q36" s="31"/>
      <c r="R36" s="31"/>
      <c r="S36" s="31"/>
      <c r="T36" s="31"/>
      <c r="U36" s="31"/>
      <c r="V36" s="31"/>
      <c r="W36" s="31"/>
      <c r="X36" s="31"/>
      <c r="Y36" s="31"/>
      <c r="Z36" s="31"/>
      <c r="AA36" s="31"/>
    </row>
    <row r="37" ht="14.25" customHeight="1">
      <c r="A37" s="45"/>
      <c r="B37" s="62"/>
      <c r="C37" s="75"/>
      <c r="D37" s="79"/>
      <c r="E37" s="79"/>
      <c r="F37" s="81"/>
      <c r="G37" s="82"/>
      <c r="H37" s="82"/>
      <c r="I37" s="30"/>
      <c r="J37" s="30"/>
      <c r="K37" s="31"/>
      <c r="L37" s="82"/>
      <c r="M37" s="30"/>
      <c r="N37" s="30"/>
      <c r="O37" s="31"/>
      <c r="P37" s="31"/>
      <c r="Q37" s="31"/>
      <c r="R37" s="31"/>
      <c r="S37" s="31"/>
      <c r="T37" s="31"/>
      <c r="U37" s="31"/>
      <c r="V37" s="31"/>
      <c r="W37" s="31"/>
      <c r="X37" s="31"/>
      <c r="Y37" s="31"/>
      <c r="Z37" s="31"/>
      <c r="AA37" s="31"/>
    </row>
    <row r="38" ht="14.25" customHeight="1">
      <c r="A38" s="45"/>
      <c r="B38" s="62" t="s">
        <v>26</v>
      </c>
      <c r="C38" s="84">
        <v>0.15</v>
      </c>
      <c r="D38" s="85">
        <v>0.15</v>
      </c>
      <c r="E38" s="41"/>
      <c r="F38" s="86"/>
      <c r="G38" s="87">
        <v>1.452</v>
      </c>
      <c r="H38" s="30">
        <v>1.981</v>
      </c>
      <c r="I38" s="30">
        <v>2.156</v>
      </c>
      <c r="J38" s="30">
        <v>2.879</v>
      </c>
      <c r="K38" s="31"/>
      <c r="L38" s="30">
        <v>2.359</v>
      </c>
      <c r="M38" s="30">
        <v>2.831</v>
      </c>
      <c r="N38" s="30">
        <v>3.927</v>
      </c>
      <c r="O38" s="31"/>
      <c r="P38" s="31"/>
      <c r="Q38" s="31"/>
      <c r="R38" s="31"/>
      <c r="S38" s="31"/>
      <c r="T38" s="31"/>
      <c r="U38" s="31"/>
      <c r="V38" s="31"/>
      <c r="W38" s="31"/>
      <c r="X38" s="31"/>
      <c r="Y38" s="31"/>
      <c r="Z38" s="31"/>
      <c r="AA38" s="31"/>
    </row>
    <row r="39" ht="14.25" customHeight="1">
      <c r="A39" s="88"/>
      <c r="B39" s="43" t="s">
        <v>27</v>
      </c>
      <c r="C39" s="89"/>
      <c r="D39" s="89"/>
      <c r="E39" s="89"/>
      <c r="F39" s="90"/>
      <c r="G39" s="91"/>
      <c r="H39" s="92">
        <f t="shared" ref="H39:J39" si="39">H38-G38</f>
        <v>0.529</v>
      </c>
      <c r="I39" s="92">
        <f t="shared" si="39"/>
        <v>0.175</v>
      </c>
      <c r="J39" s="92">
        <f t="shared" si="39"/>
        <v>0.723</v>
      </c>
      <c r="K39" s="31"/>
      <c r="L39" s="92"/>
      <c r="M39" s="92">
        <f t="shared" ref="M39:N39" si="40">M38-L38</f>
        <v>0.472</v>
      </c>
      <c r="N39" s="92">
        <f t="shared" si="40"/>
        <v>1.096</v>
      </c>
      <c r="O39" s="31"/>
      <c r="P39" s="31"/>
      <c r="Q39" s="31"/>
      <c r="R39" s="31"/>
      <c r="S39" s="31"/>
      <c r="T39" s="31"/>
      <c r="U39" s="31"/>
      <c r="V39" s="31"/>
      <c r="W39" s="31"/>
      <c r="X39" s="31"/>
      <c r="Y39" s="31"/>
      <c r="Z39" s="31"/>
      <c r="AA39" s="31"/>
    </row>
    <row r="40" ht="14.25" customHeight="1">
      <c r="A40" s="93"/>
      <c r="B40" s="65" t="s">
        <v>28</v>
      </c>
      <c r="C40" s="94"/>
      <c r="D40" s="94"/>
      <c r="E40" s="94"/>
      <c r="F40" s="94"/>
      <c r="G40" s="95">
        <f t="shared" ref="G40:J40" si="41">G38/G4</f>
        <v>0.05357933579</v>
      </c>
      <c r="H40" s="95">
        <f t="shared" si="41"/>
        <v>0.06229559748</v>
      </c>
      <c r="I40" s="95">
        <f t="shared" si="41"/>
        <v>0.04769911504</v>
      </c>
      <c r="J40" s="95">
        <f t="shared" si="41"/>
        <v>0.04790349418</v>
      </c>
      <c r="K40" s="95"/>
      <c r="L40" s="95">
        <f t="shared" ref="L40:N40" si="42">L38/L4</f>
        <v>0.06979289941</v>
      </c>
      <c r="M40" s="95">
        <f t="shared" si="42"/>
        <v>0.04739661811</v>
      </c>
      <c r="N40" s="95">
        <f t="shared" si="42"/>
        <v>0.0487826087</v>
      </c>
      <c r="O40" s="96"/>
      <c r="P40" s="94"/>
      <c r="Q40" s="94"/>
      <c r="R40" s="94"/>
      <c r="S40" s="94"/>
      <c r="T40" s="94"/>
      <c r="U40" s="94"/>
      <c r="V40" s="94"/>
      <c r="W40" s="94"/>
      <c r="X40" s="94"/>
      <c r="Y40" s="94"/>
      <c r="Z40" s="94"/>
      <c r="AA40" s="31"/>
    </row>
    <row r="41" ht="14.25" customHeight="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ht="14.25" customHeight="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ht="14.25" customHeight="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ht="14.25" customHeight="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ht="14.25" customHeight="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ht="14.25" customHeight="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ht="14.25" customHeight="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ht="14.25" customHeight="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ht="14.25" customHeight="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ht="14.25" customHeight="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ht="14.25" customHeight="1">
      <c r="G51" s="15"/>
      <c r="H51" s="15"/>
      <c r="I51" s="15"/>
      <c r="J51" s="15"/>
      <c r="K51" s="15"/>
      <c r="L51" s="15"/>
      <c r="M51" s="15"/>
      <c r="N51" s="15"/>
      <c r="O51" s="15"/>
      <c r="P51" s="15"/>
      <c r="Q51" s="15"/>
      <c r="R51" s="15"/>
      <c r="S51" s="15"/>
      <c r="T51" s="15"/>
    </row>
    <row r="52" ht="14.25" customHeight="1">
      <c r="G52" s="15"/>
      <c r="H52" s="15"/>
      <c r="I52" s="15"/>
      <c r="J52" s="15"/>
      <c r="K52" s="15"/>
      <c r="L52" s="15"/>
      <c r="M52" s="15"/>
      <c r="N52" s="15"/>
      <c r="O52" s="15"/>
      <c r="P52" s="15"/>
      <c r="Q52" s="15"/>
      <c r="R52" s="15"/>
      <c r="S52" s="15"/>
      <c r="T52" s="15"/>
    </row>
    <row r="53" ht="14.25" customHeight="1">
      <c r="G53" s="15"/>
      <c r="H53" s="15"/>
      <c r="I53" s="15"/>
      <c r="J53" s="15"/>
      <c r="K53" s="15"/>
      <c r="L53" s="15"/>
      <c r="M53" s="15"/>
      <c r="N53" s="15"/>
      <c r="O53" s="15"/>
      <c r="P53" s="15"/>
      <c r="Q53" s="15"/>
      <c r="R53" s="15"/>
      <c r="S53" s="15"/>
      <c r="T53" s="15"/>
    </row>
    <row r="54" ht="14.25" customHeight="1">
      <c r="G54" s="15"/>
      <c r="H54" s="15"/>
      <c r="I54" s="15"/>
      <c r="J54" s="15"/>
      <c r="K54" s="15"/>
      <c r="L54" s="15"/>
      <c r="M54" s="15"/>
      <c r="N54" s="15"/>
      <c r="O54" s="15"/>
      <c r="P54" s="15"/>
      <c r="Q54" s="15"/>
      <c r="R54" s="15"/>
      <c r="S54" s="15"/>
      <c r="T54" s="15"/>
    </row>
    <row r="55" ht="14.25" customHeight="1">
      <c r="G55" s="15"/>
      <c r="H55" s="15"/>
      <c r="I55" s="15"/>
      <c r="J55" s="15"/>
      <c r="K55" s="15"/>
      <c r="L55" s="15"/>
      <c r="M55" s="15"/>
      <c r="N55" s="15"/>
      <c r="O55" s="15"/>
      <c r="P55" s="15"/>
      <c r="Q55" s="15"/>
      <c r="R55" s="15"/>
      <c r="S55" s="15"/>
      <c r="T55" s="15"/>
    </row>
    <row r="56" ht="14.25" customHeight="1">
      <c r="G56" s="15"/>
      <c r="H56" s="15"/>
      <c r="I56" s="15"/>
      <c r="J56" s="15"/>
      <c r="K56" s="15"/>
      <c r="L56" s="15"/>
      <c r="M56" s="15"/>
      <c r="N56" s="15"/>
      <c r="O56" s="15"/>
      <c r="P56" s="15"/>
      <c r="Q56" s="15"/>
      <c r="R56" s="15"/>
      <c r="S56" s="15"/>
      <c r="T56" s="15"/>
    </row>
    <row r="57" ht="14.25" customHeight="1">
      <c r="G57" s="15"/>
      <c r="H57" s="15"/>
      <c r="I57" s="15"/>
      <c r="J57" s="15"/>
      <c r="K57" s="15"/>
      <c r="L57" s="15"/>
      <c r="M57" s="15"/>
      <c r="N57" s="15"/>
      <c r="O57" s="15"/>
      <c r="P57" s="15"/>
      <c r="Q57" s="15"/>
      <c r="R57" s="15"/>
      <c r="S57" s="15"/>
      <c r="T57" s="15"/>
    </row>
    <row r="58" ht="14.25" customHeight="1">
      <c r="G58" s="15"/>
      <c r="H58" s="15"/>
      <c r="I58" s="15"/>
      <c r="J58" s="15"/>
      <c r="K58" s="15"/>
      <c r="L58" s="15"/>
      <c r="M58" s="15"/>
      <c r="N58" s="15"/>
      <c r="O58" s="15"/>
      <c r="P58" s="15"/>
      <c r="Q58" s="15"/>
      <c r="R58" s="15"/>
      <c r="S58" s="15"/>
      <c r="T58" s="15"/>
    </row>
    <row r="59" ht="14.25" customHeight="1">
      <c r="G59" s="15"/>
      <c r="H59" s="15"/>
      <c r="I59" s="15"/>
      <c r="J59" s="15"/>
      <c r="K59" s="15"/>
      <c r="L59" s="15"/>
      <c r="M59" s="15"/>
      <c r="N59" s="15"/>
      <c r="O59" s="15"/>
      <c r="P59" s="15"/>
      <c r="Q59" s="15"/>
      <c r="R59" s="15"/>
      <c r="S59" s="15"/>
      <c r="T59" s="15"/>
    </row>
    <row r="60" ht="14.25" customHeight="1">
      <c r="G60" s="15"/>
      <c r="H60" s="15"/>
      <c r="I60" s="15"/>
      <c r="J60" s="15"/>
      <c r="K60" s="15"/>
      <c r="L60" s="15"/>
      <c r="M60" s="15"/>
      <c r="N60" s="15"/>
      <c r="O60" s="15"/>
      <c r="P60" s="15"/>
      <c r="Q60" s="15"/>
      <c r="R60" s="15"/>
      <c r="S60" s="15"/>
      <c r="T60" s="15"/>
    </row>
    <row r="61" ht="14.25" customHeight="1">
      <c r="G61" s="15"/>
      <c r="H61" s="15"/>
      <c r="I61" s="15"/>
      <c r="J61" s="15"/>
      <c r="K61" s="15"/>
      <c r="L61" s="15"/>
      <c r="M61" s="15"/>
      <c r="N61" s="15"/>
      <c r="O61" s="15"/>
      <c r="P61" s="15"/>
      <c r="Q61" s="15"/>
      <c r="R61" s="15"/>
      <c r="S61" s="15"/>
      <c r="T61" s="15"/>
    </row>
    <row r="62" ht="14.25" customHeight="1">
      <c r="G62" s="15"/>
      <c r="H62" s="15"/>
      <c r="I62" s="15"/>
      <c r="J62" s="15"/>
      <c r="K62" s="15"/>
      <c r="L62" s="15"/>
      <c r="M62" s="15"/>
      <c r="N62" s="15"/>
      <c r="O62" s="15"/>
      <c r="P62" s="15"/>
      <c r="Q62" s="15"/>
      <c r="R62" s="15"/>
      <c r="S62" s="15"/>
      <c r="T62" s="15"/>
    </row>
    <row r="63" ht="14.25" customHeight="1">
      <c r="G63" s="15"/>
      <c r="H63" s="15"/>
      <c r="I63" s="15"/>
      <c r="J63" s="15"/>
      <c r="K63" s="15"/>
      <c r="L63" s="15"/>
      <c r="M63" s="15"/>
      <c r="N63" s="15"/>
      <c r="O63" s="15"/>
      <c r="P63" s="15"/>
      <c r="Q63" s="15"/>
      <c r="R63" s="15"/>
      <c r="S63" s="15"/>
      <c r="T63" s="15"/>
    </row>
    <row r="64" ht="14.25" customHeight="1">
      <c r="G64" s="15"/>
      <c r="H64" s="15"/>
      <c r="I64" s="15"/>
      <c r="J64" s="15"/>
      <c r="K64" s="15"/>
      <c r="L64" s="15"/>
      <c r="M64" s="15"/>
      <c r="N64" s="15"/>
      <c r="O64" s="15"/>
      <c r="P64" s="15"/>
      <c r="Q64" s="15"/>
      <c r="R64" s="15"/>
      <c r="S64" s="15"/>
      <c r="T64" s="15"/>
    </row>
    <row r="65" ht="14.25" customHeight="1">
      <c r="G65" s="15"/>
      <c r="H65" s="15"/>
      <c r="I65" s="15"/>
      <c r="J65" s="15"/>
      <c r="K65" s="15"/>
      <c r="L65" s="15"/>
      <c r="M65" s="15"/>
      <c r="N65" s="15"/>
      <c r="O65" s="15"/>
      <c r="P65" s="15"/>
      <c r="Q65" s="15"/>
      <c r="R65" s="15"/>
      <c r="S65" s="15"/>
      <c r="T65" s="15"/>
    </row>
    <row r="66" ht="14.25" customHeight="1">
      <c r="G66" s="15"/>
      <c r="H66" s="15"/>
      <c r="I66" s="15"/>
      <c r="J66" s="15"/>
      <c r="K66" s="15"/>
      <c r="L66" s="15"/>
      <c r="M66" s="15"/>
      <c r="N66" s="15"/>
      <c r="O66" s="15"/>
      <c r="P66" s="15"/>
      <c r="Q66" s="15"/>
      <c r="R66" s="15"/>
      <c r="S66" s="15"/>
      <c r="T66" s="15"/>
    </row>
    <row r="67" ht="14.25" customHeight="1">
      <c r="G67" s="15"/>
      <c r="H67" s="15"/>
      <c r="I67" s="15"/>
      <c r="J67" s="15"/>
      <c r="K67" s="15"/>
      <c r="L67" s="15"/>
      <c r="M67" s="15"/>
      <c r="N67" s="15"/>
      <c r="O67" s="15"/>
      <c r="P67" s="15"/>
      <c r="Q67" s="15"/>
      <c r="R67" s="15"/>
      <c r="S67" s="15"/>
      <c r="T67" s="15"/>
    </row>
    <row r="68" ht="14.25" customHeight="1">
      <c r="G68" s="15"/>
      <c r="H68" s="15"/>
      <c r="I68" s="15"/>
      <c r="J68" s="15"/>
      <c r="K68" s="15"/>
      <c r="L68" s="15"/>
      <c r="M68" s="15"/>
      <c r="N68" s="15"/>
      <c r="O68" s="15"/>
      <c r="P68" s="15"/>
      <c r="Q68" s="15"/>
      <c r="R68" s="15"/>
      <c r="S68" s="15"/>
      <c r="T68" s="15"/>
    </row>
    <row r="69" ht="14.25" customHeight="1">
      <c r="G69" s="15"/>
      <c r="H69" s="15"/>
      <c r="I69" s="15"/>
      <c r="J69" s="15"/>
      <c r="K69" s="15"/>
      <c r="L69" s="15"/>
      <c r="M69" s="15"/>
      <c r="N69" s="15"/>
      <c r="O69" s="15"/>
      <c r="P69" s="15"/>
      <c r="Q69" s="15"/>
      <c r="R69" s="15"/>
      <c r="S69" s="15"/>
      <c r="T69" s="15"/>
    </row>
    <row r="70" ht="14.25" customHeight="1">
      <c r="G70" s="15"/>
      <c r="H70" s="15"/>
      <c r="I70" s="15"/>
      <c r="J70" s="15"/>
      <c r="K70" s="15"/>
      <c r="L70" s="15"/>
      <c r="M70" s="15"/>
      <c r="N70" s="15"/>
      <c r="O70" s="15"/>
      <c r="P70" s="15"/>
      <c r="Q70" s="15"/>
      <c r="R70" s="15"/>
      <c r="S70" s="15"/>
      <c r="T70" s="15"/>
    </row>
    <row r="71" ht="14.25" customHeight="1">
      <c r="G71" s="15"/>
      <c r="H71" s="15"/>
      <c r="I71" s="15"/>
      <c r="J71" s="15"/>
      <c r="K71" s="15"/>
      <c r="L71" s="15"/>
      <c r="M71" s="15"/>
      <c r="N71" s="15"/>
      <c r="O71" s="15"/>
      <c r="P71" s="15"/>
      <c r="Q71" s="15"/>
      <c r="R71" s="15"/>
      <c r="S71" s="15"/>
      <c r="T71" s="15"/>
    </row>
    <row r="72" ht="14.25" customHeight="1">
      <c r="G72" s="15"/>
      <c r="H72" s="15"/>
      <c r="I72" s="15"/>
      <c r="J72" s="15"/>
      <c r="K72" s="15"/>
      <c r="L72" s="15"/>
      <c r="M72" s="15"/>
      <c r="N72" s="15"/>
      <c r="O72" s="15"/>
      <c r="P72" s="15"/>
      <c r="Q72" s="15"/>
      <c r="R72" s="15"/>
      <c r="S72" s="15"/>
      <c r="T72" s="15"/>
    </row>
    <row r="73" ht="14.25" customHeight="1">
      <c r="G73" s="15"/>
      <c r="H73" s="15"/>
      <c r="I73" s="15"/>
      <c r="J73" s="15"/>
      <c r="K73" s="15"/>
      <c r="L73" s="15"/>
      <c r="M73" s="15"/>
      <c r="N73" s="15"/>
      <c r="O73" s="15"/>
      <c r="P73" s="15"/>
      <c r="Q73" s="15"/>
      <c r="R73" s="15"/>
      <c r="S73" s="15"/>
      <c r="T73" s="15"/>
    </row>
    <row r="74" ht="14.25" customHeight="1">
      <c r="G74" s="15"/>
      <c r="H74" s="15"/>
      <c r="I74" s="15"/>
      <c r="J74" s="15"/>
      <c r="K74" s="15"/>
      <c r="L74" s="15"/>
      <c r="M74" s="15"/>
      <c r="N74" s="15"/>
      <c r="O74" s="15"/>
      <c r="P74" s="15"/>
      <c r="Q74" s="15"/>
      <c r="R74" s="15"/>
      <c r="S74" s="15"/>
      <c r="T74" s="15"/>
    </row>
    <row r="75" ht="14.25" customHeight="1">
      <c r="G75" s="15"/>
      <c r="H75" s="15"/>
      <c r="I75" s="15"/>
      <c r="J75" s="15"/>
      <c r="K75" s="15"/>
      <c r="L75" s="15"/>
      <c r="M75" s="15"/>
      <c r="N75" s="15"/>
      <c r="O75" s="15"/>
      <c r="P75" s="15"/>
      <c r="Q75" s="15"/>
      <c r="R75" s="15"/>
      <c r="S75" s="15"/>
      <c r="T75" s="15"/>
    </row>
    <row r="76" ht="14.25" customHeight="1">
      <c r="G76" s="15"/>
      <c r="H76" s="15"/>
      <c r="I76" s="15"/>
      <c r="J76" s="15"/>
      <c r="K76" s="15"/>
      <c r="L76" s="15"/>
      <c r="M76" s="15"/>
      <c r="N76" s="15"/>
      <c r="O76" s="15"/>
      <c r="P76" s="15"/>
      <c r="Q76" s="15"/>
      <c r="R76" s="15"/>
      <c r="S76" s="15"/>
      <c r="T76" s="15"/>
    </row>
    <row r="77" ht="14.25" customHeight="1">
      <c r="G77" s="15"/>
      <c r="H77" s="15"/>
      <c r="I77" s="15"/>
      <c r="J77" s="15"/>
      <c r="K77" s="15"/>
      <c r="L77" s="15"/>
      <c r="M77" s="15"/>
      <c r="N77" s="15"/>
      <c r="O77" s="15"/>
      <c r="P77" s="15"/>
      <c r="Q77" s="15"/>
      <c r="R77" s="15"/>
      <c r="S77" s="15"/>
      <c r="T77" s="15"/>
    </row>
    <row r="78" ht="14.25" customHeight="1">
      <c r="G78" s="15"/>
      <c r="H78" s="15"/>
      <c r="I78" s="15"/>
      <c r="J78" s="15"/>
      <c r="K78" s="15"/>
      <c r="L78" s="15"/>
      <c r="M78" s="15"/>
      <c r="N78" s="15"/>
      <c r="O78" s="15"/>
      <c r="P78" s="15"/>
      <c r="Q78" s="15"/>
      <c r="R78" s="15"/>
      <c r="S78" s="15"/>
      <c r="T78" s="15"/>
    </row>
    <row r="79" ht="14.25" customHeight="1">
      <c r="G79" s="15"/>
      <c r="H79" s="15"/>
      <c r="I79" s="15"/>
      <c r="J79" s="15"/>
      <c r="K79" s="15"/>
      <c r="L79" s="15"/>
      <c r="M79" s="15"/>
      <c r="N79" s="15"/>
      <c r="O79" s="15"/>
      <c r="P79" s="15"/>
      <c r="Q79" s="15"/>
      <c r="R79" s="15"/>
      <c r="S79" s="15"/>
      <c r="T79" s="15"/>
    </row>
    <row r="80" ht="14.25" customHeight="1">
      <c r="G80" s="15"/>
      <c r="H80" s="15"/>
      <c r="I80" s="15"/>
      <c r="J80" s="15"/>
      <c r="K80" s="15"/>
      <c r="L80" s="15"/>
      <c r="M80" s="15"/>
      <c r="N80" s="15"/>
      <c r="O80" s="15"/>
      <c r="P80" s="15"/>
      <c r="Q80" s="15"/>
      <c r="R80" s="15"/>
      <c r="S80" s="15"/>
      <c r="T80" s="15"/>
    </row>
    <row r="81" ht="14.25" customHeight="1">
      <c r="G81" s="15"/>
      <c r="H81" s="15"/>
      <c r="I81" s="15"/>
      <c r="J81" s="15"/>
      <c r="K81" s="15"/>
      <c r="L81" s="15"/>
      <c r="M81" s="15"/>
      <c r="N81" s="15"/>
      <c r="O81" s="15"/>
      <c r="P81" s="15"/>
      <c r="Q81" s="15"/>
      <c r="R81" s="15"/>
      <c r="S81" s="15"/>
      <c r="T81" s="15"/>
    </row>
    <row r="82" ht="14.25" customHeight="1">
      <c r="G82" s="15"/>
      <c r="H82" s="15"/>
      <c r="I82" s="15"/>
      <c r="J82" s="15"/>
      <c r="K82" s="15"/>
      <c r="L82" s="15"/>
      <c r="M82" s="15"/>
      <c r="N82" s="15"/>
      <c r="O82" s="15"/>
      <c r="P82" s="15"/>
      <c r="Q82" s="15"/>
      <c r="R82" s="15"/>
      <c r="S82" s="15"/>
      <c r="T82" s="15"/>
    </row>
    <row r="83" ht="14.25" customHeight="1">
      <c r="G83" s="15"/>
      <c r="H83" s="15"/>
      <c r="I83" s="15"/>
      <c r="J83" s="15"/>
      <c r="K83" s="15"/>
      <c r="L83" s="15"/>
      <c r="M83" s="15"/>
      <c r="N83" s="15"/>
      <c r="O83" s="15"/>
      <c r="P83" s="15"/>
      <c r="Q83" s="15"/>
      <c r="R83" s="15"/>
      <c r="S83" s="15"/>
      <c r="T83" s="15"/>
    </row>
    <row r="84" ht="14.25" customHeight="1">
      <c r="G84" s="15"/>
      <c r="H84" s="15"/>
      <c r="I84" s="15"/>
      <c r="J84" s="15"/>
      <c r="K84" s="15"/>
      <c r="L84" s="15"/>
      <c r="M84" s="15"/>
      <c r="N84" s="15"/>
      <c r="O84" s="15"/>
      <c r="P84" s="15"/>
      <c r="Q84" s="15"/>
      <c r="R84" s="15"/>
      <c r="S84" s="15"/>
      <c r="T84" s="15"/>
    </row>
    <row r="85" ht="14.25" customHeight="1">
      <c r="G85" s="15"/>
      <c r="H85" s="15"/>
      <c r="I85" s="15"/>
      <c r="J85" s="15"/>
      <c r="K85" s="15"/>
      <c r="L85" s="15"/>
      <c r="M85" s="15"/>
      <c r="N85" s="15"/>
      <c r="O85" s="15"/>
      <c r="P85" s="15"/>
      <c r="Q85" s="15"/>
      <c r="R85" s="15"/>
      <c r="S85" s="15"/>
      <c r="T85" s="15"/>
    </row>
    <row r="86" ht="14.25" customHeight="1">
      <c r="G86" s="15"/>
      <c r="H86" s="15"/>
      <c r="I86" s="15"/>
      <c r="J86" s="15"/>
      <c r="K86" s="15"/>
      <c r="L86" s="15"/>
      <c r="M86" s="15"/>
      <c r="N86" s="15"/>
      <c r="O86" s="15"/>
      <c r="P86" s="15"/>
      <c r="Q86" s="15"/>
      <c r="R86" s="15"/>
      <c r="S86" s="15"/>
      <c r="T86" s="15"/>
    </row>
    <row r="87" ht="14.25" customHeight="1">
      <c r="G87" s="15"/>
      <c r="H87" s="15"/>
      <c r="I87" s="15"/>
      <c r="J87" s="15"/>
      <c r="K87" s="15"/>
      <c r="L87" s="15"/>
      <c r="M87" s="15"/>
      <c r="N87" s="15"/>
      <c r="O87" s="15"/>
      <c r="P87" s="15"/>
      <c r="Q87" s="15"/>
      <c r="R87" s="15"/>
      <c r="S87" s="15"/>
      <c r="T87" s="15"/>
    </row>
    <row r="88" ht="14.25" customHeight="1">
      <c r="G88" s="15"/>
      <c r="H88" s="15"/>
      <c r="I88" s="15"/>
      <c r="J88" s="15"/>
      <c r="K88" s="15"/>
      <c r="L88" s="15"/>
      <c r="M88" s="15"/>
      <c r="N88" s="15"/>
      <c r="O88" s="15"/>
      <c r="P88" s="15"/>
      <c r="Q88" s="15"/>
      <c r="R88" s="15"/>
      <c r="S88" s="15"/>
      <c r="T88" s="15"/>
    </row>
    <row r="89" ht="14.25" customHeight="1">
      <c r="G89" s="15"/>
      <c r="H89" s="15"/>
      <c r="I89" s="15"/>
      <c r="J89" s="15"/>
      <c r="K89" s="15"/>
      <c r="L89" s="15"/>
      <c r="M89" s="15"/>
      <c r="N89" s="15"/>
      <c r="O89" s="15"/>
      <c r="P89" s="15"/>
      <c r="Q89" s="15"/>
      <c r="R89" s="15"/>
      <c r="S89" s="15"/>
      <c r="T89" s="15"/>
    </row>
    <row r="90" ht="14.25" customHeight="1">
      <c r="G90" s="15"/>
      <c r="H90" s="15"/>
      <c r="I90" s="15"/>
      <c r="J90" s="15"/>
      <c r="K90" s="15"/>
      <c r="L90" s="15"/>
      <c r="M90" s="15"/>
      <c r="N90" s="15"/>
      <c r="O90" s="15"/>
      <c r="P90" s="15"/>
      <c r="Q90" s="15"/>
      <c r="R90" s="15"/>
      <c r="S90" s="15"/>
      <c r="T90" s="15"/>
    </row>
    <row r="91" ht="14.25" customHeight="1">
      <c r="G91" s="15"/>
      <c r="H91" s="15"/>
      <c r="I91" s="15"/>
      <c r="J91" s="15"/>
      <c r="K91" s="15"/>
      <c r="L91" s="15"/>
      <c r="M91" s="15"/>
      <c r="N91" s="15"/>
      <c r="O91" s="15"/>
      <c r="P91" s="15"/>
      <c r="Q91" s="15"/>
      <c r="R91" s="15"/>
      <c r="S91" s="15"/>
      <c r="T91" s="15"/>
    </row>
    <row r="92" ht="14.25" customHeight="1">
      <c r="G92" s="15"/>
      <c r="H92" s="15"/>
      <c r="I92" s="15"/>
      <c r="J92" s="15"/>
      <c r="K92" s="15"/>
      <c r="L92" s="15"/>
      <c r="M92" s="15"/>
      <c r="N92" s="15"/>
      <c r="O92" s="15"/>
      <c r="P92" s="15"/>
      <c r="Q92" s="15"/>
      <c r="R92" s="15"/>
      <c r="S92" s="15"/>
      <c r="T92" s="15"/>
    </row>
    <row r="93" ht="14.25" customHeight="1">
      <c r="G93" s="15"/>
      <c r="H93" s="15"/>
      <c r="I93" s="15"/>
      <c r="J93" s="15"/>
      <c r="K93" s="15"/>
      <c r="L93" s="15"/>
      <c r="M93" s="15"/>
      <c r="N93" s="15"/>
      <c r="O93" s="15"/>
      <c r="P93" s="15"/>
      <c r="Q93" s="15"/>
      <c r="R93" s="15"/>
      <c r="S93" s="15"/>
      <c r="T93" s="15"/>
    </row>
    <row r="94" ht="14.25" customHeight="1">
      <c r="G94" s="15"/>
      <c r="H94" s="15"/>
      <c r="I94" s="15"/>
      <c r="J94" s="15"/>
      <c r="K94" s="15"/>
      <c r="L94" s="15"/>
      <c r="M94" s="15"/>
      <c r="N94" s="15"/>
      <c r="O94" s="15"/>
      <c r="P94" s="15"/>
      <c r="Q94" s="15"/>
      <c r="R94" s="15"/>
      <c r="S94" s="15"/>
      <c r="T94" s="15"/>
    </row>
    <row r="95" ht="14.25" customHeight="1">
      <c r="G95" s="15"/>
      <c r="H95" s="15"/>
      <c r="I95" s="15"/>
      <c r="J95" s="15"/>
      <c r="K95" s="15"/>
      <c r="L95" s="15"/>
      <c r="M95" s="15"/>
      <c r="N95" s="15"/>
      <c r="O95" s="15"/>
      <c r="P95" s="15"/>
      <c r="Q95" s="15"/>
      <c r="R95" s="15"/>
      <c r="S95" s="15"/>
      <c r="T95" s="15"/>
    </row>
    <row r="96" ht="14.25" customHeight="1">
      <c r="G96" s="15"/>
      <c r="H96" s="15"/>
      <c r="I96" s="15"/>
      <c r="J96" s="15"/>
      <c r="K96" s="15"/>
      <c r="L96" s="15"/>
      <c r="M96" s="15"/>
      <c r="N96" s="15"/>
      <c r="O96" s="15"/>
      <c r="P96" s="15"/>
      <c r="Q96" s="15"/>
      <c r="R96" s="15"/>
      <c r="S96" s="15"/>
      <c r="T96" s="15"/>
    </row>
    <row r="97" ht="14.25" customHeight="1">
      <c r="G97" s="15"/>
      <c r="H97" s="15"/>
      <c r="I97" s="15"/>
      <c r="J97" s="15"/>
      <c r="K97" s="15"/>
      <c r="L97" s="15"/>
      <c r="M97" s="15"/>
      <c r="N97" s="15"/>
      <c r="O97" s="15"/>
      <c r="P97" s="15"/>
      <c r="Q97" s="15"/>
      <c r="R97" s="15"/>
      <c r="S97" s="15"/>
      <c r="T97" s="15"/>
    </row>
    <row r="98" ht="14.25" customHeight="1">
      <c r="G98" s="15"/>
      <c r="H98" s="15"/>
      <c r="I98" s="15"/>
      <c r="J98" s="15"/>
      <c r="K98" s="15"/>
      <c r="L98" s="15"/>
      <c r="M98" s="15"/>
      <c r="N98" s="15"/>
      <c r="O98" s="15"/>
      <c r="P98" s="15"/>
      <c r="Q98" s="15"/>
      <c r="R98" s="15"/>
      <c r="S98" s="15"/>
      <c r="T98" s="15"/>
    </row>
    <row r="99" ht="14.25" customHeight="1">
      <c r="G99" s="15"/>
      <c r="H99" s="15"/>
      <c r="I99" s="15"/>
      <c r="J99" s="15"/>
      <c r="K99" s="15"/>
      <c r="L99" s="15"/>
      <c r="M99" s="15"/>
      <c r="N99" s="15"/>
      <c r="O99" s="15"/>
      <c r="P99" s="15"/>
      <c r="Q99" s="15"/>
      <c r="R99" s="15"/>
      <c r="S99" s="15"/>
      <c r="T99" s="15"/>
    </row>
    <row r="100" ht="14.25" customHeight="1">
      <c r="G100" s="15"/>
      <c r="H100" s="15"/>
      <c r="I100" s="15"/>
      <c r="J100" s="15"/>
      <c r="K100" s="15"/>
      <c r="L100" s="15"/>
      <c r="M100" s="15"/>
      <c r="N100" s="15"/>
      <c r="O100" s="15"/>
      <c r="P100" s="15"/>
      <c r="Q100" s="15"/>
      <c r="R100" s="15"/>
      <c r="S100" s="15"/>
      <c r="T100" s="15"/>
    </row>
    <row r="101" ht="14.25" customHeight="1">
      <c r="G101" s="15"/>
      <c r="H101" s="15"/>
      <c r="I101" s="15"/>
      <c r="J101" s="15"/>
      <c r="K101" s="15"/>
      <c r="L101" s="15"/>
      <c r="M101" s="15"/>
      <c r="N101" s="15"/>
      <c r="O101" s="15"/>
      <c r="P101" s="15"/>
      <c r="Q101" s="15"/>
      <c r="R101" s="15"/>
      <c r="S101" s="15"/>
      <c r="T101" s="15"/>
    </row>
    <row r="102" ht="14.25" customHeight="1">
      <c r="G102" s="15"/>
      <c r="H102" s="15"/>
      <c r="I102" s="15"/>
      <c r="J102" s="15"/>
      <c r="K102" s="15"/>
      <c r="L102" s="15"/>
      <c r="M102" s="15"/>
      <c r="N102" s="15"/>
      <c r="O102" s="15"/>
      <c r="P102" s="15"/>
      <c r="Q102" s="15"/>
      <c r="R102" s="15"/>
      <c r="S102" s="15"/>
      <c r="T102" s="15"/>
    </row>
    <row r="103" ht="14.25" customHeight="1">
      <c r="G103" s="15"/>
      <c r="H103" s="15"/>
      <c r="I103" s="15"/>
      <c r="J103" s="15"/>
      <c r="K103" s="15"/>
      <c r="L103" s="15"/>
      <c r="M103" s="15"/>
      <c r="N103" s="15"/>
      <c r="O103" s="15"/>
      <c r="P103" s="15"/>
      <c r="Q103" s="15"/>
      <c r="R103" s="15"/>
      <c r="S103" s="15"/>
      <c r="T103" s="15"/>
    </row>
    <row r="104" ht="14.25" customHeight="1">
      <c r="G104" s="15"/>
      <c r="H104" s="15"/>
      <c r="I104" s="15"/>
      <c r="J104" s="15"/>
      <c r="K104" s="15"/>
      <c r="L104" s="15"/>
      <c r="M104" s="15"/>
      <c r="N104" s="15"/>
      <c r="O104" s="15"/>
      <c r="P104" s="15"/>
      <c r="Q104" s="15"/>
      <c r="R104" s="15"/>
      <c r="S104" s="15"/>
      <c r="T104" s="15"/>
    </row>
    <row r="105" ht="14.25" customHeight="1">
      <c r="G105" s="15"/>
      <c r="H105" s="15"/>
      <c r="I105" s="15"/>
      <c r="J105" s="15"/>
      <c r="K105" s="15"/>
      <c r="L105" s="15"/>
      <c r="M105" s="15"/>
      <c r="N105" s="15"/>
      <c r="O105" s="15"/>
      <c r="P105" s="15"/>
      <c r="Q105" s="15"/>
      <c r="R105" s="15"/>
      <c r="S105" s="15"/>
      <c r="T105" s="15"/>
    </row>
    <row r="106" ht="14.25" customHeight="1">
      <c r="G106" s="15"/>
      <c r="H106" s="15"/>
      <c r="I106" s="15"/>
      <c r="J106" s="15"/>
      <c r="K106" s="15"/>
      <c r="L106" s="15"/>
      <c r="M106" s="15"/>
      <c r="N106" s="15"/>
      <c r="O106" s="15"/>
      <c r="P106" s="15"/>
      <c r="Q106" s="15"/>
      <c r="R106" s="15"/>
      <c r="S106" s="15"/>
      <c r="T106" s="15"/>
    </row>
    <row r="107" ht="14.25" customHeight="1">
      <c r="G107" s="15"/>
      <c r="H107" s="15"/>
      <c r="I107" s="15"/>
      <c r="J107" s="15"/>
      <c r="K107" s="15"/>
      <c r="L107" s="15"/>
      <c r="M107" s="15"/>
      <c r="N107" s="15"/>
      <c r="O107" s="15"/>
      <c r="P107" s="15"/>
      <c r="Q107" s="15"/>
      <c r="R107" s="15"/>
      <c r="S107" s="15"/>
      <c r="T107" s="15"/>
    </row>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H1:J1"/>
    <mergeCell ref="L1:N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fitToPage="1"/>
  </sheetPr>
  <sheetViews>
    <sheetView showGridLines="0"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outlineLevelCol="7" outlineLevelRow="7"/>
  <cols>
    <col customWidth="1" min="1" max="1" width="2.14"/>
    <col customWidth="1" min="2" max="2" width="24.0"/>
    <col customWidth="1" min="3" max="3" width="7.43"/>
    <col customWidth="1" min="4" max="4" width="7.43" outlineLevel="3"/>
    <col customWidth="1" min="5" max="5" width="5.43" outlineLevel="3"/>
    <col customWidth="1" hidden="1" min="6" max="6" width="8.86" outlineLevel="7"/>
    <col collapsed="1" customWidth="1" min="7" max="7" width="8.86" outlineLevel="2"/>
    <col customWidth="1" min="8" max="8" width="9.57" outlineLevel="1"/>
    <col customWidth="1" min="9" max="17" width="8.86" outlineLevel="1"/>
    <col customWidth="1" min="18" max="18" width="12.14"/>
    <col customWidth="1" min="19" max="20" width="8.86"/>
    <col customWidth="1" min="21" max="22" width="4.57"/>
    <col customWidth="1" min="23" max="23" width="4.86"/>
    <col customWidth="1" min="24" max="24" width="7.71"/>
    <col customWidth="1" min="25" max="43" width="8.86"/>
    <col customWidth="1" min="44" max="49" width="8.71"/>
  </cols>
  <sheetData>
    <row r="1" ht="12.0" customHeight="1">
      <c r="A1" s="2" t="s">
        <v>29</v>
      </c>
      <c r="B1" s="2"/>
      <c r="C1" s="2"/>
      <c r="D1" s="2"/>
      <c r="E1" s="2"/>
      <c r="F1" s="3"/>
      <c r="G1" s="2"/>
      <c r="H1" s="2"/>
      <c r="I1" s="2"/>
      <c r="J1" s="2"/>
      <c r="K1" s="2"/>
      <c r="L1" s="2"/>
      <c r="M1" s="2"/>
      <c r="N1" s="2"/>
      <c r="O1" s="2"/>
      <c r="P1" s="2"/>
      <c r="Q1" s="97"/>
      <c r="R1" s="97"/>
      <c r="S1" s="2"/>
      <c r="T1" s="2"/>
      <c r="U1" s="2"/>
      <c r="V1" s="2"/>
      <c r="W1" s="2"/>
      <c r="X1" s="2"/>
      <c r="Y1" s="2"/>
      <c r="Z1" s="2"/>
      <c r="AA1" s="2"/>
      <c r="AB1" s="98"/>
      <c r="AC1" s="98"/>
      <c r="AD1" s="98"/>
      <c r="AE1" s="98"/>
      <c r="AF1" s="98"/>
      <c r="AG1" s="98"/>
      <c r="AH1" s="98"/>
      <c r="AI1" s="98"/>
      <c r="AJ1" s="98"/>
      <c r="AK1" s="98"/>
      <c r="AL1" s="2"/>
      <c r="AM1" s="2"/>
      <c r="AN1" s="2"/>
      <c r="AO1" s="2"/>
      <c r="AP1" s="2"/>
      <c r="AQ1" s="2"/>
      <c r="AR1" s="2"/>
      <c r="AS1" s="2"/>
      <c r="AT1" s="2"/>
      <c r="AU1" s="2"/>
      <c r="AV1" s="2"/>
      <c r="AW1" s="2"/>
    </row>
    <row r="2" ht="12.0" customHeight="1">
      <c r="A2" s="9"/>
      <c r="B2" s="10"/>
      <c r="C2" s="9"/>
      <c r="D2" s="11"/>
      <c r="E2" s="9"/>
      <c r="F2" s="12" t="s">
        <v>3</v>
      </c>
      <c r="G2" s="99" t="s">
        <v>4</v>
      </c>
      <c r="H2" s="100" t="s">
        <v>6</v>
      </c>
      <c r="I2" s="101">
        <v>2020.0</v>
      </c>
      <c r="J2" s="102">
        <v>2021.0</v>
      </c>
      <c r="K2" s="101">
        <v>2022.0</v>
      </c>
      <c r="L2" s="103">
        <f t="shared" ref="L2:Q2" si="1">K2+1</f>
        <v>2023</v>
      </c>
      <c r="M2" s="101">
        <f t="shared" si="1"/>
        <v>2024</v>
      </c>
      <c r="N2" s="101">
        <f t="shared" si="1"/>
        <v>2025</v>
      </c>
      <c r="O2" s="101">
        <f t="shared" si="1"/>
        <v>2026</v>
      </c>
      <c r="P2" s="101">
        <f t="shared" si="1"/>
        <v>2027</v>
      </c>
      <c r="Q2" s="101">
        <f t="shared" si="1"/>
        <v>2028</v>
      </c>
      <c r="R2" s="104"/>
      <c r="S2" s="105"/>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row>
    <row r="3" ht="12.0" customHeight="1" outlineLevel="2">
      <c r="A3" s="9"/>
      <c r="B3" s="17"/>
      <c r="C3" s="18"/>
      <c r="D3" s="19"/>
      <c r="E3" s="19"/>
      <c r="F3" s="20"/>
      <c r="G3" s="106"/>
      <c r="H3" s="22"/>
      <c r="I3" s="22"/>
      <c r="J3" s="107"/>
      <c r="K3" s="23"/>
      <c r="L3" s="108"/>
      <c r="M3" s="23"/>
      <c r="N3" s="23"/>
      <c r="O3" s="23"/>
      <c r="P3" s="23"/>
      <c r="Q3" s="23"/>
      <c r="R3" s="109"/>
      <c r="S3" s="110"/>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row>
    <row r="4" ht="12.0" customHeight="1" outlineLevel="1">
      <c r="A4" s="24"/>
      <c r="B4" s="111" t="s">
        <v>7</v>
      </c>
      <c r="C4" s="36"/>
      <c r="D4" s="112"/>
      <c r="E4" s="112"/>
      <c r="F4" s="113">
        <v>23.202560000000005</v>
      </c>
      <c r="G4" s="114">
        <f>JILL!G4</f>
        <v>27.1</v>
      </c>
      <c r="H4" s="114">
        <f>JILL!H4</f>
        <v>31.8</v>
      </c>
      <c r="I4" s="114">
        <f>JILL!I4</f>
        <v>45.2</v>
      </c>
      <c r="J4" s="114">
        <f>JILL!J4</f>
        <v>60.1</v>
      </c>
      <c r="K4" s="115">
        <f t="shared" ref="K4:Q4" si="2">J4*(1+K5)</f>
        <v>73.6225</v>
      </c>
      <c r="L4" s="116">
        <f t="shared" si="2"/>
        <v>86.5064375</v>
      </c>
      <c r="M4" s="115">
        <f t="shared" si="2"/>
        <v>99.48240313</v>
      </c>
      <c r="N4" s="115">
        <f t="shared" si="2"/>
        <v>111.9177035</v>
      </c>
      <c r="O4" s="115">
        <f t="shared" si="2"/>
        <v>123.1094739</v>
      </c>
      <c r="P4" s="115">
        <f t="shared" si="2"/>
        <v>132.3426844</v>
      </c>
      <c r="Q4" s="115">
        <f t="shared" si="2"/>
        <v>138.9598186</v>
      </c>
      <c r="R4" s="109"/>
      <c r="S4" s="117"/>
      <c r="T4" s="9"/>
      <c r="U4" s="118"/>
      <c r="V4" s="118"/>
      <c r="W4" s="118"/>
      <c r="X4" s="118"/>
      <c r="Y4" s="118"/>
      <c r="Z4" s="118"/>
      <c r="AA4" s="9"/>
      <c r="AB4" s="36"/>
      <c r="AC4" s="36"/>
      <c r="AD4" s="36"/>
      <c r="AE4" s="36"/>
      <c r="AF4" s="36"/>
      <c r="AG4" s="36"/>
      <c r="AH4" s="36"/>
      <c r="AI4" s="36"/>
      <c r="AJ4" s="36"/>
      <c r="AK4" s="36"/>
      <c r="AL4" s="36"/>
      <c r="AM4" s="36"/>
      <c r="AN4" s="36"/>
      <c r="AO4" s="36"/>
      <c r="AP4" s="36"/>
      <c r="AQ4" s="36"/>
      <c r="AR4" s="36"/>
      <c r="AS4" s="36"/>
      <c r="AT4" s="36"/>
      <c r="AU4" s="36"/>
      <c r="AV4" s="36"/>
      <c r="AW4" s="36"/>
    </row>
    <row r="5" ht="12.0" customHeight="1" outlineLevel="1">
      <c r="A5" s="24"/>
      <c r="B5" s="119" t="s">
        <v>8</v>
      </c>
      <c r="C5" s="120"/>
      <c r="D5" s="120">
        <v>0.025</v>
      </c>
      <c r="E5" s="112"/>
      <c r="F5" s="121">
        <f>'mgmt '!I25</f>
        <v>0.1875783389</v>
      </c>
      <c r="G5" s="122">
        <f t="shared" ref="G5:J5" si="3">G4/F4-1</f>
        <v>0.1679745683</v>
      </c>
      <c r="H5" s="123">
        <f t="shared" si="3"/>
        <v>0.1734317343</v>
      </c>
      <c r="I5" s="123">
        <f t="shared" si="3"/>
        <v>0.4213836478</v>
      </c>
      <c r="J5" s="123">
        <f t="shared" si="3"/>
        <v>0.3296460177</v>
      </c>
      <c r="K5" s="123">
        <v>0.225</v>
      </c>
      <c r="L5" s="124">
        <v>0.175</v>
      </c>
      <c r="M5" s="123">
        <v>0.15</v>
      </c>
      <c r="N5" s="123">
        <f t="shared" ref="N5:Q5" si="4">M5-$D$5</f>
        <v>0.125</v>
      </c>
      <c r="O5" s="123">
        <f t="shared" si="4"/>
        <v>0.1</v>
      </c>
      <c r="P5" s="123">
        <f t="shared" si="4"/>
        <v>0.075</v>
      </c>
      <c r="Q5" s="123">
        <f t="shared" si="4"/>
        <v>0.05</v>
      </c>
      <c r="R5" s="125"/>
      <c r="S5" s="117"/>
      <c r="T5" s="61"/>
      <c r="U5" s="126"/>
      <c r="V5" s="127"/>
      <c r="W5" s="128"/>
      <c r="X5" s="128"/>
      <c r="Y5" s="128"/>
      <c r="Z5" s="128"/>
      <c r="AA5" s="61"/>
      <c r="AB5" s="36"/>
      <c r="AC5" s="36"/>
      <c r="AD5" s="36"/>
      <c r="AE5" s="36"/>
      <c r="AF5" s="36"/>
      <c r="AG5" s="36"/>
      <c r="AH5" s="36"/>
      <c r="AI5" s="36"/>
      <c r="AJ5" s="36"/>
      <c r="AK5" s="36"/>
      <c r="AL5" s="36"/>
      <c r="AM5" s="36"/>
      <c r="AN5" s="36"/>
      <c r="AO5" s="36"/>
      <c r="AP5" s="36"/>
      <c r="AQ5" s="36"/>
      <c r="AR5" s="36"/>
      <c r="AS5" s="36"/>
      <c r="AT5" s="36"/>
      <c r="AU5" s="36"/>
      <c r="AV5" s="36"/>
      <c r="AW5" s="36"/>
    </row>
    <row r="6" ht="12.0" customHeight="1" outlineLevel="4">
      <c r="A6" s="36"/>
      <c r="B6" s="129"/>
      <c r="C6" s="36"/>
      <c r="D6" s="112"/>
      <c r="E6" s="112"/>
      <c r="F6" s="130"/>
      <c r="G6" s="131"/>
      <c r="H6" s="132"/>
      <c r="I6" s="123"/>
      <c r="J6" s="122"/>
      <c r="K6" s="123"/>
      <c r="L6" s="124"/>
      <c r="M6" s="123"/>
      <c r="N6" s="123"/>
      <c r="O6" s="123"/>
      <c r="P6" s="123"/>
      <c r="Q6" s="123"/>
      <c r="R6" s="109"/>
      <c r="S6" s="117"/>
      <c r="T6" s="88"/>
      <c r="U6" s="133"/>
      <c r="V6" s="134"/>
      <c r="W6" s="135"/>
      <c r="X6" s="135"/>
      <c r="Y6" s="135"/>
      <c r="Z6" s="135"/>
      <c r="AA6" s="61"/>
      <c r="AB6" s="36"/>
      <c r="AC6" s="36"/>
      <c r="AD6" s="36"/>
      <c r="AE6" s="36"/>
      <c r="AF6" s="36"/>
      <c r="AG6" s="36"/>
      <c r="AH6" s="36"/>
      <c r="AI6" s="36"/>
      <c r="AJ6" s="36"/>
      <c r="AK6" s="36"/>
      <c r="AL6" s="36"/>
      <c r="AM6" s="36"/>
      <c r="AN6" s="36"/>
      <c r="AO6" s="36"/>
      <c r="AP6" s="36"/>
      <c r="AQ6" s="36"/>
      <c r="AR6" s="36"/>
      <c r="AS6" s="36"/>
      <c r="AT6" s="36"/>
      <c r="AU6" s="36"/>
      <c r="AV6" s="36"/>
      <c r="AW6" s="36"/>
    </row>
    <row r="7" ht="12.0" customHeight="1" outlineLevel="2">
      <c r="A7" s="39"/>
      <c r="B7" s="136" t="s">
        <v>9</v>
      </c>
      <c r="C7" s="45"/>
      <c r="D7" s="45"/>
      <c r="E7" s="137"/>
      <c r="F7" s="138">
        <f>'mgmt '!I48</f>
        <v>9.44350909</v>
      </c>
      <c r="G7" s="139">
        <f>JILL!G7</f>
        <v>10.942581</v>
      </c>
      <c r="H7" s="139">
        <f>JILL!H7</f>
        <v>12.82</v>
      </c>
      <c r="I7" s="139">
        <f>JILL!I7</f>
        <v>16.43</v>
      </c>
      <c r="J7" s="139">
        <f>JILL!J7</f>
        <v>23.12</v>
      </c>
      <c r="K7" s="140">
        <f t="shared" ref="K7:Q7" si="5">K4*K8</f>
        <v>28.322</v>
      </c>
      <c r="L7" s="141">
        <f t="shared" si="5"/>
        <v>33.27835</v>
      </c>
      <c r="M7" s="140">
        <f t="shared" si="5"/>
        <v>38.2701025</v>
      </c>
      <c r="N7" s="140">
        <f t="shared" si="5"/>
        <v>43.05386531</v>
      </c>
      <c r="O7" s="140">
        <f t="shared" si="5"/>
        <v>47.35925184</v>
      </c>
      <c r="P7" s="140">
        <f t="shared" si="5"/>
        <v>50.91119573</v>
      </c>
      <c r="Q7" s="140">
        <f t="shared" si="5"/>
        <v>53.45675552</v>
      </c>
      <c r="R7" s="115"/>
      <c r="S7" s="142"/>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row>
    <row r="8" ht="12.0" customHeight="1" outlineLevel="1">
      <c r="A8" s="39"/>
      <c r="B8" s="143" t="s">
        <v>10</v>
      </c>
      <c r="C8" s="120">
        <v>0.0</v>
      </c>
      <c r="D8" s="120">
        <v>0.0</v>
      </c>
      <c r="E8" s="45"/>
      <c r="F8" s="144">
        <f t="shared" ref="F8:J8" si="6">F7/F4</f>
        <v>0.4070028949</v>
      </c>
      <c r="G8" s="145">
        <f t="shared" si="6"/>
        <v>0.4037852768</v>
      </c>
      <c r="H8" s="146">
        <f t="shared" si="6"/>
        <v>0.4031446541</v>
      </c>
      <c r="I8" s="146">
        <f t="shared" si="6"/>
        <v>0.3634955752</v>
      </c>
      <c r="J8" s="147">
        <f t="shared" si="6"/>
        <v>0.3846921797</v>
      </c>
      <c r="K8" s="148">
        <f t="shared" ref="K8:L8" si="7">J8+$C8</f>
        <v>0.3846921797</v>
      </c>
      <c r="L8" s="149">
        <f t="shared" si="7"/>
        <v>0.3846921797</v>
      </c>
      <c r="M8" s="148">
        <f t="shared" ref="M8:Q8" si="8">L8+$D8</f>
        <v>0.3846921797</v>
      </c>
      <c r="N8" s="148">
        <f t="shared" si="8"/>
        <v>0.3846921797</v>
      </c>
      <c r="O8" s="148">
        <f t="shared" si="8"/>
        <v>0.3846921797</v>
      </c>
      <c r="P8" s="148">
        <f t="shared" si="8"/>
        <v>0.3846921797</v>
      </c>
      <c r="Q8" s="148">
        <f t="shared" si="8"/>
        <v>0.3846921797</v>
      </c>
      <c r="R8" s="150"/>
      <c r="S8" s="151"/>
      <c r="T8" s="45"/>
      <c r="U8" s="109"/>
      <c r="V8" s="152"/>
      <c r="W8" s="152"/>
      <c r="X8" s="152"/>
      <c r="Y8" s="152"/>
      <c r="Z8" s="152"/>
      <c r="AA8" s="49"/>
      <c r="AB8" s="153"/>
      <c r="AC8" s="153"/>
      <c r="AD8" s="153"/>
      <c r="AE8" s="153"/>
      <c r="AF8" s="153"/>
      <c r="AG8" s="153"/>
      <c r="AH8" s="153"/>
      <c r="AI8" s="153"/>
      <c r="AJ8" s="153"/>
      <c r="AK8" s="153"/>
      <c r="AL8" s="153"/>
      <c r="AM8" s="153"/>
      <c r="AN8" s="153"/>
      <c r="AO8" s="153"/>
      <c r="AP8" s="153"/>
      <c r="AQ8" s="153"/>
      <c r="AR8" s="153"/>
      <c r="AS8" s="153"/>
      <c r="AT8" s="153"/>
      <c r="AU8" s="153"/>
      <c r="AV8" s="153"/>
      <c r="AW8" s="153"/>
    </row>
    <row r="9" ht="12.0" customHeight="1" outlineLevel="2">
      <c r="A9" s="45"/>
      <c r="B9" s="154"/>
      <c r="C9" s="49"/>
      <c r="D9" s="155"/>
      <c r="E9" s="155"/>
      <c r="F9" s="156"/>
      <c r="G9" s="147"/>
      <c r="H9" s="157"/>
      <c r="I9" s="148"/>
      <c r="J9" s="147"/>
      <c r="K9" s="148"/>
      <c r="L9" s="149"/>
      <c r="M9" s="148"/>
      <c r="N9" s="148"/>
      <c r="O9" s="148"/>
      <c r="P9" s="148"/>
      <c r="Q9" s="148"/>
      <c r="R9" s="109"/>
      <c r="S9" s="158"/>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row>
    <row r="10" ht="12.0" customHeight="1" outlineLevel="1">
      <c r="A10" s="49"/>
      <c r="B10" s="159" t="s">
        <v>11</v>
      </c>
      <c r="C10" s="49"/>
      <c r="D10" s="160"/>
      <c r="E10" s="160"/>
      <c r="F10" s="161">
        <f t="shared" ref="F10:Q10" si="9">F4-F7</f>
        <v>13.75905091</v>
      </c>
      <c r="G10" s="162">
        <f t="shared" si="9"/>
        <v>16.157419</v>
      </c>
      <c r="H10" s="115">
        <f t="shared" si="9"/>
        <v>18.98</v>
      </c>
      <c r="I10" s="115">
        <f t="shared" si="9"/>
        <v>28.77</v>
      </c>
      <c r="J10" s="162">
        <f t="shared" si="9"/>
        <v>36.98</v>
      </c>
      <c r="K10" s="115">
        <f t="shared" si="9"/>
        <v>45.3005</v>
      </c>
      <c r="L10" s="116">
        <f t="shared" si="9"/>
        <v>53.2280875</v>
      </c>
      <c r="M10" s="115">
        <f t="shared" si="9"/>
        <v>61.21230063</v>
      </c>
      <c r="N10" s="115">
        <f t="shared" si="9"/>
        <v>68.8638382</v>
      </c>
      <c r="O10" s="115">
        <f t="shared" si="9"/>
        <v>75.75022202</v>
      </c>
      <c r="P10" s="115">
        <f t="shared" si="9"/>
        <v>81.43148868</v>
      </c>
      <c r="Q10" s="115">
        <f t="shared" si="9"/>
        <v>85.50306311</v>
      </c>
      <c r="R10" s="49"/>
      <c r="S10" s="163"/>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row>
    <row r="11" ht="12.0" customHeight="1" outlineLevel="1">
      <c r="A11" s="49"/>
      <c r="B11" s="129" t="s">
        <v>12</v>
      </c>
      <c r="C11" s="49"/>
      <c r="D11" s="160"/>
      <c r="E11" s="160"/>
      <c r="F11" s="121">
        <f t="shared" ref="F11:Q11" si="10">F10/F4</f>
        <v>0.5929971051</v>
      </c>
      <c r="G11" s="122">
        <f t="shared" si="10"/>
        <v>0.5962147232</v>
      </c>
      <c r="H11" s="123">
        <f t="shared" si="10"/>
        <v>0.5968553459</v>
      </c>
      <c r="I11" s="123">
        <f t="shared" si="10"/>
        <v>0.6365044248</v>
      </c>
      <c r="J11" s="122">
        <f t="shared" si="10"/>
        <v>0.6153078203</v>
      </c>
      <c r="K11" s="123">
        <f t="shared" si="10"/>
        <v>0.6153078203</v>
      </c>
      <c r="L11" s="124">
        <f t="shared" si="10"/>
        <v>0.6153078203</v>
      </c>
      <c r="M11" s="123">
        <f t="shared" si="10"/>
        <v>0.6153078203</v>
      </c>
      <c r="N11" s="123">
        <f t="shared" si="10"/>
        <v>0.6153078203</v>
      </c>
      <c r="O11" s="123">
        <f t="shared" si="10"/>
        <v>0.6153078203</v>
      </c>
      <c r="P11" s="123">
        <f t="shared" si="10"/>
        <v>0.6153078203</v>
      </c>
      <c r="Q11" s="123">
        <f t="shared" si="10"/>
        <v>0.6153078203</v>
      </c>
      <c r="R11" s="49"/>
      <c r="S11" s="151"/>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row>
    <row r="12" ht="12.0" customHeight="1" outlineLevel="1">
      <c r="A12" s="45"/>
      <c r="B12" s="164"/>
      <c r="C12" s="49"/>
      <c r="D12" s="155"/>
      <c r="E12" s="155"/>
      <c r="F12" s="144"/>
      <c r="G12" s="147"/>
      <c r="H12" s="148"/>
      <c r="I12" s="148"/>
      <c r="J12" s="147"/>
      <c r="K12" s="148"/>
      <c r="L12" s="149"/>
      <c r="M12" s="148"/>
      <c r="N12" s="148"/>
      <c r="O12" s="148"/>
      <c r="P12" s="148"/>
      <c r="Q12" s="148"/>
      <c r="R12" s="109"/>
      <c r="S12" s="158"/>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row>
    <row r="13" ht="12.0" customHeight="1" outlineLevel="2">
      <c r="A13" s="45"/>
      <c r="B13" s="165" t="s">
        <v>13</v>
      </c>
      <c r="C13" s="49"/>
      <c r="D13" s="155"/>
      <c r="E13" s="155"/>
      <c r="F13" s="144"/>
      <c r="G13" s="147"/>
      <c r="H13" s="148"/>
      <c r="I13" s="148"/>
      <c r="J13" s="147" t="s">
        <v>14</v>
      </c>
      <c r="K13" s="148"/>
      <c r="L13" s="149"/>
      <c r="M13" s="148"/>
      <c r="N13" s="148"/>
      <c r="O13" s="148"/>
      <c r="P13" s="148"/>
      <c r="Q13" s="148"/>
      <c r="R13" s="166"/>
      <c r="S13" s="158"/>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row>
    <row r="14" ht="12.0" customHeight="1" outlineLevel="2">
      <c r="A14" s="45"/>
      <c r="B14" s="167" t="s">
        <v>15</v>
      </c>
      <c r="C14" s="49"/>
      <c r="D14" s="168"/>
      <c r="E14" s="168"/>
      <c r="F14" s="138">
        <f>'mgmt '!I65+'mgmt '!I64</f>
        <v>7.727007</v>
      </c>
      <c r="G14" s="169">
        <f>JILL!G14</f>
        <v>7.614628</v>
      </c>
      <c r="H14" s="169">
        <f>JILL!H14</f>
        <v>9.19</v>
      </c>
      <c r="I14" s="169">
        <f>JILL!I14</f>
        <v>13</v>
      </c>
      <c r="J14" s="169">
        <f>JILL!J14</f>
        <v>14.96</v>
      </c>
      <c r="K14" s="140">
        <f t="shared" ref="K14:Q14" si="11">K$4*K21</f>
        <v>16.85355</v>
      </c>
      <c r="L14" s="141">
        <f t="shared" si="11"/>
        <v>18.0727925</v>
      </c>
      <c r="M14" s="140">
        <f t="shared" si="11"/>
        <v>20.28629936</v>
      </c>
      <c r="N14" s="140">
        <f t="shared" si="11"/>
        <v>22.26249826</v>
      </c>
      <c r="O14" s="140">
        <f t="shared" si="11"/>
        <v>23.87320072</v>
      </c>
      <c r="P14" s="140">
        <f t="shared" si="11"/>
        <v>25.00197735</v>
      </c>
      <c r="Q14" s="140">
        <f t="shared" si="11"/>
        <v>25.55727712</v>
      </c>
      <c r="R14" s="170"/>
      <c r="S14" s="142"/>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row>
    <row r="15" ht="12.0" customHeight="1" outlineLevel="2">
      <c r="A15" s="45"/>
      <c r="B15" s="167" t="s">
        <v>16</v>
      </c>
      <c r="C15" s="49"/>
      <c r="D15" s="168"/>
      <c r="E15" s="168"/>
      <c r="F15" s="138">
        <f>'mgmt '!I63+'mgmt '!I66+'mgmt '!I67+'mgmt '!I69</f>
        <v>7.308554</v>
      </c>
      <c r="G15" s="169">
        <f>JILL!G15</f>
        <v>6.992441</v>
      </c>
      <c r="H15" s="169">
        <f>JILL!H15</f>
        <v>0.24</v>
      </c>
      <c r="I15" s="169">
        <f>JILL!I15</f>
        <v>0.24</v>
      </c>
      <c r="J15" s="169">
        <f>JILL!J15</f>
        <v>0.24</v>
      </c>
      <c r="K15" s="140">
        <f t="shared" ref="K15:Q15" si="12">K$4*K22</f>
        <v>7.36225</v>
      </c>
      <c r="L15" s="141">
        <f t="shared" si="12"/>
        <v>8.65064375</v>
      </c>
      <c r="M15" s="140">
        <f t="shared" si="12"/>
        <v>8.953416281</v>
      </c>
      <c r="N15" s="140">
        <f t="shared" si="12"/>
        <v>8.953416281</v>
      </c>
      <c r="O15" s="140">
        <f t="shared" si="12"/>
        <v>8.617663171</v>
      </c>
      <c r="P15" s="140">
        <f t="shared" si="12"/>
        <v>7.940561064</v>
      </c>
      <c r="Q15" s="140">
        <f t="shared" si="12"/>
        <v>6.947990931</v>
      </c>
      <c r="R15" s="109"/>
      <c r="S15" s="142"/>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row>
    <row r="16" ht="12.0" customHeight="1" outlineLevel="2">
      <c r="A16" s="45"/>
      <c r="B16" s="167" t="s">
        <v>17</v>
      </c>
      <c r="C16" s="18"/>
      <c r="D16" s="171"/>
      <c r="E16" s="171"/>
      <c r="F16" s="172">
        <f>'mgmt '!I70-('Standalone Case'!F14+'Standalone Case'!F15)</f>
        <v>0.11225</v>
      </c>
      <c r="G16" s="169">
        <f>JILL!G16</f>
        <v>0.018178</v>
      </c>
      <c r="H16" s="169">
        <f>JILL!H16</f>
        <v>10.35</v>
      </c>
      <c r="I16" s="169">
        <f>JILL!I16</f>
        <v>11.53</v>
      </c>
      <c r="J16" s="169">
        <f>JILL!J16</f>
        <v>13.06</v>
      </c>
      <c r="K16" s="173">
        <f t="shared" ref="K16:Q16" si="13">K$4*K23</f>
        <v>15.44633125</v>
      </c>
      <c r="L16" s="174">
        <f t="shared" si="13"/>
        <v>17.50064094</v>
      </c>
      <c r="M16" s="173">
        <f t="shared" si="13"/>
        <v>19.87703107</v>
      </c>
      <c r="N16" s="173">
        <f t="shared" si="13"/>
        <v>22.0818657</v>
      </c>
      <c r="O16" s="173">
        <f t="shared" si="13"/>
        <v>23.98227858</v>
      </c>
      <c r="P16" s="173">
        <f t="shared" si="13"/>
        <v>25.45009276</v>
      </c>
      <c r="Q16" s="173">
        <f t="shared" si="13"/>
        <v>26.37519785</v>
      </c>
      <c r="R16" s="109"/>
      <c r="S16" s="142"/>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row>
    <row r="17" ht="12.0" customHeight="1" outlineLevel="1">
      <c r="A17" s="61"/>
      <c r="B17" s="175" t="s">
        <v>18</v>
      </c>
      <c r="C17" s="153"/>
      <c r="D17" s="176"/>
      <c r="E17" s="176"/>
      <c r="F17" s="161">
        <f t="shared" ref="F17:Q17" si="14">SUM(F14:F16)</f>
        <v>15.147811</v>
      </c>
      <c r="G17" s="162">
        <f t="shared" si="14"/>
        <v>14.625247</v>
      </c>
      <c r="H17" s="115">
        <f t="shared" si="14"/>
        <v>19.78</v>
      </c>
      <c r="I17" s="115">
        <f t="shared" si="14"/>
        <v>24.77</v>
      </c>
      <c r="J17" s="162">
        <f t="shared" si="14"/>
        <v>28.26</v>
      </c>
      <c r="K17" s="115">
        <f t="shared" si="14"/>
        <v>39.66213125</v>
      </c>
      <c r="L17" s="116">
        <f t="shared" si="14"/>
        <v>44.22407719</v>
      </c>
      <c r="M17" s="115">
        <f t="shared" si="14"/>
        <v>49.11674671</v>
      </c>
      <c r="N17" s="115">
        <f t="shared" si="14"/>
        <v>53.29778024</v>
      </c>
      <c r="O17" s="115">
        <f t="shared" si="14"/>
        <v>56.47314247</v>
      </c>
      <c r="P17" s="115">
        <f t="shared" si="14"/>
        <v>58.39263118</v>
      </c>
      <c r="Q17" s="115">
        <f t="shared" si="14"/>
        <v>58.88046591</v>
      </c>
      <c r="R17" s="109"/>
      <c r="S17" s="177"/>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row>
    <row r="18" ht="12.0" customHeight="1" outlineLevel="1">
      <c r="A18" s="61"/>
      <c r="B18" s="178" t="s">
        <v>19</v>
      </c>
      <c r="C18" s="153"/>
      <c r="D18" s="176"/>
      <c r="E18" s="176"/>
      <c r="F18" s="121">
        <f t="shared" ref="F18:Q18" si="15">F17/F4</f>
        <v>0.6528508492</v>
      </c>
      <c r="G18" s="122">
        <f t="shared" si="15"/>
        <v>0.5396770111</v>
      </c>
      <c r="H18" s="123">
        <f t="shared" si="15"/>
        <v>0.6220125786</v>
      </c>
      <c r="I18" s="123">
        <f t="shared" si="15"/>
        <v>0.5480088496</v>
      </c>
      <c r="J18" s="122">
        <f t="shared" si="15"/>
        <v>0.4702163062</v>
      </c>
      <c r="K18" s="123">
        <f t="shared" si="15"/>
        <v>0.5387229617</v>
      </c>
      <c r="L18" s="124">
        <f t="shared" si="15"/>
        <v>0.5112229617</v>
      </c>
      <c r="M18" s="123">
        <f t="shared" si="15"/>
        <v>0.4937229617</v>
      </c>
      <c r="N18" s="123">
        <f t="shared" si="15"/>
        <v>0.4762229617</v>
      </c>
      <c r="O18" s="123">
        <f t="shared" si="15"/>
        <v>0.4587229617</v>
      </c>
      <c r="P18" s="123">
        <f t="shared" si="15"/>
        <v>0.4412229617</v>
      </c>
      <c r="Q18" s="123">
        <f t="shared" si="15"/>
        <v>0.4237229617</v>
      </c>
      <c r="R18" s="109"/>
      <c r="S18" s="15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row>
    <row r="19" ht="12.0" customHeight="1" outlineLevel="2">
      <c r="A19" s="45"/>
      <c r="B19" s="178"/>
      <c r="C19" s="49"/>
      <c r="D19" s="179"/>
      <c r="E19" s="179"/>
      <c r="F19" s="121"/>
      <c r="G19" s="122"/>
      <c r="H19" s="123"/>
      <c r="I19" s="123"/>
      <c r="J19" s="122"/>
      <c r="K19" s="123"/>
      <c r="L19" s="124"/>
      <c r="M19" s="123"/>
      <c r="N19" s="123"/>
      <c r="O19" s="123"/>
      <c r="P19" s="123"/>
      <c r="Q19" s="123"/>
      <c r="R19" s="109"/>
      <c r="S19" s="151"/>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row>
    <row r="20" ht="12.0" customHeight="1" outlineLevel="2">
      <c r="A20" s="45"/>
      <c r="B20" s="165" t="s">
        <v>20</v>
      </c>
      <c r="C20" s="49"/>
      <c r="D20" s="179"/>
      <c r="E20" s="179"/>
      <c r="F20" s="156"/>
      <c r="G20" s="147"/>
      <c r="H20" s="148"/>
      <c r="I20" s="148"/>
      <c r="J20" s="147"/>
      <c r="K20" s="148"/>
      <c r="L20" s="149"/>
      <c r="M20" s="148"/>
      <c r="N20" s="148"/>
      <c r="O20" s="148"/>
      <c r="P20" s="148"/>
      <c r="Q20" s="148"/>
      <c r="R20" s="109"/>
      <c r="S20" s="158"/>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row>
    <row r="21" ht="12.0" customHeight="1" outlineLevel="2">
      <c r="A21" s="67"/>
      <c r="B21" s="167" t="s">
        <v>15</v>
      </c>
      <c r="C21" s="120">
        <v>-0.02</v>
      </c>
      <c r="D21" s="120">
        <v>-0.005</v>
      </c>
      <c r="E21" s="180"/>
      <c r="F21" s="156">
        <f t="shared" ref="F21:J21" si="16">F14/F$4</f>
        <v>0.3330238991</v>
      </c>
      <c r="G21" s="147">
        <f t="shared" si="16"/>
        <v>0.280982583</v>
      </c>
      <c r="H21" s="148">
        <f t="shared" si="16"/>
        <v>0.2889937107</v>
      </c>
      <c r="I21" s="148">
        <f t="shared" si="16"/>
        <v>0.2876106195</v>
      </c>
      <c r="J21" s="147">
        <f t="shared" si="16"/>
        <v>0.2489184692</v>
      </c>
      <c r="K21" s="148">
        <f t="shared" ref="K21:L21" si="17">J21+$C21</f>
        <v>0.2289184692</v>
      </c>
      <c r="L21" s="149">
        <f t="shared" si="17"/>
        <v>0.2089184692</v>
      </c>
      <c r="M21" s="148">
        <f t="shared" ref="M21:Q21" si="18">L21+$D21</f>
        <v>0.2039184692</v>
      </c>
      <c r="N21" s="148">
        <f t="shared" si="18"/>
        <v>0.1989184692</v>
      </c>
      <c r="O21" s="148">
        <f t="shared" si="18"/>
        <v>0.1939184692</v>
      </c>
      <c r="P21" s="148">
        <f t="shared" si="18"/>
        <v>0.1889184692</v>
      </c>
      <c r="Q21" s="148">
        <f t="shared" si="18"/>
        <v>0.1839184692</v>
      </c>
      <c r="R21" s="109"/>
      <c r="S21" s="158"/>
      <c r="T21" s="180"/>
      <c r="U21" s="180"/>
      <c r="V21" s="180"/>
      <c r="W21" s="180"/>
      <c r="X21" s="180"/>
      <c r="Y21" s="180"/>
      <c r="Z21" s="180"/>
      <c r="AA21" s="180"/>
      <c r="AB21" s="180"/>
      <c r="AC21" s="180"/>
      <c r="AD21" s="180"/>
      <c r="AE21" s="180"/>
      <c r="AF21" s="180"/>
      <c r="AG21" s="180"/>
      <c r="AH21" s="180"/>
      <c r="AI21" s="180"/>
      <c r="AJ21" s="180"/>
      <c r="AK21" s="180"/>
      <c r="AL21" s="180"/>
      <c r="AM21" s="180"/>
      <c r="AN21" s="180"/>
      <c r="AO21" s="180"/>
      <c r="AP21" s="180"/>
      <c r="AQ21" s="180"/>
      <c r="AR21" s="180"/>
      <c r="AS21" s="180"/>
      <c r="AT21" s="180"/>
      <c r="AU21" s="180"/>
      <c r="AV21" s="180"/>
      <c r="AW21" s="180"/>
    </row>
    <row r="22" ht="12.0" customHeight="1" outlineLevel="2">
      <c r="A22" s="67"/>
      <c r="B22" s="167" t="s">
        <v>16</v>
      </c>
      <c r="C22" s="120"/>
      <c r="D22" s="120">
        <v>-0.01</v>
      </c>
      <c r="E22" s="180"/>
      <c r="F22" s="156">
        <f t="shared" ref="F22:J22" si="19">F15/F$4</f>
        <v>0.3149891219</v>
      </c>
      <c r="G22" s="147">
        <f t="shared" si="19"/>
        <v>0.2580236531</v>
      </c>
      <c r="H22" s="148">
        <f t="shared" si="19"/>
        <v>0.007547169811</v>
      </c>
      <c r="I22" s="148">
        <f t="shared" si="19"/>
        <v>0.005309734513</v>
      </c>
      <c r="J22" s="147">
        <f t="shared" si="19"/>
        <v>0.003993344426</v>
      </c>
      <c r="K22" s="148">
        <v>0.1</v>
      </c>
      <c r="L22" s="149">
        <v>0.1</v>
      </c>
      <c r="M22" s="148">
        <f t="shared" ref="M22:Q22" si="20">L22+$D22</f>
        <v>0.09</v>
      </c>
      <c r="N22" s="148">
        <f t="shared" si="20"/>
        <v>0.08</v>
      </c>
      <c r="O22" s="148">
        <f t="shared" si="20"/>
        <v>0.07</v>
      </c>
      <c r="P22" s="148">
        <f t="shared" si="20"/>
        <v>0.06</v>
      </c>
      <c r="Q22" s="148">
        <f t="shared" si="20"/>
        <v>0.05</v>
      </c>
      <c r="R22" s="109"/>
      <c r="S22" s="158"/>
      <c r="T22" s="180"/>
      <c r="U22" s="180"/>
      <c r="V22" s="180"/>
      <c r="W22" s="180"/>
      <c r="X22" s="180"/>
      <c r="Y22" s="180"/>
      <c r="Z22" s="180"/>
      <c r="AA22" s="180"/>
      <c r="AB22" s="180"/>
      <c r="AC22" s="180"/>
      <c r="AD22" s="180"/>
      <c r="AE22" s="180"/>
      <c r="AF22" s="180"/>
      <c r="AG22" s="180"/>
      <c r="AH22" s="180"/>
      <c r="AI22" s="180"/>
      <c r="AJ22" s="180"/>
      <c r="AK22" s="180"/>
      <c r="AL22" s="180"/>
      <c r="AM22" s="180"/>
      <c r="AN22" s="180"/>
      <c r="AO22" s="180"/>
      <c r="AP22" s="180"/>
      <c r="AQ22" s="180"/>
      <c r="AR22" s="180"/>
      <c r="AS22" s="180"/>
      <c r="AT22" s="180"/>
      <c r="AU22" s="180"/>
      <c r="AV22" s="180"/>
      <c r="AW22" s="180"/>
    </row>
    <row r="23" ht="12.0" customHeight="1" outlineLevel="2">
      <c r="A23" s="67"/>
      <c r="B23" s="167" t="s">
        <v>17</v>
      </c>
      <c r="C23" s="181">
        <v>-0.0075</v>
      </c>
      <c r="D23" s="181">
        <v>-0.0025</v>
      </c>
      <c r="E23" s="182"/>
      <c r="F23" s="183">
        <f t="shared" ref="F23:J23" si="21">F16/F$4</f>
        <v>0.00483782824</v>
      </c>
      <c r="G23" s="184">
        <f t="shared" si="21"/>
        <v>0.0006707749077</v>
      </c>
      <c r="H23" s="185">
        <f t="shared" si="21"/>
        <v>0.3254716981</v>
      </c>
      <c r="I23" s="185">
        <f t="shared" si="21"/>
        <v>0.2550884956</v>
      </c>
      <c r="J23" s="184">
        <f t="shared" si="21"/>
        <v>0.2173044925</v>
      </c>
      <c r="K23" s="185">
        <f t="shared" ref="K23:L23" si="22">J23+$C23</f>
        <v>0.2098044925</v>
      </c>
      <c r="L23" s="186">
        <f t="shared" si="22"/>
        <v>0.2023044925</v>
      </c>
      <c r="M23" s="185">
        <f t="shared" ref="M23:Q23" si="23">L23+$D23</f>
        <v>0.1998044925</v>
      </c>
      <c r="N23" s="185">
        <f t="shared" si="23"/>
        <v>0.1973044925</v>
      </c>
      <c r="O23" s="185">
        <f t="shared" si="23"/>
        <v>0.1948044925</v>
      </c>
      <c r="P23" s="185">
        <f t="shared" si="23"/>
        <v>0.1923044925</v>
      </c>
      <c r="Q23" s="185">
        <f t="shared" si="23"/>
        <v>0.1898044925</v>
      </c>
      <c r="R23" s="109"/>
      <c r="S23" s="158"/>
      <c r="T23" s="180"/>
      <c r="U23" s="180"/>
      <c r="V23" s="180"/>
      <c r="W23" s="180"/>
      <c r="X23" s="180"/>
      <c r="Y23" s="180"/>
      <c r="Z23" s="180"/>
      <c r="AA23" s="180"/>
      <c r="AB23" s="180"/>
      <c r="AC23" s="180"/>
      <c r="AD23" s="180"/>
      <c r="AE23" s="180"/>
      <c r="AF23" s="180"/>
      <c r="AG23" s="180"/>
      <c r="AH23" s="180"/>
      <c r="AI23" s="180"/>
      <c r="AJ23" s="180"/>
      <c r="AK23" s="180"/>
      <c r="AL23" s="180"/>
      <c r="AM23" s="180"/>
      <c r="AN23" s="180"/>
      <c r="AO23" s="180"/>
      <c r="AP23" s="180"/>
      <c r="AQ23" s="180"/>
      <c r="AR23" s="180"/>
      <c r="AS23" s="180"/>
      <c r="AT23" s="180"/>
      <c r="AU23" s="180"/>
      <c r="AV23" s="180"/>
      <c r="AW23" s="180"/>
    </row>
    <row r="24" ht="12.0" customHeight="1" outlineLevel="2">
      <c r="A24" s="45"/>
      <c r="B24" s="187" t="s">
        <v>21</v>
      </c>
      <c r="C24" s="188"/>
      <c r="D24" s="17"/>
      <c r="E24" s="17"/>
      <c r="F24" s="121">
        <f t="shared" ref="F24:Q24" si="24">SUM(F21:F23)</f>
        <v>0.6528508492</v>
      </c>
      <c r="G24" s="122">
        <f t="shared" si="24"/>
        <v>0.5396770111</v>
      </c>
      <c r="H24" s="123">
        <f t="shared" si="24"/>
        <v>0.6220125786</v>
      </c>
      <c r="I24" s="123">
        <f t="shared" si="24"/>
        <v>0.5480088496</v>
      </c>
      <c r="J24" s="122">
        <f t="shared" si="24"/>
        <v>0.4702163062</v>
      </c>
      <c r="K24" s="123">
        <f t="shared" si="24"/>
        <v>0.5387229617</v>
      </c>
      <c r="L24" s="124">
        <f t="shared" si="24"/>
        <v>0.5112229617</v>
      </c>
      <c r="M24" s="123">
        <f t="shared" si="24"/>
        <v>0.4937229617</v>
      </c>
      <c r="N24" s="123">
        <f t="shared" si="24"/>
        <v>0.4762229617</v>
      </c>
      <c r="O24" s="123">
        <f t="shared" si="24"/>
        <v>0.4587229617</v>
      </c>
      <c r="P24" s="123">
        <f t="shared" si="24"/>
        <v>0.4412229617</v>
      </c>
      <c r="Q24" s="123">
        <f t="shared" si="24"/>
        <v>0.4237229617</v>
      </c>
      <c r="R24" s="109"/>
      <c r="S24" s="163"/>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row>
    <row r="25" ht="12.0" customHeight="1" outlineLevel="2">
      <c r="A25" s="45"/>
      <c r="B25" s="189"/>
      <c r="C25" s="188"/>
      <c r="D25" s="17"/>
      <c r="E25" s="17"/>
      <c r="F25" s="190"/>
      <c r="G25" s="191"/>
      <c r="H25" s="192"/>
      <c r="I25" s="192"/>
      <c r="J25" s="191"/>
      <c r="K25" s="192"/>
      <c r="L25" s="193"/>
      <c r="M25" s="192"/>
      <c r="N25" s="192"/>
      <c r="O25" s="192"/>
      <c r="P25" s="192"/>
      <c r="Q25" s="192"/>
      <c r="R25" s="104"/>
      <c r="S25" s="163"/>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row>
    <row r="26" ht="12.0" customHeight="1" outlineLevel="1">
      <c r="A26" s="45"/>
      <c r="B26" s="194" t="s">
        <v>22</v>
      </c>
      <c r="C26" s="195"/>
      <c r="D26" s="17"/>
      <c r="E26" s="17"/>
      <c r="F26" s="161">
        <f t="shared" ref="F26:Q26" si="25">F10-F17</f>
        <v>-1.38876009</v>
      </c>
      <c r="G26" s="162">
        <f t="shared" si="25"/>
        <v>1.532172</v>
      </c>
      <c r="H26" s="115">
        <f t="shared" si="25"/>
        <v>-0.8</v>
      </c>
      <c r="I26" s="115">
        <f t="shared" si="25"/>
        <v>4</v>
      </c>
      <c r="J26" s="162">
        <f t="shared" si="25"/>
        <v>8.72</v>
      </c>
      <c r="K26" s="115">
        <f t="shared" si="25"/>
        <v>5.63836875</v>
      </c>
      <c r="L26" s="116">
        <f t="shared" si="25"/>
        <v>9.004010313</v>
      </c>
      <c r="M26" s="115">
        <f t="shared" si="25"/>
        <v>12.09555391</v>
      </c>
      <c r="N26" s="115">
        <f t="shared" si="25"/>
        <v>15.56605796</v>
      </c>
      <c r="O26" s="115">
        <f t="shared" si="25"/>
        <v>19.27707955</v>
      </c>
      <c r="P26" s="115">
        <f t="shared" si="25"/>
        <v>23.0388575</v>
      </c>
      <c r="Q26" s="115">
        <f t="shared" si="25"/>
        <v>26.6225972</v>
      </c>
      <c r="R26" s="104"/>
      <c r="S26" s="163"/>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row>
    <row r="27" ht="12.0" customHeight="1" outlineLevel="1">
      <c r="A27" s="45"/>
      <c r="B27" s="187" t="s">
        <v>12</v>
      </c>
      <c r="C27" s="49"/>
      <c r="D27" s="159"/>
      <c r="E27" s="159"/>
      <c r="F27" s="121">
        <f t="shared" ref="F27:Q27" si="26">F26/F4</f>
        <v>-0.05985374416</v>
      </c>
      <c r="G27" s="122">
        <f t="shared" si="26"/>
        <v>0.05653771218</v>
      </c>
      <c r="H27" s="123">
        <f t="shared" si="26"/>
        <v>-0.0251572327</v>
      </c>
      <c r="I27" s="123">
        <f t="shared" si="26"/>
        <v>0.08849557522</v>
      </c>
      <c r="J27" s="122">
        <f t="shared" si="26"/>
        <v>0.1450915141</v>
      </c>
      <c r="K27" s="123">
        <f t="shared" si="26"/>
        <v>0.07658485857</v>
      </c>
      <c r="L27" s="124">
        <f t="shared" si="26"/>
        <v>0.1040848586</v>
      </c>
      <c r="M27" s="123">
        <f t="shared" si="26"/>
        <v>0.1215848586</v>
      </c>
      <c r="N27" s="123">
        <f t="shared" si="26"/>
        <v>0.1390848586</v>
      </c>
      <c r="O27" s="123">
        <f t="shared" si="26"/>
        <v>0.1565848586</v>
      </c>
      <c r="P27" s="123">
        <f t="shared" si="26"/>
        <v>0.1740848586</v>
      </c>
      <c r="Q27" s="123">
        <f t="shared" si="26"/>
        <v>0.1915848586</v>
      </c>
      <c r="R27" s="104"/>
      <c r="S27" s="151"/>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row>
    <row r="28" ht="12.0" customHeight="1" outlineLevel="2">
      <c r="A28" s="45"/>
      <c r="B28" s="194"/>
      <c r="C28" s="49"/>
      <c r="D28" s="129"/>
      <c r="E28" s="129"/>
      <c r="F28" s="196"/>
      <c r="G28" s="197"/>
      <c r="H28" s="198"/>
      <c r="I28" s="198"/>
      <c r="J28" s="197"/>
      <c r="K28" s="198"/>
      <c r="L28" s="199"/>
      <c r="M28" s="198"/>
      <c r="N28" s="198"/>
      <c r="O28" s="198"/>
      <c r="P28" s="198"/>
      <c r="Q28" s="198"/>
      <c r="R28" s="104"/>
      <c r="S28" s="200"/>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row>
    <row r="29" ht="12.0" customHeight="1" outlineLevel="7">
      <c r="A29" s="78"/>
      <c r="B29" s="201" t="s">
        <v>23</v>
      </c>
      <c r="C29" s="49"/>
      <c r="D29" s="136"/>
      <c r="E29" s="202"/>
      <c r="F29" s="203">
        <f>'mgmt '!I86</f>
        <v>0.99483639</v>
      </c>
      <c r="G29" s="169">
        <f>JILL!G29</f>
        <v>2.2</v>
      </c>
      <c r="H29" s="169">
        <f>JILL!H29</f>
        <v>1.28</v>
      </c>
      <c r="I29" s="169">
        <f>JILL!I29</f>
        <v>1.3</v>
      </c>
      <c r="J29" s="169">
        <f>JILL!J29</f>
        <v>2.8</v>
      </c>
      <c r="K29" s="204">
        <f t="shared" ref="K29:L29" si="27">K4*K30</f>
        <v>3.681125</v>
      </c>
      <c r="L29" s="205">
        <f t="shared" si="27"/>
        <v>4.325321875</v>
      </c>
      <c r="M29" s="204">
        <f t="shared" ref="M29:Q29" si="28">M35</f>
        <v>5.670496978</v>
      </c>
      <c r="N29" s="204">
        <f t="shared" si="28"/>
        <v>6.04355599</v>
      </c>
      <c r="O29" s="204">
        <f t="shared" si="28"/>
        <v>6.278583167</v>
      </c>
      <c r="P29" s="204">
        <f t="shared" si="28"/>
        <v>6.352448852</v>
      </c>
      <c r="Q29" s="204">
        <f t="shared" si="28"/>
        <v>6.253191838</v>
      </c>
      <c r="R29" s="206"/>
      <c r="S29" s="142"/>
      <c r="T29" s="45"/>
      <c r="U29" s="45"/>
      <c r="V29" s="45"/>
      <c r="W29" s="45"/>
      <c r="X29" s="45"/>
      <c r="Y29" s="45"/>
      <c r="Z29" s="45"/>
      <c r="AA29" s="45"/>
      <c r="AB29" s="45"/>
      <c r="AC29" s="45"/>
      <c r="AD29" s="45"/>
      <c r="AE29" s="45"/>
      <c r="AF29" s="45"/>
      <c r="AG29" s="45"/>
      <c r="AH29" s="45"/>
      <c r="AI29" s="45"/>
      <c r="AJ29" s="45"/>
      <c r="AK29" s="45"/>
      <c r="AL29" s="80"/>
      <c r="AM29" s="80"/>
      <c r="AN29" s="80"/>
      <c r="AO29" s="80"/>
      <c r="AP29" s="80"/>
      <c r="AQ29" s="80"/>
      <c r="AR29" s="80"/>
      <c r="AS29" s="80"/>
      <c r="AT29" s="80"/>
      <c r="AU29" s="80"/>
      <c r="AV29" s="80"/>
      <c r="AW29" s="80"/>
    </row>
    <row r="30" ht="12.0" customHeight="1" outlineLevel="7">
      <c r="A30" s="78"/>
      <c r="B30" s="167" t="s">
        <v>10</v>
      </c>
      <c r="C30" s="207">
        <v>0.05</v>
      </c>
      <c r="D30" s="207">
        <f>D36</f>
        <v>0.003</v>
      </c>
      <c r="E30" s="208"/>
      <c r="F30" s="156">
        <f t="shared" ref="F30:J30" si="29">F29/F4</f>
        <v>0.04287614772</v>
      </c>
      <c r="G30" s="147">
        <f t="shared" si="29"/>
        <v>0.08118081181</v>
      </c>
      <c r="H30" s="148">
        <f t="shared" si="29"/>
        <v>0.04025157233</v>
      </c>
      <c r="I30" s="148">
        <f t="shared" si="29"/>
        <v>0.02876106195</v>
      </c>
      <c r="J30" s="209">
        <f t="shared" si="29"/>
        <v>0.0465890183</v>
      </c>
      <c r="K30" s="157">
        <f>C30</f>
        <v>0.05</v>
      </c>
      <c r="L30" s="210">
        <f>K30</f>
        <v>0.05</v>
      </c>
      <c r="M30" s="157">
        <f t="shared" ref="M30:Q30" si="30">M29/M4</f>
        <v>0.057</v>
      </c>
      <c r="N30" s="157">
        <f t="shared" si="30"/>
        <v>0.054</v>
      </c>
      <c r="O30" s="157">
        <f t="shared" si="30"/>
        <v>0.051</v>
      </c>
      <c r="P30" s="157">
        <f t="shared" si="30"/>
        <v>0.048</v>
      </c>
      <c r="Q30" s="157">
        <f t="shared" si="30"/>
        <v>0.045</v>
      </c>
      <c r="R30" s="157"/>
      <c r="S30" s="158"/>
      <c r="T30" s="45"/>
      <c r="U30" s="45"/>
      <c r="V30" s="45"/>
      <c r="W30" s="45"/>
      <c r="X30" s="45"/>
      <c r="Y30" s="45"/>
      <c r="Z30" s="45"/>
      <c r="AA30" s="45"/>
      <c r="AB30" s="45"/>
      <c r="AC30" s="45"/>
      <c r="AD30" s="45"/>
      <c r="AE30" s="45"/>
      <c r="AF30" s="45"/>
      <c r="AG30" s="45"/>
      <c r="AH30" s="45"/>
      <c r="AI30" s="45"/>
      <c r="AJ30" s="45"/>
      <c r="AK30" s="45"/>
      <c r="AL30" s="80"/>
      <c r="AM30" s="80"/>
      <c r="AN30" s="80"/>
      <c r="AO30" s="80"/>
      <c r="AP30" s="80"/>
      <c r="AQ30" s="80"/>
      <c r="AR30" s="80"/>
      <c r="AS30" s="80"/>
      <c r="AT30" s="80"/>
      <c r="AU30" s="80"/>
      <c r="AV30" s="80"/>
      <c r="AW30" s="80"/>
    </row>
    <row r="31" ht="12.0" customHeight="1" outlineLevel="2">
      <c r="A31" s="80"/>
      <c r="B31" s="167"/>
      <c r="C31" s="49"/>
      <c r="D31" s="211"/>
      <c r="E31" s="208"/>
      <c r="F31" s="156"/>
      <c r="G31" s="147"/>
      <c r="H31" s="148"/>
      <c r="I31" s="157"/>
      <c r="J31" s="209"/>
      <c r="K31" s="157"/>
      <c r="L31" s="210"/>
      <c r="M31" s="157"/>
      <c r="N31" s="157"/>
      <c r="O31" s="157"/>
      <c r="P31" s="157"/>
      <c r="Q31" s="157"/>
      <c r="R31" s="212"/>
      <c r="S31" s="158"/>
      <c r="T31" s="45"/>
      <c r="U31" s="45"/>
      <c r="V31" s="45"/>
      <c r="W31" s="45"/>
      <c r="X31" s="45"/>
      <c r="Y31" s="45"/>
      <c r="Z31" s="45"/>
      <c r="AA31" s="45"/>
      <c r="AB31" s="45"/>
      <c r="AC31" s="45"/>
      <c r="AD31" s="45"/>
      <c r="AE31" s="45"/>
      <c r="AF31" s="45"/>
      <c r="AG31" s="45"/>
      <c r="AH31" s="45"/>
      <c r="AI31" s="45"/>
      <c r="AJ31" s="45"/>
      <c r="AK31" s="45"/>
      <c r="AL31" s="80"/>
      <c r="AM31" s="80"/>
      <c r="AN31" s="80"/>
      <c r="AO31" s="80"/>
      <c r="AP31" s="80"/>
      <c r="AQ31" s="80"/>
      <c r="AR31" s="80"/>
      <c r="AS31" s="80"/>
      <c r="AT31" s="80"/>
      <c r="AU31" s="80"/>
      <c r="AV31" s="80"/>
      <c r="AW31" s="80"/>
    </row>
    <row r="32" ht="12.0" customHeight="1" outlineLevel="1">
      <c r="A32" s="45"/>
      <c r="B32" s="194" t="s">
        <v>24</v>
      </c>
      <c r="C32" s="195"/>
      <c r="D32" s="211"/>
      <c r="E32" s="211"/>
      <c r="F32" s="161">
        <f t="shared" ref="F32:Q32" si="31">F26+F29</f>
        <v>-0.3939237</v>
      </c>
      <c r="G32" s="162">
        <f t="shared" si="31"/>
        <v>3.732172</v>
      </c>
      <c r="H32" s="115">
        <f t="shared" si="31"/>
        <v>0.48</v>
      </c>
      <c r="I32" s="115">
        <f t="shared" si="31"/>
        <v>5.3</v>
      </c>
      <c r="J32" s="162">
        <f t="shared" si="31"/>
        <v>11.52</v>
      </c>
      <c r="K32" s="115">
        <f t="shared" si="31"/>
        <v>9.31949375</v>
      </c>
      <c r="L32" s="116">
        <f t="shared" si="31"/>
        <v>13.32933219</v>
      </c>
      <c r="M32" s="115">
        <f t="shared" si="31"/>
        <v>17.76605089</v>
      </c>
      <c r="N32" s="115">
        <f t="shared" si="31"/>
        <v>21.60961395</v>
      </c>
      <c r="O32" s="115">
        <f t="shared" si="31"/>
        <v>25.55566272</v>
      </c>
      <c r="P32" s="115">
        <f t="shared" si="31"/>
        <v>29.39130635</v>
      </c>
      <c r="Q32" s="115">
        <f t="shared" si="31"/>
        <v>32.87578904</v>
      </c>
      <c r="R32" s="109"/>
      <c r="S32" s="163"/>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row>
    <row r="33" ht="12.0" customHeight="1" outlineLevel="1">
      <c r="A33" s="45"/>
      <c r="B33" s="187" t="s">
        <v>12</v>
      </c>
      <c r="C33" s="195"/>
      <c r="D33" s="211"/>
      <c r="E33" s="211"/>
      <c r="F33" s="121">
        <f t="shared" ref="F33:Q33" si="32">F32/F4</f>
        <v>-0.01697759644</v>
      </c>
      <c r="G33" s="122">
        <f t="shared" si="32"/>
        <v>0.137718524</v>
      </c>
      <c r="H33" s="123">
        <f t="shared" si="32"/>
        <v>0.01509433962</v>
      </c>
      <c r="I33" s="123">
        <f t="shared" si="32"/>
        <v>0.1172566372</v>
      </c>
      <c r="J33" s="122">
        <f t="shared" si="32"/>
        <v>0.1916805324</v>
      </c>
      <c r="K33" s="123">
        <f t="shared" si="32"/>
        <v>0.1265848586</v>
      </c>
      <c r="L33" s="124">
        <f t="shared" si="32"/>
        <v>0.1540848586</v>
      </c>
      <c r="M33" s="123">
        <f t="shared" si="32"/>
        <v>0.1785848586</v>
      </c>
      <c r="N33" s="123">
        <f t="shared" si="32"/>
        <v>0.1930848586</v>
      </c>
      <c r="O33" s="123">
        <f t="shared" si="32"/>
        <v>0.2075848586</v>
      </c>
      <c r="P33" s="123">
        <f t="shared" si="32"/>
        <v>0.2220848586</v>
      </c>
      <c r="Q33" s="123">
        <f t="shared" si="32"/>
        <v>0.2365848586</v>
      </c>
      <c r="R33" s="109"/>
      <c r="S33" s="163"/>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row>
    <row r="34" ht="12.0" customHeight="1" outlineLevel="3">
      <c r="A34" s="45"/>
      <c r="B34" s="194"/>
      <c r="C34" s="195"/>
      <c r="D34" s="211"/>
      <c r="E34" s="211"/>
      <c r="F34" s="213"/>
      <c r="G34" s="214"/>
      <c r="H34" s="215"/>
      <c r="I34" s="115"/>
      <c r="J34" s="162"/>
      <c r="K34" s="115"/>
      <c r="L34" s="116"/>
      <c r="M34" s="115"/>
      <c r="N34" s="115"/>
      <c r="O34" s="115"/>
      <c r="P34" s="115"/>
      <c r="Q34" s="115"/>
      <c r="R34" s="109"/>
      <c r="S34" s="163"/>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row>
    <row r="35" ht="12.0" customHeight="1" outlineLevel="3">
      <c r="A35" s="78"/>
      <c r="B35" s="194" t="s">
        <v>25</v>
      </c>
      <c r="C35" s="195"/>
      <c r="D35" s="211"/>
      <c r="E35" s="211"/>
      <c r="F35" s="138">
        <v>0.0</v>
      </c>
      <c r="G35" s="169">
        <f>JILL!G35</f>
        <v>1</v>
      </c>
      <c r="H35" s="169">
        <f>JILL!H35</f>
        <v>1.28</v>
      </c>
      <c r="I35" s="169">
        <f>JILL!I35</f>
        <v>1.3</v>
      </c>
      <c r="J35" s="169">
        <f>JILL!J35</f>
        <v>2.8</v>
      </c>
      <c r="K35" s="204">
        <f t="shared" ref="K35:Q35" si="33">K4*K36</f>
        <v>4.41735</v>
      </c>
      <c r="L35" s="205">
        <f t="shared" si="33"/>
        <v>5.19038625</v>
      </c>
      <c r="M35" s="204">
        <f t="shared" si="33"/>
        <v>5.670496978</v>
      </c>
      <c r="N35" s="204">
        <f t="shared" si="33"/>
        <v>6.04355599</v>
      </c>
      <c r="O35" s="204">
        <f t="shared" si="33"/>
        <v>6.278583167</v>
      </c>
      <c r="P35" s="204">
        <f t="shared" si="33"/>
        <v>6.352448852</v>
      </c>
      <c r="Q35" s="204">
        <f t="shared" si="33"/>
        <v>6.253191838</v>
      </c>
      <c r="R35" s="109"/>
      <c r="S35" s="163"/>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row>
    <row r="36" ht="12.0" customHeight="1" outlineLevel="3">
      <c r="A36" s="78"/>
      <c r="B36" s="187" t="s">
        <v>10</v>
      </c>
      <c r="C36" s="216">
        <v>0.06</v>
      </c>
      <c r="D36" s="216">
        <v>0.003</v>
      </c>
      <c r="E36" s="211"/>
      <c r="F36" s="156">
        <f t="shared" ref="F36:J36" si="34">F35/F4</f>
        <v>0</v>
      </c>
      <c r="G36" s="209">
        <f t="shared" si="34"/>
        <v>0.036900369</v>
      </c>
      <c r="H36" s="157">
        <f t="shared" si="34"/>
        <v>0.04025157233</v>
      </c>
      <c r="I36" s="157">
        <f t="shared" si="34"/>
        <v>0.02876106195</v>
      </c>
      <c r="J36" s="209">
        <f t="shared" si="34"/>
        <v>0.0465890183</v>
      </c>
      <c r="K36" s="157">
        <f>C36</f>
        <v>0.06</v>
      </c>
      <c r="L36" s="210">
        <f>K36</f>
        <v>0.06</v>
      </c>
      <c r="M36" s="157">
        <f t="shared" ref="M36:Q36" si="35">L36-$D$36</f>
        <v>0.057</v>
      </c>
      <c r="N36" s="157">
        <f t="shared" si="35"/>
        <v>0.054</v>
      </c>
      <c r="O36" s="157">
        <f t="shared" si="35"/>
        <v>0.051</v>
      </c>
      <c r="P36" s="157">
        <f t="shared" si="35"/>
        <v>0.048</v>
      </c>
      <c r="Q36" s="157">
        <f t="shared" si="35"/>
        <v>0.045</v>
      </c>
      <c r="R36" s="109"/>
      <c r="S36" s="163"/>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row>
    <row r="37" ht="12.0" customHeight="1" outlineLevel="3">
      <c r="A37" s="45"/>
      <c r="B37" s="194"/>
      <c r="C37" s="195"/>
      <c r="D37" s="211"/>
      <c r="E37" s="211"/>
      <c r="F37" s="213"/>
      <c r="G37" s="215"/>
      <c r="H37" s="215"/>
      <c r="I37" s="115"/>
      <c r="J37" s="115"/>
      <c r="K37" s="115"/>
      <c r="L37" s="115"/>
      <c r="M37" s="115"/>
      <c r="N37" s="115"/>
      <c r="O37" s="115"/>
      <c r="P37" s="115"/>
      <c r="Q37" s="115"/>
      <c r="R37" s="109"/>
      <c r="S37" s="163"/>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row>
    <row r="38" ht="12.0" customHeight="1" outlineLevel="3">
      <c r="A38" s="45"/>
      <c r="B38" s="194"/>
      <c r="C38" s="195"/>
      <c r="D38" s="211"/>
      <c r="E38" s="211"/>
      <c r="F38" s="213"/>
      <c r="G38" s="215"/>
      <c r="H38" s="215"/>
      <c r="I38" s="115"/>
      <c r="J38" s="115"/>
      <c r="K38" s="115"/>
      <c r="L38" s="115"/>
      <c r="M38" s="115"/>
      <c r="N38" s="115"/>
      <c r="O38" s="115"/>
      <c r="P38" s="115"/>
      <c r="Q38" s="115"/>
      <c r="R38" s="109"/>
      <c r="S38" s="163"/>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row>
    <row r="39" ht="12.0" customHeight="1" outlineLevel="3">
      <c r="A39" s="217" t="s">
        <v>30</v>
      </c>
      <c r="B39" s="218"/>
      <c r="C39" s="219"/>
      <c r="D39" s="220"/>
      <c r="E39" s="220"/>
      <c r="F39" s="221"/>
      <c r="G39" s="222"/>
      <c r="H39" s="220"/>
      <c r="I39" s="220"/>
      <c r="J39" s="220"/>
      <c r="K39" s="220"/>
      <c r="L39" s="223"/>
      <c r="M39" s="220"/>
      <c r="N39" s="220"/>
      <c r="O39" s="220"/>
      <c r="P39" s="220"/>
      <c r="Q39" s="220"/>
      <c r="R39" s="109"/>
      <c r="S39" s="158"/>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row>
    <row r="40" ht="12.0" customHeight="1" outlineLevel="3">
      <c r="A40" s="45"/>
      <c r="B40" s="187"/>
      <c r="C40" s="45"/>
      <c r="D40" s="45"/>
      <c r="E40" s="45"/>
      <c r="F40" s="156"/>
      <c r="G40" s="224" t="s">
        <v>31</v>
      </c>
      <c r="H40" s="225">
        <v>1.0</v>
      </c>
      <c r="I40" s="225">
        <v>2.0</v>
      </c>
      <c r="J40" s="226">
        <v>3.0</v>
      </c>
      <c r="K40" s="225">
        <v>4.0</v>
      </c>
      <c r="L40" s="225">
        <v>5.0</v>
      </c>
      <c r="M40" s="227">
        <f t="shared" ref="M40:Q40" si="36">L40+1</f>
        <v>6</v>
      </c>
      <c r="N40" s="227">
        <f t="shared" si="36"/>
        <v>7</v>
      </c>
      <c r="O40" s="227">
        <f t="shared" si="36"/>
        <v>8</v>
      </c>
      <c r="P40" s="227">
        <f t="shared" si="36"/>
        <v>9</v>
      </c>
      <c r="Q40" s="228">
        <f t="shared" si="36"/>
        <v>10</v>
      </c>
      <c r="R40" s="109"/>
      <c r="S40" s="158"/>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row>
    <row r="41" ht="12.0" customHeight="1" outlineLevel="3">
      <c r="A41" s="45"/>
      <c r="B41" s="194" t="s">
        <v>26</v>
      </c>
      <c r="C41" s="229">
        <v>0.05</v>
      </c>
      <c r="D41" s="230">
        <f>C41</f>
        <v>0.05</v>
      </c>
      <c r="E41" s="45"/>
      <c r="F41" s="20"/>
      <c r="G41" s="231">
        <f t="shared" ref="G41:L41" si="37">G4*$C$41</f>
        <v>1.355</v>
      </c>
      <c r="H41" s="140">
        <f t="shared" si="37"/>
        <v>1.59</v>
      </c>
      <c r="I41" s="140">
        <f t="shared" si="37"/>
        <v>2.26</v>
      </c>
      <c r="J41" s="140">
        <f t="shared" si="37"/>
        <v>3.005</v>
      </c>
      <c r="K41" s="140">
        <f t="shared" si="37"/>
        <v>3.681125</v>
      </c>
      <c r="L41" s="140">
        <f t="shared" si="37"/>
        <v>4.325321875</v>
      </c>
      <c r="M41" s="140">
        <f t="shared" ref="M41:Q41" si="38">M4*$D$41</f>
        <v>4.974120156</v>
      </c>
      <c r="N41" s="140">
        <f t="shared" si="38"/>
        <v>5.595885176</v>
      </c>
      <c r="O41" s="140">
        <f t="shared" si="38"/>
        <v>6.155473693</v>
      </c>
      <c r="P41" s="140">
        <f t="shared" si="38"/>
        <v>6.61713422</v>
      </c>
      <c r="Q41" s="140">
        <f t="shared" si="38"/>
        <v>6.947990931</v>
      </c>
      <c r="R41" s="45"/>
      <c r="S41" s="158"/>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row>
    <row r="42" ht="12.0" customHeight="1" outlineLevel="3">
      <c r="A42" s="88"/>
      <c r="B42" s="143" t="s">
        <v>27</v>
      </c>
      <c r="C42" s="88"/>
      <c r="D42" s="88"/>
      <c r="E42" s="88"/>
      <c r="F42" s="232"/>
      <c r="G42" s="233"/>
      <c r="H42" s="234">
        <f t="shared" ref="H42:Q42" si="39">H41-G41</f>
        <v>0.235</v>
      </c>
      <c r="I42" s="234">
        <f t="shared" si="39"/>
        <v>0.67</v>
      </c>
      <c r="J42" s="234">
        <f t="shared" si="39"/>
        <v>0.745</v>
      </c>
      <c r="K42" s="234">
        <f t="shared" si="39"/>
        <v>0.676125</v>
      </c>
      <c r="L42" s="234">
        <f t="shared" si="39"/>
        <v>0.644196875</v>
      </c>
      <c r="M42" s="234">
        <f t="shared" si="39"/>
        <v>0.6487982813</v>
      </c>
      <c r="N42" s="234">
        <f t="shared" si="39"/>
        <v>0.6217650195</v>
      </c>
      <c r="O42" s="234">
        <f t="shared" si="39"/>
        <v>0.5595885176</v>
      </c>
      <c r="P42" s="234">
        <f t="shared" si="39"/>
        <v>0.461660527</v>
      </c>
      <c r="Q42" s="234">
        <f t="shared" si="39"/>
        <v>0.330856711</v>
      </c>
      <c r="R42" s="88"/>
      <c r="S42" s="151"/>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row>
    <row r="43" ht="12.0" customHeight="1" outlineLevel="3">
      <c r="A43" s="45"/>
      <c r="B43" s="143"/>
      <c r="C43" s="45"/>
      <c r="D43" s="45"/>
      <c r="E43" s="45"/>
      <c r="F43" s="235"/>
      <c r="G43" s="236"/>
      <c r="H43" s="237"/>
      <c r="I43" s="237"/>
      <c r="J43" s="237"/>
      <c r="K43" s="237"/>
      <c r="L43" s="237"/>
      <c r="M43" s="237"/>
      <c r="N43" s="237"/>
      <c r="O43" s="237"/>
      <c r="P43" s="237"/>
      <c r="Q43" s="237"/>
      <c r="R43" s="45"/>
      <c r="S43" s="158"/>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row>
    <row r="44" ht="12.0" customHeight="1" outlineLevel="3">
      <c r="A44" s="45"/>
      <c r="B44" s="159" t="s">
        <v>32</v>
      </c>
      <c r="C44" s="238"/>
      <c r="D44" s="238"/>
      <c r="E44" s="238"/>
      <c r="F44" s="239"/>
      <c r="G44" s="240"/>
      <c r="H44" s="140">
        <f t="shared" ref="H44:Q44" si="40">H26</f>
        <v>-0.8</v>
      </c>
      <c r="I44" s="140">
        <f t="shared" si="40"/>
        <v>4</v>
      </c>
      <c r="J44" s="140">
        <f t="shared" si="40"/>
        <v>8.72</v>
      </c>
      <c r="K44" s="140">
        <f t="shared" si="40"/>
        <v>5.63836875</v>
      </c>
      <c r="L44" s="140">
        <f t="shared" si="40"/>
        <v>9.004010313</v>
      </c>
      <c r="M44" s="140">
        <f t="shared" si="40"/>
        <v>12.09555391</v>
      </c>
      <c r="N44" s="140">
        <f t="shared" si="40"/>
        <v>15.56605796</v>
      </c>
      <c r="O44" s="140">
        <f t="shared" si="40"/>
        <v>19.27707955</v>
      </c>
      <c r="P44" s="140">
        <f t="shared" si="40"/>
        <v>23.0388575</v>
      </c>
      <c r="Q44" s="140">
        <f t="shared" si="40"/>
        <v>26.6225972</v>
      </c>
      <c r="R44" s="45"/>
      <c r="S44" s="241"/>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row>
    <row r="45" ht="12.0" customHeight="1" outlineLevel="3">
      <c r="A45" s="45"/>
      <c r="B45" s="242" t="s">
        <v>33</v>
      </c>
      <c r="C45" s="229">
        <v>0.2</v>
      </c>
      <c r="D45" s="243"/>
      <c r="E45" s="243"/>
      <c r="F45" s="244"/>
      <c r="G45" s="245"/>
      <c r="H45" s="203">
        <v>0.0</v>
      </c>
      <c r="I45" s="140">
        <f t="shared" ref="I45:Q45" si="41">-I44*$C$45</f>
        <v>-0.8</v>
      </c>
      <c r="J45" s="140">
        <f t="shared" si="41"/>
        <v>-1.744</v>
      </c>
      <c r="K45" s="140">
        <f t="shared" si="41"/>
        <v>-1.12767375</v>
      </c>
      <c r="L45" s="140">
        <f t="shared" si="41"/>
        <v>-1.800802063</v>
      </c>
      <c r="M45" s="140">
        <f t="shared" si="41"/>
        <v>-2.419110783</v>
      </c>
      <c r="N45" s="140">
        <f t="shared" si="41"/>
        <v>-3.113211593</v>
      </c>
      <c r="O45" s="140">
        <f t="shared" si="41"/>
        <v>-3.855415911</v>
      </c>
      <c r="P45" s="140">
        <f t="shared" si="41"/>
        <v>-4.6077715</v>
      </c>
      <c r="Q45" s="140">
        <f t="shared" si="41"/>
        <v>-5.32451944</v>
      </c>
      <c r="R45" s="45"/>
      <c r="S45" s="158"/>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row>
    <row r="46" ht="12.0" customHeight="1" outlineLevel="3">
      <c r="A46" s="80"/>
      <c r="B46" s="246" t="s">
        <v>34</v>
      </c>
      <c r="C46" s="247">
        <v>1.0</v>
      </c>
      <c r="D46" s="248"/>
      <c r="E46" s="248"/>
      <c r="F46" s="249"/>
      <c r="G46" s="249"/>
      <c r="H46" s="204">
        <f t="shared" ref="H46:Q46" si="42">IF(-H45&lt;=$C$46,-H45,($C$46))</f>
        <v>0</v>
      </c>
      <c r="I46" s="204">
        <f t="shared" si="42"/>
        <v>0.8</v>
      </c>
      <c r="J46" s="204">
        <f t="shared" si="42"/>
        <v>1</v>
      </c>
      <c r="K46" s="204">
        <f t="shared" si="42"/>
        <v>1</v>
      </c>
      <c r="L46" s="204">
        <f t="shared" si="42"/>
        <v>1</v>
      </c>
      <c r="M46" s="204">
        <f t="shared" si="42"/>
        <v>1</v>
      </c>
      <c r="N46" s="204">
        <f t="shared" si="42"/>
        <v>1</v>
      </c>
      <c r="O46" s="204">
        <f t="shared" si="42"/>
        <v>1</v>
      </c>
      <c r="P46" s="204">
        <f t="shared" si="42"/>
        <v>1</v>
      </c>
      <c r="Q46" s="204">
        <f t="shared" si="42"/>
        <v>1</v>
      </c>
      <c r="R46" s="80"/>
      <c r="S46" s="158"/>
      <c r="T46" s="80"/>
      <c r="U46" s="80"/>
      <c r="V46" s="80"/>
      <c r="W46" s="80"/>
      <c r="X46" s="80"/>
      <c r="Y46" s="80"/>
      <c r="Z46" s="80"/>
      <c r="AA46" s="80"/>
      <c r="AB46" s="80"/>
      <c r="AC46" s="80"/>
      <c r="AD46" s="80"/>
      <c r="AE46" s="80"/>
      <c r="AF46" s="80"/>
      <c r="AG46" s="80"/>
      <c r="AH46" s="80"/>
      <c r="AI46" s="80"/>
      <c r="AJ46" s="80"/>
      <c r="AK46" s="80"/>
      <c r="AL46" s="80"/>
      <c r="AM46" s="80"/>
      <c r="AN46" s="80"/>
      <c r="AO46" s="80"/>
      <c r="AP46" s="80"/>
      <c r="AQ46" s="80"/>
      <c r="AR46" s="80"/>
      <c r="AS46" s="80"/>
      <c r="AT46" s="80"/>
      <c r="AU46" s="80"/>
      <c r="AV46" s="80"/>
      <c r="AW46" s="80"/>
    </row>
    <row r="47" ht="12.0" customHeight="1" outlineLevel="4">
      <c r="A47" s="45"/>
      <c r="B47" s="242" t="s">
        <v>35</v>
      </c>
      <c r="C47" s="238"/>
      <c r="D47" s="238"/>
      <c r="E47" s="238"/>
      <c r="F47" s="239"/>
      <c r="G47" s="240"/>
      <c r="H47" s="140">
        <f t="shared" ref="H47:Q47" si="43">-H35</f>
        <v>-1.28</v>
      </c>
      <c r="I47" s="140">
        <f t="shared" si="43"/>
        <v>-1.3</v>
      </c>
      <c r="J47" s="140">
        <f t="shared" si="43"/>
        <v>-2.8</v>
      </c>
      <c r="K47" s="140">
        <f t="shared" si="43"/>
        <v>-4.41735</v>
      </c>
      <c r="L47" s="140">
        <f t="shared" si="43"/>
        <v>-5.19038625</v>
      </c>
      <c r="M47" s="140">
        <f t="shared" si="43"/>
        <v>-5.670496978</v>
      </c>
      <c r="N47" s="140">
        <f t="shared" si="43"/>
        <v>-6.04355599</v>
      </c>
      <c r="O47" s="140">
        <f t="shared" si="43"/>
        <v>-6.278583167</v>
      </c>
      <c r="P47" s="140">
        <f t="shared" si="43"/>
        <v>-6.352448852</v>
      </c>
      <c r="Q47" s="140">
        <f t="shared" si="43"/>
        <v>-6.253191838</v>
      </c>
      <c r="R47" s="45"/>
      <c r="S47" s="250"/>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row>
    <row r="48" ht="12.0" customHeight="1" outlineLevel="4">
      <c r="A48" s="45"/>
      <c r="B48" s="242" t="s">
        <v>36</v>
      </c>
      <c r="C48" s="238"/>
      <c r="D48" s="238"/>
      <c r="E48" s="238"/>
      <c r="F48" s="239"/>
      <c r="G48" s="240"/>
      <c r="H48" s="140">
        <f t="shared" ref="H48:Q48" si="44">H29</f>
        <v>1.28</v>
      </c>
      <c r="I48" s="140">
        <f t="shared" si="44"/>
        <v>1.3</v>
      </c>
      <c r="J48" s="140">
        <f t="shared" si="44"/>
        <v>2.8</v>
      </c>
      <c r="K48" s="140">
        <f t="shared" si="44"/>
        <v>3.681125</v>
      </c>
      <c r="L48" s="140">
        <f t="shared" si="44"/>
        <v>4.325321875</v>
      </c>
      <c r="M48" s="140">
        <f t="shared" si="44"/>
        <v>5.670496978</v>
      </c>
      <c r="N48" s="140">
        <f t="shared" si="44"/>
        <v>6.04355599</v>
      </c>
      <c r="O48" s="140">
        <f t="shared" si="44"/>
        <v>6.278583167</v>
      </c>
      <c r="P48" s="140">
        <f t="shared" si="44"/>
        <v>6.352448852</v>
      </c>
      <c r="Q48" s="140">
        <f t="shared" si="44"/>
        <v>6.253191838</v>
      </c>
      <c r="R48" s="45"/>
      <c r="S48" s="241"/>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row>
    <row r="49" ht="12.0" customHeight="1" outlineLevel="3">
      <c r="A49" s="45"/>
      <c r="B49" s="251" t="s">
        <v>37</v>
      </c>
      <c r="C49" s="252"/>
      <c r="D49" s="252"/>
      <c r="E49" s="252"/>
      <c r="F49" s="253"/>
      <c r="G49" s="254"/>
      <c r="H49" s="173">
        <f t="shared" ref="H49:Q49" si="45">H42</f>
        <v>0.235</v>
      </c>
      <c r="I49" s="173">
        <f t="shared" si="45"/>
        <v>0.67</v>
      </c>
      <c r="J49" s="173">
        <f t="shared" si="45"/>
        <v>0.745</v>
      </c>
      <c r="K49" s="173">
        <f t="shared" si="45"/>
        <v>0.676125</v>
      </c>
      <c r="L49" s="173">
        <f t="shared" si="45"/>
        <v>0.644196875</v>
      </c>
      <c r="M49" s="173">
        <f t="shared" si="45"/>
        <v>0.6487982813</v>
      </c>
      <c r="N49" s="173">
        <f t="shared" si="45"/>
        <v>0.6217650195</v>
      </c>
      <c r="O49" s="173">
        <f t="shared" si="45"/>
        <v>0.5595885176</v>
      </c>
      <c r="P49" s="173">
        <f t="shared" si="45"/>
        <v>0.461660527</v>
      </c>
      <c r="Q49" s="173">
        <f t="shared" si="45"/>
        <v>0.330856711</v>
      </c>
      <c r="R49" s="109"/>
      <c r="S49" s="25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row>
    <row r="50" ht="12.0" customHeight="1" outlineLevel="3">
      <c r="A50" s="45"/>
      <c r="B50" s="159" t="s">
        <v>38</v>
      </c>
      <c r="C50" s="256"/>
      <c r="D50" s="256"/>
      <c r="E50" s="256"/>
      <c r="F50" s="257"/>
      <c r="G50" s="150"/>
      <c r="H50" s="115">
        <f t="shared" ref="H50:Q50" si="46">SUM(H44:H49)</f>
        <v>-0.565</v>
      </c>
      <c r="I50" s="115">
        <f t="shared" si="46"/>
        <v>4.67</v>
      </c>
      <c r="J50" s="115">
        <f t="shared" si="46"/>
        <v>8.721</v>
      </c>
      <c r="K50" s="115">
        <f t="shared" si="46"/>
        <v>5.450595</v>
      </c>
      <c r="L50" s="115">
        <f t="shared" si="46"/>
        <v>7.98234075</v>
      </c>
      <c r="M50" s="115">
        <f t="shared" si="46"/>
        <v>11.32524141</v>
      </c>
      <c r="N50" s="115">
        <f t="shared" si="46"/>
        <v>14.07461139</v>
      </c>
      <c r="O50" s="115">
        <f t="shared" si="46"/>
        <v>16.98125216</v>
      </c>
      <c r="P50" s="115">
        <f t="shared" si="46"/>
        <v>19.89274653</v>
      </c>
      <c r="Q50" s="115">
        <f t="shared" si="46"/>
        <v>22.62893447</v>
      </c>
      <c r="R50" s="109"/>
      <c r="S50" s="258"/>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row>
    <row r="51" ht="12.0" customHeight="1" outlineLevel="3">
      <c r="A51" s="45"/>
      <c r="B51" s="238"/>
      <c r="C51" s="238"/>
      <c r="D51" s="238"/>
      <c r="E51" s="238"/>
      <c r="F51" s="239"/>
      <c r="G51" s="240"/>
      <c r="H51" s="240"/>
      <c r="I51" s="240"/>
      <c r="J51" s="240"/>
      <c r="K51" s="240"/>
      <c r="L51" s="240"/>
      <c r="M51" s="240"/>
      <c r="N51" s="240"/>
      <c r="O51" s="240"/>
      <c r="P51" s="240"/>
      <c r="Q51" s="240"/>
      <c r="R51" s="45"/>
      <c r="S51" s="241"/>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row>
    <row r="52" ht="12.0" customHeight="1" outlineLevel="3">
      <c r="A52" s="45"/>
      <c r="B52" s="136" t="s">
        <v>39</v>
      </c>
      <c r="C52" s="238"/>
      <c r="D52" s="238"/>
      <c r="E52" s="238"/>
      <c r="F52" s="239"/>
      <c r="G52" s="240"/>
      <c r="H52" s="240">
        <v>1.0</v>
      </c>
      <c r="I52" s="240">
        <f t="shared" ref="I52:Q52" si="47">H52+1</f>
        <v>2</v>
      </c>
      <c r="J52" s="240">
        <f t="shared" si="47"/>
        <v>3</v>
      </c>
      <c r="K52" s="240">
        <f t="shared" si="47"/>
        <v>4</v>
      </c>
      <c r="L52" s="240">
        <f t="shared" si="47"/>
        <v>5</v>
      </c>
      <c r="M52" s="240">
        <f t="shared" si="47"/>
        <v>6</v>
      </c>
      <c r="N52" s="240">
        <f t="shared" si="47"/>
        <v>7</v>
      </c>
      <c r="O52" s="240">
        <f t="shared" si="47"/>
        <v>8</v>
      </c>
      <c r="P52" s="240">
        <f t="shared" si="47"/>
        <v>9</v>
      </c>
      <c r="Q52" s="240">
        <f t="shared" si="47"/>
        <v>10</v>
      </c>
      <c r="R52" s="259" t="s">
        <v>40</v>
      </c>
      <c r="S52" s="241"/>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row>
    <row r="53" ht="12.0" customHeight="1" outlineLevel="3">
      <c r="A53" s="45"/>
      <c r="B53" s="136" t="s">
        <v>41</v>
      </c>
      <c r="C53" s="229">
        <v>0.18</v>
      </c>
      <c r="D53" s="260"/>
      <c r="E53" s="243"/>
      <c r="F53" s="244"/>
      <c r="G53" s="245"/>
      <c r="H53" s="261">
        <f t="shared" ref="H53:Q53" si="48">1/((1+$C$53)^H52)</f>
        <v>0.8474576271</v>
      </c>
      <c r="I53" s="261">
        <f t="shared" si="48"/>
        <v>0.7181844298</v>
      </c>
      <c r="J53" s="261">
        <f t="shared" si="48"/>
        <v>0.6086308727</v>
      </c>
      <c r="K53" s="261">
        <f t="shared" si="48"/>
        <v>0.5157888752</v>
      </c>
      <c r="L53" s="261">
        <f t="shared" si="48"/>
        <v>0.4371092162</v>
      </c>
      <c r="M53" s="261">
        <f t="shared" si="48"/>
        <v>0.3704315392</v>
      </c>
      <c r="N53" s="261">
        <f t="shared" si="48"/>
        <v>0.3139250332</v>
      </c>
      <c r="O53" s="261">
        <f t="shared" si="48"/>
        <v>0.2660381637</v>
      </c>
      <c r="P53" s="261">
        <f t="shared" si="48"/>
        <v>0.225456071</v>
      </c>
      <c r="Q53" s="261">
        <f t="shared" si="48"/>
        <v>0.1910644669</v>
      </c>
      <c r="R53" s="262">
        <f>Q53</f>
        <v>0.1910644669</v>
      </c>
      <c r="S53" s="158"/>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row>
    <row r="54" ht="12.0" customHeight="1" outlineLevel="3">
      <c r="A54" s="45"/>
      <c r="B54" s="154" t="s">
        <v>42</v>
      </c>
      <c r="C54" s="229">
        <v>0.02</v>
      </c>
      <c r="D54" s="243"/>
      <c r="E54" s="245"/>
      <c r="F54" s="244"/>
      <c r="G54" s="240"/>
      <c r="H54" s="245"/>
      <c r="I54" s="245"/>
      <c r="J54" s="245"/>
      <c r="K54" s="245"/>
      <c r="L54" s="245"/>
      <c r="M54" s="245"/>
      <c r="N54" s="245"/>
      <c r="O54" s="245"/>
      <c r="P54" s="245"/>
      <c r="Q54" s="243"/>
      <c r="R54" s="261"/>
      <c r="S54" s="158"/>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row>
    <row r="55" ht="12.0" customHeight="1" outlineLevel="3">
      <c r="A55" s="45"/>
      <c r="B55" s="159"/>
      <c r="C55" s="263"/>
      <c r="D55" s="263"/>
      <c r="E55" s="264"/>
      <c r="F55" s="265"/>
      <c r="G55" s="240"/>
      <c r="H55" s="264"/>
      <c r="I55" s="264"/>
      <c r="J55" s="264"/>
      <c r="K55" s="264"/>
      <c r="L55" s="264"/>
      <c r="M55" s="264"/>
      <c r="N55" s="264"/>
      <c r="O55" s="264"/>
      <c r="P55" s="264"/>
      <c r="Q55" s="45"/>
      <c r="R55" s="109"/>
      <c r="S55" s="158"/>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row>
    <row r="56" ht="12.0" customHeight="1" outlineLevel="3">
      <c r="A56" s="45"/>
      <c r="B56" s="159" t="s">
        <v>43</v>
      </c>
      <c r="C56" s="256"/>
      <c r="D56" s="256"/>
      <c r="E56" s="256"/>
      <c r="F56" s="257"/>
      <c r="G56" s="150"/>
      <c r="H56" s="115">
        <f t="shared" ref="H56:Q56" si="49">H50*H53</f>
        <v>-0.4788135593</v>
      </c>
      <c r="I56" s="115">
        <f t="shared" si="49"/>
        <v>3.353921287</v>
      </c>
      <c r="J56" s="115">
        <f t="shared" si="49"/>
        <v>5.307869841</v>
      </c>
      <c r="K56" s="115">
        <f t="shared" si="49"/>
        <v>2.811356264</v>
      </c>
      <c r="L56" s="115">
        <f t="shared" si="49"/>
        <v>3.489154709</v>
      </c>
      <c r="M56" s="115">
        <f t="shared" si="49"/>
        <v>4.195226608</v>
      </c>
      <c r="N56" s="115">
        <f t="shared" si="49"/>
        <v>4.418372848</v>
      </c>
      <c r="O56" s="115">
        <f t="shared" si="49"/>
        <v>4.517661143</v>
      </c>
      <c r="P56" s="115">
        <f t="shared" si="49"/>
        <v>4.484940472</v>
      </c>
      <c r="Q56" s="115">
        <f t="shared" si="49"/>
        <v>4.323585301</v>
      </c>
      <c r="R56" s="115">
        <f>((Q50*(1+C53))/(C53-C54))*Q53</f>
        <v>31.8864416</v>
      </c>
      <c r="S56" s="158"/>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row>
    <row r="57" ht="12.0" customHeight="1" outlineLevel="2">
      <c r="A57" s="45"/>
      <c r="B57" s="159"/>
      <c r="C57" s="256"/>
      <c r="D57" s="256"/>
      <c r="E57" s="256"/>
      <c r="F57" s="257"/>
      <c r="G57" s="150"/>
      <c r="H57" s="115"/>
      <c r="I57" s="115"/>
      <c r="J57" s="115"/>
      <c r="K57" s="115"/>
      <c r="L57" s="115"/>
      <c r="M57" s="115"/>
      <c r="N57" s="115"/>
      <c r="O57" s="115"/>
      <c r="P57" s="115"/>
      <c r="Q57" s="266" t="s">
        <v>44</v>
      </c>
      <c r="R57" s="267">
        <f>R56/H58</f>
        <v>0.4667921816</v>
      </c>
      <c r="S57" s="158"/>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row>
    <row r="58" ht="12.0" customHeight="1" outlineLevel="2">
      <c r="A58" s="45"/>
      <c r="B58" s="268" t="s">
        <v>45</v>
      </c>
      <c r="C58" s="269"/>
      <c r="D58" s="269"/>
      <c r="E58" s="269"/>
      <c r="F58" s="270"/>
      <c r="G58" s="269"/>
      <c r="H58" s="271">
        <f>SUM(H56:R56)</f>
        <v>68.30971651</v>
      </c>
      <c r="I58" s="272"/>
      <c r="J58" s="115"/>
      <c r="K58" s="115"/>
      <c r="L58" s="115"/>
      <c r="M58" s="115"/>
      <c r="N58" s="115"/>
      <c r="O58" s="115"/>
      <c r="P58" s="115"/>
      <c r="Q58" s="115"/>
      <c r="R58" s="109"/>
      <c r="S58" s="158"/>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row>
    <row r="59" ht="12.0" customHeight="1" outlineLevel="2">
      <c r="A59" s="80"/>
      <c r="B59" s="273" t="s">
        <v>46</v>
      </c>
      <c r="C59" s="274"/>
      <c r="D59" s="274"/>
      <c r="E59" s="274"/>
      <c r="F59" s="275"/>
      <c r="G59" s="276"/>
      <c r="H59" s="277">
        <f>SUM(H56:Q56)</f>
        <v>36.42327491</v>
      </c>
      <c r="I59" s="278"/>
      <c r="J59" s="279"/>
      <c r="K59" s="279"/>
      <c r="L59" s="279"/>
      <c r="M59" s="279"/>
      <c r="N59" s="279"/>
      <c r="O59" s="279"/>
      <c r="P59" s="279"/>
      <c r="Q59" s="279"/>
      <c r="R59" s="212"/>
      <c r="S59" s="2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row>
    <row r="60" ht="12.0" customHeight="1">
      <c r="A60" s="274"/>
      <c r="B60" s="273" t="s">
        <v>47</v>
      </c>
      <c r="C60" s="274"/>
      <c r="D60" s="274"/>
      <c r="E60" s="274"/>
      <c r="F60" s="275"/>
      <c r="G60" s="276"/>
      <c r="H60" s="277">
        <f>R56</f>
        <v>31.8864416</v>
      </c>
      <c r="I60" s="276"/>
      <c r="J60" s="276"/>
      <c r="K60" s="276"/>
      <c r="L60" s="276"/>
      <c r="M60" s="276"/>
      <c r="N60" s="276"/>
      <c r="O60" s="276"/>
      <c r="P60" s="276"/>
      <c r="Q60" s="276"/>
      <c r="R60" s="276"/>
      <c r="S60" s="281"/>
      <c r="T60" s="274"/>
      <c r="U60" s="274"/>
      <c r="V60" s="274"/>
      <c r="W60" s="274"/>
      <c r="X60" s="274"/>
      <c r="Y60" s="274"/>
      <c r="Z60" s="274"/>
      <c r="AA60" s="274"/>
      <c r="AB60" s="274"/>
      <c r="AC60" s="274"/>
      <c r="AD60" s="274"/>
      <c r="AE60" s="274"/>
      <c r="AF60" s="274"/>
      <c r="AG60" s="274"/>
      <c r="AH60" s="274"/>
      <c r="AI60" s="274"/>
      <c r="AJ60" s="274"/>
      <c r="AK60" s="274"/>
      <c r="AL60" s="274"/>
      <c r="AM60" s="274"/>
      <c r="AN60" s="274"/>
      <c r="AO60" s="274"/>
      <c r="AP60" s="274"/>
      <c r="AQ60" s="274"/>
      <c r="AR60" s="274"/>
      <c r="AS60" s="274"/>
      <c r="AT60" s="274"/>
      <c r="AU60" s="274"/>
      <c r="AV60" s="274"/>
      <c r="AW60" s="274"/>
    </row>
    <row r="61" ht="12.0" customHeight="1">
      <c r="A61" s="274"/>
      <c r="B61" s="273" t="s">
        <v>48</v>
      </c>
      <c r="C61" s="274"/>
      <c r="D61" s="274"/>
      <c r="E61" s="274"/>
      <c r="F61" s="275"/>
      <c r="G61" s="276"/>
      <c r="H61" s="173">
        <f>SUM(H46:Q46)</f>
        <v>8.8</v>
      </c>
      <c r="I61" s="276"/>
      <c r="J61" s="276"/>
      <c r="K61" s="276"/>
      <c r="L61" s="276"/>
      <c r="M61" s="276"/>
      <c r="N61" s="276"/>
      <c r="O61" s="276"/>
      <c r="P61" s="276"/>
      <c r="Q61" s="276"/>
      <c r="R61" s="276"/>
      <c r="S61" s="281"/>
      <c r="T61" s="274"/>
      <c r="U61" s="274"/>
      <c r="V61" s="274"/>
      <c r="W61" s="274"/>
      <c r="X61" s="274"/>
      <c r="Y61" s="274"/>
      <c r="Z61" s="274"/>
      <c r="AA61" s="274"/>
      <c r="AB61" s="274"/>
      <c r="AC61" s="274"/>
      <c r="AD61" s="274"/>
      <c r="AE61" s="274"/>
      <c r="AF61" s="274"/>
      <c r="AG61" s="274"/>
      <c r="AH61" s="274"/>
      <c r="AI61" s="274"/>
      <c r="AJ61" s="274"/>
      <c r="AK61" s="274"/>
      <c r="AL61" s="274"/>
      <c r="AM61" s="274"/>
      <c r="AN61" s="274"/>
      <c r="AO61" s="274"/>
      <c r="AP61" s="274"/>
      <c r="AQ61" s="274"/>
      <c r="AR61" s="274"/>
      <c r="AS61" s="274"/>
      <c r="AT61" s="274"/>
      <c r="AU61" s="274"/>
      <c r="AV61" s="274"/>
      <c r="AW61" s="274"/>
    </row>
    <row r="62" ht="12.0" customHeight="1">
      <c r="A62" s="274"/>
      <c r="B62" s="274"/>
      <c r="C62" s="274"/>
      <c r="D62" s="274"/>
      <c r="E62" s="274"/>
      <c r="F62" s="275"/>
      <c r="G62" s="104" t="s">
        <v>49</v>
      </c>
      <c r="H62" s="282">
        <f>H58-SUM(H59+H60)</f>
        <v>0</v>
      </c>
      <c r="I62" s="276"/>
      <c r="J62" s="276"/>
      <c r="K62" s="276"/>
      <c r="L62" s="276"/>
      <c r="M62" s="276"/>
      <c r="N62" s="276"/>
      <c r="O62" s="276"/>
      <c r="P62" s="276"/>
      <c r="Q62" s="276"/>
      <c r="R62" s="276"/>
      <c r="S62" s="281"/>
      <c r="T62" s="274"/>
      <c r="U62" s="274"/>
      <c r="V62" s="274"/>
      <c r="W62" s="274"/>
      <c r="X62" s="274"/>
      <c r="Y62" s="274"/>
      <c r="Z62" s="274"/>
      <c r="AA62" s="274"/>
      <c r="AB62" s="274"/>
      <c r="AC62" s="274"/>
      <c r="AD62" s="274"/>
      <c r="AE62" s="274"/>
      <c r="AF62" s="274"/>
      <c r="AG62" s="274"/>
      <c r="AH62" s="274"/>
      <c r="AI62" s="274"/>
      <c r="AJ62" s="274"/>
      <c r="AK62" s="274"/>
      <c r="AL62" s="274"/>
      <c r="AM62" s="274"/>
      <c r="AN62" s="274"/>
      <c r="AO62" s="274"/>
      <c r="AP62" s="274"/>
      <c r="AQ62" s="274"/>
      <c r="AR62" s="274"/>
      <c r="AS62" s="274"/>
      <c r="AT62" s="274"/>
      <c r="AU62" s="274"/>
      <c r="AV62" s="274"/>
      <c r="AW62" s="274"/>
    </row>
    <row r="63" ht="21.0" customHeight="1">
      <c r="A63" s="274"/>
      <c r="B63" s="274"/>
      <c r="C63" s="274"/>
      <c r="D63" s="274"/>
      <c r="E63" s="274"/>
      <c r="F63" s="275"/>
      <c r="G63" s="276"/>
      <c r="H63" s="276"/>
      <c r="I63" s="276"/>
      <c r="J63" s="276"/>
      <c r="K63" s="276"/>
      <c r="L63" s="276"/>
      <c r="M63" s="276"/>
      <c r="N63" s="276"/>
      <c r="O63" s="276"/>
      <c r="P63" s="276"/>
      <c r="Q63" s="276"/>
      <c r="R63" s="276"/>
      <c r="S63" s="281"/>
      <c r="T63" s="274"/>
      <c r="U63" s="283"/>
      <c r="V63" s="49"/>
      <c r="W63" s="9"/>
      <c r="X63" s="118"/>
      <c r="Y63" s="36"/>
      <c r="Z63" s="36"/>
      <c r="AA63" s="36"/>
      <c r="AB63" s="36"/>
      <c r="AC63" s="36"/>
      <c r="AD63" s="274"/>
      <c r="AE63" s="274"/>
      <c r="AF63" s="274"/>
      <c r="AG63" s="274"/>
      <c r="AH63" s="274"/>
      <c r="AI63" s="274"/>
      <c r="AJ63" s="274"/>
      <c r="AK63" s="274"/>
      <c r="AL63" s="274"/>
      <c r="AM63" s="274"/>
      <c r="AN63" s="274"/>
      <c r="AO63" s="274"/>
      <c r="AP63" s="274"/>
      <c r="AQ63" s="274"/>
      <c r="AR63" s="274"/>
      <c r="AS63" s="274"/>
      <c r="AT63" s="274"/>
      <c r="AU63" s="274"/>
      <c r="AV63" s="274"/>
      <c r="AW63" s="274"/>
    </row>
    <row r="64" ht="21.0" customHeight="1">
      <c r="A64" s="274"/>
      <c r="B64" s="274"/>
      <c r="C64" s="274"/>
      <c r="D64" s="274"/>
      <c r="E64" s="274"/>
      <c r="F64" s="275"/>
      <c r="G64" s="276"/>
      <c r="H64" s="276"/>
      <c r="I64" s="276"/>
      <c r="J64" s="276"/>
      <c r="K64" s="276"/>
      <c r="L64" s="276"/>
      <c r="M64" s="276"/>
      <c r="N64" s="276"/>
      <c r="O64" s="276"/>
      <c r="P64" s="276"/>
      <c r="Q64" s="276"/>
      <c r="R64" s="276"/>
      <c r="S64" s="281"/>
      <c r="T64" s="274"/>
      <c r="U64" s="284"/>
      <c r="V64" s="285"/>
      <c r="W64" s="286"/>
      <c r="X64" s="287" t="s">
        <v>50</v>
      </c>
      <c r="Y64" s="288"/>
      <c r="Z64" s="288"/>
      <c r="AA64" s="288"/>
      <c r="AB64" s="288"/>
      <c r="AC64" s="288"/>
      <c r="AD64" s="274"/>
      <c r="AE64" s="274"/>
      <c r="AF64" s="274"/>
      <c r="AG64" s="274"/>
      <c r="AH64" s="274"/>
      <c r="AI64" s="274"/>
      <c r="AJ64" s="274"/>
      <c r="AK64" s="274"/>
      <c r="AL64" s="274"/>
      <c r="AM64" s="274"/>
      <c r="AN64" s="274"/>
      <c r="AO64" s="274"/>
      <c r="AP64" s="274"/>
      <c r="AQ64" s="274"/>
      <c r="AR64" s="274"/>
      <c r="AS64" s="274"/>
      <c r="AT64" s="274"/>
      <c r="AU64" s="274"/>
      <c r="AV64" s="274"/>
      <c r="AW64" s="274"/>
    </row>
    <row r="65" ht="21.0" customHeight="1">
      <c r="A65" s="274"/>
      <c r="B65" s="274"/>
      <c r="C65" s="274"/>
      <c r="D65" s="274"/>
      <c r="E65" s="274"/>
      <c r="F65" s="275"/>
      <c r="G65" s="276"/>
      <c r="H65" s="276"/>
      <c r="I65" s="276"/>
      <c r="J65" s="276"/>
      <c r="K65" s="276"/>
      <c r="L65" s="276"/>
      <c r="M65" s="276"/>
      <c r="N65" s="276"/>
      <c r="O65" s="276"/>
      <c r="P65" s="276"/>
      <c r="Q65" s="276"/>
      <c r="R65" s="276"/>
      <c r="S65" s="281"/>
      <c r="T65" s="274"/>
      <c r="U65" s="284"/>
      <c r="V65" s="289"/>
      <c r="W65" s="290"/>
      <c r="X65" s="291">
        <f>H58</f>
        <v>68.30971651</v>
      </c>
      <c r="Y65" s="292">
        <f t="shared" ref="Y65:Z65" si="50">Z65-$Y$73</f>
        <v>0.17</v>
      </c>
      <c r="Z65" s="292">
        <f t="shared" si="50"/>
        <v>0.175</v>
      </c>
      <c r="AA65" s="293">
        <v>0.18</v>
      </c>
      <c r="AB65" s="292">
        <f t="shared" ref="AB65:AC65" si="51">AA65+$Y$73</f>
        <v>0.185</v>
      </c>
      <c r="AC65" s="292">
        <f t="shared" si="51"/>
        <v>0.19</v>
      </c>
      <c r="AD65" s="274"/>
      <c r="AE65" s="274"/>
      <c r="AF65" s="274"/>
      <c r="AG65" s="274"/>
      <c r="AH65" s="274"/>
      <c r="AI65" s="274"/>
      <c r="AJ65" s="274"/>
      <c r="AK65" s="274"/>
      <c r="AL65" s="274"/>
      <c r="AM65" s="274"/>
      <c r="AN65" s="274"/>
      <c r="AO65" s="274"/>
      <c r="AP65" s="274"/>
      <c r="AQ65" s="274"/>
      <c r="AR65" s="274"/>
      <c r="AS65" s="274"/>
      <c r="AT65" s="274"/>
      <c r="AU65" s="274"/>
      <c r="AV65" s="274"/>
      <c r="AW65" s="274"/>
    </row>
    <row r="66" ht="21.0" customHeight="1">
      <c r="A66" s="274"/>
      <c r="B66" s="274"/>
      <c r="C66" s="274"/>
      <c r="D66" s="274"/>
      <c r="E66" s="274"/>
      <c r="F66" s="275"/>
      <c r="G66" s="276"/>
      <c r="H66" s="276"/>
      <c r="I66" s="276"/>
      <c r="J66" s="276"/>
      <c r="K66" s="276"/>
      <c r="L66" s="276"/>
      <c r="M66" s="276"/>
      <c r="N66" s="276"/>
      <c r="O66" s="276"/>
      <c r="P66" s="276"/>
      <c r="Q66" s="276"/>
      <c r="R66" s="276"/>
      <c r="S66" s="281"/>
      <c r="T66" s="274"/>
      <c r="U66" s="284"/>
      <c r="V66" s="289"/>
      <c r="W66" s="294"/>
      <c r="X66" s="295">
        <f t="shared" ref="X66:X67" si="52">X67-$Y$74</f>
        <v>0.01</v>
      </c>
      <c r="Y66" s="296">
        <v>72.83827424816963</v>
      </c>
      <c r="Z66" s="296">
        <v>69.52556914088117</v>
      </c>
      <c r="AA66" s="296">
        <v>66.43404347566253</v>
      </c>
      <c r="AB66" s="296">
        <v>63.54404853024617</v>
      </c>
      <c r="AC66" s="296">
        <v>60.8381344590139</v>
      </c>
      <c r="AD66" s="274"/>
      <c r="AE66" s="274"/>
      <c r="AF66" s="274"/>
      <c r="AG66" s="274"/>
      <c r="AH66" s="274"/>
      <c r="AI66" s="274"/>
      <c r="AJ66" s="274"/>
      <c r="AK66" s="274"/>
      <c r="AL66" s="274"/>
      <c r="AM66" s="274"/>
      <c r="AN66" s="274"/>
      <c r="AO66" s="274"/>
      <c r="AP66" s="274"/>
      <c r="AQ66" s="274"/>
      <c r="AR66" s="274"/>
      <c r="AS66" s="274"/>
      <c r="AT66" s="274"/>
      <c r="AU66" s="274"/>
      <c r="AV66" s="274"/>
      <c r="AW66" s="274"/>
    </row>
    <row r="67" ht="21.0" customHeight="1">
      <c r="A67" s="274"/>
      <c r="B67" s="274"/>
      <c r="C67" s="274"/>
      <c r="D67" s="274"/>
      <c r="E67" s="274"/>
      <c r="F67" s="275"/>
      <c r="G67" s="276"/>
      <c r="H67" s="276"/>
      <c r="I67" s="276"/>
      <c r="J67" s="276"/>
      <c r="K67" s="297"/>
      <c r="L67" s="274"/>
      <c r="M67" s="276"/>
      <c r="N67" s="276"/>
      <c r="O67" s="276"/>
      <c r="P67" s="276"/>
      <c r="Q67" s="276"/>
      <c r="R67" s="276"/>
      <c r="S67" s="281"/>
      <c r="T67" s="274"/>
      <c r="U67" s="284"/>
      <c r="V67" s="289"/>
      <c r="W67" s="294"/>
      <c r="X67" s="295">
        <f t="shared" si="52"/>
        <v>0.015</v>
      </c>
      <c r="Y67" s="296">
        <v>73.94875151570247</v>
      </c>
      <c r="Z67" s="296">
        <v>70.52946666415133</v>
      </c>
      <c r="AA67" s="296">
        <v>67.34346070481425</v>
      </c>
      <c r="AB67" s="296">
        <v>64.36948183127623</v>
      </c>
      <c r="AC67" s="296">
        <v>61.5887212248968</v>
      </c>
      <c r="AD67" s="274"/>
      <c r="AE67" s="274"/>
      <c r="AF67" s="274"/>
      <c r="AG67" s="274"/>
      <c r="AH67" s="274"/>
      <c r="AI67" s="274"/>
      <c r="AJ67" s="274"/>
      <c r="AK67" s="274"/>
      <c r="AL67" s="274"/>
      <c r="AM67" s="274"/>
      <c r="AN67" s="274"/>
      <c r="AO67" s="274"/>
      <c r="AP67" s="274"/>
      <c r="AQ67" s="274"/>
      <c r="AR67" s="274"/>
      <c r="AS67" s="274"/>
      <c r="AT67" s="274"/>
      <c r="AU67" s="274"/>
      <c r="AV67" s="274"/>
      <c r="AW67" s="274"/>
    </row>
    <row r="68" ht="21.0" customHeight="1">
      <c r="A68" s="274"/>
      <c r="B68" s="274"/>
      <c r="C68" s="274"/>
      <c r="D68" s="274"/>
      <c r="E68" s="274"/>
      <c r="F68" s="275"/>
      <c r="G68" s="276"/>
      <c r="H68" s="276"/>
      <c r="I68" s="276"/>
      <c r="J68" s="276"/>
      <c r="K68" s="274"/>
      <c r="L68" s="274"/>
      <c r="M68" s="274"/>
      <c r="N68" s="274"/>
      <c r="O68" s="274"/>
      <c r="P68" s="274"/>
      <c r="Q68" s="274"/>
      <c r="R68" s="276"/>
      <c r="S68" s="281"/>
      <c r="T68" s="274"/>
      <c r="U68" s="284"/>
      <c r="V68" s="289"/>
      <c r="W68" s="294"/>
      <c r="X68" s="298">
        <v>0.02</v>
      </c>
      <c r="Y68" s="296">
        <v>75.13326060107082</v>
      </c>
      <c r="Z68" s="296">
        <v>71.59813176956791</v>
      </c>
      <c r="AA68" s="299">
        <v>68.30971651078792</v>
      </c>
      <c r="AB68" s="296">
        <v>65.24494139297477</v>
      </c>
      <c r="AC68" s="296">
        <v>62.38346015347871</v>
      </c>
      <c r="AD68" s="274"/>
      <c r="AE68" s="274"/>
      <c r="AF68" s="274"/>
      <c r="AG68" s="274"/>
      <c r="AH68" s="274"/>
      <c r="AI68" s="274"/>
      <c r="AJ68" s="274"/>
      <c r="AK68" s="274"/>
      <c r="AL68" s="274"/>
      <c r="AM68" s="274"/>
      <c r="AN68" s="274"/>
      <c r="AO68" s="274"/>
      <c r="AP68" s="274"/>
      <c r="AQ68" s="274"/>
      <c r="AR68" s="274"/>
      <c r="AS68" s="274"/>
      <c r="AT68" s="274"/>
      <c r="AU68" s="274"/>
      <c r="AV68" s="274"/>
      <c r="AW68" s="274"/>
    </row>
    <row r="69" ht="21.0" customHeight="1">
      <c r="A69" s="274"/>
      <c r="B69" s="274"/>
      <c r="C69" s="274"/>
      <c r="D69" s="274"/>
      <c r="E69" s="274"/>
      <c r="F69" s="275"/>
      <c r="G69" s="276"/>
      <c r="H69" s="276"/>
      <c r="I69" s="276"/>
      <c r="J69" s="276"/>
      <c r="K69" s="276"/>
      <c r="L69" s="274"/>
      <c r="M69" s="274"/>
      <c r="N69" s="274"/>
      <c r="O69" s="274"/>
      <c r="P69" s="274"/>
      <c r="Q69" s="274"/>
      <c r="R69" s="276"/>
      <c r="S69" s="281"/>
      <c r="T69" s="274"/>
      <c r="U69" s="284"/>
      <c r="V69" s="289"/>
      <c r="W69" s="294"/>
      <c r="X69" s="295">
        <f t="shared" ref="X69:X70" si="53">X68+$Y$74</f>
        <v>0.025</v>
      </c>
      <c r="Y69" s="296">
        <v>76.39945996818872</v>
      </c>
      <c r="Z69" s="296">
        <v>72.73804121534562</v>
      </c>
      <c r="AA69" s="296">
        <v>69.33831140101798</v>
      </c>
      <c r="AB69" s="296">
        <v>66.17511717727947</v>
      </c>
      <c r="AC69" s="296">
        <v>63.22636507773224</v>
      </c>
      <c r="AD69" s="274"/>
      <c r="AE69" s="274"/>
      <c r="AF69" s="274"/>
      <c r="AG69" s="274"/>
      <c r="AH69" s="274"/>
      <c r="AI69" s="274"/>
      <c r="AJ69" s="274"/>
      <c r="AK69" s="274"/>
      <c r="AL69" s="274"/>
      <c r="AM69" s="274"/>
      <c r="AN69" s="274"/>
      <c r="AO69" s="274"/>
      <c r="AP69" s="274"/>
      <c r="AQ69" s="274"/>
      <c r="AR69" s="274"/>
      <c r="AS69" s="274"/>
      <c r="AT69" s="274"/>
      <c r="AU69" s="274"/>
      <c r="AV69" s="274"/>
      <c r="AW69" s="274"/>
    </row>
    <row r="70" ht="21.0" customHeight="1">
      <c r="A70" s="274"/>
      <c r="B70" s="274"/>
      <c r="C70" s="274"/>
      <c r="D70" s="274"/>
      <c r="E70" s="274"/>
      <c r="F70" s="275"/>
      <c r="G70" s="276"/>
      <c r="H70" s="276"/>
      <c r="I70" s="276"/>
      <c r="J70" s="276"/>
      <c r="K70" s="276"/>
      <c r="L70" s="274"/>
      <c r="M70" s="274"/>
      <c r="N70" s="274"/>
      <c r="O70" s="274"/>
      <c r="P70" s="274"/>
      <c r="Q70" s="274"/>
      <c r="R70" s="276"/>
      <c r="S70" s="281"/>
      <c r="T70" s="274"/>
      <c r="U70" s="300"/>
      <c r="V70" s="301"/>
      <c r="W70" s="294"/>
      <c r="X70" s="295">
        <f t="shared" si="53"/>
        <v>0.03</v>
      </c>
      <c r="Y70" s="296">
        <v>77.75610214724362</v>
      </c>
      <c r="Z70" s="296">
        <v>73.9565651056597</v>
      </c>
      <c r="AA70" s="296">
        <v>70.43547928393002</v>
      </c>
      <c r="AB70" s="296">
        <v>67.16530430250705</v>
      </c>
      <c r="AC70" s="296">
        <v>64.12195155975161</v>
      </c>
      <c r="AD70" s="274"/>
      <c r="AE70" s="274"/>
      <c r="AF70" s="274"/>
      <c r="AG70" s="274"/>
      <c r="AH70" s="274"/>
      <c r="AI70" s="274"/>
      <c r="AJ70" s="274"/>
      <c r="AK70" s="274"/>
      <c r="AL70" s="274"/>
      <c r="AM70" s="274"/>
      <c r="AN70" s="274"/>
      <c r="AO70" s="274"/>
      <c r="AP70" s="274"/>
      <c r="AQ70" s="274"/>
      <c r="AR70" s="274"/>
      <c r="AS70" s="274"/>
      <c r="AT70" s="274"/>
      <c r="AU70" s="274"/>
      <c r="AV70" s="274"/>
      <c r="AW70" s="274"/>
    </row>
    <row r="71" ht="12.0" customHeight="1">
      <c r="A71" s="274"/>
      <c r="B71" s="274"/>
      <c r="C71" s="274"/>
      <c r="D71" s="274"/>
      <c r="E71" s="274"/>
      <c r="F71" s="275"/>
      <c r="G71" s="276"/>
      <c r="H71" s="276"/>
      <c r="I71" s="276"/>
      <c r="J71" s="276"/>
      <c r="K71" s="276"/>
      <c r="L71" s="274"/>
      <c r="M71" s="274"/>
      <c r="N71" s="274"/>
      <c r="O71" s="274"/>
      <c r="P71" s="274"/>
      <c r="Q71" s="274"/>
      <c r="R71" s="276"/>
      <c r="S71" s="281"/>
      <c r="T71" s="274"/>
      <c r="U71" s="283"/>
      <c r="V71" s="61"/>
      <c r="W71" s="61"/>
      <c r="X71" s="302"/>
      <c r="Y71" s="109"/>
      <c r="Z71" s="109"/>
      <c r="AA71" s="109"/>
      <c r="AB71" s="109"/>
      <c r="AC71" s="109"/>
      <c r="AD71" s="274"/>
      <c r="AE71" s="274"/>
      <c r="AF71" s="274"/>
      <c r="AG71" s="274"/>
      <c r="AH71" s="274"/>
      <c r="AI71" s="274"/>
      <c r="AJ71" s="274"/>
      <c r="AK71" s="274"/>
      <c r="AL71" s="274"/>
      <c r="AM71" s="274"/>
      <c r="AN71" s="274"/>
      <c r="AO71" s="274"/>
      <c r="AP71" s="274"/>
      <c r="AQ71" s="274"/>
      <c r="AR71" s="274"/>
      <c r="AS71" s="274"/>
      <c r="AT71" s="274"/>
      <c r="AU71" s="274"/>
      <c r="AV71" s="274"/>
      <c r="AW71" s="274"/>
    </row>
    <row r="72" ht="12.0" customHeight="1">
      <c r="A72" s="274"/>
      <c r="B72" s="274"/>
      <c r="C72" s="274"/>
      <c r="D72" s="274"/>
      <c r="E72" s="274"/>
      <c r="F72" s="275"/>
      <c r="G72" s="276"/>
      <c r="H72" s="276"/>
      <c r="I72" s="276"/>
      <c r="J72" s="276"/>
      <c r="K72" s="276"/>
      <c r="L72" s="274"/>
      <c r="M72" s="274"/>
      <c r="N72" s="274"/>
      <c r="O72" s="274"/>
      <c r="P72" s="274"/>
      <c r="Q72" s="274"/>
      <c r="R72" s="276"/>
      <c r="S72" s="281"/>
      <c r="T72" s="274"/>
      <c r="U72" s="274"/>
      <c r="V72" s="61"/>
      <c r="W72" s="61"/>
      <c r="X72" s="302"/>
      <c r="Y72" s="109"/>
      <c r="Z72" s="109"/>
      <c r="AA72" s="109"/>
      <c r="AB72" s="109"/>
      <c r="AC72" s="109"/>
      <c r="AD72" s="274"/>
      <c r="AE72" s="274"/>
      <c r="AF72" s="274"/>
      <c r="AG72" s="274"/>
      <c r="AH72" s="274"/>
      <c r="AI72" s="274"/>
      <c r="AJ72" s="274"/>
      <c r="AK72" s="274"/>
      <c r="AL72" s="274"/>
      <c r="AM72" s="274"/>
      <c r="AN72" s="274"/>
      <c r="AO72" s="274"/>
      <c r="AP72" s="274"/>
      <c r="AQ72" s="274"/>
      <c r="AR72" s="274"/>
      <c r="AS72" s="274"/>
      <c r="AT72" s="274"/>
      <c r="AU72" s="274"/>
      <c r="AV72" s="274"/>
      <c r="AW72" s="274"/>
    </row>
    <row r="73" ht="12.0" customHeight="1">
      <c r="A73" s="274"/>
      <c r="B73" s="274"/>
      <c r="C73" s="274"/>
      <c r="D73" s="274"/>
      <c r="E73" s="274"/>
      <c r="F73" s="275"/>
      <c r="G73" s="276"/>
      <c r="H73" s="276"/>
      <c r="I73" s="276"/>
      <c r="J73" s="276"/>
      <c r="K73" s="276"/>
      <c r="L73" s="274"/>
      <c r="M73" s="274"/>
      <c r="N73" s="274"/>
      <c r="O73" s="274"/>
      <c r="P73" s="274"/>
      <c r="Q73" s="274"/>
      <c r="R73" s="276"/>
      <c r="S73" s="281"/>
      <c r="T73" s="274"/>
      <c r="U73" s="274"/>
      <c r="V73" s="45"/>
      <c r="W73" s="45"/>
      <c r="X73" s="302" t="s">
        <v>51</v>
      </c>
      <c r="Y73" s="303">
        <v>0.005</v>
      </c>
      <c r="Z73" s="45"/>
      <c r="AA73" s="45"/>
      <c r="AB73" s="45"/>
      <c r="AC73" s="274"/>
      <c r="AD73" s="274"/>
      <c r="AE73" s="274"/>
      <c r="AF73" s="274"/>
      <c r="AG73" s="274"/>
      <c r="AH73" s="274"/>
      <c r="AI73" s="274"/>
      <c r="AJ73" s="274"/>
      <c r="AK73" s="274"/>
      <c r="AL73" s="274"/>
      <c r="AM73" s="274"/>
      <c r="AN73" s="274"/>
      <c r="AO73" s="274"/>
      <c r="AP73" s="274"/>
      <c r="AQ73" s="274"/>
      <c r="AR73" s="274"/>
      <c r="AS73" s="274"/>
      <c r="AT73" s="274"/>
      <c r="AU73" s="274"/>
      <c r="AV73" s="274"/>
      <c r="AW73" s="274"/>
    </row>
    <row r="74" ht="12.0" customHeight="1">
      <c r="A74" s="274"/>
      <c r="B74" s="274"/>
      <c r="C74" s="274"/>
      <c r="D74" s="274"/>
      <c r="E74" s="274"/>
      <c r="F74" s="275"/>
      <c r="G74" s="276"/>
      <c r="H74" s="276"/>
      <c r="I74" s="276"/>
      <c r="J74" s="276"/>
      <c r="K74" s="276"/>
      <c r="L74" s="274"/>
      <c r="M74" s="274"/>
      <c r="N74" s="274"/>
      <c r="O74" s="274"/>
      <c r="P74" s="274"/>
      <c r="Q74" s="274"/>
      <c r="R74" s="276"/>
      <c r="S74" s="281"/>
      <c r="T74" s="274"/>
      <c r="U74" s="274"/>
      <c r="V74" s="45"/>
      <c r="W74" s="45"/>
      <c r="X74" s="14" t="s">
        <v>52</v>
      </c>
      <c r="Y74" s="303">
        <v>0.005</v>
      </c>
      <c r="Z74" s="49"/>
      <c r="AA74" s="49"/>
      <c r="AB74" s="49"/>
      <c r="AC74" s="274"/>
      <c r="AD74" s="274"/>
      <c r="AE74" s="274"/>
      <c r="AF74" s="274"/>
      <c r="AG74" s="274"/>
      <c r="AH74" s="274"/>
      <c r="AI74" s="274"/>
      <c r="AJ74" s="274"/>
      <c r="AK74" s="274"/>
      <c r="AL74" s="274"/>
      <c r="AM74" s="274"/>
      <c r="AN74" s="274"/>
      <c r="AO74" s="274"/>
      <c r="AP74" s="274"/>
      <c r="AQ74" s="274"/>
      <c r="AR74" s="274"/>
      <c r="AS74" s="274"/>
      <c r="AT74" s="274"/>
      <c r="AU74" s="274"/>
      <c r="AV74" s="274"/>
      <c r="AW74" s="274"/>
    </row>
    <row r="75" ht="12.0" customHeight="1">
      <c r="A75" s="274"/>
      <c r="B75" s="274"/>
      <c r="C75" s="274"/>
      <c r="D75" s="274"/>
      <c r="E75" s="274"/>
      <c r="F75" s="275"/>
      <c r="G75" s="276"/>
      <c r="H75" s="276" t="s">
        <v>53</v>
      </c>
      <c r="I75" s="276"/>
      <c r="J75" s="276"/>
      <c r="K75" s="276"/>
      <c r="L75" s="274"/>
      <c r="M75" s="274"/>
      <c r="N75" s="274"/>
      <c r="O75" s="274"/>
      <c r="P75" s="274"/>
      <c r="Q75" s="274"/>
      <c r="R75" s="276"/>
      <c r="S75" s="281"/>
      <c r="T75" s="274"/>
      <c r="U75" s="274"/>
      <c r="V75" s="45"/>
      <c r="W75" s="45"/>
      <c r="X75" s="153"/>
      <c r="Y75" s="260"/>
      <c r="Z75" s="49"/>
      <c r="AA75" s="49"/>
      <c r="AB75" s="49"/>
      <c r="AC75" s="49"/>
      <c r="AD75" s="274"/>
      <c r="AE75" s="274"/>
      <c r="AF75" s="274"/>
      <c r="AG75" s="274"/>
      <c r="AH75" s="274"/>
      <c r="AI75" s="274"/>
      <c r="AJ75" s="274"/>
      <c r="AK75" s="274"/>
      <c r="AL75" s="274"/>
      <c r="AM75" s="274"/>
      <c r="AN75" s="274"/>
      <c r="AO75" s="274"/>
      <c r="AP75" s="274"/>
      <c r="AQ75" s="274"/>
      <c r="AR75" s="274"/>
      <c r="AS75" s="274"/>
      <c r="AT75" s="274"/>
      <c r="AU75" s="274"/>
      <c r="AV75" s="274"/>
      <c r="AW75" s="274"/>
    </row>
    <row r="76" ht="12.0" customHeight="1">
      <c r="A76" s="274"/>
      <c r="B76" s="274"/>
      <c r="C76" s="274"/>
      <c r="D76" s="274"/>
      <c r="E76" s="274"/>
      <c r="F76" s="275"/>
      <c r="G76" s="276"/>
      <c r="H76" s="276"/>
      <c r="I76" s="276"/>
      <c r="J76" s="276"/>
      <c r="K76" s="276"/>
      <c r="L76" s="274"/>
      <c r="M76" s="274"/>
      <c r="N76" s="274"/>
      <c r="O76" s="274"/>
      <c r="P76" s="274"/>
      <c r="Q76" s="274"/>
      <c r="R76" s="276"/>
      <c r="S76" s="281"/>
      <c r="T76" s="274"/>
      <c r="U76" s="274"/>
      <c r="V76" s="180"/>
      <c r="W76" s="45"/>
      <c r="X76" s="302" t="s">
        <v>51</v>
      </c>
      <c r="Y76" s="304">
        <f t="shared" ref="Y76:AC76" si="54">Y65</f>
        <v>0.17</v>
      </c>
      <c r="Z76" s="304">
        <f t="shared" si="54"/>
        <v>0.175</v>
      </c>
      <c r="AA76" s="305">
        <f t="shared" si="54"/>
        <v>0.18</v>
      </c>
      <c r="AB76" s="305">
        <f t="shared" si="54"/>
        <v>0.185</v>
      </c>
      <c r="AC76" s="305">
        <f t="shared" si="54"/>
        <v>0.19</v>
      </c>
      <c r="AD76" s="274"/>
      <c r="AE76" s="274"/>
      <c r="AF76" s="274"/>
      <c r="AG76" s="274"/>
      <c r="AH76" s="274"/>
      <c r="AI76" s="274"/>
      <c r="AJ76" s="274"/>
      <c r="AK76" s="274"/>
      <c r="AL76" s="274"/>
      <c r="AM76" s="274"/>
      <c r="AN76" s="274"/>
      <c r="AO76" s="274"/>
      <c r="AP76" s="274"/>
      <c r="AQ76" s="274"/>
      <c r="AR76" s="274"/>
      <c r="AS76" s="274"/>
      <c r="AT76" s="274"/>
      <c r="AU76" s="274"/>
      <c r="AV76" s="274"/>
      <c r="AW76" s="274"/>
    </row>
    <row r="77" ht="12.0" customHeight="1">
      <c r="A77" s="274"/>
      <c r="B77" s="274"/>
      <c r="C77" s="274"/>
      <c r="D77" s="274"/>
      <c r="E77" s="274"/>
      <c r="F77" s="275"/>
      <c r="G77" s="276"/>
      <c r="H77" s="276"/>
      <c r="I77" s="276"/>
      <c r="J77" s="276"/>
      <c r="K77" s="276"/>
      <c r="L77" s="274"/>
      <c r="M77" s="274"/>
      <c r="N77" s="274"/>
      <c r="O77" s="274"/>
      <c r="P77" s="274"/>
      <c r="Q77" s="274"/>
      <c r="R77" s="276"/>
      <c r="S77" s="281"/>
      <c r="T77" s="274"/>
      <c r="U77" s="274"/>
      <c r="V77" s="274"/>
      <c r="W77" s="45"/>
      <c r="X77" s="274"/>
      <c r="Y77" s="152">
        <f t="shared" ref="Y77:AC77" si="55">AVERAGE(Y66:Y70)</f>
        <v>75.2151697</v>
      </c>
      <c r="Z77" s="152">
        <f t="shared" si="55"/>
        <v>71.66955478</v>
      </c>
      <c r="AA77" s="152">
        <f t="shared" si="55"/>
        <v>68.37220228</v>
      </c>
      <c r="AB77" s="152">
        <f t="shared" si="55"/>
        <v>65.29977865</v>
      </c>
      <c r="AC77" s="152">
        <f t="shared" si="55"/>
        <v>62.43172649</v>
      </c>
      <c r="AD77" s="274"/>
      <c r="AE77" s="274"/>
      <c r="AF77" s="274"/>
      <c r="AG77" s="274"/>
      <c r="AH77" s="274"/>
      <c r="AI77" s="274"/>
      <c r="AJ77" s="274"/>
      <c r="AK77" s="274"/>
      <c r="AL77" s="274"/>
      <c r="AM77" s="274"/>
      <c r="AN77" s="274"/>
      <c r="AO77" s="274"/>
      <c r="AP77" s="274"/>
      <c r="AQ77" s="274"/>
      <c r="AR77" s="274"/>
      <c r="AS77" s="274"/>
      <c r="AT77" s="274"/>
      <c r="AU77" s="274"/>
      <c r="AV77" s="274"/>
      <c r="AW77" s="274"/>
    </row>
    <row r="78" ht="12.0" customHeight="1">
      <c r="A78" s="274"/>
      <c r="B78" s="274"/>
      <c r="C78" s="274"/>
      <c r="D78" s="274"/>
      <c r="E78" s="274"/>
      <c r="F78" s="275"/>
      <c r="G78" s="276"/>
      <c r="H78" s="276"/>
      <c r="I78" s="276"/>
      <c r="J78" s="276"/>
      <c r="K78" s="276"/>
      <c r="L78" s="274"/>
      <c r="M78" s="274"/>
      <c r="N78" s="274"/>
      <c r="O78" s="274"/>
      <c r="P78" s="274"/>
      <c r="Q78" s="274"/>
      <c r="R78" s="276"/>
      <c r="S78" s="281"/>
      <c r="T78" s="274"/>
      <c r="U78" s="274"/>
      <c r="V78" s="274"/>
      <c r="W78" s="49"/>
      <c r="X78" s="45"/>
      <c r="Y78" s="125" t="s">
        <v>54</v>
      </c>
      <c r="Z78" s="152">
        <f t="shared" ref="Z78:AC78" si="56">ABS(Z77-Y77)</f>
        <v>3.545614917</v>
      </c>
      <c r="AA78" s="152">
        <f t="shared" si="56"/>
        <v>3.297352504</v>
      </c>
      <c r="AB78" s="152">
        <f t="shared" si="56"/>
        <v>3.072423628</v>
      </c>
      <c r="AC78" s="152">
        <f t="shared" si="56"/>
        <v>2.868052152</v>
      </c>
      <c r="AD78" s="274"/>
      <c r="AE78" s="274"/>
      <c r="AF78" s="274"/>
      <c r="AG78" s="274"/>
      <c r="AH78" s="274"/>
      <c r="AI78" s="274"/>
      <c r="AJ78" s="274"/>
      <c r="AK78" s="274"/>
      <c r="AL78" s="274"/>
      <c r="AM78" s="274"/>
      <c r="AN78" s="274"/>
      <c r="AO78" s="274"/>
      <c r="AP78" s="274"/>
      <c r="AQ78" s="274"/>
      <c r="AR78" s="274"/>
      <c r="AS78" s="274"/>
      <c r="AT78" s="274"/>
      <c r="AU78" s="274"/>
      <c r="AV78" s="274"/>
      <c r="AW78" s="274"/>
    </row>
    <row r="79" ht="12.0" customHeight="1">
      <c r="A79" s="274"/>
      <c r="B79" s="274"/>
      <c r="C79" s="274"/>
      <c r="D79" s="274"/>
      <c r="E79" s="274"/>
      <c r="F79" s="275"/>
      <c r="G79" s="276"/>
      <c r="H79" s="276"/>
      <c r="I79" s="276"/>
      <c r="J79" s="276"/>
      <c r="K79" s="276"/>
      <c r="L79" s="276"/>
      <c r="M79" s="276"/>
      <c r="N79" s="276"/>
      <c r="O79" s="276"/>
      <c r="P79" s="276"/>
      <c r="Q79" s="276"/>
      <c r="R79" s="276"/>
      <c r="S79" s="281"/>
      <c r="T79" s="274"/>
      <c r="U79" s="274"/>
      <c r="V79" s="274"/>
      <c r="W79" s="49"/>
      <c r="X79" s="109"/>
      <c r="Y79" s="306" t="s">
        <v>55</v>
      </c>
      <c r="Z79" s="307">
        <f>MEDIAN(Z78:AC78)</f>
        <v>3.184888066</v>
      </c>
      <c r="AA79" s="109"/>
      <c r="AB79" s="109"/>
      <c r="AC79" s="109"/>
      <c r="AD79" s="274"/>
      <c r="AE79" s="274"/>
      <c r="AF79" s="274"/>
      <c r="AG79" s="274"/>
      <c r="AH79" s="274"/>
      <c r="AI79" s="274"/>
      <c r="AJ79" s="274"/>
      <c r="AK79" s="274"/>
      <c r="AL79" s="274"/>
      <c r="AM79" s="274"/>
      <c r="AN79" s="274"/>
      <c r="AO79" s="274"/>
      <c r="AP79" s="274"/>
      <c r="AQ79" s="274"/>
      <c r="AR79" s="274"/>
      <c r="AS79" s="274"/>
      <c r="AT79" s="274"/>
      <c r="AU79" s="274"/>
      <c r="AV79" s="274"/>
      <c r="AW79" s="274"/>
    </row>
    <row r="80" ht="12.0" customHeight="1">
      <c r="A80" s="274"/>
      <c r="B80" s="274"/>
      <c r="C80" s="274"/>
      <c r="D80" s="274"/>
      <c r="E80" s="274"/>
      <c r="F80" s="275"/>
      <c r="G80" s="276"/>
      <c r="H80" s="276"/>
      <c r="I80" s="276"/>
      <c r="J80" s="276"/>
      <c r="K80" s="276"/>
      <c r="L80" s="276"/>
      <c r="M80" s="276"/>
      <c r="N80" s="276"/>
      <c r="O80" s="276"/>
      <c r="P80" s="276"/>
      <c r="Q80" s="276"/>
      <c r="R80" s="276"/>
      <c r="S80" s="281"/>
      <c r="T80" s="274"/>
      <c r="U80" s="274"/>
      <c r="V80" s="274"/>
      <c r="W80" s="49"/>
      <c r="X80" s="49"/>
      <c r="Y80" s="49"/>
      <c r="Z80" s="49"/>
      <c r="AA80" s="49"/>
      <c r="AB80" s="49"/>
      <c r="AC80" s="49"/>
      <c r="AD80" s="274"/>
      <c r="AE80" s="274"/>
      <c r="AF80" s="274"/>
      <c r="AG80" s="274"/>
      <c r="AH80" s="274"/>
      <c r="AI80" s="274"/>
      <c r="AJ80" s="274"/>
      <c r="AK80" s="274"/>
      <c r="AL80" s="274"/>
      <c r="AM80" s="274"/>
      <c r="AN80" s="274"/>
      <c r="AO80" s="274"/>
      <c r="AP80" s="274"/>
      <c r="AQ80" s="274"/>
      <c r="AR80" s="274"/>
      <c r="AS80" s="274"/>
      <c r="AT80" s="274"/>
      <c r="AU80" s="274"/>
      <c r="AV80" s="274"/>
      <c r="AW80" s="274"/>
    </row>
    <row r="81" ht="12.0" customHeight="1">
      <c r="A81" s="274"/>
      <c r="B81" s="274"/>
      <c r="C81" s="274"/>
      <c r="D81" s="274"/>
      <c r="E81" s="274"/>
      <c r="F81" s="275"/>
      <c r="G81" s="276"/>
      <c r="H81" s="276"/>
      <c r="I81" s="276"/>
      <c r="J81" s="276"/>
      <c r="K81" s="276"/>
      <c r="L81" s="276"/>
      <c r="M81" s="276"/>
      <c r="N81" s="276"/>
      <c r="O81" s="276"/>
      <c r="P81" s="276"/>
      <c r="Q81" s="276"/>
      <c r="R81" s="276"/>
      <c r="S81" s="281"/>
      <c r="T81" s="274"/>
      <c r="U81" s="274"/>
      <c r="V81" s="274"/>
      <c r="W81" s="49"/>
      <c r="X81" s="49"/>
      <c r="Y81" s="49"/>
      <c r="Z81" s="49"/>
      <c r="AA81" s="49"/>
      <c r="AB81" s="49"/>
      <c r="AC81" s="49"/>
      <c r="AD81" s="274"/>
      <c r="AE81" s="274"/>
      <c r="AF81" s="274"/>
      <c r="AG81" s="274"/>
      <c r="AH81" s="274"/>
      <c r="AI81" s="274"/>
      <c r="AJ81" s="274"/>
      <c r="AK81" s="274"/>
      <c r="AL81" s="274"/>
      <c r="AM81" s="274"/>
      <c r="AN81" s="274"/>
      <c r="AO81" s="274"/>
      <c r="AP81" s="274"/>
      <c r="AQ81" s="274"/>
      <c r="AR81" s="274"/>
      <c r="AS81" s="274"/>
      <c r="AT81" s="274"/>
      <c r="AU81" s="274"/>
      <c r="AV81" s="274"/>
      <c r="AW81" s="274"/>
    </row>
    <row r="82" ht="12.0" customHeight="1">
      <c r="A82" s="274"/>
      <c r="B82" s="274"/>
      <c r="C82" s="274"/>
      <c r="D82" s="274"/>
      <c r="E82" s="274"/>
      <c r="F82" s="275"/>
      <c r="G82" s="276"/>
      <c r="H82" s="276"/>
      <c r="I82" s="276"/>
      <c r="J82" s="276"/>
      <c r="K82" s="276"/>
      <c r="L82" s="276"/>
      <c r="M82" s="276"/>
      <c r="N82" s="276"/>
      <c r="O82" s="276"/>
      <c r="P82" s="276"/>
      <c r="Q82" s="276"/>
      <c r="R82" s="276"/>
      <c r="S82" s="281"/>
      <c r="T82" s="274"/>
      <c r="U82" s="274"/>
      <c r="V82" s="274"/>
      <c r="W82" s="49"/>
      <c r="X82" s="49"/>
      <c r="Y82" s="304">
        <f>X66</f>
        <v>0.01</v>
      </c>
      <c r="Z82" s="304">
        <f>X67</f>
        <v>0.015</v>
      </c>
      <c r="AA82" s="305">
        <f>X68</f>
        <v>0.02</v>
      </c>
      <c r="AB82" s="304">
        <f>X69</f>
        <v>0.025</v>
      </c>
      <c r="AC82" s="304">
        <f>X70</f>
        <v>0.03</v>
      </c>
      <c r="AD82" s="274"/>
      <c r="AE82" s="274"/>
      <c r="AF82" s="274"/>
      <c r="AG82" s="274"/>
      <c r="AH82" s="274"/>
      <c r="AI82" s="274"/>
      <c r="AJ82" s="274"/>
      <c r="AK82" s="274"/>
      <c r="AL82" s="274"/>
      <c r="AM82" s="274"/>
      <c r="AN82" s="274"/>
      <c r="AO82" s="274"/>
      <c r="AP82" s="274"/>
      <c r="AQ82" s="274"/>
      <c r="AR82" s="274"/>
      <c r="AS82" s="274"/>
      <c r="AT82" s="274"/>
      <c r="AU82" s="274"/>
      <c r="AV82" s="274"/>
      <c r="AW82" s="274"/>
    </row>
    <row r="83" ht="12.0" customHeight="1">
      <c r="A83" s="274"/>
      <c r="B83" s="274"/>
      <c r="C83" s="274"/>
      <c r="D83" s="274"/>
      <c r="E83" s="274"/>
      <c r="F83" s="275"/>
      <c r="G83" s="276"/>
      <c r="H83" s="276"/>
      <c r="I83" s="276"/>
      <c r="J83" s="276"/>
      <c r="K83" s="276"/>
      <c r="L83" s="276"/>
      <c r="M83" s="276"/>
      <c r="N83" s="276"/>
      <c r="O83" s="276"/>
      <c r="P83" s="276"/>
      <c r="Q83" s="276"/>
      <c r="R83" s="276"/>
      <c r="S83" s="281"/>
      <c r="T83" s="274"/>
      <c r="U83" s="274"/>
      <c r="V83" s="274"/>
      <c r="W83" s="45"/>
      <c r="X83" s="302" t="s">
        <v>52</v>
      </c>
      <c r="Y83" s="152">
        <f>AVERAGE(Y66:AC66)</f>
        <v>66.63601397</v>
      </c>
      <c r="Z83" s="152">
        <f>AVERAGE(Y67:AC67)</f>
        <v>67.55597639</v>
      </c>
      <c r="AA83" s="152">
        <f>AVERAGE(Y68:AC68)</f>
        <v>68.53390209</v>
      </c>
      <c r="AB83" s="152">
        <f>AVERAGE(Y69:AC69)</f>
        <v>69.57545897</v>
      </c>
      <c r="AC83" s="152">
        <f>AVERAGE(Y70:AC70)</f>
        <v>70.68708048</v>
      </c>
      <c r="AD83" s="274"/>
      <c r="AE83" s="274"/>
      <c r="AF83" s="274"/>
      <c r="AG83" s="274"/>
      <c r="AH83" s="274"/>
      <c r="AI83" s="274"/>
      <c r="AJ83" s="274"/>
      <c r="AK83" s="274"/>
      <c r="AL83" s="274"/>
      <c r="AM83" s="274"/>
      <c r="AN83" s="274"/>
      <c r="AO83" s="274"/>
      <c r="AP83" s="274"/>
      <c r="AQ83" s="274"/>
      <c r="AR83" s="274"/>
      <c r="AS83" s="274"/>
      <c r="AT83" s="274"/>
      <c r="AU83" s="274"/>
      <c r="AV83" s="274"/>
      <c r="AW83" s="274"/>
    </row>
    <row r="84" ht="12.0" customHeight="1">
      <c r="A84" s="274"/>
      <c r="B84" s="274"/>
      <c r="C84" s="274"/>
      <c r="D84" s="274"/>
      <c r="E84" s="274"/>
      <c r="F84" s="275"/>
      <c r="G84" s="276"/>
      <c r="H84" s="276"/>
      <c r="I84" s="276"/>
      <c r="J84" s="276"/>
      <c r="K84" s="276"/>
      <c r="L84" s="276"/>
      <c r="M84" s="276"/>
      <c r="N84" s="276"/>
      <c r="O84" s="276"/>
      <c r="P84" s="276"/>
      <c r="Q84" s="276"/>
      <c r="R84" s="276"/>
      <c r="S84" s="281"/>
      <c r="T84" s="274"/>
      <c r="U84" s="274"/>
      <c r="V84" s="274"/>
      <c r="W84" s="49"/>
      <c r="X84" s="45"/>
      <c r="Y84" s="125" t="s">
        <v>56</v>
      </c>
      <c r="Z84" s="152">
        <f t="shared" ref="Z84:AC84" si="57">ABS(Z83-Y83)</f>
        <v>0.9199624174</v>
      </c>
      <c r="AA84" s="152">
        <f t="shared" si="57"/>
        <v>0.9779256974</v>
      </c>
      <c r="AB84" s="152">
        <f t="shared" si="57"/>
        <v>1.041556882</v>
      </c>
      <c r="AC84" s="152">
        <f t="shared" si="57"/>
        <v>1.111621512</v>
      </c>
      <c r="AD84" s="274"/>
      <c r="AE84" s="274"/>
      <c r="AF84" s="274"/>
      <c r="AG84" s="274"/>
      <c r="AH84" s="274"/>
      <c r="AI84" s="274"/>
      <c r="AJ84" s="274"/>
      <c r="AK84" s="274"/>
      <c r="AL84" s="274"/>
      <c r="AM84" s="274"/>
      <c r="AN84" s="274"/>
      <c r="AO84" s="274"/>
      <c r="AP84" s="274"/>
      <c r="AQ84" s="274"/>
      <c r="AR84" s="274"/>
      <c r="AS84" s="274"/>
      <c r="AT84" s="274"/>
      <c r="AU84" s="274"/>
      <c r="AV84" s="274"/>
      <c r="AW84" s="274"/>
    </row>
    <row r="85" ht="12.0" customHeight="1">
      <c r="A85" s="274"/>
      <c r="B85" s="274"/>
      <c r="C85" s="274"/>
      <c r="D85" s="274"/>
      <c r="E85" s="274"/>
      <c r="F85" s="275"/>
      <c r="G85" s="276"/>
      <c r="H85" s="276"/>
      <c r="I85" s="276"/>
      <c r="J85" s="276"/>
      <c r="K85" s="276"/>
      <c r="L85" s="276"/>
      <c r="M85" s="276"/>
      <c r="N85" s="276"/>
      <c r="O85" s="276"/>
      <c r="P85" s="276"/>
      <c r="Q85" s="276"/>
      <c r="R85" s="276"/>
      <c r="S85" s="281"/>
      <c r="T85" s="274"/>
      <c r="U85" s="274"/>
      <c r="V85" s="274"/>
      <c r="W85" s="274"/>
      <c r="X85" s="274"/>
      <c r="Y85" s="306" t="s">
        <v>57</v>
      </c>
      <c r="Z85" s="307">
        <f>MEDIAN(Z84:AC84)</f>
        <v>1.00974129</v>
      </c>
      <c r="AA85" s="274"/>
      <c r="AB85" s="274"/>
      <c r="AC85" s="274"/>
      <c r="AD85" s="274"/>
      <c r="AE85" s="274"/>
      <c r="AF85" s="274"/>
      <c r="AG85" s="274"/>
      <c r="AH85" s="274"/>
      <c r="AI85" s="274"/>
      <c r="AJ85" s="274"/>
      <c r="AK85" s="274"/>
      <c r="AL85" s="274"/>
      <c r="AM85" s="274"/>
      <c r="AN85" s="274"/>
      <c r="AO85" s="274"/>
      <c r="AP85" s="274"/>
      <c r="AQ85" s="274"/>
      <c r="AR85" s="274"/>
      <c r="AS85" s="274"/>
      <c r="AT85" s="274"/>
      <c r="AU85" s="274"/>
      <c r="AV85" s="274"/>
      <c r="AW85" s="274"/>
    </row>
    <row r="86" ht="12.0" customHeight="1">
      <c r="A86" s="274"/>
      <c r="B86" s="274"/>
      <c r="C86" s="274"/>
      <c r="D86" s="274"/>
      <c r="E86" s="274"/>
      <c r="F86" s="275"/>
      <c r="G86" s="276"/>
      <c r="H86" s="276"/>
      <c r="I86" s="276"/>
      <c r="J86" s="276"/>
      <c r="K86" s="276"/>
      <c r="L86" s="276"/>
      <c r="M86" s="276"/>
      <c r="N86" s="276"/>
      <c r="O86" s="276"/>
      <c r="P86" s="276"/>
      <c r="Q86" s="276"/>
      <c r="R86" s="276"/>
      <c r="S86" s="281"/>
      <c r="T86" s="274"/>
      <c r="U86" s="274"/>
      <c r="V86" s="274"/>
      <c r="W86" s="274"/>
      <c r="X86" s="274"/>
      <c r="Y86" s="274"/>
      <c r="Z86" s="274"/>
      <c r="AA86" s="274"/>
      <c r="AB86" s="274"/>
      <c r="AC86" s="274"/>
      <c r="AD86" s="274"/>
      <c r="AE86" s="274"/>
      <c r="AF86" s="274"/>
      <c r="AG86" s="274"/>
      <c r="AH86" s="274"/>
      <c r="AI86" s="274"/>
      <c r="AJ86" s="274"/>
      <c r="AK86" s="274"/>
      <c r="AL86" s="274"/>
      <c r="AM86" s="274"/>
      <c r="AN86" s="274"/>
      <c r="AO86" s="274"/>
      <c r="AP86" s="274"/>
      <c r="AQ86" s="274"/>
      <c r="AR86" s="274"/>
      <c r="AS86" s="274"/>
      <c r="AT86" s="274"/>
      <c r="AU86" s="274"/>
      <c r="AV86" s="274"/>
      <c r="AW86" s="274"/>
    </row>
    <row r="87" ht="12.0" customHeight="1">
      <c r="A87" s="274"/>
      <c r="B87" s="274"/>
      <c r="C87" s="274"/>
      <c r="D87" s="274"/>
      <c r="E87" s="274"/>
      <c r="F87" s="275"/>
      <c r="G87" s="276"/>
      <c r="H87" s="276"/>
      <c r="I87" s="276"/>
      <c r="J87" s="276"/>
      <c r="K87" s="276"/>
      <c r="L87" s="276"/>
      <c r="M87" s="276"/>
      <c r="N87" s="276"/>
      <c r="O87" s="276"/>
      <c r="P87" s="276"/>
      <c r="Q87" s="276"/>
      <c r="R87" s="276"/>
      <c r="S87" s="281"/>
      <c r="T87" s="274"/>
      <c r="U87" s="274"/>
      <c r="V87" s="274"/>
      <c r="W87" s="274"/>
      <c r="X87" s="274"/>
      <c r="Y87" s="274"/>
      <c r="Z87" s="274"/>
      <c r="AA87" s="274"/>
      <c r="AB87" s="274"/>
      <c r="AC87" s="274"/>
      <c r="AD87" s="274"/>
      <c r="AE87" s="274"/>
      <c r="AF87" s="274"/>
      <c r="AG87" s="274"/>
      <c r="AH87" s="274"/>
      <c r="AI87" s="274"/>
      <c r="AJ87" s="274"/>
      <c r="AK87" s="274"/>
      <c r="AL87" s="274"/>
      <c r="AM87" s="274"/>
      <c r="AN87" s="274"/>
      <c r="AO87" s="274"/>
      <c r="AP87" s="274"/>
      <c r="AQ87" s="274"/>
      <c r="AR87" s="274"/>
      <c r="AS87" s="274"/>
      <c r="AT87" s="274"/>
      <c r="AU87" s="274"/>
      <c r="AV87" s="274"/>
      <c r="AW87" s="274"/>
    </row>
    <row r="88" ht="12.0" customHeight="1">
      <c r="A88" s="274"/>
      <c r="B88" s="274"/>
      <c r="C88" s="274"/>
      <c r="D88" s="274"/>
      <c r="E88" s="274"/>
      <c r="F88" s="275"/>
      <c r="G88" s="276"/>
      <c r="H88" s="276"/>
      <c r="I88" s="276"/>
      <c r="J88" s="276"/>
      <c r="K88" s="276"/>
      <c r="L88" s="276"/>
      <c r="M88" s="276"/>
      <c r="N88" s="276"/>
      <c r="O88" s="276"/>
      <c r="P88" s="276"/>
      <c r="Q88" s="276"/>
      <c r="R88" s="276"/>
      <c r="S88" s="281"/>
      <c r="T88" s="274"/>
      <c r="U88" s="274"/>
      <c r="V88" s="274"/>
      <c r="W88" s="274"/>
      <c r="X88" s="274"/>
      <c r="Y88" s="274"/>
      <c r="Z88" s="274"/>
      <c r="AA88" s="274"/>
      <c r="AB88" s="274"/>
      <c r="AC88" s="274"/>
      <c r="AD88" s="274"/>
      <c r="AE88" s="274"/>
      <c r="AF88" s="274"/>
      <c r="AG88" s="274"/>
      <c r="AH88" s="274"/>
      <c r="AI88" s="274"/>
      <c r="AJ88" s="274"/>
      <c r="AK88" s="274"/>
      <c r="AL88" s="274"/>
      <c r="AM88" s="274"/>
      <c r="AN88" s="274"/>
      <c r="AO88" s="274"/>
      <c r="AP88" s="274"/>
      <c r="AQ88" s="274"/>
      <c r="AR88" s="274"/>
      <c r="AS88" s="274"/>
      <c r="AT88" s="274"/>
      <c r="AU88" s="274"/>
      <c r="AV88" s="274"/>
      <c r="AW88" s="274"/>
    </row>
    <row r="89" ht="12.0" customHeight="1">
      <c r="A89" s="274"/>
      <c r="B89" s="274"/>
      <c r="C89" s="274"/>
      <c r="D89" s="274"/>
      <c r="E89" s="274"/>
      <c r="F89" s="275"/>
      <c r="G89" s="276"/>
      <c r="H89" s="276"/>
      <c r="I89" s="276"/>
      <c r="J89" s="276"/>
      <c r="K89" s="276"/>
      <c r="L89" s="276"/>
      <c r="M89" s="276"/>
      <c r="N89" s="276"/>
      <c r="O89" s="276"/>
      <c r="P89" s="276"/>
      <c r="Q89" s="276"/>
      <c r="R89" s="276"/>
      <c r="S89" s="281"/>
      <c r="T89" s="274"/>
      <c r="U89" s="274"/>
      <c r="V89" s="274"/>
      <c r="W89" s="274"/>
      <c r="X89" s="274"/>
      <c r="Y89" s="274"/>
      <c r="Z89" s="274"/>
      <c r="AA89" s="274"/>
      <c r="AB89" s="274"/>
      <c r="AC89" s="274"/>
      <c r="AD89" s="274"/>
      <c r="AE89" s="274"/>
      <c r="AF89" s="274"/>
      <c r="AG89" s="274"/>
      <c r="AH89" s="274"/>
      <c r="AI89" s="274"/>
      <c r="AJ89" s="274"/>
      <c r="AK89" s="274"/>
      <c r="AL89" s="274"/>
      <c r="AM89" s="274"/>
      <c r="AN89" s="274"/>
      <c r="AO89" s="274"/>
      <c r="AP89" s="274"/>
      <c r="AQ89" s="274"/>
      <c r="AR89" s="274"/>
      <c r="AS89" s="274"/>
      <c r="AT89" s="274"/>
      <c r="AU89" s="274"/>
      <c r="AV89" s="274"/>
      <c r="AW89" s="274"/>
    </row>
    <row r="90" ht="12.0" customHeight="1">
      <c r="A90" s="274"/>
      <c r="B90" s="274"/>
      <c r="C90" s="274"/>
      <c r="D90" s="274"/>
      <c r="E90" s="274"/>
      <c r="F90" s="275"/>
      <c r="G90" s="276"/>
      <c r="H90" s="276"/>
      <c r="I90" s="276"/>
      <c r="J90" s="276"/>
      <c r="K90" s="276"/>
      <c r="L90" s="276"/>
      <c r="M90" s="276"/>
      <c r="N90" s="276"/>
      <c r="O90" s="276"/>
      <c r="P90" s="276"/>
      <c r="Q90" s="276"/>
      <c r="R90" s="276"/>
      <c r="S90" s="281"/>
      <c r="T90" s="274"/>
      <c r="U90" s="274"/>
      <c r="V90" s="274"/>
      <c r="W90" s="274"/>
      <c r="X90" s="274"/>
      <c r="Y90" s="274"/>
      <c r="Z90" s="274"/>
      <c r="AA90" s="274"/>
      <c r="AB90" s="274"/>
      <c r="AC90" s="274"/>
      <c r="AD90" s="274"/>
      <c r="AE90" s="274"/>
      <c r="AF90" s="274"/>
      <c r="AG90" s="274"/>
      <c r="AH90" s="274"/>
      <c r="AI90" s="274"/>
      <c r="AJ90" s="274"/>
      <c r="AK90" s="274"/>
      <c r="AL90" s="274"/>
      <c r="AM90" s="274"/>
      <c r="AN90" s="274"/>
      <c r="AO90" s="274"/>
      <c r="AP90" s="274"/>
      <c r="AQ90" s="274"/>
      <c r="AR90" s="274"/>
      <c r="AS90" s="274"/>
      <c r="AT90" s="274"/>
      <c r="AU90" s="274"/>
      <c r="AV90" s="274"/>
      <c r="AW90" s="274"/>
    </row>
    <row r="91" ht="12.0" customHeight="1">
      <c r="A91" s="274"/>
      <c r="B91" s="274"/>
      <c r="C91" s="274"/>
      <c r="D91" s="274"/>
      <c r="E91" s="274"/>
      <c r="F91" s="275"/>
      <c r="G91" s="276"/>
      <c r="H91" s="276"/>
      <c r="I91" s="276"/>
      <c r="J91" s="276"/>
      <c r="K91" s="276"/>
      <c r="L91" s="276"/>
      <c r="M91" s="276"/>
      <c r="N91" s="276"/>
      <c r="O91" s="276"/>
      <c r="P91" s="276"/>
      <c r="Q91" s="276"/>
      <c r="R91" s="276"/>
      <c r="S91" s="281"/>
      <c r="T91" s="274"/>
      <c r="U91" s="274"/>
      <c r="V91" s="274"/>
      <c r="W91" s="274"/>
      <c r="X91" s="274"/>
      <c r="Y91" s="274"/>
      <c r="Z91" s="274"/>
      <c r="AA91" s="274"/>
      <c r="AB91" s="274"/>
      <c r="AC91" s="274"/>
      <c r="AD91" s="274"/>
      <c r="AE91" s="274"/>
      <c r="AF91" s="274"/>
      <c r="AG91" s="274"/>
      <c r="AH91" s="274"/>
      <c r="AI91" s="274"/>
      <c r="AJ91" s="274"/>
      <c r="AK91" s="274"/>
      <c r="AL91" s="274"/>
      <c r="AM91" s="274"/>
      <c r="AN91" s="274"/>
      <c r="AO91" s="274"/>
      <c r="AP91" s="274"/>
      <c r="AQ91" s="274"/>
      <c r="AR91" s="274"/>
      <c r="AS91" s="274"/>
      <c r="AT91" s="274"/>
      <c r="AU91" s="274"/>
      <c r="AV91" s="274"/>
      <c r="AW91" s="274"/>
    </row>
    <row r="92" ht="12.0" customHeight="1">
      <c r="A92" s="274"/>
      <c r="B92" s="274"/>
      <c r="C92" s="274"/>
      <c r="D92" s="274"/>
      <c r="E92" s="274"/>
      <c r="F92" s="275"/>
      <c r="G92" s="276"/>
      <c r="H92" s="276"/>
      <c r="I92" s="276"/>
      <c r="J92" s="276"/>
      <c r="K92" s="276"/>
      <c r="L92" s="276"/>
      <c r="M92" s="276"/>
      <c r="N92" s="276"/>
      <c r="O92" s="276"/>
      <c r="P92" s="276"/>
      <c r="Q92" s="276"/>
      <c r="R92" s="276"/>
      <c r="S92" s="281"/>
      <c r="T92" s="274"/>
      <c r="U92" s="274"/>
      <c r="V92" s="274"/>
      <c r="W92" s="274"/>
      <c r="X92" s="274"/>
      <c r="Y92" s="274"/>
      <c r="Z92" s="274"/>
      <c r="AA92" s="274"/>
      <c r="AB92" s="274"/>
      <c r="AC92" s="274"/>
      <c r="AD92" s="274"/>
      <c r="AE92" s="274"/>
      <c r="AF92" s="274"/>
      <c r="AG92" s="274"/>
      <c r="AH92" s="274"/>
      <c r="AI92" s="274"/>
      <c r="AJ92" s="274"/>
      <c r="AK92" s="274"/>
      <c r="AL92" s="274"/>
      <c r="AM92" s="274"/>
      <c r="AN92" s="274"/>
      <c r="AO92" s="274"/>
      <c r="AP92" s="274"/>
      <c r="AQ92" s="274"/>
      <c r="AR92" s="274"/>
      <c r="AS92" s="274"/>
      <c r="AT92" s="274"/>
      <c r="AU92" s="274"/>
      <c r="AV92" s="274"/>
      <c r="AW92" s="274"/>
    </row>
    <row r="93" ht="12.0" customHeight="1">
      <c r="A93" s="274"/>
      <c r="B93" s="274"/>
      <c r="C93" s="274"/>
      <c r="D93" s="274"/>
      <c r="E93" s="274"/>
      <c r="F93" s="275"/>
      <c r="G93" s="276"/>
      <c r="H93" s="276"/>
      <c r="I93" s="276"/>
      <c r="J93" s="276"/>
      <c r="K93" s="276"/>
      <c r="L93" s="276"/>
      <c r="M93" s="276"/>
      <c r="N93" s="276"/>
      <c r="O93" s="276"/>
      <c r="P93" s="276"/>
      <c r="Q93" s="276"/>
      <c r="R93" s="276"/>
      <c r="S93" s="281"/>
      <c r="T93" s="274"/>
      <c r="U93" s="274"/>
      <c r="V93" s="274"/>
      <c r="W93" s="274"/>
      <c r="X93" s="274"/>
      <c r="Y93" s="274"/>
      <c r="Z93" s="274"/>
      <c r="AA93" s="274"/>
      <c r="AB93" s="274"/>
      <c r="AC93" s="274"/>
      <c r="AD93" s="274"/>
      <c r="AE93" s="274"/>
      <c r="AF93" s="274"/>
      <c r="AG93" s="274"/>
      <c r="AH93" s="274"/>
      <c r="AI93" s="274"/>
      <c r="AJ93" s="274"/>
      <c r="AK93" s="274"/>
      <c r="AL93" s="274"/>
      <c r="AM93" s="274"/>
      <c r="AN93" s="274"/>
      <c r="AO93" s="274"/>
      <c r="AP93" s="274"/>
      <c r="AQ93" s="274"/>
      <c r="AR93" s="274"/>
      <c r="AS93" s="274"/>
      <c r="AT93" s="274"/>
      <c r="AU93" s="274"/>
      <c r="AV93" s="274"/>
      <c r="AW93" s="274"/>
    </row>
    <row r="94" ht="12.0" customHeight="1">
      <c r="A94" s="274"/>
      <c r="B94" s="274"/>
      <c r="C94" s="274"/>
      <c r="D94" s="274"/>
      <c r="E94" s="274"/>
      <c r="F94" s="275"/>
      <c r="G94" s="276"/>
      <c r="H94" s="276"/>
      <c r="I94" s="276"/>
      <c r="J94" s="276"/>
      <c r="K94" s="276"/>
      <c r="L94" s="276"/>
      <c r="M94" s="276"/>
      <c r="N94" s="276"/>
      <c r="O94" s="276"/>
      <c r="P94" s="276"/>
      <c r="Q94" s="276"/>
      <c r="R94" s="276"/>
      <c r="S94" s="281"/>
      <c r="T94" s="274"/>
      <c r="U94" s="274"/>
      <c r="V94" s="274"/>
      <c r="W94" s="274"/>
      <c r="X94" s="274"/>
      <c r="Y94" s="274"/>
      <c r="Z94" s="274"/>
      <c r="AA94" s="274"/>
      <c r="AB94" s="274"/>
      <c r="AC94" s="274"/>
      <c r="AD94" s="274"/>
      <c r="AE94" s="274"/>
      <c r="AF94" s="274"/>
      <c r="AG94" s="274"/>
      <c r="AH94" s="274"/>
      <c r="AI94" s="274"/>
      <c r="AJ94" s="274"/>
      <c r="AK94" s="274"/>
      <c r="AL94" s="274"/>
      <c r="AM94" s="274"/>
      <c r="AN94" s="274"/>
      <c r="AO94" s="274"/>
      <c r="AP94" s="274"/>
      <c r="AQ94" s="274"/>
      <c r="AR94" s="274"/>
      <c r="AS94" s="274"/>
      <c r="AT94" s="274"/>
      <c r="AU94" s="274"/>
      <c r="AV94" s="274"/>
      <c r="AW94" s="274"/>
    </row>
    <row r="95" ht="12.0" customHeight="1">
      <c r="A95" s="274"/>
      <c r="B95" s="274"/>
      <c r="C95" s="274"/>
      <c r="D95" s="274"/>
      <c r="E95" s="274"/>
      <c r="F95" s="275"/>
      <c r="G95" s="276"/>
      <c r="H95" s="276"/>
      <c r="I95" s="276"/>
      <c r="J95" s="276"/>
      <c r="K95" s="276"/>
      <c r="L95" s="276"/>
      <c r="M95" s="276"/>
      <c r="N95" s="276"/>
      <c r="O95" s="276"/>
      <c r="P95" s="276"/>
      <c r="Q95" s="276"/>
      <c r="R95" s="276"/>
      <c r="S95" s="281"/>
      <c r="T95" s="274"/>
      <c r="U95" s="274"/>
      <c r="V95" s="274"/>
      <c r="W95" s="274"/>
      <c r="X95" s="274"/>
      <c r="Y95" s="274"/>
      <c r="Z95" s="274"/>
      <c r="AA95" s="274"/>
      <c r="AB95" s="274"/>
      <c r="AC95" s="274"/>
      <c r="AD95" s="274"/>
      <c r="AE95" s="274"/>
      <c r="AF95" s="274"/>
      <c r="AG95" s="274"/>
      <c r="AH95" s="274"/>
      <c r="AI95" s="274"/>
      <c r="AJ95" s="274"/>
      <c r="AK95" s="274"/>
      <c r="AL95" s="274"/>
      <c r="AM95" s="274"/>
      <c r="AN95" s="274"/>
      <c r="AO95" s="274"/>
      <c r="AP95" s="274"/>
      <c r="AQ95" s="274"/>
      <c r="AR95" s="274"/>
      <c r="AS95" s="274"/>
      <c r="AT95" s="274"/>
      <c r="AU95" s="274"/>
      <c r="AV95" s="274"/>
      <c r="AW95" s="274"/>
    </row>
    <row r="96" ht="12.0" customHeight="1">
      <c r="A96" s="274"/>
      <c r="B96" s="274"/>
      <c r="C96" s="274"/>
      <c r="D96" s="274"/>
      <c r="E96" s="274"/>
      <c r="F96" s="275"/>
      <c r="G96" s="276"/>
      <c r="H96" s="276"/>
      <c r="I96" s="276"/>
      <c r="J96" s="276"/>
      <c r="K96" s="276"/>
      <c r="L96" s="276"/>
      <c r="M96" s="276"/>
      <c r="N96" s="276"/>
      <c r="O96" s="276"/>
      <c r="P96" s="276"/>
      <c r="Q96" s="276"/>
      <c r="R96" s="276"/>
      <c r="S96" s="281"/>
      <c r="T96" s="274"/>
      <c r="U96" s="274"/>
      <c r="V96" s="274"/>
      <c r="W96" s="274"/>
      <c r="X96" s="274"/>
      <c r="Y96" s="274"/>
      <c r="Z96" s="274"/>
      <c r="AA96" s="274"/>
      <c r="AB96" s="274"/>
      <c r="AC96" s="274"/>
      <c r="AD96" s="274"/>
      <c r="AE96" s="274"/>
      <c r="AF96" s="274"/>
      <c r="AG96" s="274"/>
      <c r="AH96" s="274"/>
      <c r="AI96" s="274"/>
      <c r="AJ96" s="274"/>
      <c r="AK96" s="274"/>
      <c r="AL96" s="274"/>
      <c r="AM96" s="274"/>
      <c r="AN96" s="274"/>
      <c r="AO96" s="274"/>
      <c r="AP96" s="274"/>
      <c r="AQ96" s="274"/>
      <c r="AR96" s="274"/>
      <c r="AS96" s="274"/>
      <c r="AT96" s="274"/>
      <c r="AU96" s="274"/>
      <c r="AV96" s="274"/>
      <c r="AW96" s="274"/>
    </row>
    <row r="97" ht="12.0" customHeight="1">
      <c r="A97" s="274"/>
      <c r="B97" s="274"/>
      <c r="C97" s="274"/>
      <c r="D97" s="274"/>
      <c r="E97" s="274"/>
      <c r="F97" s="275"/>
      <c r="G97" s="276"/>
      <c r="H97" s="276"/>
      <c r="I97" s="276"/>
      <c r="J97" s="276"/>
      <c r="K97" s="276"/>
      <c r="L97" s="276"/>
      <c r="M97" s="276"/>
      <c r="N97" s="276"/>
      <c r="O97" s="276"/>
      <c r="P97" s="276"/>
      <c r="Q97" s="276"/>
      <c r="R97" s="276"/>
      <c r="S97" s="281"/>
      <c r="T97" s="274"/>
      <c r="U97" s="274"/>
      <c r="V97" s="274"/>
      <c r="W97" s="274"/>
      <c r="X97" s="274"/>
      <c r="Y97" s="274"/>
      <c r="Z97" s="274"/>
      <c r="AA97" s="274"/>
      <c r="AB97" s="274"/>
      <c r="AC97" s="274"/>
      <c r="AD97" s="274"/>
      <c r="AE97" s="274"/>
      <c r="AF97" s="274"/>
      <c r="AG97" s="274"/>
      <c r="AH97" s="274"/>
      <c r="AI97" s="274"/>
      <c r="AJ97" s="274"/>
      <c r="AK97" s="274"/>
      <c r="AL97" s="274"/>
      <c r="AM97" s="274"/>
      <c r="AN97" s="274"/>
      <c r="AO97" s="274"/>
      <c r="AP97" s="274"/>
      <c r="AQ97" s="274"/>
      <c r="AR97" s="274"/>
      <c r="AS97" s="274"/>
      <c r="AT97" s="274"/>
      <c r="AU97" s="274"/>
      <c r="AV97" s="274"/>
      <c r="AW97" s="274"/>
    </row>
    <row r="98" ht="12.0" customHeight="1">
      <c r="A98" s="274"/>
      <c r="B98" s="274"/>
      <c r="C98" s="274"/>
      <c r="D98" s="274"/>
      <c r="E98" s="274"/>
      <c r="F98" s="275"/>
      <c r="G98" s="276"/>
      <c r="H98" s="276"/>
      <c r="I98" s="276"/>
      <c r="J98" s="276"/>
      <c r="K98" s="276"/>
      <c r="L98" s="276"/>
      <c r="M98" s="276"/>
      <c r="N98" s="276"/>
      <c r="O98" s="276"/>
      <c r="P98" s="276"/>
      <c r="Q98" s="276"/>
      <c r="R98" s="276"/>
      <c r="S98" s="281"/>
      <c r="T98" s="274"/>
      <c r="U98" s="274"/>
      <c r="V98" s="274"/>
      <c r="W98" s="274"/>
      <c r="X98" s="274"/>
      <c r="Y98" s="274"/>
      <c r="Z98" s="274"/>
      <c r="AA98" s="274"/>
      <c r="AB98" s="274"/>
      <c r="AC98" s="274"/>
      <c r="AD98" s="274"/>
      <c r="AE98" s="274"/>
      <c r="AF98" s="274"/>
      <c r="AG98" s="274"/>
      <c r="AH98" s="274"/>
      <c r="AI98" s="274"/>
      <c r="AJ98" s="274"/>
      <c r="AK98" s="274"/>
      <c r="AL98" s="274"/>
      <c r="AM98" s="274"/>
      <c r="AN98" s="274"/>
      <c r="AO98" s="274"/>
      <c r="AP98" s="274"/>
      <c r="AQ98" s="274"/>
      <c r="AR98" s="274"/>
      <c r="AS98" s="274"/>
      <c r="AT98" s="274"/>
      <c r="AU98" s="274"/>
      <c r="AV98" s="274"/>
      <c r="AW98" s="274"/>
    </row>
    <row r="99" ht="12.0" customHeight="1">
      <c r="A99" s="274"/>
      <c r="B99" s="274"/>
      <c r="C99" s="274"/>
      <c r="D99" s="274"/>
      <c r="E99" s="274"/>
      <c r="F99" s="275"/>
      <c r="G99" s="276"/>
      <c r="H99" s="276"/>
      <c r="I99" s="276"/>
      <c r="J99" s="276"/>
      <c r="K99" s="276"/>
      <c r="L99" s="276"/>
      <c r="M99" s="276"/>
      <c r="N99" s="276"/>
      <c r="O99" s="276"/>
      <c r="P99" s="276"/>
      <c r="Q99" s="276"/>
      <c r="R99" s="276"/>
      <c r="S99" s="281"/>
      <c r="T99" s="274"/>
      <c r="U99" s="274"/>
      <c r="V99" s="274"/>
      <c r="W99" s="274"/>
      <c r="X99" s="274"/>
      <c r="Y99" s="274"/>
      <c r="Z99" s="274"/>
      <c r="AA99" s="274"/>
      <c r="AB99" s="274"/>
      <c r="AC99" s="274"/>
      <c r="AD99" s="274"/>
      <c r="AE99" s="274"/>
      <c r="AF99" s="274"/>
      <c r="AG99" s="274"/>
      <c r="AH99" s="274"/>
      <c r="AI99" s="274"/>
      <c r="AJ99" s="274"/>
      <c r="AK99" s="274"/>
      <c r="AL99" s="274"/>
      <c r="AM99" s="274"/>
      <c r="AN99" s="274"/>
      <c r="AO99" s="274"/>
      <c r="AP99" s="274"/>
      <c r="AQ99" s="274"/>
      <c r="AR99" s="274"/>
      <c r="AS99" s="274"/>
      <c r="AT99" s="274"/>
      <c r="AU99" s="274"/>
      <c r="AV99" s="274"/>
      <c r="AW99" s="274"/>
    </row>
    <row r="100" ht="12.0" customHeight="1">
      <c r="A100" s="274"/>
      <c r="B100" s="274"/>
      <c r="C100" s="274"/>
      <c r="D100" s="274"/>
      <c r="E100" s="274"/>
      <c r="F100" s="275"/>
      <c r="G100" s="276"/>
      <c r="H100" s="276"/>
      <c r="I100" s="276"/>
      <c r="J100" s="276"/>
      <c r="K100" s="276"/>
      <c r="L100" s="276"/>
      <c r="M100" s="276"/>
      <c r="N100" s="276"/>
      <c r="O100" s="276"/>
      <c r="P100" s="276"/>
      <c r="Q100" s="276"/>
      <c r="R100" s="276"/>
      <c r="S100" s="281"/>
      <c r="T100" s="274"/>
      <c r="U100" s="274"/>
      <c r="V100" s="274"/>
      <c r="W100" s="274"/>
      <c r="X100" s="274"/>
      <c r="Y100" s="274"/>
      <c r="Z100" s="274"/>
      <c r="AA100" s="274"/>
      <c r="AB100" s="274"/>
      <c r="AC100" s="274"/>
      <c r="AD100" s="274"/>
      <c r="AE100" s="274"/>
      <c r="AF100" s="274"/>
      <c r="AG100" s="274"/>
      <c r="AH100" s="274"/>
      <c r="AI100" s="274"/>
      <c r="AJ100" s="274"/>
      <c r="AK100" s="274"/>
      <c r="AL100" s="274"/>
      <c r="AM100" s="274"/>
      <c r="AN100" s="274"/>
      <c r="AO100" s="274"/>
      <c r="AP100" s="274"/>
      <c r="AQ100" s="274"/>
      <c r="AR100" s="274"/>
      <c r="AS100" s="274"/>
      <c r="AT100" s="274"/>
      <c r="AU100" s="274"/>
      <c r="AV100" s="274"/>
      <c r="AW100" s="274"/>
    </row>
    <row r="101" ht="12.0" customHeight="1">
      <c r="A101" s="274"/>
      <c r="B101" s="274"/>
      <c r="C101" s="274"/>
      <c r="D101" s="274"/>
      <c r="E101" s="274"/>
      <c r="F101" s="275"/>
      <c r="G101" s="276"/>
      <c r="H101" s="276"/>
      <c r="I101" s="276"/>
      <c r="J101" s="276"/>
      <c r="K101" s="276"/>
      <c r="L101" s="276"/>
      <c r="M101" s="276"/>
      <c r="N101" s="276"/>
      <c r="O101" s="276"/>
      <c r="P101" s="276"/>
      <c r="Q101" s="276"/>
      <c r="R101" s="276"/>
      <c r="S101" s="281"/>
      <c r="T101" s="274"/>
      <c r="U101" s="274"/>
      <c r="V101" s="274"/>
      <c r="W101" s="274"/>
      <c r="X101" s="274"/>
      <c r="Y101" s="274"/>
      <c r="Z101" s="274"/>
      <c r="AA101" s="274"/>
      <c r="AB101" s="274"/>
      <c r="AC101" s="274"/>
      <c r="AD101" s="274"/>
      <c r="AE101" s="274"/>
      <c r="AF101" s="274"/>
      <c r="AG101" s="274"/>
      <c r="AH101" s="274"/>
      <c r="AI101" s="274"/>
      <c r="AJ101" s="274"/>
      <c r="AK101" s="274"/>
      <c r="AL101" s="274"/>
      <c r="AM101" s="274"/>
      <c r="AN101" s="274"/>
      <c r="AO101" s="274"/>
      <c r="AP101" s="274"/>
      <c r="AQ101" s="274"/>
      <c r="AR101" s="274"/>
      <c r="AS101" s="274"/>
      <c r="AT101" s="274"/>
      <c r="AU101" s="274"/>
      <c r="AV101" s="274"/>
      <c r="AW101" s="274"/>
    </row>
    <row r="102" ht="12.0" customHeight="1">
      <c r="A102" s="274"/>
      <c r="B102" s="274"/>
      <c r="C102" s="274"/>
      <c r="D102" s="274"/>
      <c r="E102" s="274"/>
      <c r="F102" s="275"/>
      <c r="G102" s="276"/>
      <c r="H102" s="276"/>
      <c r="I102" s="276"/>
      <c r="J102" s="276"/>
      <c r="K102" s="276"/>
      <c r="L102" s="276"/>
      <c r="M102" s="276"/>
      <c r="N102" s="276"/>
      <c r="O102" s="276"/>
      <c r="P102" s="276"/>
      <c r="Q102" s="276"/>
      <c r="R102" s="276"/>
      <c r="S102" s="281"/>
      <c r="T102" s="274"/>
      <c r="U102" s="274"/>
      <c r="V102" s="274"/>
      <c r="W102" s="274"/>
      <c r="X102" s="274"/>
      <c r="Y102" s="274"/>
      <c r="Z102" s="274"/>
      <c r="AA102" s="274"/>
      <c r="AB102" s="274"/>
      <c r="AC102" s="274"/>
      <c r="AD102" s="274"/>
      <c r="AE102" s="274"/>
      <c r="AF102" s="274"/>
      <c r="AG102" s="274"/>
      <c r="AH102" s="274"/>
      <c r="AI102" s="274"/>
      <c r="AJ102" s="274"/>
      <c r="AK102" s="274"/>
      <c r="AL102" s="274"/>
      <c r="AM102" s="274"/>
      <c r="AN102" s="274"/>
      <c r="AO102" s="274"/>
      <c r="AP102" s="274"/>
      <c r="AQ102" s="274"/>
      <c r="AR102" s="274"/>
      <c r="AS102" s="274"/>
      <c r="AT102" s="274"/>
      <c r="AU102" s="274"/>
      <c r="AV102" s="274"/>
      <c r="AW102" s="274"/>
    </row>
    <row r="103" ht="12.0" customHeight="1">
      <c r="A103" s="274"/>
      <c r="B103" s="274"/>
      <c r="C103" s="274"/>
      <c r="D103" s="274"/>
      <c r="E103" s="274"/>
      <c r="F103" s="275"/>
      <c r="G103" s="276"/>
      <c r="H103" s="276"/>
      <c r="I103" s="276"/>
      <c r="J103" s="276"/>
      <c r="K103" s="276"/>
      <c r="L103" s="276"/>
      <c r="M103" s="276"/>
      <c r="N103" s="276"/>
      <c r="O103" s="276"/>
      <c r="P103" s="276"/>
      <c r="Q103" s="276"/>
      <c r="R103" s="276"/>
      <c r="S103" s="281"/>
      <c r="T103" s="274"/>
      <c r="U103" s="274"/>
      <c r="V103" s="274"/>
      <c r="W103" s="274"/>
      <c r="X103" s="274"/>
      <c r="Y103" s="274"/>
      <c r="Z103" s="274"/>
      <c r="AA103" s="274"/>
      <c r="AB103" s="274"/>
      <c r="AC103" s="274"/>
      <c r="AD103" s="274"/>
      <c r="AE103" s="274"/>
      <c r="AF103" s="274"/>
      <c r="AG103" s="274"/>
      <c r="AH103" s="274"/>
      <c r="AI103" s="274"/>
      <c r="AJ103" s="274"/>
      <c r="AK103" s="274"/>
      <c r="AL103" s="274"/>
      <c r="AM103" s="274"/>
      <c r="AN103" s="274"/>
      <c r="AO103" s="274"/>
      <c r="AP103" s="274"/>
      <c r="AQ103" s="274"/>
      <c r="AR103" s="274"/>
      <c r="AS103" s="274"/>
      <c r="AT103" s="274"/>
      <c r="AU103" s="274"/>
      <c r="AV103" s="274"/>
      <c r="AW103" s="274"/>
    </row>
    <row r="104" ht="12.0" customHeight="1">
      <c r="A104" s="274"/>
      <c r="B104" s="274"/>
      <c r="C104" s="274"/>
      <c r="D104" s="274"/>
      <c r="E104" s="274"/>
      <c r="F104" s="275"/>
      <c r="G104" s="276"/>
      <c r="H104" s="276"/>
      <c r="I104" s="276"/>
      <c r="J104" s="276"/>
      <c r="K104" s="276"/>
      <c r="L104" s="276"/>
      <c r="M104" s="276"/>
      <c r="N104" s="276"/>
      <c r="O104" s="276"/>
      <c r="P104" s="276"/>
      <c r="Q104" s="276"/>
      <c r="R104" s="276"/>
      <c r="S104" s="281"/>
      <c r="T104" s="274"/>
      <c r="U104" s="274"/>
      <c r="V104" s="274"/>
      <c r="W104" s="274"/>
      <c r="X104" s="274"/>
      <c r="Y104" s="274"/>
      <c r="Z104" s="274"/>
      <c r="AA104" s="274"/>
      <c r="AB104" s="274"/>
      <c r="AC104" s="274"/>
      <c r="AD104" s="274"/>
      <c r="AE104" s="274"/>
      <c r="AF104" s="274"/>
      <c r="AG104" s="274"/>
      <c r="AH104" s="274"/>
      <c r="AI104" s="274"/>
      <c r="AJ104" s="274"/>
      <c r="AK104" s="274"/>
      <c r="AL104" s="274"/>
      <c r="AM104" s="274"/>
      <c r="AN104" s="274"/>
      <c r="AO104" s="274"/>
      <c r="AP104" s="274"/>
      <c r="AQ104" s="274"/>
      <c r="AR104" s="274"/>
      <c r="AS104" s="274"/>
      <c r="AT104" s="274"/>
      <c r="AU104" s="274"/>
      <c r="AV104" s="274"/>
      <c r="AW104" s="274"/>
    </row>
    <row r="105" ht="12.0" customHeight="1">
      <c r="A105" s="274"/>
      <c r="B105" s="274"/>
      <c r="C105" s="274"/>
      <c r="D105" s="274"/>
      <c r="E105" s="274"/>
      <c r="F105" s="275"/>
      <c r="G105" s="276"/>
      <c r="H105" s="276"/>
      <c r="I105" s="276"/>
      <c r="J105" s="276"/>
      <c r="K105" s="276"/>
      <c r="L105" s="276"/>
      <c r="M105" s="276"/>
      <c r="N105" s="276"/>
      <c r="O105" s="276"/>
      <c r="P105" s="276"/>
      <c r="Q105" s="276"/>
      <c r="R105" s="276"/>
      <c r="S105" s="281"/>
      <c r="T105" s="274"/>
      <c r="U105" s="274"/>
      <c r="V105" s="274"/>
      <c r="W105" s="274"/>
      <c r="X105" s="274"/>
      <c r="Y105" s="274"/>
      <c r="Z105" s="274"/>
      <c r="AA105" s="274"/>
      <c r="AB105" s="274"/>
      <c r="AC105" s="274"/>
      <c r="AD105" s="274"/>
      <c r="AE105" s="274"/>
      <c r="AF105" s="274"/>
      <c r="AG105" s="274"/>
      <c r="AH105" s="274"/>
      <c r="AI105" s="274"/>
      <c r="AJ105" s="274"/>
      <c r="AK105" s="274"/>
      <c r="AL105" s="274"/>
      <c r="AM105" s="274"/>
      <c r="AN105" s="274"/>
      <c r="AO105" s="274"/>
      <c r="AP105" s="274"/>
      <c r="AQ105" s="274"/>
      <c r="AR105" s="274"/>
      <c r="AS105" s="274"/>
      <c r="AT105" s="274"/>
      <c r="AU105" s="274"/>
      <c r="AV105" s="274"/>
      <c r="AW105" s="274"/>
    </row>
    <row r="106" ht="12.0" customHeight="1">
      <c r="A106" s="274"/>
      <c r="B106" s="274"/>
      <c r="C106" s="274"/>
      <c r="D106" s="274"/>
      <c r="E106" s="274"/>
      <c r="F106" s="275"/>
      <c r="G106" s="276"/>
      <c r="H106" s="276"/>
      <c r="I106" s="276"/>
      <c r="J106" s="276"/>
      <c r="K106" s="276"/>
      <c r="L106" s="276"/>
      <c r="M106" s="276"/>
      <c r="N106" s="276"/>
      <c r="O106" s="276"/>
      <c r="P106" s="276"/>
      <c r="Q106" s="276"/>
      <c r="R106" s="276"/>
      <c r="S106" s="281"/>
      <c r="T106" s="274"/>
      <c r="U106" s="274"/>
      <c r="V106" s="274"/>
      <c r="W106" s="274"/>
      <c r="X106" s="274"/>
      <c r="Y106" s="274"/>
      <c r="Z106" s="274"/>
      <c r="AA106" s="274"/>
      <c r="AB106" s="274"/>
      <c r="AC106" s="274"/>
      <c r="AD106" s="274"/>
      <c r="AE106" s="274"/>
      <c r="AF106" s="274"/>
      <c r="AG106" s="274"/>
      <c r="AH106" s="274"/>
      <c r="AI106" s="274"/>
      <c r="AJ106" s="274"/>
      <c r="AK106" s="274"/>
      <c r="AL106" s="274"/>
      <c r="AM106" s="274"/>
      <c r="AN106" s="274"/>
      <c r="AO106" s="274"/>
      <c r="AP106" s="274"/>
      <c r="AQ106" s="274"/>
      <c r="AR106" s="274"/>
      <c r="AS106" s="274"/>
      <c r="AT106" s="274"/>
      <c r="AU106" s="274"/>
      <c r="AV106" s="274"/>
      <c r="AW106" s="274"/>
    </row>
    <row r="107" ht="12.0" customHeight="1">
      <c r="A107" s="274"/>
      <c r="B107" s="274"/>
      <c r="C107" s="274"/>
      <c r="D107" s="274"/>
      <c r="E107" s="274"/>
      <c r="F107" s="275"/>
      <c r="G107" s="276"/>
      <c r="H107" s="276"/>
      <c r="I107" s="276"/>
      <c r="J107" s="276"/>
      <c r="K107" s="276"/>
      <c r="L107" s="276"/>
      <c r="M107" s="276"/>
      <c r="N107" s="276"/>
      <c r="O107" s="276"/>
      <c r="P107" s="276"/>
      <c r="Q107" s="276"/>
      <c r="R107" s="276"/>
      <c r="S107" s="281"/>
      <c r="T107" s="274"/>
      <c r="U107" s="274"/>
      <c r="V107" s="274"/>
      <c r="W107" s="274"/>
      <c r="X107" s="274"/>
      <c r="Y107" s="274"/>
      <c r="Z107" s="274"/>
      <c r="AA107" s="274"/>
      <c r="AB107" s="274"/>
      <c r="AC107" s="274"/>
      <c r="AD107" s="274"/>
      <c r="AE107" s="274"/>
      <c r="AF107" s="274"/>
      <c r="AG107" s="274"/>
      <c r="AH107" s="274"/>
      <c r="AI107" s="274"/>
      <c r="AJ107" s="274"/>
      <c r="AK107" s="274"/>
      <c r="AL107" s="274"/>
      <c r="AM107" s="274"/>
      <c r="AN107" s="274"/>
      <c r="AO107" s="274"/>
      <c r="AP107" s="274"/>
      <c r="AQ107" s="274"/>
      <c r="AR107" s="274"/>
      <c r="AS107" s="274"/>
      <c r="AT107" s="274"/>
      <c r="AU107" s="274"/>
      <c r="AV107" s="274"/>
      <c r="AW107" s="274"/>
    </row>
    <row r="108" ht="12.0" customHeight="1">
      <c r="A108" s="274"/>
      <c r="B108" s="274"/>
      <c r="C108" s="274"/>
      <c r="D108" s="274"/>
      <c r="E108" s="274"/>
      <c r="F108" s="275"/>
      <c r="G108" s="276"/>
      <c r="H108" s="276"/>
      <c r="I108" s="276"/>
      <c r="J108" s="276"/>
      <c r="K108" s="276"/>
      <c r="L108" s="276"/>
      <c r="M108" s="276"/>
      <c r="N108" s="276"/>
      <c r="O108" s="276"/>
      <c r="P108" s="276"/>
      <c r="Q108" s="276"/>
      <c r="R108" s="276"/>
      <c r="S108" s="281"/>
      <c r="T108" s="274"/>
      <c r="U108" s="274"/>
      <c r="V108" s="274"/>
      <c r="W108" s="274"/>
      <c r="X108" s="274"/>
      <c r="Y108" s="274"/>
      <c r="Z108" s="274"/>
      <c r="AA108" s="274"/>
      <c r="AB108" s="274"/>
      <c r="AC108" s="274"/>
      <c r="AD108" s="274"/>
      <c r="AE108" s="274"/>
      <c r="AF108" s="274"/>
      <c r="AG108" s="274"/>
      <c r="AH108" s="274"/>
      <c r="AI108" s="274"/>
      <c r="AJ108" s="274"/>
      <c r="AK108" s="274"/>
      <c r="AL108" s="274"/>
      <c r="AM108" s="274"/>
      <c r="AN108" s="274"/>
      <c r="AO108" s="274"/>
      <c r="AP108" s="274"/>
      <c r="AQ108" s="274"/>
      <c r="AR108" s="274"/>
      <c r="AS108" s="274"/>
      <c r="AT108" s="274"/>
      <c r="AU108" s="274"/>
      <c r="AV108" s="274"/>
      <c r="AW108" s="274"/>
    </row>
    <row r="109" ht="12.0" customHeight="1">
      <c r="A109" s="274"/>
      <c r="B109" s="274"/>
      <c r="C109" s="274"/>
      <c r="D109" s="274"/>
      <c r="E109" s="274"/>
      <c r="F109" s="275"/>
      <c r="G109" s="276"/>
      <c r="H109" s="276"/>
      <c r="I109" s="276"/>
      <c r="J109" s="276"/>
      <c r="K109" s="276"/>
      <c r="L109" s="276"/>
      <c r="M109" s="276"/>
      <c r="N109" s="276"/>
      <c r="O109" s="276"/>
      <c r="P109" s="276"/>
      <c r="Q109" s="276"/>
      <c r="R109" s="276"/>
      <c r="S109" s="281"/>
      <c r="T109" s="274"/>
      <c r="U109" s="274"/>
      <c r="V109" s="274"/>
      <c r="W109" s="274"/>
      <c r="X109" s="274"/>
      <c r="Y109" s="274"/>
      <c r="Z109" s="274"/>
      <c r="AA109" s="274"/>
      <c r="AB109" s="274"/>
      <c r="AC109" s="274"/>
      <c r="AD109" s="274"/>
      <c r="AE109" s="274"/>
      <c r="AF109" s="274"/>
      <c r="AG109" s="274"/>
      <c r="AH109" s="274"/>
      <c r="AI109" s="274"/>
      <c r="AJ109" s="274"/>
      <c r="AK109" s="274"/>
      <c r="AL109" s="274"/>
      <c r="AM109" s="274"/>
      <c r="AN109" s="274"/>
      <c r="AO109" s="274"/>
      <c r="AP109" s="274"/>
      <c r="AQ109" s="274"/>
      <c r="AR109" s="274"/>
      <c r="AS109" s="274"/>
      <c r="AT109" s="274"/>
      <c r="AU109" s="274"/>
      <c r="AV109" s="274"/>
      <c r="AW109" s="274"/>
    </row>
    <row r="110" ht="12.0" customHeight="1">
      <c r="A110" s="274"/>
      <c r="B110" s="274"/>
      <c r="C110" s="274"/>
      <c r="D110" s="274"/>
      <c r="E110" s="274"/>
      <c r="F110" s="275"/>
      <c r="G110" s="276"/>
      <c r="H110" s="276"/>
      <c r="I110" s="276"/>
      <c r="J110" s="276"/>
      <c r="K110" s="276"/>
      <c r="L110" s="276"/>
      <c r="M110" s="276"/>
      <c r="N110" s="276"/>
      <c r="O110" s="276"/>
      <c r="P110" s="276"/>
      <c r="Q110" s="276"/>
      <c r="R110" s="276"/>
      <c r="S110" s="281"/>
      <c r="T110" s="274"/>
      <c r="U110" s="274"/>
      <c r="V110" s="274"/>
      <c r="W110" s="274"/>
      <c r="X110" s="274"/>
      <c r="Y110" s="274"/>
      <c r="Z110" s="274"/>
      <c r="AA110" s="274"/>
      <c r="AB110" s="274"/>
      <c r="AC110" s="274"/>
      <c r="AD110" s="274"/>
      <c r="AE110" s="274"/>
      <c r="AF110" s="274"/>
      <c r="AG110" s="274"/>
      <c r="AH110" s="274"/>
      <c r="AI110" s="274"/>
      <c r="AJ110" s="274"/>
      <c r="AK110" s="274"/>
      <c r="AL110" s="274"/>
      <c r="AM110" s="274"/>
      <c r="AN110" s="274"/>
      <c r="AO110" s="274"/>
      <c r="AP110" s="274"/>
      <c r="AQ110" s="274"/>
      <c r="AR110" s="274"/>
      <c r="AS110" s="274"/>
      <c r="AT110" s="274"/>
      <c r="AU110" s="274"/>
      <c r="AV110" s="274"/>
      <c r="AW110" s="274"/>
    </row>
    <row r="111" ht="12.0" customHeight="1">
      <c r="A111" s="274"/>
      <c r="B111" s="274"/>
      <c r="C111" s="274"/>
      <c r="D111" s="274"/>
      <c r="E111" s="274"/>
      <c r="F111" s="275"/>
      <c r="G111" s="276"/>
      <c r="H111" s="276"/>
      <c r="I111" s="276"/>
      <c r="J111" s="276"/>
      <c r="K111" s="276"/>
      <c r="L111" s="276"/>
      <c r="M111" s="276"/>
      <c r="N111" s="276"/>
      <c r="O111" s="276"/>
      <c r="P111" s="276"/>
      <c r="Q111" s="276"/>
      <c r="R111" s="276"/>
      <c r="S111" s="281"/>
      <c r="T111" s="274"/>
      <c r="U111" s="274"/>
      <c r="V111" s="274"/>
      <c r="W111" s="274"/>
      <c r="X111" s="274"/>
      <c r="Y111" s="274"/>
      <c r="Z111" s="274"/>
      <c r="AA111" s="274"/>
      <c r="AB111" s="274"/>
      <c r="AC111" s="274"/>
      <c r="AD111" s="274"/>
      <c r="AE111" s="274"/>
      <c r="AF111" s="274"/>
      <c r="AG111" s="274"/>
      <c r="AH111" s="274"/>
      <c r="AI111" s="274"/>
      <c r="AJ111" s="274"/>
      <c r="AK111" s="274"/>
      <c r="AL111" s="274"/>
      <c r="AM111" s="274"/>
      <c r="AN111" s="274"/>
      <c r="AO111" s="274"/>
      <c r="AP111" s="274"/>
      <c r="AQ111" s="274"/>
      <c r="AR111" s="274"/>
      <c r="AS111" s="274"/>
      <c r="AT111" s="274"/>
      <c r="AU111" s="274"/>
      <c r="AV111" s="274"/>
      <c r="AW111" s="274"/>
    </row>
    <row r="112" ht="12.0" customHeight="1">
      <c r="A112" s="274"/>
      <c r="B112" s="274"/>
      <c r="C112" s="274"/>
      <c r="D112" s="274"/>
      <c r="E112" s="274"/>
      <c r="F112" s="275"/>
      <c r="G112" s="276"/>
      <c r="H112" s="276"/>
      <c r="I112" s="276"/>
      <c r="J112" s="276"/>
      <c r="K112" s="276"/>
      <c r="L112" s="276"/>
      <c r="M112" s="276"/>
      <c r="N112" s="276"/>
      <c r="O112" s="276"/>
      <c r="P112" s="276"/>
      <c r="Q112" s="276"/>
      <c r="R112" s="276"/>
      <c r="S112" s="281"/>
      <c r="T112" s="274"/>
      <c r="U112" s="274"/>
      <c r="V112" s="274"/>
      <c r="W112" s="274"/>
      <c r="X112" s="274"/>
      <c r="Y112" s="274"/>
      <c r="Z112" s="274"/>
      <c r="AA112" s="274"/>
      <c r="AB112" s="274"/>
      <c r="AC112" s="274"/>
      <c r="AD112" s="274"/>
      <c r="AE112" s="274"/>
      <c r="AF112" s="274"/>
      <c r="AG112" s="274"/>
      <c r="AH112" s="274"/>
      <c r="AI112" s="274"/>
      <c r="AJ112" s="274"/>
      <c r="AK112" s="274"/>
      <c r="AL112" s="274"/>
      <c r="AM112" s="274"/>
      <c r="AN112" s="274"/>
      <c r="AO112" s="274"/>
      <c r="AP112" s="274"/>
      <c r="AQ112" s="274"/>
      <c r="AR112" s="274"/>
      <c r="AS112" s="274"/>
      <c r="AT112" s="274"/>
      <c r="AU112" s="274"/>
      <c r="AV112" s="274"/>
      <c r="AW112" s="274"/>
    </row>
    <row r="113" ht="12.0" customHeight="1">
      <c r="A113" s="274"/>
      <c r="B113" s="274"/>
      <c r="C113" s="274"/>
      <c r="D113" s="274"/>
      <c r="E113" s="274"/>
      <c r="F113" s="275"/>
      <c r="G113" s="276"/>
      <c r="H113" s="276"/>
      <c r="I113" s="276"/>
      <c r="J113" s="276"/>
      <c r="K113" s="276"/>
      <c r="L113" s="276"/>
      <c r="M113" s="276"/>
      <c r="N113" s="276"/>
      <c r="O113" s="276"/>
      <c r="P113" s="276"/>
      <c r="Q113" s="276"/>
      <c r="R113" s="276"/>
      <c r="S113" s="281"/>
      <c r="T113" s="274"/>
      <c r="U113" s="274"/>
      <c r="V113" s="274"/>
      <c r="W113" s="274"/>
      <c r="X113" s="274"/>
      <c r="Y113" s="274"/>
      <c r="Z113" s="274"/>
      <c r="AA113" s="274"/>
      <c r="AB113" s="274"/>
      <c r="AC113" s="274"/>
      <c r="AD113" s="274"/>
      <c r="AE113" s="274"/>
      <c r="AF113" s="274"/>
      <c r="AG113" s="274"/>
      <c r="AH113" s="274"/>
      <c r="AI113" s="274"/>
      <c r="AJ113" s="274"/>
      <c r="AK113" s="274"/>
      <c r="AL113" s="274"/>
      <c r="AM113" s="274"/>
      <c r="AN113" s="274"/>
      <c r="AO113" s="274"/>
      <c r="AP113" s="274"/>
      <c r="AQ113" s="274"/>
      <c r="AR113" s="274"/>
      <c r="AS113" s="274"/>
      <c r="AT113" s="274"/>
      <c r="AU113" s="274"/>
      <c r="AV113" s="274"/>
      <c r="AW113" s="274"/>
    </row>
    <row r="114" ht="12.0" customHeight="1">
      <c r="A114" s="274"/>
      <c r="B114" s="274"/>
      <c r="C114" s="274"/>
      <c r="D114" s="274"/>
      <c r="E114" s="274"/>
      <c r="F114" s="275"/>
      <c r="G114" s="276"/>
      <c r="H114" s="276"/>
      <c r="I114" s="276"/>
      <c r="J114" s="276"/>
      <c r="K114" s="276"/>
      <c r="L114" s="276"/>
      <c r="M114" s="276"/>
      <c r="N114" s="276"/>
      <c r="O114" s="276"/>
      <c r="P114" s="276"/>
      <c r="Q114" s="276"/>
      <c r="R114" s="276"/>
      <c r="S114" s="281"/>
      <c r="T114" s="274"/>
      <c r="U114" s="274"/>
      <c r="V114" s="274"/>
      <c r="W114" s="274"/>
      <c r="X114" s="274"/>
      <c r="Y114" s="274"/>
      <c r="Z114" s="274"/>
      <c r="AA114" s="274"/>
      <c r="AB114" s="274"/>
      <c r="AC114" s="274"/>
      <c r="AD114" s="274"/>
      <c r="AE114" s="274"/>
      <c r="AF114" s="274"/>
      <c r="AG114" s="274"/>
      <c r="AH114" s="274"/>
      <c r="AI114" s="274"/>
      <c r="AJ114" s="274"/>
      <c r="AK114" s="274"/>
      <c r="AL114" s="274"/>
      <c r="AM114" s="274"/>
      <c r="AN114" s="274"/>
      <c r="AO114" s="274"/>
      <c r="AP114" s="274"/>
      <c r="AQ114" s="274"/>
      <c r="AR114" s="274"/>
      <c r="AS114" s="274"/>
      <c r="AT114" s="274"/>
      <c r="AU114" s="274"/>
      <c r="AV114" s="274"/>
      <c r="AW114" s="274"/>
    </row>
    <row r="115" ht="12.0" customHeight="1">
      <c r="A115" s="274"/>
      <c r="B115" s="274"/>
      <c r="C115" s="274"/>
      <c r="D115" s="274"/>
      <c r="E115" s="274"/>
      <c r="F115" s="275"/>
      <c r="G115" s="276"/>
      <c r="H115" s="276"/>
      <c r="I115" s="276"/>
      <c r="J115" s="276"/>
      <c r="K115" s="276"/>
      <c r="L115" s="276"/>
      <c r="M115" s="276"/>
      <c r="N115" s="276"/>
      <c r="O115" s="276"/>
      <c r="P115" s="276"/>
      <c r="Q115" s="276"/>
      <c r="R115" s="276"/>
      <c r="S115" s="281"/>
      <c r="T115" s="274"/>
      <c r="U115" s="274"/>
      <c r="V115" s="274"/>
      <c r="W115" s="274"/>
      <c r="X115" s="274"/>
      <c r="Y115" s="274"/>
      <c r="Z115" s="274"/>
      <c r="AA115" s="274"/>
      <c r="AB115" s="274"/>
      <c r="AC115" s="274"/>
      <c r="AD115" s="274"/>
      <c r="AE115" s="274"/>
      <c r="AF115" s="274"/>
      <c r="AG115" s="274"/>
      <c r="AH115" s="274"/>
      <c r="AI115" s="274"/>
      <c r="AJ115" s="274"/>
      <c r="AK115" s="274"/>
      <c r="AL115" s="274"/>
      <c r="AM115" s="274"/>
      <c r="AN115" s="274"/>
      <c r="AO115" s="274"/>
      <c r="AP115" s="274"/>
      <c r="AQ115" s="274"/>
      <c r="AR115" s="274"/>
      <c r="AS115" s="274"/>
      <c r="AT115" s="274"/>
      <c r="AU115" s="274"/>
      <c r="AV115" s="274"/>
      <c r="AW115" s="274"/>
    </row>
    <row r="116" ht="12.0" customHeight="1">
      <c r="A116" s="274"/>
      <c r="B116" s="274"/>
      <c r="C116" s="274"/>
      <c r="D116" s="274"/>
      <c r="E116" s="274"/>
      <c r="F116" s="275"/>
      <c r="G116" s="276"/>
      <c r="H116" s="276"/>
      <c r="I116" s="276"/>
      <c r="J116" s="276"/>
      <c r="K116" s="276"/>
      <c r="L116" s="276"/>
      <c r="M116" s="274"/>
      <c r="N116" s="276"/>
      <c r="O116" s="276"/>
      <c r="P116" s="276"/>
      <c r="Q116" s="276"/>
      <c r="R116" s="276"/>
      <c r="S116" s="281"/>
      <c r="T116" s="274"/>
      <c r="U116" s="274"/>
      <c r="V116" s="274"/>
      <c r="W116" s="274"/>
      <c r="X116" s="274"/>
      <c r="Y116" s="274"/>
      <c r="Z116" s="274"/>
      <c r="AA116" s="274"/>
      <c r="AB116" s="274"/>
      <c r="AC116" s="274"/>
      <c r="AD116" s="274"/>
      <c r="AE116" s="274"/>
      <c r="AF116" s="274"/>
      <c r="AG116" s="274"/>
      <c r="AH116" s="274"/>
      <c r="AI116" s="274"/>
      <c r="AJ116" s="274"/>
      <c r="AK116" s="274"/>
      <c r="AL116" s="274"/>
      <c r="AM116" s="274"/>
      <c r="AN116" s="274"/>
      <c r="AO116" s="274"/>
      <c r="AP116" s="274"/>
      <c r="AQ116" s="274"/>
      <c r="AR116" s="274"/>
      <c r="AS116" s="274"/>
      <c r="AT116" s="274"/>
      <c r="AU116" s="274"/>
      <c r="AV116" s="274"/>
      <c r="AW116" s="274"/>
    </row>
    <row r="117" ht="12.0" customHeight="1">
      <c r="A117" s="274"/>
      <c r="B117" s="274"/>
      <c r="C117" s="274"/>
      <c r="D117" s="274"/>
      <c r="E117" s="274"/>
      <c r="F117" s="275"/>
      <c r="G117" s="276"/>
      <c r="H117" s="276"/>
      <c r="I117" s="276"/>
      <c r="J117" s="276"/>
      <c r="K117" s="276"/>
      <c r="L117" s="308"/>
      <c r="M117" s="276"/>
      <c r="N117" s="276"/>
      <c r="O117" s="276"/>
      <c r="P117" s="276"/>
      <c r="Q117" s="276"/>
      <c r="R117" s="276"/>
      <c r="S117" s="281"/>
      <c r="T117" s="274"/>
      <c r="U117" s="274"/>
      <c r="V117" s="274"/>
      <c r="W117" s="274"/>
      <c r="X117" s="274"/>
      <c r="Y117" s="274"/>
      <c r="Z117" s="274"/>
      <c r="AA117" s="274"/>
      <c r="AB117" s="274"/>
      <c r="AC117" s="274"/>
      <c r="AD117" s="274"/>
      <c r="AE117" s="274"/>
      <c r="AF117" s="274"/>
      <c r="AG117" s="274"/>
      <c r="AH117" s="274"/>
      <c r="AI117" s="274"/>
      <c r="AJ117" s="274"/>
      <c r="AK117" s="274"/>
      <c r="AL117" s="274"/>
      <c r="AM117" s="274"/>
      <c r="AN117" s="274"/>
      <c r="AO117" s="274"/>
      <c r="AP117" s="274"/>
      <c r="AQ117" s="274"/>
      <c r="AR117" s="274"/>
      <c r="AS117" s="274"/>
      <c r="AT117" s="274"/>
      <c r="AU117" s="274"/>
      <c r="AV117" s="274"/>
      <c r="AW117" s="274"/>
    </row>
    <row r="118" ht="12.0" customHeight="1">
      <c r="A118" s="274"/>
      <c r="B118" s="274"/>
      <c r="C118" s="274"/>
      <c r="D118" s="274"/>
      <c r="E118" s="274"/>
      <c r="F118" s="275"/>
      <c r="G118" s="276"/>
      <c r="H118" s="276"/>
      <c r="I118" s="276"/>
      <c r="J118" s="276"/>
      <c r="K118" s="276"/>
      <c r="L118" s="276"/>
      <c r="M118" s="276"/>
      <c r="N118" s="276"/>
      <c r="O118" s="276"/>
      <c r="P118" s="276"/>
      <c r="Q118" s="276"/>
      <c r="R118" s="276"/>
      <c r="S118" s="281"/>
      <c r="T118" s="274"/>
      <c r="U118" s="274"/>
      <c r="V118" s="274"/>
      <c r="W118" s="274"/>
      <c r="X118" s="274"/>
      <c r="Y118" s="274"/>
      <c r="Z118" s="274"/>
      <c r="AA118" s="274"/>
      <c r="AB118" s="274"/>
      <c r="AC118" s="274"/>
      <c r="AD118" s="274"/>
      <c r="AE118" s="274"/>
      <c r="AF118" s="274"/>
      <c r="AG118" s="274"/>
      <c r="AH118" s="274"/>
      <c r="AI118" s="274"/>
      <c r="AJ118" s="274"/>
      <c r="AK118" s="274"/>
      <c r="AL118" s="274"/>
      <c r="AM118" s="274"/>
      <c r="AN118" s="274"/>
      <c r="AO118" s="274"/>
      <c r="AP118" s="274"/>
      <c r="AQ118" s="274"/>
      <c r="AR118" s="274"/>
      <c r="AS118" s="274"/>
      <c r="AT118" s="274"/>
      <c r="AU118" s="274"/>
      <c r="AV118" s="274"/>
      <c r="AW118" s="274"/>
    </row>
    <row r="119" ht="12.0" customHeight="1">
      <c r="A119" s="274"/>
      <c r="B119" s="274"/>
      <c r="C119" s="274"/>
      <c r="D119" s="274"/>
      <c r="E119" s="274"/>
      <c r="F119" s="275"/>
      <c r="G119" s="276"/>
      <c r="H119" s="276"/>
      <c r="I119" s="276"/>
      <c r="J119" s="276"/>
      <c r="K119" s="276"/>
      <c r="L119" s="276"/>
      <c r="M119" s="308"/>
      <c r="N119" s="308"/>
      <c r="O119" s="308"/>
      <c r="P119" s="308"/>
      <c r="Q119" s="276"/>
      <c r="R119" s="276"/>
      <c r="S119" s="281"/>
      <c r="T119" s="274"/>
      <c r="U119" s="274"/>
      <c r="V119" s="274"/>
      <c r="W119" s="274"/>
      <c r="X119" s="274"/>
      <c r="Y119" s="274"/>
      <c r="Z119" s="274"/>
      <c r="AA119" s="274"/>
      <c r="AB119" s="274"/>
      <c r="AC119" s="274"/>
      <c r="AD119" s="274"/>
      <c r="AE119" s="274"/>
      <c r="AF119" s="274"/>
      <c r="AG119" s="274"/>
      <c r="AH119" s="274"/>
      <c r="AI119" s="274"/>
      <c r="AJ119" s="274"/>
      <c r="AK119" s="274"/>
      <c r="AL119" s="274"/>
      <c r="AM119" s="274"/>
      <c r="AN119" s="274"/>
      <c r="AO119" s="274"/>
      <c r="AP119" s="274"/>
      <c r="AQ119" s="274"/>
      <c r="AR119" s="274"/>
      <c r="AS119" s="274"/>
      <c r="AT119" s="274"/>
      <c r="AU119" s="274"/>
      <c r="AV119" s="274"/>
      <c r="AW119" s="274"/>
    </row>
    <row r="120" ht="12.0" customHeight="1">
      <c r="A120" s="274"/>
      <c r="B120" s="274"/>
      <c r="C120" s="274"/>
      <c r="D120" s="274"/>
      <c r="E120" s="274"/>
      <c r="F120" s="275"/>
      <c r="G120" s="276"/>
      <c r="H120" s="276"/>
      <c r="I120" s="276"/>
      <c r="J120" s="276"/>
      <c r="K120" s="276"/>
      <c r="L120" s="276"/>
      <c r="M120" s="276"/>
      <c r="N120" s="276"/>
      <c r="O120" s="276"/>
      <c r="P120" s="276"/>
      <c r="Q120" s="276"/>
      <c r="R120" s="276"/>
      <c r="S120" s="281"/>
      <c r="T120" s="274"/>
      <c r="U120" s="274"/>
      <c r="V120" s="274"/>
      <c r="W120" s="274"/>
      <c r="X120" s="274"/>
      <c r="Y120" s="274"/>
      <c r="Z120" s="274"/>
      <c r="AA120" s="274"/>
      <c r="AB120" s="274"/>
      <c r="AC120" s="274"/>
      <c r="AD120" s="274"/>
      <c r="AE120" s="274"/>
      <c r="AF120" s="274"/>
      <c r="AG120" s="274"/>
      <c r="AH120" s="274"/>
      <c r="AI120" s="274"/>
      <c r="AJ120" s="274"/>
      <c r="AK120" s="274"/>
      <c r="AL120" s="274"/>
      <c r="AM120" s="274"/>
      <c r="AN120" s="274"/>
      <c r="AO120" s="274"/>
      <c r="AP120" s="274"/>
      <c r="AQ120" s="274"/>
      <c r="AR120" s="274"/>
      <c r="AS120" s="274"/>
      <c r="AT120" s="274"/>
      <c r="AU120" s="274"/>
      <c r="AV120" s="274"/>
      <c r="AW120" s="274"/>
    </row>
    <row r="121" ht="12.0" customHeight="1">
      <c r="A121" s="274"/>
      <c r="B121" s="274"/>
      <c r="C121" s="274"/>
      <c r="D121" s="274"/>
      <c r="E121" s="274"/>
      <c r="F121" s="275"/>
      <c r="G121" s="276"/>
      <c r="H121" s="276"/>
      <c r="I121" s="276"/>
      <c r="J121" s="276"/>
      <c r="K121" s="276"/>
      <c r="L121" s="276"/>
      <c r="M121" s="276"/>
      <c r="N121" s="276"/>
      <c r="O121" s="276"/>
      <c r="P121" s="276"/>
      <c r="Q121" s="276"/>
      <c r="R121" s="276"/>
      <c r="S121" s="281"/>
      <c r="T121" s="274"/>
      <c r="U121" s="274"/>
      <c r="V121" s="274"/>
      <c r="W121" s="274"/>
      <c r="X121" s="274"/>
      <c r="Y121" s="274"/>
      <c r="Z121" s="274"/>
      <c r="AA121" s="274"/>
      <c r="AB121" s="274"/>
      <c r="AC121" s="274"/>
      <c r="AD121" s="274"/>
      <c r="AE121" s="274"/>
      <c r="AF121" s="274"/>
      <c r="AG121" s="274"/>
      <c r="AH121" s="274"/>
      <c r="AI121" s="274"/>
      <c r="AJ121" s="274"/>
      <c r="AK121" s="274"/>
      <c r="AL121" s="274"/>
      <c r="AM121" s="274"/>
      <c r="AN121" s="274"/>
      <c r="AO121" s="274"/>
      <c r="AP121" s="274"/>
      <c r="AQ121" s="274"/>
      <c r="AR121" s="274"/>
      <c r="AS121" s="274"/>
      <c r="AT121" s="274"/>
      <c r="AU121" s="274"/>
      <c r="AV121" s="274"/>
      <c r="AW121" s="274"/>
    </row>
    <row r="122" ht="12.0" customHeight="1">
      <c r="A122" s="274"/>
      <c r="B122" s="274"/>
      <c r="C122" s="274"/>
      <c r="D122" s="274"/>
      <c r="E122" s="274"/>
      <c r="F122" s="275"/>
      <c r="G122" s="276"/>
      <c r="H122" s="276"/>
      <c r="I122" s="276"/>
      <c r="J122" s="276"/>
      <c r="K122" s="276"/>
      <c r="L122" s="276"/>
      <c r="M122" s="276"/>
      <c r="N122" s="276"/>
      <c r="O122" s="276"/>
      <c r="P122" s="276"/>
      <c r="Q122" s="276"/>
      <c r="R122" s="276"/>
      <c r="S122" s="281"/>
      <c r="T122" s="274"/>
      <c r="U122" s="274"/>
      <c r="V122" s="274"/>
      <c r="W122" s="274"/>
      <c r="X122" s="274"/>
      <c r="Y122" s="274"/>
      <c r="Z122" s="274"/>
      <c r="AA122" s="274"/>
      <c r="AB122" s="274"/>
      <c r="AC122" s="274"/>
      <c r="AD122" s="274"/>
      <c r="AE122" s="274"/>
      <c r="AF122" s="274"/>
      <c r="AG122" s="274"/>
      <c r="AH122" s="274"/>
      <c r="AI122" s="274"/>
      <c r="AJ122" s="274"/>
      <c r="AK122" s="274"/>
      <c r="AL122" s="274"/>
      <c r="AM122" s="274"/>
      <c r="AN122" s="274"/>
      <c r="AO122" s="274"/>
      <c r="AP122" s="274"/>
      <c r="AQ122" s="274"/>
      <c r="AR122" s="274"/>
      <c r="AS122" s="274"/>
      <c r="AT122" s="274"/>
      <c r="AU122" s="274"/>
      <c r="AV122" s="274"/>
      <c r="AW122" s="274"/>
    </row>
    <row r="123" ht="12.0" customHeight="1">
      <c r="A123" s="274"/>
      <c r="B123" s="274"/>
      <c r="C123" s="274"/>
      <c r="D123" s="274"/>
      <c r="E123" s="274"/>
      <c r="F123" s="275"/>
      <c r="G123" s="276"/>
      <c r="H123" s="276"/>
      <c r="I123" s="276"/>
      <c r="J123" s="276"/>
      <c r="K123" s="276"/>
      <c r="L123" s="276"/>
      <c r="M123" s="276"/>
      <c r="N123" s="276"/>
      <c r="O123" s="276"/>
      <c r="P123" s="276"/>
      <c r="Q123" s="276"/>
      <c r="R123" s="276"/>
      <c r="S123" s="281"/>
      <c r="T123" s="274"/>
      <c r="U123" s="274"/>
      <c r="V123" s="274"/>
      <c r="W123" s="274"/>
      <c r="X123" s="274"/>
      <c r="Y123" s="274"/>
      <c r="Z123" s="274"/>
      <c r="AA123" s="274"/>
      <c r="AB123" s="274"/>
      <c r="AC123" s="274"/>
      <c r="AD123" s="274"/>
      <c r="AE123" s="274"/>
      <c r="AF123" s="274"/>
      <c r="AG123" s="274"/>
      <c r="AH123" s="274"/>
      <c r="AI123" s="274"/>
      <c r="AJ123" s="274"/>
      <c r="AK123" s="274"/>
      <c r="AL123" s="274"/>
      <c r="AM123" s="274"/>
      <c r="AN123" s="274"/>
      <c r="AO123" s="274"/>
      <c r="AP123" s="274"/>
      <c r="AQ123" s="274"/>
      <c r="AR123" s="274"/>
      <c r="AS123" s="274"/>
      <c r="AT123" s="274"/>
      <c r="AU123" s="274"/>
      <c r="AV123" s="274"/>
      <c r="AW123" s="274"/>
    </row>
    <row r="124" ht="12.0" customHeight="1">
      <c r="A124" s="274"/>
      <c r="B124" s="274"/>
      <c r="C124" s="274"/>
      <c r="D124" s="274"/>
      <c r="E124" s="274"/>
      <c r="F124" s="275"/>
      <c r="G124" s="276"/>
      <c r="H124" s="276"/>
      <c r="I124" s="276"/>
      <c r="J124" s="276"/>
      <c r="K124" s="276"/>
      <c r="L124" s="276"/>
      <c r="M124" s="276"/>
      <c r="N124" s="276"/>
      <c r="O124" s="276"/>
      <c r="P124" s="276"/>
      <c r="Q124" s="276"/>
      <c r="R124" s="276"/>
      <c r="S124" s="281"/>
      <c r="T124" s="274"/>
      <c r="U124" s="274"/>
      <c r="V124" s="274"/>
      <c r="W124" s="274"/>
      <c r="X124" s="274"/>
      <c r="Y124" s="274"/>
      <c r="Z124" s="274"/>
      <c r="AA124" s="274"/>
      <c r="AB124" s="274"/>
      <c r="AC124" s="274"/>
      <c r="AD124" s="274"/>
      <c r="AE124" s="274"/>
      <c r="AF124" s="274"/>
      <c r="AG124" s="274"/>
      <c r="AH124" s="274"/>
      <c r="AI124" s="274"/>
      <c r="AJ124" s="274"/>
      <c r="AK124" s="274"/>
      <c r="AL124" s="274"/>
      <c r="AM124" s="274"/>
      <c r="AN124" s="274"/>
      <c r="AO124" s="274"/>
      <c r="AP124" s="274"/>
      <c r="AQ124" s="274"/>
      <c r="AR124" s="274"/>
      <c r="AS124" s="274"/>
      <c r="AT124" s="274"/>
      <c r="AU124" s="274"/>
      <c r="AV124" s="274"/>
      <c r="AW124" s="274"/>
    </row>
    <row r="125" ht="12.0" customHeight="1">
      <c r="A125" s="274"/>
      <c r="B125" s="274"/>
      <c r="C125" s="274"/>
      <c r="D125" s="274"/>
      <c r="E125" s="274"/>
      <c r="F125" s="275"/>
      <c r="G125" s="276"/>
      <c r="H125" s="276"/>
      <c r="I125" s="276"/>
      <c r="J125" s="276"/>
      <c r="K125" s="276"/>
      <c r="L125" s="276"/>
      <c r="M125" s="276"/>
      <c r="N125" s="276"/>
      <c r="O125" s="276"/>
      <c r="P125" s="276"/>
      <c r="Q125" s="276"/>
      <c r="R125" s="276"/>
      <c r="S125" s="281"/>
      <c r="T125" s="274"/>
      <c r="U125" s="274"/>
      <c r="V125" s="274"/>
      <c r="W125" s="274"/>
      <c r="X125" s="274"/>
      <c r="Y125" s="274"/>
      <c r="Z125" s="274"/>
      <c r="AA125" s="274"/>
      <c r="AB125" s="274"/>
      <c r="AC125" s="274"/>
      <c r="AD125" s="274"/>
      <c r="AE125" s="274"/>
      <c r="AF125" s="274"/>
      <c r="AG125" s="274"/>
      <c r="AH125" s="274"/>
      <c r="AI125" s="274"/>
      <c r="AJ125" s="274"/>
      <c r="AK125" s="274"/>
      <c r="AL125" s="274"/>
      <c r="AM125" s="274"/>
      <c r="AN125" s="274"/>
      <c r="AO125" s="274"/>
      <c r="AP125" s="274"/>
      <c r="AQ125" s="274"/>
      <c r="AR125" s="274"/>
      <c r="AS125" s="274"/>
      <c r="AT125" s="274"/>
      <c r="AU125" s="274"/>
      <c r="AV125" s="274"/>
      <c r="AW125" s="274"/>
    </row>
    <row r="126" ht="12.0" customHeight="1">
      <c r="A126" s="274"/>
      <c r="B126" s="274"/>
      <c r="C126" s="274"/>
      <c r="D126" s="274"/>
      <c r="E126" s="274"/>
      <c r="F126" s="275"/>
      <c r="G126" s="276"/>
      <c r="H126" s="276"/>
      <c r="I126" s="276"/>
      <c r="J126" s="276"/>
      <c r="K126" s="276"/>
      <c r="L126" s="276"/>
      <c r="M126" s="276"/>
      <c r="N126" s="276"/>
      <c r="O126" s="276"/>
      <c r="P126" s="276"/>
      <c r="Q126" s="276"/>
      <c r="R126" s="276"/>
      <c r="S126" s="281"/>
      <c r="T126" s="274"/>
      <c r="U126" s="274"/>
      <c r="V126" s="274"/>
      <c r="W126" s="274"/>
      <c r="X126" s="274"/>
      <c r="Y126" s="274"/>
      <c r="Z126" s="274"/>
      <c r="AA126" s="274"/>
      <c r="AB126" s="274"/>
      <c r="AC126" s="274"/>
      <c r="AD126" s="274"/>
      <c r="AE126" s="274"/>
      <c r="AF126" s="274"/>
      <c r="AG126" s="274"/>
      <c r="AH126" s="274"/>
      <c r="AI126" s="274"/>
      <c r="AJ126" s="274"/>
      <c r="AK126" s="274"/>
      <c r="AL126" s="274"/>
      <c r="AM126" s="274"/>
      <c r="AN126" s="274"/>
      <c r="AO126" s="274"/>
      <c r="AP126" s="274"/>
      <c r="AQ126" s="274"/>
      <c r="AR126" s="274"/>
      <c r="AS126" s="274"/>
      <c r="AT126" s="274"/>
      <c r="AU126" s="274"/>
      <c r="AV126" s="274"/>
      <c r="AW126" s="274"/>
    </row>
    <row r="127" ht="12.0" customHeight="1">
      <c r="A127" s="274"/>
      <c r="B127" s="274"/>
      <c r="C127" s="274"/>
      <c r="D127" s="274"/>
      <c r="E127" s="274"/>
      <c r="F127" s="275"/>
      <c r="G127" s="276"/>
      <c r="H127" s="276"/>
      <c r="I127" s="276"/>
      <c r="J127" s="276"/>
      <c r="K127" s="276"/>
      <c r="L127" s="276"/>
      <c r="M127" s="276"/>
      <c r="N127" s="276"/>
      <c r="O127" s="276"/>
      <c r="P127" s="276"/>
      <c r="Q127" s="276"/>
      <c r="R127" s="276"/>
      <c r="S127" s="281"/>
      <c r="T127" s="274"/>
      <c r="U127" s="274"/>
      <c r="V127" s="274"/>
      <c r="W127" s="274"/>
      <c r="X127" s="274"/>
      <c r="Y127" s="274"/>
      <c r="Z127" s="274"/>
      <c r="AA127" s="274"/>
      <c r="AB127" s="274"/>
      <c r="AC127" s="274"/>
      <c r="AD127" s="274"/>
      <c r="AE127" s="274"/>
      <c r="AF127" s="274"/>
      <c r="AG127" s="274"/>
      <c r="AH127" s="274"/>
      <c r="AI127" s="274"/>
      <c r="AJ127" s="274"/>
      <c r="AK127" s="274"/>
      <c r="AL127" s="274"/>
      <c r="AM127" s="274"/>
      <c r="AN127" s="274"/>
      <c r="AO127" s="274"/>
      <c r="AP127" s="274"/>
      <c r="AQ127" s="274"/>
      <c r="AR127" s="274"/>
      <c r="AS127" s="274"/>
      <c r="AT127" s="274"/>
      <c r="AU127" s="274"/>
      <c r="AV127" s="274"/>
      <c r="AW127" s="274"/>
    </row>
    <row r="128" ht="12.0" customHeight="1">
      <c r="A128" s="274"/>
      <c r="B128" s="274"/>
      <c r="C128" s="274"/>
      <c r="D128" s="274"/>
      <c r="E128" s="274"/>
      <c r="F128" s="275"/>
      <c r="G128" s="276"/>
      <c r="H128" s="276"/>
      <c r="I128" s="276"/>
      <c r="J128" s="276"/>
      <c r="K128" s="276"/>
      <c r="L128" s="276"/>
      <c r="M128" s="276"/>
      <c r="N128" s="276"/>
      <c r="O128" s="276"/>
      <c r="P128" s="276"/>
      <c r="Q128" s="276"/>
      <c r="R128" s="276"/>
      <c r="S128" s="281"/>
      <c r="T128" s="274"/>
      <c r="U128" s="274"/>
      <c r="V128" s="274"/>
      <c r="W128" s="274"/>
      <c r="X128" s="274"/>
      <c r="Y128" s="274"/>
      <c r="Z128" s="274"/>
      <c r="AA128" s="274"/>
      <c r="AB128" s="274"/>
      <c r="AC128" s="274"/>
      <c r="AD128" s="274"/>
      <c r="AE128" s="274"/>
      <c r="AF128" s="274"/>
      <c r="AG128" s="274"/>
      <c r="AH128" s="274"/>
      <c r="AI128" s="274"/>
      <c r="AJ128" s="274"/>
      <c r="AK128" s="274"/>
      <c r="AL128" s="274"/>
      <c r="AM128" s="274"/>
      <c r="AN128" s="274"/>
      <c r="AO128" s="274"/>
      <c r="AP128" s="274"/>
      <c r="AQ128" s="274"/>
      <c r="AR128" s="274"/>
      <c r="AS128" s="274"/>
      <c r="AT128" s="274"/>
      <c r="AU128" s="274"/>
      <c r="AV128" s="274"/>
      <c r="AW128" s="274"/>
    </row>
    <row r="129" ht="12.0" customHeight="1">
      <c r="A129" s="274"/>
      <c r="B129" s="274"/>
      <c r="C129" s="274"/>
      <c r="D129" s="274"/>
      <c r="E129" s="274"/>
      <c r="F129" s="275"/>
      <c r="G129" s="276"/>
      <c r="H129" s="276"/>
      <c r="I129" s="276"/>
      <c r="J129" s="276"/>
      <c r="K129" s="276"/>
      <c r="L129" s="276"/>
      <c r="M129" s="276"/>
      <c r="N129" s="276"/>
      <c r="O129" s="276"/>
      <c r="P129" s="276"/>
      <c r="Q129" s="276"/>
      <c r="R129" s="276"/>
      <c r="S129" s="281"/>
      <c r="T129" s="274"/>
      <c r="U129" s="274"/>
      <c r="V129" s="274"/>
      <c r="W129" s="274"/>
      <c r="X129" s="274"/>
      <c r="Y129" s="274"/>
      <c r="Z129" s="274"/>
      <c r="AA129" s="274"/>
      <c r="AB129" s="274"/>
      <c r="AC129" s="274"/>
      <c r="AD129" s="274"/>
      <c r="AE129" s="274"/>
      <c r="AF129" s="274"/>
      <c r="AG129" s="274"/>
      <c r="AH129" s="274"/>
      <c r="AI129" s="274"/>
      <c r="AJ129" s="274"/>
      <c r="AK129" s="274"/>
      <c r="AL129" s="274"/>
      <c r="AM129" s="274"/>
      <c r="AN129" s="274"/>
      <c r="AO129" s="274"/>
      <c r="AP129" s="274"/>
      <c r="AQ129" s="274"/>
      <c r="AR129" s="274"/>
      <c r="AS129" s="274"/>
      <c r="AT129" s="274"/>
      <c r="AU129" s="274"/>
      <c r="AV129" s="274"/>
      <c r="AW129" s="274"/>
    </row>
    <row r="130" ht="12.0" customHeight="1">
      <c r="A130" s="274"/>
      <c r="B130" s="274"/>
      <c r="C130" s="274"/>
      <c r="D130" s="274"/>
      <c r="E130" s="274"/>
      <c r="F130" s="275"/>
      <c r="G130" s="276"/>
      <c r="H130" s="276"/>
      <c r="I130" s="276"/>
      <c r="J130" s="276"/>
      <c r="K130" s="276"/>
      <c r="L130" s="276"/>
      <c r="M130" s="276"/>
      <c r="N130" s="276"/>
      <c r="O130" s="276"/>
      <c r="P130" s="276"/>
      <c r="Q130" s="276"/>
      <c r="R130" s="276"/>
      <c r="S130" s="281"/>
      <c r="T130" s="274"/>
      <c r="U130" s="274"/>
      <c r="V130" s="274"/>
      <c r="W130" s="274"/>
      <c r="X130" s="274"/>
      <c r="Y130" s="274"/>
      <c r="Z130" s="274"/>
      <c r="AA130" s="274"/>
      <c r="AB130" s="274"/>
      <c r="AC130" s="274"/>
      <c r="AD130" s="274"/>
      <c r="AE130" s="274"/>
      <c r="AF130" s="274"/>
      <c r="AG130" s="274"/>
      <c r="AH130" s="274"/>
      <c r="AI130" s="274"/>
      <c r="AJ130" s="274"/>
      <c r="AK130" s="274"/>
      <c r="AL130" s="274"/>
      <c r="AM130" s="274"/>
      <c r="AN130" s="274"/>
      <c r="AO130" s="274"/>
      <c r="AP130" s="274"/>
      <c r="AQ130" s="274"/>
      <c r="AR130" s="274"/>
      <c r="AS130" s="274"/>
      <c r="AT130" s="274"/>
      <c r="AU130" s="274"/>
      <c r="AV130" s="274"/>
      <c r="AW130" s="274"/>
    </row>
    <row r="131" ht="12.0" customHeight="1">
      <c r="A131" s="274"/>
      <c r="B131" s="274"/>
      <c r="C131" s="274"/>
      <c r="D131" s="274"/>
      <c r="E131" s="274"/>
      <c r="F131" s="275"/>
      <c r="G131" s="276"/>
      <c r="H131" s="276"/>
      <c r="I131" s="276"/>
      <c r="J131" s="276"/>
      <c r="K131" s="276"/>
      <c r="L131" s="276"/>
      <c r="M131" s="276"/>
      <c r="N131" s="276"/>
      <c r="O131" s="276"/>
      <c r="P131" s="276"/>
      <c r="Q131" s="276"/>
      <c r="R131" s="276"/>
      <c r="S131" s="281"/>
      <c r="T131" s="274"/>
      <c r="U131" s="274"/>
      <c r="V131" s="274"/>
      <c r="W131" s="274"/>
      <c r="X131" s="274"/>
      <c r="Y131" s="274"/>
      <c r="Z131" s="274"/>
      <c r="AA131" s="274"/>
      <c r="AB131" s="274"/>
      <c r="AC131" s="274"/>
      <c r="AD131" s="274"/>
      <c r="AE131" s="274"/>
      <c r="AF131" s="274"/>
      <c r="AG131" s="274"/>
      <c r="AH131" s="274"/>
      <c r="AI131" s="274"/>
      <c r="AJ131" s="274"/>
      <c r="AK131" s="274"/>
      <c r="AL131" s="274"/>
      <c r="AM131" s="274"/>
      <c r="AN131" s="274"/>
      <c r="AO131" s="274"/>
      <c r="AP131" s="274"/>
      <c r="AQ131" s="274"/>
      <c r="AR131" s="274"/>
      <c r="AS131" s="274"/>
      <c r="AT131" s="274"/>
      <c r="AU131" s="274"/>
      <c r="AV131" s="274"/>
      <c r="AW131" s="274"/>
    </row>
    <row r="132" ht="12.0" customHeight="1">
      <c r="A132" s="274"/>
      <c r="B132" s="274"/>
      <c r="C132" s="274"/>
      <c r="D132" s="274"/>
      <c r="E132" s="274"/>
      <c r="F132" s="275"/>
      <c r="G132" s="276"/>
      <c r="H132" s="276"/>
      <c r="I132" s="276"/>
      <c r="J132" s="276"/>
      <c r="K132" s="276"/>
      <c r="L132" s="276"/>
      <c r="M132" s="276"/>
      <c r="N132" s="276"/>
      <c r="O132" s="276"/>
      <c r="P132" s="276"/>
      <c r="Q132" s="276"/>
      <c r="R132" s="276"/>
      <c r="S132" s="281"/>
      <c r="T132" s="274"/>
      <c r="U132" s="274"/>
      <c r="V132" s="274"/>
      <c r="W132" s="274"/>
      <c r="X132" s="274"/>
      <c r="Y132" s="274"/>
      <c r="Z132" s="274"/>
      <c r="AA132" s="274"/>
      <c r="AB132" s="274"/>
      <c r="AC132" s="274"/>
      <c r="AD132" s="274"/>
      <c r="AE132" s="274"/>
      <c r="AF132" s="274"/>
      <c r="AG132" s="274"/>
      <c r="AH132" s="274"/>
      <c r="AI132" s="274"/>
      <c r="AJ132" s="274"/>
      <c r="AK132" s="274"/>
      <c r="AL132" s="274"/>
      <c r="AM132" s="274"/>
      <c r="AN132" s="274"/>
      <c r="AO132" s="274"/>
      <c r="AP132" s="274"/>
      <c r="AQ132" s="274"/>
      <c r="AR132" s="274"/>
      <c r="AS132" s="274"/>
      <c r="AT132" s="274"/>
      <c r="AU132" s="274"/>
      <c r="AV132" s="274"/>
      <c r="AW132" s="274"/>
    </row>
    <row r="133" ht="12.0" customHeight="1">
      <c r="A133" s="274"/>
      <c r="B133" s="274"/>
      <c r="C133" s="274"/>
      <c r="D133" s="274"/>
      <c r="E133" s="274"/>
      <c r="F133" s="275"/>
      <c r="G133" s="276"/>
      <c r="H133" s="276"/>
      <c r="I133" s="276"/>
      <c r="J133" s="276"/>
      <c r="K133" s="276"/>
      <c r="L133" s="276"/>
      <c r="M133" s="276"/>
      <c r="N133" s="276"/>
      <c r="O133" s="276"/>
      <c r="P133" s="276"/>
      <c r="Q133" s="276"/>
      <c r="R133" s="276"/>
      <c r="S133" s="281"/>
      <c r="T133" s="274"/>
      <c r="U133" s="274"/>
      <c r="V133" s="274"/>
      <c r="W133" s="274"/>
      <c r="X133" s="274"/>
      <c r="Y133" s="274"/>
      <c r="Z133" s="274"/>
      <c r="AA133" s="274"/>
      <c r="AB133" s="274"/>
      <c r="AC133" s="274"/>
      <c r="AD133" s="274"/>
      <c r="AE133" s="274"/>
      <c r="AF133" s="274"/>
      <c r="AG133" s="274"/>
      <c r="AH133" s="274"/>
      <c r="AI133" s="274"/>
      <c r="AJ133" s="274"/>
      <c r="AK133" s="274"/>
      <c r="AL133" s="274"/>
      <c r="AM133" s="274"/>
      <c r="AN133" s="274"/>
      <c r="AO133" s="274"/>
      <c r="AP133" s="274"/>
      <c r="AQ133" s="274"/>
      <c r="AR133" s="274"/>
      <c r="AS133" s="274"/>
      <c r="AT133" s="274"/>
      <c r="AU133" s="274"/>
      <c r="AV133" s="274"/>
      <c r="AW133" s="274"/>
    </row>
    <row r="134" ht="12.0" customHeight="1">
      <c r="A134" s="274"/>
      <c r="B134" s="274"/>
      <c r="C134" s="274"/>
      <c r="D134" s="274"/>
      <c r="E134" s="274"/>
      <c r="F134" s="275"/>
      <c r="G134" s="276"/>
      <c r="H134" s="276"/>
      <c r="I134" s="276"/>
      <c r="J134" s="276"/>
      <c r="K134" s="276"/>
      <c r="L134" s="276"/>
      <c r="M134" s="276"/>
      <c r="N134" s="276"/>
      <c r="O134" s="276"/>
      <c r="P134" s="276"/>
      <c r="Q134" s="276"/>
      <c r="R134" s="276"/>
      <c r="S134" s="281"/>
      <c r="T134" s="274"/>
      <c r="U134" s="274"/>
      <c r="V134" s="274"/>
      <c r="W134" s="274"/>
      <c r="X134" s="274"/>
      <c r="Y134" s="274"/>
      <c r="Z134" s="274"/>
      <c r="AA134" s="274"/>
      <c r="AB134" s="274"/>
      <c r="AC134" s="274"/>
      <c r="AD134" s="274"/>
      <c r="AE134" s="274"/>
      <c r="AF134" s="274"/>
      <c r="AG134" s="274"/>
      <c r="AH134" s="274"/>
      <c r="AI134" s="274"/>
      <c r="AJ134" s="274"/>
      <c r="AK134" s="274"/>
      <c r="AL134" s="274"/>
      <c r="AM134" s="274"/>
      <c r="AN134" s="274"/>
      <c r="AO134" s="274"/>
      <c r="AP134" s="274"/>
      <c r="AQ134" s="274"/>
      <c r="AR134" s="274"/>
      <c r="AS134" s="274"/>
      <c r="AT134" s="274"/>
      <c r="AU134" s="274"/>
      <c r="AV134" s="274"/>
      <c r="AW134" s="274"/>
    </row>
    <row r="135" ht="12.0" customHeight="1">
      <c r="A135" s="274"/>
      <c r="B135" s="274"/>
      <c r="C135" s="274"/>
      <c r="D135" s="274"/>
      <c r="E135" s="274"/>
      <c r="F135" s="275"/>
      <c r="G135" s="276"/>
      <c r="H135" s="276"/>
      <c r="I135" s="276"/>
      <c r="J135" s="276"/>
      <c r="K135" s="276"/>
      <c r="L135" s="276"/>
      <c r="M135" s="276"/>
      <c r="N135" s="276"/>
      <c r="O135" s="276"/>
      <c r="P135" s="276"/>
      <c r="Q135" s="276"/>
      <c r="R135" s="276"/>
      <c r="S135" s="281"/>
      <c r="T135" s="274"/>
      <c r="U135" s="274"/>
      <c r="V135" s="274"/>
      <c r="W135" s="274"/>
      <c r="X135" s="274"/>
      <c r="Y135" s="274"/>
      <c r="Z135" s="274"/>
      <c r="AA135" s="274"/>
      <c r="AB135" s="274"/>
      <c r="AC135" s="274"/>
      <c r="AD135" s="274"/>
      <c r="AE135" s="274"/>
      <c r="AF135" s="274"/>
      <c r="AG135" s="274"/>
      <c r="AH135" s="274"/>
      <c r="AI135" s="274"/>
      <c r="AJ135" s="274"/>
      <c r="AK135" s="274"/>
      <c r="AL135" s="274"/>
      <c r="AM135" s="274"/>
      <c r="AN135" s="274"/>
      <c r="AO135" s="274"/>
      <c r="AP135" s="274"/>
      <c r="AQ135" s="274"/>
      <c r="AR135" s="274"/>
      <c r="AS135" s="274"/>
      <c r="AT135" s="274"/>
      <c r="AU135" s="274"/>
      <c r="AV135" s="274"/>
      <c r="AW135" s="274"/>
    </row>
    <row r="136" ht="12.0" customHeight="1">
      <c r="A136" s="274"/>
      <c r="B136" s="274"/>
      <c r="C136" s="274"/>
      <c r="D136" s="274"/>
      <c r="E136" s="274"/>
      <c r="F136" s="275"/>
      <c r="G136" s="276"/>
      <c r="H136" s="276"/>
      <c r="I136" s="276"/>
      <c r="J136" s="276"/>
      <c r="K136" s="276"/>
      <c r="L136" s="276"/>
      <c r="M136" s="276"/>
      <c r="N136" s="276"/>
      <c r="O136" s="276"/>
      <c r="P136" s="276"/>
      <c r="Q136" s="276"/>
      <c r="R136" s="276"/>
      <c r="S136" s="281"/>
      <c r="T136" s="274"/>
      <c r="U136" s="274"/>
      <c r="V136" s="274"/>
      <c r="W136" s="274"/>
      <c r="X136" s="274"/>
      <c r="Y136" s="274"/>
      <c r="Z136" s="274"/>
      <c r="AA136" s="274"/>
      <c r="AB136" s="274"/>
      <c r="AC136" s="274"/>
      <c r="AD136" s="274"/>
      <c r="AE136" s="274"/>
      <c r="AF136" s="274"/>
      <c r="AG136" s="274"/>
      <c r="AH136" s="274"/>
      <c r="AI136" s="274"/>
      <c r="AJ136" s="274"/>
      <c r="AK136" s="274"/>
      <c r="AL136" s="274"/>
      <c r="AM136" s="274"/>
      <c r="AN136" s="274"/>
      <c r="AO136" s="274"/>
      <c r="AP136" s="274"/>
      <c r="AQ136" s="274"/>
      <c r="AR136" s="274"/>
      <c r="AS136" s="274"/>
      <c r="AT136" s="274"/>
      <c r="AU136" s="274"/>
      <c r="AV136" s="274"/>
      <c r="AW136" s="274"/>
    </row>
    <row r="137" ht="12.0" customHeight="1">
      <c r="A137" s="274"/>
      <c r="B137" s="274"/>
      <c r="C137" s="274"/>
      <c r="D137" s="274"/>
      <c r="E137" s="274"/>
      <c r="F137" s="275"/>
      <c r="G137" s="276"/>
      <c r="H137" s="276"/>
      <c r="I137" s="276"/>
      <c r="J137" s="276"/>
      <c r="K137" s="276"/>
      <c r="L137" s="276"/>
      <c r="M137" s="276"/>
      <c r="N137" s="276"/>
      <c r="O137" s="276"/>
      <c r="P137" s="276"/>
      <c r="Q137" s="276"/>
      <c r="R137" s="276"/>
      <c r="S137" s="281"/>
      <c r="T137" s="274"/>
      <c r="U137" s="274"/>
      <c r="V137" s="274"/>
      <c r="W137" s="274"/>
      <c r="X137" s="274"/>
      <c r="Y137" s="274"/>
      <c r="Z137" s="274"/>
      <c r="AA137" s="274"/>
      <c r="AB137" s="274"/>
      <c r="AC137" s="274"/>
      <c r="AD137" s="274"/>
      <c r="AE137" s="274"/>
      <c r="AF137" s="274"/>
      <c r="AG137" s="274"/>
      <c r="AH137" s="274"/>
      <c r="AI137" s="274"/>
      <c r="AJ137" s="274"/>
      <c r="AK137" s="274"/>
      <c r="AL137" s="274"/>
      <c r="AM137" s="274"/>
      <c r="AN137" s="274"/>
      <c r="AO137" s="274"/>
      <c r="AP137" s="274"/>
      <c r="AQ137" s="274"/>
      <c r="AR137" s="274"/>
      <c r="AS137" s="274"/>
      <c r="AT137" s="274"/>
      <c r="AU137" s="274"/>
      <c r="AV137" s="274"/>
      <c r="AW137" s="274"/>
    </row>
    <row r="138" ht="12.0" customHeight="1">
      <c r="A138" s="274"/>
      <c r="B138" s="274"/>
      <c r="C138" s="274"/>
      <c r="D138" s="274"/>
      <c r="E138" s="274"/>
      <c r="F138" s="275"/>
      <c r="G138" s="276"/>
      <c r="H138" s="276"/>
      <c r="I138" s="276"/>
      <c r="J138" s="276"/>
      <c r="K138" s="276"/>
      <c r="L138" s="276"/>
      <c r="M138" s="276"/>
      <c r="N138" s="276"/>
      <c r="O138" s="276"/>
      <c r="P138" s="276"/>
      <c r="Q138" s="276"/>
      <c r="R138" s="276"/>
      <c r="S138" s="281"/>
      <c r="T138" s="274"/>
      <c r="U138" s="274"/>
      <c r="V138" s="274"/>
      <c r="W138" s="274"/>
      <c r="X138" s="274"/>
      <c r="Y138" s="274"/>
      <c r="Z138" s="274"/>
      <c r="AA138" s="274"/>
      <c r="AB138" s="274"/>
      <c r="AC138" s="274"/>
      <c r="AD138" s="274"/>
      <c r="AE138" s="274"/>
      <c r="AF138" s="274"/>
      <c r="AG138" s="274"/>
      <c r="AH138" s="274"/>
      <c r="AI138" s="274"/>
      <c r="AJ138" s="274"/>
      <c r="AK138" s="274"/>
      <c r="AL138" s="274"/>
      <c r="AM138" s="274"/>
      <c r="AN138" s="274"/>
      <c r="AO138" s="274"/>
      <c r="AP138" s="274"/>
      <c r="AQ138" s="274"/>
      <c r="AR138" s="274"/>
      <c r="AS138" s="274"/>
      <c r="AT138" s="274"/>
      <c r="AU138" s="274"/>
      <c r="AV138" s="274"/>
      <c r="AW138" s="274"/>
    </row>
    <row r="139" ht="12.0" customHeight="1">
      <c r="A139" s="274"/>
      <c r="B139" s="274"/>
      <c r="C139" s="274"/>
      <c r="D139" s="274"/>
      <c r="E139" s="274"/>
      <c r="F139" s="275"/>
      <c r="G139" s="276"/>
      <c r="H139" s="276"/>
      <c r="I139" s="276"/>
      <c r="J139" s="276"/>
      <c r="K139" s="276"/>
      <c r="L139" s="276"/>
      <c r="M139" s="276"/>
      <c r="N139" s="276"/>
      <c r="O139" s="276"/>
      <c r="P139" s="276"/>
      <c r="Q139" s="276"/>
      <c r="R139" s="276"/>
      <c r="S139" s="281"/>
      <c r="T139" s="274"/>
      <c r="U139" s="274"/>
      <c r="V139" s="274"/>
      <c r="W139" s="274"/>
      <c r="X139" s="274"/>
      <c r="Y139" s="274"/>
      <c r="Z139" s="274"/>
      <c r="AA139" s="274"/>
      <c r="AB139" s="274"/>
      <c r="AC139" s="274"/>
      <c r="AD139" s="274"/>
      <c r="AE139" s="274"/>
      <c r="AF139" s="274"/>
      <c r="AG139" s="274"/>
      <c r="AH139" s="274"/>
      <c r="AI139" s="274"/>
      <c r="AJ139" s="274"/>
      <c r="AK139" s="274"/>
      <c r="AL139" s="274"/>
      <c r="AM139" s="274"/>
      <c r="AN139" s="274"/>
      <c r="AO139" s="274"/>
      <c r="AP139" s="274"/>
      <c r="AQ139" s="274"/>
      <c r="AR139" s="274"/>
      <c r="AS139" s="274"/>
      <c r="AT139" s="274"/>
      <c r="AU139" s="274"/>
      <c r="AV139" s="274"/>
      <c r="AW139" s="274"/>
    </row>
    <row r="140" ht="12.0" customHeight="1">
      <c r="A140" s="274"/>
      <c r="B140" s="274"/>
      <c r="C140" s="274"/>
      <c r="D140" s="274"/>
      <c r="E140" s="274"/>
      <c r="F140" s="275"/>
      <c r="G140" s="276"/>
      <c r="H140" s="276"/>
      <c r="I140" s="276"/>
      <c r="J140" s="276"/>
      <c r="K140" s="276"/>
      <c r="L140" s="276"/>
      <c r="M140" s="276"/>
      <c r="N140" s="276"/>
      <c r="O140" s="276"/>
      <c r="P140" s="276"/>
      <c r="Q140" s="276"/>
      <c r="R140" s="276"/>
      <c r="S140" s="281"/>
      <c r="T140" s="274"/>
      <c r="U140" s="274"/>
      <c r="V140" s="274"/>
      <c r="W140" s="274"/>
      <c r="X140" s="274"/>
      <c r="Y140" s="274"/>
      <c r="Z140" s="274"/>
      <c r="AA140" s="274"/>
      <c r="AB140" s="274"/>
      <c r="AC140" s="274"/>
      <c r="AD140" s="274"/>
      <c r="AE140" s="274"/>
      <c r="AF140" s="274"/>
      <c r="AG140" s="274"/>
      <c r="AH140" s="274"/>
      <c r="AI140" s="274"/>
      <c r="AJ140" s="274"/>
      <c r="AK140" s="274"/>
      <c r="AL140" s="274"/>
      <c r="AM140" s="274"/>
      <c r="AN140" s="274"/>
      <c r="AO140" s="274"/>
      <c r="AP140" s="274"/>
      <c r="AQ140" s="274"/>
      <c r="AR140" s="274"/>
      <c r="AS140" s="274"/>
      <c r="AT140" s="274"/>
      <c r="AU140" s="274"/>
      <c r="AV140" s="274"/>
      <c r="AW140" s="274"/>
    </row>
    <row r="141" ht="12.0" customHeight="1">
      <c r="A141" s="274"/>
      <c r="B141" s="274"/>
      <c r="C141" s="274"/>
      <c r="D141" s="274"/>
      <c r="E141" s="274"/>
      <c r="F141" s="275"/>
      <c r="G141" s="276"/>
      <c r="H141" s="276"/>
      <c r="I141" s="276"/>
      <c r="J141" s="276"/>
      <c r="K141" s="276"/>
      <c r="L141" s="276"/>
      <c r="M141" s="276"/>
      <c r="N141" s="276"/>
      <c r="O141" s="276"/>
      <c r="P141" s="276"/>
      <c r="Q141" s="276"/>
      <c r="R141" s="276"/>
      <c r="S141" s="281"/>
      <c r="T141" s="274"/>
      <c r="U141" s="274"/>
      <c r="V141" s="274"/>
      <c r="W141" s="274"/>
      <c r="X141" s="274"/>
      <c r="Y141" s="274"/>
      <c r="Z141" s="274"/>
      <c r="AA141" s="274"/>
      <c r="AB141" s="274"/>
      <c r="AC141" s="274"/>
      <c r="AD141" s="274"/>
      <c r="AE141" s="274"/>
      <c r="AF141" s="274"/>
      <c r="AG141" s="274"/>
      <c r="AH141" s="274"/>
      <c r="AI141" s="274"/>
      <c r="AJ141" s="274"/>
      <c r="AK141" s="274"/>
      <c r="AL141" s="274"/>
      <c r="AM141" s="274"/>
      <c r="AN141" s="274"/>
      <c r="AO141" s="274"/>
      <c r="AP141" s="274"/>
      <c r="AQ141" s="274"/>
      <c r="AR141" s="274"/>
      <c r="AS141" s="274"/>
      <c r="AT141" s="274"/>
      <c r="AU141" s="274"/>
      <c r="AV141" s="274"/>
      <c r="AW141" s="274"/>
    </row>
    <row r="142" ht="12.0" customHeight="1">
      <c r="A142" s="274"/>
      <c r="B142" s="274"/>
      <c r="C142" s="274"/>
      <c r="D142" s="274"/>
      <c r="E142" s="274"/>
      <c r="F142" s="275"/>
      <c r="G142" s="276"/>
      <c r="H142" s="276"/>
      <c r="I142" s="276"/>
      <c r="J142" s="276"/>
      <c r="K142" s="276"/>
      <c r="L142" s="276"/>
      <c r="M142" s="276"/>
      <c r="N142" s="276"/>
      <c r="O142" s="276"/>
      <c r="P142" s="276"/>
      <c r="Q142" s="276"/>
      <c r="R142" s="276"/>
      <c r="S142" s="281"/>
      <c r="T142" s="274"/>
      <c r="U142" s="274"/>
      <c r="V142" s="274"/>
      <c r="W142" s="274"/>
      <c r="X142" s="274"/>
      <c r="Y142" s="274"/>
      <c r="Z142" s="274"/>
      <c r="AA142" s="274"/>
      <c r="AB142" s="274"/>
      <c r="AC142" s="274"/>
      <c r="AD142" s="274"/>
      <c r="AE142" s="274"/>
      <c r="AF142" s="274"/>
      <c r="AG142" s="274"/>
      <c r="AH142" s="274"/>
      <c r="AI142" s="274"/>
      <c r="AJ142" s="274"/>
      <c r="AK142" s="274"/>
      <c r="AL142" s="274"/>
      <c r="AM142" s="274"/>
      <c r="AN142" s="274"/>
      <c r="AO142" s="274"/>
      <c r="AP142" s="274"/>
      <c r="AQ142" s="274"/>
      <c r="AR142" s="274"/>
      <c r="AS142" s="274"/>
      <c r="AT142" s="274"/>
      <c r="AU142" s="274"/>
      <c r="AV142" s="274"/>
      <c r="AW142" s="274"/>
    </row>
    <row r="143" ht="12.0" customHeight="1">
      <c r="A143" s="274"/>
      <c r="B143" s="274"/>
      <c r="C143" s="274"/>
      <c r="D143" s="274"/>
      <c r="E143" s="274"/>
      <c r="F143" s="275"/>
      <c r="G143" s="276"/>
      <c r="H143" s="276"/>
      <c r="I143" s="276"/>
      <c r="J143" s="276"/>
      <c r="K143" s="276"/>
      <c r="L143" s="276"/>
      <c r="M143" s="276"/>
      <c r="N143" s="276"/>
      <c r="O143" s="276"/>
      <c r="P143" s="276"/>
      <c r="Q143" s="276"/>
      <c r="R143" s="276"/>
      <c r="S143" s="281"/>
      <c r="T143" s="274"/>
      <c r="U143" s="274"/>
      <c r="V143" s="274"/>
      <c r="W143" s="274"/>
      <c r="X143" s="274"/>
      <c r="Y143" s="274"/>
      <c r="Z143" s="274"/>
      <c r="AA143" s="274"/>
      <c r="AB143" s="274"/>
      <c r="AC143" s="274"/>
      <c r="AD143" s="274"/>
      <c r="AE143" s="274"/>
      <c r="AF143" s="274"/>
      <c r="AG143" s="274"/>
      <c r="AH143" s="274"/>
      <c r="AI143" s="274"/>
      <c r="AJ143" s="274"/>
      <c r="AK143" s="274"/>
      <c r="AL143" s="274"/>
      <c r="AM143" s="274"/>
      <c r="AN143" s="274"/>
      <c r="AO143" s="274"/>
      <c r="AP143" s="274"/>
      <c r="AQ143" s="274"/>
      <c r="AR143" s="274"/>
      <c r="AS143" s="274"/>
      <c r="AT143" s="274"/>
      <c r="AU143" s="274"/>
      <c r="AV143" s="274"/>
      <c r="AW143" s="274"/>
    </row>
    <row r="144" ht="12.0" customHeight="1">
      <c r="A144" s="274"/>
      <c r="B144" s="274"/>
      <c r="C144" s="274"/>
      <c r="D144" s="274"/>
      <c r="E144" s="274"/>
      <c r="F144" s="275"/>
      <c r="G144" s="276"/>
      <c r="H144" s="276"/>
      <c r="I144" s="276"/>
      <c r="J144" s="276"/>
      <c r="K144" s="276"/>
      <c r="L144" s="276"/>
      <c r="M144" s="276"/>
      <c r="N144" s="276"/>
      <c r="O144" s="276"/>
      <c r="P144" s="276"/>
      <c r="Q144" s="276"/>
      <c r="R144" s="276"/>
      <c r="S144" s="281"/>
      <c r="T144" s="274"/>
      <c r="U144" s="274"/>
      <c r="V144" s="274"/>
      <c r="W144" s="274"/>
      <c r="X144" s="274"/>
      <c r="Y144" s="274"/>
      <c r="Z144" s="274"/>
      <c r="AA144" s="274"/>
      <c r="AB144" s="274"/>
      <c r="AC144" s="274"/>
      <c r="AD144" s="274"/>
      <c r="AE144" s="274"/>
      <c r="AF144" s="274"/>
      <c r="AG144" s="274"/>
      <c r="AH144" s="274"/>
      <c r="AI144" s="274"/>
      <c r="AJ144" s="274"/>
      <c r="AK144" s="274"/>
      <c r="AL144" s="274"/>
      <c r="AM144" s="274"/>
      <c r="AN144" s="274"/>
      <c r="AO144" s="274"/>
      <c r="AP144" s="274"/>
      <c r="AQ144" s="274"/>
      <c r="AR144" s="274"/>
      <c r="AS144" s="274"/>
      <c r="AT144" s="274"/>
      <c r="AU144" s="274"/>
      <c r="AV144" s="274"/>
      <c r="AW144" s="274"/>
    </row>
    <row r="145" ht="12.0" customHeight="1">
      <c r="A145" s="274"/>
      <c r="B145" s="274"/>
      <c r="C145" s="274"/>
      <c r="D145" s="274"/>
      <c r="E145" s="274"/>
      <c r="F145" s="275"/>
      <c r="G145" s="276"/>
      <c r="H145" s="276"/>
      <c r="I145" s="276"/>
      <c r="J145" s="276"/>
      <c r="K145" s="276"/>
      <c r="L145" s="276"/>
      <c r="M145" s="276"/>
      <c r="N145" s="276"/>
      <c r="O145" s="276"/>
      <c r="P145" s="276"/>
      <c r="Q145" s="276"/>
      <c r="R145" s="276"/>
      <c r="S145" s="281"/>
      <c r="T145" s="274"/>
      <c r="U145" s="274"/>
      <c r="V145" s="274"/>
      <c r="W145" s="274"/>
      <c r="X145" s="274"/>
      <c r="Y145" s="274"/>
      <c r="Z145" s="274"/>
      <c r="AA145" s="274"/>
      <c r="AB145" s="274"/>
      <c r="AC145" s="274"/>
      <c r="AD145" s="274"/>
      <c r="AE145" s="274"/>
      <c r="AF145" s="274"/>
      <c r="AG145" s="274"/>
      <c r="AH145" s="274"/>
      <c r="AI145" s="274"/>
      <c r="AJ145" s="274"/>
      <c r="AK145" s="274"/>
      <c r="AL145" s="274"/>
      <c r="AM145" s="274"/>
      <c r="AN145" s="274"/>
      <c r="AO145" s="274"/>
      <c r="AP145" s="274"/>
      <c r="AQ145" s="274"/>
      <c r="AR145" s="274"/>
      <c r="AS145" s="274"/>
      <c r="AT145" s="274"/>
      <c r="AU145" s="274"/>
      <c r="AV145" s="274"/>
      <c r="AW145" s="274"/>
    </row>
    <row r="146" ht="12.0" customHeight="1">
      <c r="A146" s="274"/>
      <c r="B146" s="274"/>
      <c r="C146" s="274"/>
      <c r="D146" s="274"/>
      <c r="E146" s="274"/>
      <c r="F146" s="275"/>
      <c r="G146" s="276"/>
      <c r="H146" s="276"/>
      <c r="I146" s="276"/>
      <c r="J146" s="276"/>
      <c r="K146" s="276"/>
      <c r="L146" s="276"/>
      <c r="M146" s="276"/>
      <c r="N146" s="276"/>
      <c r="O146" s="276"/>
      <c r="P146" s="276"/>
      <c r="Q146" s="276"/>
      <c r="R146" s="276"/>
      <c r="S146" s="281"/>
      <c r="T146" s="274"/>
      <c r="U146" s="274"/>
      <c r="V146" s="274"/>
      <c r="W146" s="274"/>
      <c r="X146" s="274"/>
      <c r="Y146" s="274"/>
      <c r="Z146" s="274"/>
      <c r="AA146" s="274"/>
      <c r="AB146" s="274"/>
      <c r="AC146" s="274"/>
      <c r="AD146" s="274"/>
      <c r="AE146" s="274"/>
      <c r="AF146" s="274"/>
      <c r="AG146" s="274"/>
      <c r="AH146" s="274"/>
      <c r="AI146" s="274"/>
      <c r="AJ146" s="274"/>
      <c r="AK146" s="274"/>
      <c r="AL146" s="274"/>
      <c r="AM146" s="274"/>
      <c r="AN146" s="274"/>
      <c r="AO146" s="274"/>
      <c r="AP146" s="274"/>
      <c r="AQ146" s="274"/>
      <c r="AR146" s="274"/>
      <c r="AS146" s="274"/>
      <c r="AT146" s="274"/>
      <c r="AU146" s="274"/>
      <c r="AV146" s="274"/>
      <c r="AW146" s="274"/>
    </row>
    <row r="147" ht="12.0" customHeight="1">
      <c r="A147" s="274"/>
      <c r="B147" s="274"/>
      <c r="C147" s="274"/>
      <c r="D147" s="274"/>
      <c r="E147" s="274"/>
      <c r="F147" s="275"/>
      <c r="G147" s="276"/>
      <c r="H147" s="276"/>
      <c r="I147" s="276"/>
      <c r="J147" s="276"/>
      <c r="K147" s="276"/>
      <c r="L147" s="276"/>
      <c r="M147" s="276"/>
      <c r="N147" s="276"/>
      <c r="O147" s="276"/>
      <c r="P147" s="276"/>
      <c r="Q147" s="276"/>
      <c r="R147" s="276"/>
      <c r="S147" s="281"/>
      <c r="T147" s="274"/>
      <c r="U147" s="274"/>
      <c r="V147" s="274"/>
      <c r="W147" s="274"/>
      <c r="X147" s="274"/>
      <c r="Y147" s="274"/>
      <c r="Z147" s="274"/>
      <c r="AA147" s="274"/>
      <c r="AB147" s="274"/>
      <c r="AC147" s="274"/>
      <c r="AD147" s="274"/>
      <c r="AE147" s="274"/>
      <c r="AF147" s="274"/>
      <c r="AG147" s="274"/>
      <c r="AH147" s="274"/>
      <c r="AI147" s="274"/>
      <c r="AJ147" s="274"/>
      <c r="AK147" s="274"/>
      <c r="AL147" s="274"/>
      <c r="AM147" s="274"/>
      <c r="AN147" s="274"/>
      <c r="AO147" s="274"/>
      <c r="AP147" s="274"/>
      <c r="AQ147" s="274"/>
      <c r="AR147" s="274"/>
      <c r="AS147" s="274"/>
      <c r="AT147" s="274"/>
      <c r="AU147" s="274"/>
      <c r="AV147" s="274"/>
      <c r="AW147" s="274"/>
    </row>
    <row r="148" ht="12.0" customHeight="1">
      <c r="A148" s="274"/>
      <c r="B148" s="274"/>
      <c r="C148" s="274"/>
      <c r="D148" s="274"/>
      <c r="E148" s="274"/>
      <c r="F148" s="275"/>
      <c r="G148" s="276"/>
      <c r="H148" s="276"/>
      <c r="I148" s="276"/>
      <c r="J148" s="276"/>
      <c r="K148" s="276"/>
      <c r="L148" s="276"/>
      <c r="M148" s="276"/>
      <c r="N148" s="276"/>
      <c r="O148" s="276"/>
      <c r="P148" s="276"/>
      <c r="Q148" s="276"/>
      <c r="R148" s="276"/>
      <c r="S148" s="281"/>
      <c r="T148" s="274"/>
      <c r="U148" s="274"/>
      <c r="V148" s="274"/>
      <c r="W148" s="274"/>
      <c r="X148" s="274"/>
      <c r="Y148" s="274"/>
      <c r="Z148" s="274"/>
      <c r="AA148" s="274"/>
      <c r="AB148" s="274"/>
      <c r="AC148" s="274"/>
      <c r="AD148" s="274"/>
      <c r="AE148" s="274"/>
      <c r="AF148" s="274"/>
      <c r="AG148" s="274"/>
      <c r="AH148" s="274"/>
      <c r="AI148" s="274"/>
      <c r="AJ148" s="274"/>
      <c r="AK148" s="274"/>
      <c r="AL148" s="274"/>
      <c r="AM148" s="274"/>
      <c r="AN148" s="274"/>
      <c r="AO148" s="274"/>
      <c r="AP148" s="274"/>
      <c r="AQ148" s="274"/>
      <c r="AR148" s="274"/>
      <c r="AS148" s="274"/>
      <c r="AT148" s="274"/>
      <c r="AU148" s="274"/>
      <c r="AV148" s="274"/>
      <c r="AW148" s="274"/>
    </row>
    <row r="149" ht="12.0" customHeight="1">
      <c r="A149" s="274"/>
      <c r="B149" s="274"/>
      <c r="C149" s="274"/>
      <c r="D149" s="274"/>
      <c r="E149" s="274"/>
      <c r="F149" s="275"/>
      <c r="G149" s="276"/>
      <c r="H149" s="276"/>
      <c r="I149" s="276"/>
      <c r="J149" s="276"/>
      <c r="K149" s="276"/>
      <c r="L149" s="276"/>
      <c r="M149" s="276"/>
      <c r="N149" s="276"/>
      <c r="O149" s="276"/>
      <c r="P149" s="276"/>
      <c r="Q149" s="276"/>
      <c r="R149" s="276"/>
      <c r="S149" s="281"/>
      <c r="T149" s="274"/>
      <c r="U149" s="274"/>
      <c r="V149" s="274"/>
      <c r="W149" s="274"/>
      <c r="X149" s="274"/>
      <c r="Y149" s="274"/>
      <c r="Z149" s="274"/>
      <c r="AA149" s="274"/>
      <c r="AB149" s="274"/>
      <c r="AC149" s="274"/>
      <c r="AD149" s="274"/>
      <c r="AE149" s="274"/>
      <c r="AF149" s="274"/>
      <c r="AG149" s="274"/>
      <c r="AH149" s="274"/>
      <c r="AI149" s="274"/>
      <c r="AJ149" s="274"/>
      <c r="AK149" s="274"/>
      <c r="AL149" s="274"/>
      <c r="AM149" s="274"/>
      <c r="AN149" s="274"/>
      <c r="AO149" s="274"/>
      <c r="AP149" s="274"/>
      <c r="AQ149" s="274"/>
      <c r="AR149" s="274"/>
      <c r="AS149" s="274"/>
      <c r="AT149" s="274"/>
      <c r="AU149" s="274"/>
      <c r="AV149" s="274"/>
      <c r="AW149" s="274"/>
    </row>
    <row r="150" ht="12.0" customHeight="1">
      <c r="A150" s="274"/>
      <c r="B150" s="274"/>
      <c r="C150" s="274"/>
      <c r="D150" s="274"/>
      <c r="E150" s="274"/>
      <c r="F150" s="275"/>
      <c r="G150" s="276"/>
      <c r="H150" s="276"/>
      <c r="I150" s="276"/>
      <c r="J150" s="276"/>
      <c r="K150" s="276"/>
      <c r="L150" s="276"/>
      <c r="M150" s="276"/>
      <c r="N150" s="276"/>
      <c r="O150" s="276"/>
      <c r="P150" s="276"/>
      <c r="Q150" s="276"/>
      <c r="R150" s="276"/>
      <c r="S150" s="281"/>
      <c r="T150" s="274"/>
      <c r="U150" s="274"/>
      <c r="V150" s="274"/>
      <c r="W150" s="274"/>
      <c r="X150" s="274"/>
      <c r="Y150" s="274"/>
      <c r="Z150" s="274"/>
      <c r="AA150" s="274"/>
      <c r="AB150" s="274"/>
      <c r="AC150" s="274"/>
      <c r="AD150" s="274"/>
      <c r="AE150" s="274"/>
      <c r="AF150" s="274"/>
      <c r="AG150" s="274"/>
      <c r="AH150" s="274"/>
      <c r="AI150" s="274"/>
      <c r="AJ150" s="274"/>
      <c r="AK150" s="274"/>
      <c r="AL150" s="274"/>
      <c r="AM150" s="274"/>
      <c r="AN150" s="274"/>
      <c r="AO150" s="274"/>
      <c r="AP150" s="274"/>
      <c r="AQ150" s="274"/>
      <c r="AR150" s="274"/>
      <c r="AS150" s="274"/>
      <c r="AT150" s="274"/>
      <c r="AU150" s="274"/>
      <c r="AV150" s="274"/>
      <c r="AW150" s="274"/>
    </row>
    <row r="151" ht="12.0" customHeight="1">
      <c r="A151" s="274"/>
      <c r="B151" s="274"/>
      <c r="C151" s="274"/>
      <c r="D151" s="274"/>
      <c r="E151" s="274"/>
      <c r="F151" s="275"/>
      <c r="G151" s="276"/>
      <c r="H151" s="276"/>
      <c r="I151" s="276"/>
      <c r="J151" s="276"/>
      <c r="K151" s="276"/>
      <c r="L151" s="276"/>
      <c r="M151" s="276"/>
      <c r="N151" s="276"/>
      <c r="O151" s="276"/>
      <c r="P151" s="276"/>
      <c r="Q151" s="276"/>
      <c r="R151" s="276"/>
      <c r="S151" s="281"/>
      <c r="T151" s="274"/>
      <c r="U151" s="274"/>
      <c r="V151" s="274"/>
      <c r="W151" s="274"/>
      <c r="X151" s="274"/>
      <c r="Y151" s="274"/>
      <c r="Z151" s="274"/>
      <c r="AA151" s="274"/>
      <c r="AB151" s="274"/>
      <c r="AC151" s="274"/>
      <c r="AD151" s="274"/>
      <c r="AE151" s="274"/>
      <c r="AF151" s="274"/>
      <c r="AG151" s="274"/>
      <c r="AH151" s="274"/>
      <c r="AI151" s="274"/>
      <c r="AJ151" s="274"/>
      <c r="AK151" s="274"/>
      <c r="AL151" s="274"/>
      <c r="AM151" s="274"/>
      <c r="AN151" s="274"/>
      <c r="AO151" s="274"/>
      <c r="AP151" s="274"/>
      <c r="AQ151" s="274"/>
      <c r="AR151" s="274"/>
      <c r="AS151" s="274"/>
      <c r="AT151" s="274"/>
      <c r="AU151" s="274"/>
      <c r="AV151" s="274"/>
      <c r="AW151" s="274"/>
    </row>
    <row r="152" ht="12.0" customHeight="1">
      <c r="A152" s="274"/>
      <c r="B152" s="274"/>
      <c r="C152" s="274"/>
      <c r="D152" s="274"/>
      <c r="E152" s="274"/>
      <c r="F152" s="275"/>
      <c r="G152" s="276"/>
      <c r="H152" s="276"/>
      <c r="I152" s="276"/>
      <c r="J152" s="276"/>
      <c r="K152" s="276"/>
      <c r="L152" s="276"/>
      <c r="M152" s="276"/>
      <c r="N152" s="276"/>
      <c r="O152" s="276"/>
      <c r="P152" s="276"/>
      <c r="Q152" s="276"/>
      <c r="R152" s="276"/>
      <c r="S152" s="281"/>
      <c r="T152" s="274"/>
      <c r="U152" s="274"/>
      <c r="V152" s="274"/>
      <c r="W152" s="274"/>
      <c r="X152" s="274"/>
      <c r="Y152" s="274"/>
      <c r="Z152" s="274"/>
      <c r="AA152" s="274"/>
      <c r="AB152" s="274"/>
      <c r="AC152" s="274"/>
      <c r="AD152" s="274"/>
      <c r="AE152" s="274"/>
      <c r="AF152" s="274"/>
      <c r="AG152" s="274"/>
      <c r="AH152" s="274"/>
      <c r="AI152" s="274"/>
      <c r="AJ152" s="274"/>
      <c r="AK152" s="274"/>
      <c r="AL152" s="274"/>
      <c r="AM152" s="274"/>
      <c r="AN152" s="274"/>
      <c r="AO152" s="274"/>
      <c r="AP152" s="274"/>
      <c r="AQ152" s="274"/>
      <c r="AR152" s="274"/>
      <c r="AS152" s="274"/>
      <c r="AT152" s="274"/>
      <c r="AU152" s="274"/>
      <c r="AV152" s="274"/>
      <c r="AW152" s="274"/>
    </row>
    <row r="153" ht="12.0" customHeight="1">
      <c r="A153" s="274"/>
      <c r="B153" s="274"/>
      <c r="C153" s="274"/>
      <c r="D153" s="274"/>
      <c r="E153" s="274"/>
      <c r="F153" s="275"/>
      <c r="G153" s="276"/>
      <c r="H153" s="276"/>
      <c r="I153" s="276"/>
      <c r="J153" s="276"/>
      <c r="K153" s="276"/>
      <c r="L153" s="276"/>
      <c r="M153" s="276"/>
      <c r="N153" s="276"/>
      <c r="O153" s="276"/>
      <c r="P153" s="276"/>
      <c r="Q153" s="276"/>
      <c r="R153" s="276"/>
      <c r="S153" s="281"/>
      <c r="T153" s="274"/>
      <c r="U153" s="274"/>
      <c r="V153" s="274"/>
      <c r="W153" s="274"/>
      <c r="X153" s="274"/>
      <c r="Y153" s="274"/>
      <c r="Z153" s="274"/>
      <c r="AA153" s="274"/>
      <c r="AB153" s="274"/>
      <c r="AC153" s="274"/>
      <c r="AD153" s="274"/>
      <c r="AE153" s="274"/>
      <c r="AF153" s="274"/>
      <c r="AG153" s="274"/>
      <c r="AH153" s="274"/>
      <c r="AI153" s="274"/>
      <c r="AJ153" s="274"/>
      <c r="AK153" s="274"/>
      <c r="AL153" s="274"/>
      <c r="AM153" s="274"/>
      <c r="AN153" s="274"/>
      <c r="AO153" s="274"/>
      <c r="AP153" s="274"/>
      <c r="AQ153" s="274"/>
      <c r="AR153" s="274"/>
      <c r="AS153" s="274"/>
      <c r="AT153" s="274"/>
      <c r="AU153" s="274"/>
      <c r="AV153" s="274"/>
      <c r="AW153" s="274"/>
    </row>
    <row r="154" ht="12.0" customHeight="1">
      <c r="A154" s="274"/>
      <c r="B154" s="274"/>
      <c r="C154" s="274"/>
      <c r="D154" s="274"/>
      <c r="E154" s="274"/>
      <c r="F154" s="275"/>
      <c r="G154" s="276"/>
      <c r="H154" s="276"/>
      <c r="I154" s="276"/>
      <c r="J154" s="276"/>
      <c r="K154" s="276"/>
      <c r="L154" s="276"/>
      <c r="M154" s="276"/>
      <c r="N154" s="276"/>
      <c r="O154" s="276"/>
      <c r="P154" s="276"/>
      <c r="Q154" s="276"/>
      <c r="R154" s="276"/>
      <c r="S154" s="281"/>
      <c r="T154" s="274"/>
      <c r="U154" s="274"/>
      <c r="V154" s="274"/>
      <c r="W154" s="274"/>
      <c r="X154" s="274"/>
      <c r="Y154" s="274"/>
      <c r="Z154" s="274"/>
      <c r="AA154" s="274"/>
      <c r="AB154" s="274"/>
      <c r="AC154" s="274"/>
      <c r="AD154" s="274"/>
      <c r="AE154" s="274"/>
      <c r="AF154" s="274"/>
      <c r="AG154" s="274"/>
      <c r="AH154" s="274"/>
      <c r="AI154" s="274"/>
      <c r="AJ154" s="274"/>
      <c r="AK154" s="274"/>
      <c r="AL154" s="274"/>
      <c r="AM154" s="274"/>
      <c r="AN154" s="274"/>
      <c r="AO154" s="274"/>
      <c r="AP154" s="274"/>
      <c r="AQ154" s="274"/>
      <c r="AR154" s="274"/>
      <c r="AS154" s="274"/>
      <c r="AT154" s="274"/>
      <c r="AU154" s="274"/>
      <c r="AV154" s="274"/>
      <c r="AW154" s="274"/>
    </row>
    <row r="155" ht="12.0" customHeight="1">
      <c r="A155" s="274"/>
      <c r="B155" s="274"/>
      <c r="C155" s="274"/>
      <c r="D155" s="274"/>
      <c r="E155" s="274"/>
      <c r="F155" s="275"/>
      <c r="G155" s="276"/>
      <c r="H155" s="276"/>
      <c r="I155" s="276"/>
      <c r="J155" s="276"/>
      <c r="K155" s="276"/>
      <c r="L155" s="276"/>
      <c r="M155" s="276"/>
      <c r="N155" s="276"/>
      <c r="O155" s="276"/>
      <c r="P155" s="276"/>
      <c r="Q155" s="276"/>
      <c r="R155" s="276"/>
      <c r="S155" s="281"/>
      <c r="T155" s="274"/>
      <c r="U155" s="274"/>
      <c r="V155" s="274"/>
      <c r="W155" s="274"/>
      <c r="X155" s="274"/>
      <c r="Y155" s="274"/>
      <c r="Z155" s="274"/>
      <c r="AA155" s="274"/>
      <c r="AB155" s="274"/>
      <c r="AC155" s="274"/>
      <c r="AD155" s="274"/>
      <c r="AE155" s="274"/>
      <c r="AF155" s="274"/>
      <c r="AG155" s="274"/>
      <c r="AH155" s="274"/>
      <c r="AI155" s="274"/>
      <c r="AJ155" s="274"/>
      <c r="AK155" s="274"/>
      <c r="AL155" s="274"/>
      <c r="AM155" s="274"/>
      <c r="AN155" s="274"/>
      <c r="AO155" s="274"/>
      <c r="AP155" s="274"/>
      <c r="AQ155" s="274"/>
      <c r="AR155" s="274"/>
      <c r="AS155" s="274"/>
      <c r="AT155" s="274"/>
      <c r="AU155" s="274"/>
      <c r="AV155" s="274"/>
      <c r="AW155" s="274"/>
    </row>
    <row r="156" ht="12.0" customHeight="1">
      <c r="A156" s="274"/>
      <c r="B156" s="274"/>
      <c r="C156" s="274"/>
      <c r="D156" s="274"/>
      <c r="E156" s="274"/>
      <c r="F156" s="275"/>
      <c r="G156" s="276"/>
      <c r="H156" s="276"/>
      <c r="I156" s="276"/>
      <c r="J156" s="276"/>
      <c r="K156" s="276"/>
      <c r="L156" s="276"/>
      <c r="M156" s="276"/>
      <c r="N156" s="276"/>
      <c r="O156" s="276"/>
      <c r="P156" s="276"/>
      <c r="Q156" s="276"/>
      <c r="R156" s="276"/>
      <c r="S156" s="281"/>
      <c r="T156" s="274"/>
      <c r="U156" s="274"/>
      <c r="V156" s="274"/>
      <c r="W156" s="274"/>
      <c r="X156" s="274"/>
      <c r="Y156" s="274"/>
      <c r="Z156" s="274"/>
      <c r="AA156" s="274"/>
      <c r="AB156" s="274"/>
      <c r="AC156" s="274"/>
      <c r="AD156" s="274"/>
      <c r="AE156" s="274"/>
      <c r="AF156" s="274"/>
      <c r="AG156" s="274"/>
      <c r="AH156" s="274"/>
      <c r="AI156" s="274"/>
      <c r="AJ156" s="274"/>
      <c r="AK156" s="274"/>
      <c r="AL156" s="274"/>
      <c r="AM156" s="274"/>
      <c r="AN156" s="274"/>
      <c r="AO156" s="274"/>
      <c r="AP156" s="274"/>
      <c r="AQ156" s="274"/>
      <c r="AR156" s="274"/>
      <c r="AS156" s="274"/>
      <c r="AT156" s="274"/>
      <c r="AU156" s="274"/>
      <c r="AV156" s="274"/>
      <c r="AW156" s="274"/>
    </row>
    <row r="157" ht="12.0" customHeight="1">
      <c r="A157" s="45"/>
      <c r="B157" s="45"/>
      <c r="C157" s="45"/>
      <c r="D157" s="45"/>
      <c r="E157" s="45"/>
      <c r="F157" s="309"/>
      <c r="G157" s="109"/>
      <c r="H157" s="109"/>
      <c r="I157" s="109"/>
      <c r="J157" s="109"/>
      <c r="K157" s="109"/>
      <c r="L157" s="109"/>
      <c r="M157" s="109"/>
      <c r="N157" s="109"/>
      <c r="O157" s="109"/>
      <c r="P157" s="109"/>
      <c r="Q157" s="109"/>
      <c r="R157" s="109"/>
      <c r="S157" s="281"/>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row>
    <row r="158" ht="12.0" customHeight="1">
      <c r="A158" s="45"/>
      <c r="B158" s="45"/>
      <c r="C158" s="45"/>
      <c r="D158" s="45"/>
      <c r="E158" s="45"/>
      <c r="F158" s="309"/>
      <c r="G158" s="109"/>
      <c r="H158" s="109"/>
      <c r="I158" s="109"/>
      <c r="J158" s="109"/>
      <c r="K158" s="109"/>
      <c r="L158" s="109"/>
      <c r="M158" s="109"/>
      <c r="N158" s="109"/>
      <c r="O158" s="109"/>
      <c r="P158" s="109"/>
      <c r="Q158" s="109"/>
      <c r="R158" s="109"/>
      <c r="S158" s="281"/>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row>
    <row r="159" ht="12.0" customHeight="1">
      <c r="A159" s="45"/>
      <c r="B159" s="45"/>
      <c r="C159" s="45"/>
      <c r="D159" s="45"/>
      <c r="E159" s="45"/>
      <c r="F159" s="309"/>
      <c r="G159" s="109"/>
      <c r="H159" s="109"/>
      <c r="I159" s="109"/>
      <c r="J159" s="109"/>
      <c r="K159" s="109"/>
      <c r="L159" s="109"/>
      <c r="M159" s="109"/>
      <c r="N159" s="109"/>
      <c r="O159" s="109"/>
      <c r="P159" s="109"/>
      <c r="Q159" s="109"/>
      <c r="R159" s="109"/>
      <c r="S159" s="281"/>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row>
    <row r="160" ht="12.0" customHeight="1">
      <c r="A160" s="45"/>
      <c r="B160" s="45"/>
      <c r="C160" s="45"/>
      <c r="D160" s="45"/>
      <c r="E160" s="45"/>
      <c r="F160" s="309"/>
      <c r="G160" s="109"/>
      <c r="H160" s="109"/>
      <c r="I160" s="109"/>
      <c r="J160" s="109"/>
      <c r="K160" s="109"/>
      <c r="L160" s="109"/>
      <c r="M160" s="109"/>
      <c r="N160" s="109"/>
      <c r="O160" s="109"/>
      <c r="P160" s="109"/>
      <c r="Q160" s="109"/>
      <c r="R160" s="109"/>
      <c r="S160" s="281"/>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row>
    <row r="161" ht="12.0" customHeight="1">
      <c r="A161" s="45"/>
      <c r="B161" s="45"/>
      <c r="C161" s="45"/>
      <c r="D161" s="45"/>
      <c r="E161" s="45"/>
      <c r="F161" s="309"/>
      <c r="G161" s="109"/>
      <c r="H161" s="109"/>
      <c r="I161" s="109"/>
      <c r="J161" s="109"/>
      <c r="K161" s="109"/>
      <c r="L161" s="109"/>
      <c r="M161" s="109"/>
      <c r="N161" s="109"/>
      <c r="O161" s="109"/>
      <c r="P161" s="109"/>
      <c r="Q161" s="109"/>
      <c r="R161" s="109"/>
      <c r="S161" s="281"/>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row>
    <row r="162" ht="12.0" customHeight="1">
      <c r="A162" s="45"/>
      <c r="B162" s="45"/>
      <c r="C162" s="45"/>
      <c r="D162" s="45"/>
      <c r="E162" s="45"/>
      <c r="F162" s="309"/>
      <c r="G162" s="109"/>
      <c r="H162" s="109"/>
      <c r="I162" s="109"/>
      <c r="J162" s="109"/>
      <c r="K162" s="109"/>
      <c r="L162" s="109"/>
      <c r="M162" s="109"/>
      <c r="N162" s="109"/>
      <c r="O162" s="109"/>
      <c r="P162" s="109"/>
      <c r="Q162" s="109"/>
      <c r="R162" s="109"/>
      <c r="S162" s="281"/>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row>
    <row r="163" ht="12.0" customHeight="1">
      <c r="A163" s="45"/>
      <c r="B163" s="45"/>
      <c r="C163" s="45"/>
      <c r="D163" s="45"/>
      <c r="E163" s="45"/>
      <c r="F163" s="309"/>
      <c r="G163" s="109"/>
      <c r="H163" s="109"/>
      <c r="I163" s="109"/>
      <c r="J163" s="109"/>
      <c r="K163" s="109"/>
      <c r="L163" s="109"/>
      <c r="M163" s="109"/>
      <c r="N163" s="109"/>
      <c r="O163" s="109"/>
      <c r="P163" s="109"/>
      <c r="Q163" s="109"/>
      <c r="R163" s="109"/>
      <c r="S163" s="281"/>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row>
    <row r="164" ht="12.0" customHeight="1">
      <c r="A164" s="45"/>
      <c r="B164" s="45"/>
      <c r="C164" s="45"/>
      <c r="D164" s="45"/>
      <c r="E164" s="45"/>
      <c r="F164" s="309"/>
      <c r="G164" s="109"/>
      <c r="H164" s="109"/>
      <c r="I164" s="109"/>
      <c r="J164" s="109"/>
      <c r="K164" s="109"/>
      <c r="L164" s="109"/>
      <c r="M164" s="109"/>
      <c r="N164" s="109"/>
      <c r="O164" s="109"/>
      <c r="P164" s="109"/>
      <c r="Q164" s="109"/>
      <c r="R164" s="109"/>
      <c r="S164" s="281"/>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row>
    <row r="165" ht="12.0" customHeight="1">
      <c r="A165" s="45"/>
      <c r="B165" s="45"/>
      <c r="C165" s="45"/>
      <c r="D165" s="45"/>
      <c r="E165" s="45"/>
      <c r="F165" s="309"/>
      <c r="G165" s="109"/>
      <c r="H165" s="109"/>
      <c r="I165" s="109"/>
      <c r="J165" s="109"/>
      <c r="K165" s="109"/>
      <c r="L165" s="109"/>
      <c r="M165" s="109"/>
      <c r="N165" s="109"/>
      <c r="O165" s="109"/>
      <c r="P165" s="109"/>
      <c r="Q165" s="109"/>
      <c r="R165" s="109"/>
      <c r="S165" s="281"/>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row>
    <row r="166" ht="12.0" customHeight="1">
      <c r="A166" s="45"/>
      <c r="B166" s="45"/>
      <c r="C166" s="45"/>
      <c r="D166" s="45"/>
      <c r="E166" s="45"/>
      <c r="F166" s="309"/>
      <c r="G166" s="109"/>
      <c r="H166" s="109"/>
      <c r="I166" s="109"/>
      <c r="J166" s="109"/>
      <c r="K166" s="109"/>
      <c r="L166" s="109"/>
      <c r="M166" s="109"/>
      <c r="N166" s="109"/>
      <c r="O166" s="109"/>
      <c r="P166" s="109"/>
      <c r="Q166" s="109"/>
      <c r="R166" s="109"/>
      <c r="S166" s="281"/>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row>
    <row r="167" ht="12.0" customHeight="1">
      <c r="A167" s="45"/>
      <c r="B167" s="45"/>
      <c r="C167" s="45"/>
      <c r="D167" s="45"/>
      <c r="E167" s="45"/>
      <c r="F167" s="309"/>
      <c r="G167" s="109"/>
      <c r="H167" s="109"/>
      <c r="I167" s="109"/>
      <c r="J167" s="109"/>
      <c r="K167" s="109"/>
      <c r="L167" s="109"/>
      <c r="M167" s="109"/>
      <c r="N167" s="109"/>
      <c r="O167" s="109"/>
      <c r="P167" s="109"/>
      <c r="Q167" s="109"/>
      <c r="R167" s="109"/>
      <c r="S167" s="281"/>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row>
    <row r="168" ht="12.0" customHeight="1">
      <c r="A168" s="45"/>
      <c r="B168" s="45"/>
      <c r="C168" s="45"/>
      <c r="D168" s="45"/>
      <c r="E168" s="45"/>
      <c r="F168" s="309"/>
      <c r="G168" s="109"/>
      <c r="H168" s="109"/>
      <c r="I168" s="109"/>
      <c r="J168" s="109"/>
      <c r="K168" s="109"/>
      <c r="L168" s="109"/>
      <c r="M168" s="109"/>
      <c r="N168" s="109"/>
      <c r="O168" s="109"/>
      <c r="P168" s="109"/>
      <c r="Q168" s="109"/>
      <c r="R168" s="109"/>
      <c r="S168" s="281"/>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row>
    <row r="169" ht="12.0" customHeight="1">
      <c r="A169" s="45"/>
      <c r="B169" s="45"/>
      <c r="C169" s="45"/>
      <c r="D169" s="45"/>
      <c r="E169" s="45"/>
      <c r="F169" s="309"/>
      <c r="G169" s="109"/>
      <c r="H169" s="109"/>
      <c r="I169" s="109"/>
      <c r="J169" s="109"/>
      <c r="K169" s="109"/>
      <c r="L169" s="109"/>
      <c r="M169" s="109"/>
      <c r="N169" s="109"/>
      <c r="O169" s="109"/>
      <c r="P169" s="109"/>
      <c r="Q169" s="109"/>
      <c r="R169" s="109"/>
      <c r="S169" s="281"/>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row>
    <row r="170" ht="12.0" customHeight="1">
      <c r="A170" s="45"/>
      <c r="B170" s="45"/>
      <c r="C170" s="45"/>
      <c r="D170" s="45"/>
      <c r="E170" s="45"/>
      <c r="F170" s="309"/>
      <c r="G170" s="109"/>
      <c r="H170" s="109"/>
      <c r="I170" s="109"/>
      <c r="J170" s="109"/>
      <c r="K170" s="109"/>
      <c r="L170" s="109"/>
      <c r="M170" s="109"/>
      <c r="N170" s="109"/>
      <c r="O170" s="109"/>
      <c r="P170" s="109"/>
      <c r="Q170" s="109"/>
      <c r="R170" s="109"/>
      <c r="S170" s="281"/>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row>
    <row r="171" ht="12.0" customHeight="1">
      <c r="A171" s="45"/>
      <c r="B171" s="45"/>
      <c r="C171" s="45"/>
      <c r="D171" s="45"/>
      <c r="E171" s="45"/>
      <c r="F171" s="309"/>
      <c r="G171" s="109"/>
      <c r="H171" s="109"/>
      <c r="I171" s="109"/>
      <c r="J171" s="109"/>
      <c r="K171" s="109"/>
      <c r="L171" s="109"/>
      <c r="M171" s="109"/>
      <c r="N171" s="109"/>
      <c r="O171" s="109"/>
      <c r="P171" s="109"/>
      <c r="Q171" s="109"/>
      <c r="R171" s="109"/>
      <c r="S171" s="281"/>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row>
    <row r="172" ht="12.0" customHeight="1">
      <c r="A172" s="45"/>
      <c r="B172" s="45"/>
      <c r="C172" s="45"/>
      <c r="D172" s="45"/>
      <c r="E172" s="45"/>
      <c r="F172" s="309"/>
      <c r="G172" s="109"/>
      <c r="H172" s="109"/>
      <c r="I172" s="109"/>
      <c r="J172" s="109"/>
      <c r="K172" s="109"/>
      <c r="L172" s="109"/>
      <c r="M172" s="109"/>
      <c r="N172" s="109"/>
      <c r="O172" s="109"/>
      <c r="P172" s="109"/>
      <c r="Q172" s="109"/>
      <c r="R172" s="109"/>
      <c r="S172" s="281"/>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row>
    <row r="173" ht="12.0" customHeight="1">
      <c r="A173" s="45"/>
      <c r="B173" s="45"/>
      <c r="C173" s="45"/>
      <c r="D173" s="45"/>
      <c r="E173" s="45"/>
      <c r="F173" s="309"/>
      <c r="G173" s="109"/>
      <c r="H173" s="109"/>
      <c r="I173" s="109"/>
      <c r="J173" s="109"/>
      <c r="K173" s="109"/>
      <c r="L173" s="109"/>
      <c r="M173" s="109"/>
      <c r="N173" s="109"/>
      <c r="O173" s="109"/>
      <c r="P173" s="109"/>
      <c r="Q173" s="109"/>
      <c r="R173" s="109"/>
      <c r="S173" s="281"/>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row>
    <row r="174" ht="12.0" customHeight="1">
      <c r="A174" s="45"/>
      <c r="B174" s="45"/>
      <c r="C174" s="45"/>
      <c r="D174" s="45"/>
      <c r="E174" s="45"/>
      <c r="F174" s="309"/>
      <c r="G174" s="109"/>
      <c r="H174" s="109"/>
      <c r="I174" s="109"/>
      <c r="J174" s="109"/>
      <c r="K174" s="109"/>
      <c r="L174" s="109"/>
      <c r="M174" s="109"/>
      <c r="N174" s="109"/>
      <c r="O174" s="109"/>
      <c r="P174" s="109"/>
      <c r="Q174" s="109"/>
      <c r="R174" s="109"/>
      <c r="S174" s="281"/>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row>
    <row r="175" ht="12.0" customHeight="1">
      <c r="A175" s="45"/>
      <c r="B175" s="45"/>
      <c r="C175" s="45"/>
      <c r="D175" s="45"/>
      <c r="E175" s="45"/>
      <c r="F175" s="309"/>
      <c r="G175" s="109"/>
      <c r="H175" s="109"/>
      <c r="I175" s="109"/>
      <c r="J175" s="109"/>
      <c r="K175" s="109"/>
      <c r="L175" s="109"/>
      <c r="M175" s="109"/>
      <c r="N175" s="109"/>
      <c r="O175" s="109"/>
      <c r="P175" s="109"/>
      <c r="Q175" s="109"/>
      <c r="R175" s="109"/>
      <c r="S175" s="281"/>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row>
    <row r="176" ht="12.0" customHeight="1">
      <c r="A176" s="45"/>
      <c r="B176" s="45"/>
      <c r="C176" s="45"/>
      <c r="D176" s="45"/>
      <c r="E176" s="45"/>
      <c r="F176" s="309"/>
      <c r="G176" s="109"/>
      <c r="H176" s="109"/>
      <c r="I176" s="109"/>
      <c r="J176" s="109"/>
      <c r="K176" s="109"/>
      <c r="L176" s="109"/>
      <c r="M176" s="109"/>
      <c r="N176" s="109"/>
      <c r="O176" s="109"/>
      <c r="P176" s="109"/>
      <c r="Q176" s="109"/>
      <c r="R176" s="109"/>
      <c r="S176" s="281"/>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row>
    <row r="177" ht="12.0" customHeight="1">
      <c r="A177" s="45"/>
      <c r="B177" s="45"/>
      <c r="C177" s="45"/>
      <c r="D177" s="45"/>
      <c r="E177" s="45"/>
      <c r="F177" s="309"/>
      <c r="G177" s="109"/>
      <c r="H177" s="109"/>
      <c r="I177" s="109"/>
      <c r="J177" s="109"/>
      <c r="K177" s="109"/>
      <c r="L177" s="109"/>
      <c r="M177" s="109"/>
      <c r="N177" s="109"/>
      <c r="O177" s="109"/>
      <c r="P177" s="109"/>
      <c r="Q177" s="109"/>
      <c r="R177" s="109"/>
      <c r="S177" s="281"/>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row>
    <row r="178" ht="12.0" customHeight="1">
      <c r="A178" s="45"/>
      <c r="B178" s="45"/>
      <c r="C178" s="45"/>
      <c r="D178" s="45"/>
      <c r="E178" s="45"/>
      <c r="F178" s="309"/>
      <c r="G178" s="109"/>
      <c r="H178" s="109"/>
      <c r="I178" s="109"/>
      <c r="J178" s="109"/>
      <c r="K178" s="109"/>
      <c r="L178" s="109"/>
      <c r="M178" s="109"/>
      <c r="N178" s="109"/>
      <c r="O178" s="109"/>
      <c r="P178" s="109"/>
      <c r="Q178" s="109"/>
      <c r="R178" s="109"/>
      <c r="S178" s="281"/>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row>
    <row r="179" ht="12.0" customHeight="1">
      <c r="A179" s="45"/>
      <c r="B179" s="45"/>
      <c r="C179" s="45"/>
      <c r="D179" s="45"/>
      <c r="E179" s="45"/>
      <c r="F179" s="309"/>
      <c r="G179" s="109"/>
      <c r="H179" s="109"/>
      <c r="I179" s="109"/>
      <c r="J179" s="109"/>
      <c r="K179" s="109"/>
      <c r="L179" s="109"/>
      <c r="M179" s="109"/>
      <c r="N179" s="109"/>
      <c r="O179" s="109"/>
      <c r="P179" s="109"/>
      <c r="Q179" s="109"/>
      <c r="R179" s="109"/>
      <c r="S179" s="281"/>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row>
    <row r="180" ht="12.0" customHeight="1">
      <c r="A180" s="45"/>
      <c r="B180" s="45"/>
      <c r="C180" s="45"/>
      <c r="D180" s="45"/>
      <c r="E180" s="45"/>
      <c r="F180" s="309"/>
      <c r="G180" s="109"/>
      <c r="H180" s="109"/>
      <c r="I180" s="109"/>
      <c r="J180" s="109"/>
      <c r="K180" s="109"/>
      <c r="L180" s="109"/>
      <c r="M180" s="109"/>
      <c r="N180" s="109"/>
      <c r="O180" s="109"/>
      <c r="P180" s="109"/>
      <c r="Q180" s="109"/>
      <c r="R180" s="109"/>
      <c r="S180" s="281"/>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row>
    <row r="181" ht="12.0" customHeight="1">
      <c r="A181" s="45"/>
      <c r="B181" s="45"/>
      <c r="C181" s="45"/>
      <c r="D181" s="45"/>
      <c r="E181" s="45"/>
      <c r="F181" s="309"/>
      <c r="G181" s="109"/>
      <c r="H181" s="109"/>
      <c r="I181" s="109"/>
      <c r="J181" s="109"/>
      <c r="K181" s="109"/>
      <c r="L181" s="109"/>
      <c r="M181" s="109"/>
      <c r="N181" s="109"/>
      <c r="O181" s="109"/>
      <c r="P181" s="109"/>
      <c r="Q181" s="109"/>
      <c r="R181" s="109"/>
      <c r="S181" s="281"/>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row>
    <row r="182" ht="12.0" customHeight="1">
      <c r="A182" s="45"/>
      <c r="B182" s="45"/>
      <c r="C182" s="45"/>
      <c r="D182" s="45"/>
      <c r="E182" s="45"/>
      <c r="F182" s="309"/>
      <c r="G182" s="109"/>
      <c r="H182" s="109"/>
      <c r="I182" s="109"/>
      <c r="J182" s="109"/>
      <c r="K182" s="109"/>
      <c r="L182" s="109"/>
      <c r="M182" s="109"/>
      <c r="N182" s="109"/>
      <c r="O182" s="109"/>
      <c r="P182" s="109"/>
      <c r="Q182" s="109"/>
      <c r="R182" s="109"/>
      <c r="S182" s="281"/>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row>
    <row r="183" ht="12.0" customHeight="1">
      <c r="A183" s="45"/>
      <c r="B183" s="45"/>
      <c r="C183" s="45"/>
      <c r="D183" s="45"/>
      <c r="E183" s="45"/>
      <c r="F183" s="309"/>
      <c r="G183" s="109"/>
      <c r="H183" s="109"/>
      <c r="I183" s="109"/>
      <c r="J183" s="109"/>
      <c r="K183" s="109"/>
      <c r="L183" s="109"/>
      <c r="M183" s="109"/>
      <c r="N183" s="109"/>
      <c r="O183" s="109"/>
      <c r="P183" s="109"/>
      <c r="Q183" s="109"/>
      <c r="R183" s="109"/>
      <c r="S183" s="281"/>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row>
    <row r="184" ht="12.0" customHeight="1">
      <c r="A184" s="45"/>
      <c r="B184" s="45"/>
      <c r="C184" s="45"/>
      <c r="D184" s="45"/>
      <c r="E184" s="45"/>
      <c r="F184" s="309"/>
      <c r="G184" s="109"/>
      <c r="H184" s="109"/>
      <c r="I184" s="109"/>
      <c r="J184" s="109"/>
      <c r="K184" s="109"/>
      <c r="L184" s="109"/>
      <c r="M184" s="109"/>
      <c r="N184" s="109"/>
      <c r="O184" s="109"/>
      <c r="P184" s="109"/>
      <c r="Q184" s="109"/>
      <c r="R184" s="109"/>
      <c r="S184" s="281"/>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row>
    <row r="185" ht="12.0" customHeight="1">
      <c r="A185" s="45"/>
      <c r="B185" s="45"/>
      <c r="C185" s="45"/>
      <c r="D185" s="45"/>
      <c r="E185" s="45"/>
      <c r="F185" s="309"/>
      <c r="G185" s="109"/>
      <c r="H185" s="109"/>
      <c r="I185" s="109"/>
      <c r="J185" s="109"/>
      <c r="K185" s="109"/>
      <c r="L185" s="109"/>
      <c r="M185" s="109"/>
      <c r="N185" s="109"/>
      <c r="O185" s="109"/>
      <c r="P185" s="109"/>
      <c r="Q185" s="109"/>
      <c r="R185" s="109"/>
      <c r="S185" s="281"/>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row>
    <row r="186" ht="12.0" customHeight="1">
      <c r="A186" s="45"/>
      <c r="B186" s="45"/>
      <c r="C186" s="45"/>
      <c r="D186" s="45"/>
      <c r="E186" s="45"/>
      <c r="F186" s="309"/>
      <c r="G186" s="109"/>
      <c r="H186" s="109"/>
      <c r="I186" s="109"/>
      <c r="J186" s="109"/>
      <c r="K186" s="109"/>
      <c r="L186" s="109"/>
      <c r="M186" s="109"/>
      <c r="N186" s="109"/>
      <c r="O186" s="109"/>
      <c r="P186" s="109"/>
      <c r="Q186" s="109"/>
      <c r="R186" s="109"/>
      <c r="S186" s="281"/>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row>
    <row r="187" ht="12.0" customHeight="1">
      <c r="A187" s="45"/>
      <c r="B187" s="45"/>
      <c r="C187" s="45"/>
      <c r="D187" s="45"/>
      <c r="E187" s="45"/>
      <c r="F187" s="309"/>
      <c r="G187" s="109"/>
      <c r="H187" s="109"/>
      <c r="I187" s="109"/>
      <c r="J187" s="109"/>
      <c r="K187" s="109"/>
      <c r="L187" s="109"/>
      <c r="M187" s="109"/>
      <c r="N187" s="109"/>
      <c r="O187" s="109"/>
      <c r="P187" s="109"/>
      <c r="Q187" s="109"/>
      <c r="R187" s="109"/>
      <c r="S187" s="281"/>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row>
    <row r="188" ht="12.0" customHeight="1">
      <c r="A188" s="45"/>
      <c r="B188" s="45"/>
      <c r="C188" s="45"/>
      <c r="D188" s="45"/>
      <c r="E188" s="45"/>
      <c r="F188" s="309"/>
      <c r="G188" s="109"/>
      <c r="H188" s="109"/>
      <c r="I188" s="109"/>
      <c r="J188" s="109"/>
      <c r="K188" s="109"/>
      <c r="L188" s="109"/>
      <c r="M188" s="109"/>
      <c r="N188" s="109"/>
      <c r="O188" s="109"/>
      <c r="P188" s="109"/>
      <c r="Q188" s="109"/>
      <c r="R188" s="109"/>
      <c r="S188" s="281"/>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row>
    <row r="189" ht="12.0" customHeight="1">
      <c r="A189" s="45"/>
      <c r="B189" s="45"/>
      <c r="C189" s="45"/>
      <c r="D189" s="45"/>
      <c r="E189" s="45"/>
      <c r="F189" s="309"/>
      <c r="G189" s="109"/>
      <c r="H189" s="109"/>
      <c r="I189" s="109"/>
      <c r="J189" s="109"/>
      <c r="K189" s="109"/>
      <c r="L189" s="109"/>
      <c r="M189" s="109"/>
      <c r="N189" s="109"/>
      <c r="O189" s="109"/>
      <c r="P189" s="109"/>
      <c r="Q189" s="109"/>
      <c r="R189" s="109"/>
      <c r="S189" s="281"/>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row>
    <row r="190" ht="12.0" customHeight="1">
      <c r="A190" s="45"/>
      <c r="B190" s="45"/>
      <c r="C190" s="45"/>
      <c r="D190" s="45"/>
      <c r="E190" s="45"/>
      <c r="F190" s="309"/>
      <c r="G190" s="109"/>
      <c r="H190" s="109"/>
      <c r="I190" s="109"/>
      <c r="J190" s="109"/>
      <c r="K190" s="109"/>
      <c r="L190" s="109"/>
      <c r="M190" s="109"/>
      <c r="N190" s="109"/>
      <c r="O190" s="109"/>
      <c r="P190" s="109"/>
      <c r="Q190" s="109"/>
      <c r="R190" s="109"/>
      <c r="S190" s="281"/>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row>
    <row r="191" ht="12.0" customHeight="1">
      <c r="A191" s="45"/>
      <c r="B191" s="45"/>
      <c r="C191" s="45"/>
      <c r="D191" s="45"/>
      <c r="E191" s="45"/>
      <c r="F191" s="309"/>
      <c r="G191" s="109"/>
      <c r="H191" s="109"/>
      <c r="I191" s="109"/>
      <c r="J191" s="109"/>
      <c r="K191" s="109"/>
      <c r="L191" s="109"/>
      <c r="M191" s="109"/>
      <c r="N191" s="109"/>
      <c r="O191" s="109"/>
      <c r="P191" s="109"/>
      <c r="Q191" s="109"/>
      <c r="R191" s="109"/>
      <c r="S191" s="281"/>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row>
    <row r="192" ht="12.0" customHeight="1">
      <c r="A192" s="45"/>
      <c r="B192" s="45"/>
      <c r="C192" s="45"/>
      <c r="D192" s="45"/>
      <c r="E192" s="45"/>
      <c r="F192" s="309"/>
      <c r="G192" s="109"/>
      <c r="H192" s="109"/>
      <c r="I192" s="109"/>
      <c r="J192" s="109"/>
      <c r="K192" s="109"/>
      <c r="L192" s="109"/>
      <c r="M192" s="109"/>
      <c r="N192" s="109"/>
      <c r="O192" s="109"/>
      <c r="P192" s="109"/>
      <c r="Q192" s="109"/>
      <c r="R192" s="109"/>
      <c r="S192" s="281"/>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row>
    <row r="193" ht="12.0" customHeight="1">
      <c r="A193" s="45"/>
      <c r="B193" s="45"/>
      <c r="C193" s="45"/>
      <c r="D193" s="45"/>
      <c r="E193" s="45"/>
      <c r="F193" s="309"/>
      <c r="G193" s="109"/>
      <c r="H193" s="109"/>
      <c r="I193" s="109"/>
      <c r="J193" s="109"/>
      <c r="K193" s="109"/>
      <c r="L193" s="109"/>
      <c r="M193" s="109"/>
      <c r="N193" s="109"/>
      <c r="O193" s="109"/>
      <c r="P193" s="109"/>
      <c r="Q193" s="109"/>
      <c r="R193" s="109"/>
      <c r="S193" s="281"/>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row>
    <row r="194" ht="12.0" customHeight="1">
      <c r="A194" s="45"/>
      <c r="B194" s="45"/>
      <c r="C194" s="45"/>
      <c r="D194" s="45"/>
      <c r="E194" s="45"/>
      <c r="F194" s="309"/>
      <c r="G194" s="109"/>
      <c r="H194" s="109"/>
      <c r="I194" s="109"/>
      <c r="J194" s="109"/>
      <c r="K194" s="109"/>
      <c r="L194" s="109"/>
      <c r="M194" s="109"/>
      <c r="N194" s="109"/>
      <c r="O194" s="109"/>
      <c r="P194" s="109"/>
      <c r="Q194" s="109"/>
      <c r="R194" s="109"/>
      <c r="S194" s="281"/>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row>
    <row r="195" ht="12.0" customHeight="1">
      <c r="A195" s="45"/>
      <c r="B195" s="45"/>
      <c r="C195" s="45"/>
      <c r="D195" s="45"/>
      <c r="E195" s="45"/>
      <c r="F195" s="309"/>
      <c r="G195" s="109"/>
      <c r="H195" s="109"/>
      <c r="I195" s="109"/>
      <c r="J195" s="109"/>
      <c r="K195" s="109"/>
      <c r="L195" s="109"/>
      <c r="M195" s="109"/>
      <c r="N195" s="109"/>
      <c r="O195" s="109"/>
      <c r="P195" s="109"/>
      <c r="Q195" s="109"/>
      <c r="R195" s="109"/>
      <c r="S195" s="281"/>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row>
    <row r="196" ht="12.0" customHeight="1">
      <c r="A196" s="45"/>
      <c r="B196" s="45"/>
      <c r="C196" s="45"/>
      <c r="D196" s="45"/>
      <c r="E196" s="45"/>
      <c r="F196" s="309"/>
      <c r="G196" s="109"/>
      <c r="H196" s="109"/>
      <c r="I196" s="109"/>
      <c r="J196" s="109"/>
      <c r="K196" s="109"/>
      <c r="L196" s="109"/>
      <c r="M196" s="109"/>
      <c r="N196" s="109"/>
      <c r="O196" s="109"/>
      <c r="P196" s="109"/>
      <c r="Q196" s="109"/>
      <c r="R196" s="109"/>
      <c r="S196" s="281"/>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row>
    <row r="197" ht="12.0" customHeight="1">
      <c r="A197" s="45"/>
      <c r="B197" s="45"/>
      <c r="C197" s="45"/>
      <c r="D197" s="45"/>
      <c r="E197" s="45"/>
      <c r="F197" s="309"/>
      <c r="G197" s="109"/>
      <c r="H197" s="109"/>
      <c r="I197" s="109"/>
      <c r="J197" s="109"/>
      <c r="K197" s="109"/>
      <c r="L197" s="109"/>
      <c r="M197" s="109"/>
      <c r="N197" s="109"/>
      <c r="O197" s="109"/>
      <c r="P197" s="109"/>
      <c r="Q197" s="109"/>
      <c r="R197" s="109"/>
      <c r="S197" s="281"/>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row>
    <row r="198" ht="12.0" customHeight="1">
      <c r="A198" s="45"/>
      <c r="B198" s="45"/>
      <c r="C198" s="45"/>
      <c r="D198" s="45"/>
      <c r="E198" s="45"/>
      <c r="F198" s="309"/>
      <c r="G198" s="109"/>
      <c r="H198" s="109"/>
      <c r="I198" s="109"/>
      <c r="J198" s="109"/>
      <c r="K198" s="109"/>
      <c r="L198" s="109"/>
      <c r="M198" s="109"/>
      <c r="N198" s="109"/>
      <c r="O198" s="109"/>
      <c r="P198" s="109"/>
      <c r="Q198" s="109"/>
      <c r="R198" s="109"/>
      <c r="S198" s="281"/>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row>
    <row r="199" ht="12.0" customHeight="1">
      <c r="A199" s="45"/>
      <c r="B199" s="45"/>
      <c r="C199" s="45"/>
      <c r="D199" s="45"/>
      <c r="E199" s="45"/>
      <c r="F199" s="309"/>
      <c r="G199" s="109"/>
      <c r="H199" s="109"/>
      <c r="I199" s="109"/>
      <c r="J199" s="109"/>
      <c r="K199" s="109"/>
      <c r="L199" s="109"/>
      <c r="M199" s="109"/>
      <c r="N199" s="109"/>
      <c r="O199" s="109"/>
      <c r="P199" s="109"/>
      <c r="Q199" s="109"/>
      <c r="R199" s="109"/>
      <c r="S199" s="281"/>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row>
    <row r="200" ht="12.0" customHeight="1">
      <c r="A200" s="45"/>
      <c r="B200" s="45"/>
      <c r="C200" s="45"/>
      <c r="D200" s="45"/>
      <c r="E200" s="45"/>
      <c r="F200" s="309"/>
      <c r="G200" s="109"/>
      <c r="H200" s="109"/>
      <c r="I200" s="109"/>
      <c r="J200" s="109"/>
      <c r="K200" s="109"/>
      <c r="L200" s="109"/>
      <c r="M200" s="109"/>
      <c r="N200" s="109"/>
      <c r="O200" s="109"/>
      <c r="P200" s="109"/>
      <c r="Q200" s="109"/>
      <c r="R200" s="109"/>
      <c r="S200" s="281"/>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row>
    <row r="201" ht="12.0" customHeight="1">
      <c r="A201" s="45"/>
      <c r="B201" s="45"/>
      <c r="C201" s="45"/>
      <c r="D201" s="45"/>
      <c r="E201" s="45"/>
      <c r="F201" s="309"/>
      <c r="G201" s="109"/>
      <c r="H201" s="109"/>
      <c r="I201" s="109"/>
      <c r="J201" s="109"/>
      <c r="K201" s="109"/>
      <c r="L201" s="109"/>
      <c r="M201" s="109"/>
      <c r="N201" s="109"/>
      <c r="O201" s="109"/>
      <c r="P201" s="109"/>
      <c r="Q201" s="109"/>
      <c r="R201" s="109"/>
      <c r="S201" s="281"/>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row>
    <row r="202" ht="12.0" customHeight="1">
      <c r="A202" s="45"/>
      <c r="B202" s="45"/>
      <c r="C202" s="45"/>
      <c r="D202" s="45"/>
      <c r="E202" s="45"/>
      <c r="F202" s="309"/>
      <c r="G202" s="109"/>
      <c r="H202" s="109"/>
      <c r="I202" s="109"/>
      <c r="J202" s="109"/>
      <c r="K202" s="109"/>
      <c r="L202" s="109"/>
      <c r="M202" s="109"/>
      <c r="N202" s="109"/>
      <c r="O202" s="109"/>
      <c r="P202" s="109"/>
      <c r="Q202" s="109"/>
      <c r="R202" s="109"/>
      <c r="S202" s="281"/>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row>
    <row r="203" ht="12.0" customHeight="1">
      <c r="A203" s="45"/>
      <c r="B203" s="45"/>
      <c r="C203" s="45"/>
      <c r="D203" s="45"/>
      <c r="E203" s="45"/>
      <c r="F203" s="309"/>
      <c r="G203" s="109"/>
      <c r="H203" s="109"/>
      <c r="I203" s="109"/>
      <c r="J203" s="109"/>
      <c r="K203" s="109"/>
      <c r="L203" s="109"/>
      <c r="M203" s="109"/>
      <c r="N203" s="109"/>
      <c r="O203" s="109"/>
      <c r="P203" s="109"/>
      <c r="Q203" s="109"/>
      <c r="R203" s="109"/>
      <c r="S203" s="281"/>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row>
    <row r="204" ht="12.0" customHeight="1">
      <c r="A204" s="45"/>
      <c r="B204" s="45"/>
      <c r="C204" s="45"/>
      <c r="D204" s="45"/>
      <c r="E204" s="45"/>
      <c r="F204" s="309"/>
      <c r="G204" s="109"/>
      <c r="H204" s="109"/>
      <c r="I204" s="109"/>
      <c r="J204" s="109"/>
      <c r="K204" s="109"/>
      <c r="L204" s="109"/>
      <c r="M204" s="109"/>
      <c r="N204" s="109"/>
      <c r="O204" s="109"/>
      <c r="P204" s="109"/>
      <c r="Q204" s="109"/>
      <c r="R204" s="109"/>
      <c r="S204" s="281"/>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row>
    <row r="205" ht="12.0" customHeight="1">
      <c r="A205" s="45"/>
      <c r="B205" s="45"/>
      <c r="C205" s="45"/>
      <c r="D205" s="45"/>
      <c r="E205" s="45"/>
      <c r="F205" s="309"/>
      <c r="G205" s="109"/>
      <c r="H205" s="109"/>
      <c r="I205" s="109"/>
      <c r="J205" s="109"/>
      <c r="K205" s="109"/>
      <c r="L205" s="109"/>
      <c r="M205" s="109"/>
      <c r="N205" s="109"/>
      <c r="O205" s="109"/>
      <c r="P205" s="109"/>
      <c r="Q205" s="109"/>
      <c r="R205" s="109"/>
      <c r="S205" s="281"/>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row>
    <row r="206" ht="12.0" customHeight="1">
      <c r="A206" s="45"/>
      <c r="B206" s="45"/>
      <c r="C206" s="45"/>
      <c r="D206" s="45"/>
      <c r="E206" s="45"/>
      <c r="F206" s="309"/>
      <c r="G206" s="109"/>
      <c r="H206" s="109"/>
      <c r="I206" s="109"/>
      <c r="J206" s="109"/>
      <c r="K206" s="109"/>
      <c r="L206" s="109"/>
      <c r="M206" s="109"/>
      <c r="N206" s="109"/>
      <c r="O206" s="109"/>
      <c r="P206" s="109"/>
      <c r="Q206" s="109"/>
      <c r="R206" s="109"/>
      <c r="S206" s="281"/>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row>
    <row r="207" ht="12.0" customHeight="1">
      <c r="A207" s="45"/>
      <c r="B207" s="45"/>
      <c r="C207" s="45"/>
      <c r="D207" s="45"/>
      <c r="E207" s="45"/>
      <c r="F207" s="309"/>
      <c r="G207" s="109"/>
      <c r="H207" s="109"/>
      <c r="I207" s="109"/>
      <c r="J207" s="109"/>
      <c r="K207" s="109"/>
      <c r="L207" s="109"/>
      <c r="M207" s="109"/>
      <c r="N207" s="109"/>
      <c r="O207" s="109"/>
      <c r="P207" s="109"/>
      <c r="Q207" s="109"/>
      <c r="R207" s="109"/>
      <c r="S207" s="281"/>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row>
    <row r="208" ht="12.0" customHeight="1">
      <c r="A208" s="45"/>
      <c r="B208" s="45"/>
      <c r="C208" s="45"/>
      <c r="D208" s="45"/>
      <c r="E208" s="45"/>
      <c r="F208" s="309"/>
      <c r="G208" s="109"/>
      <c r="H208" s="109"/>
      <c r="I208" s="109"/>
      <c r="J208" s="109"/>
      <c r="K208" s="109"/>
      <c r="L208" s="109"/>
      <c r="M208" s="109"/>
      <c r="N208" s="109"/>
      <c r="O208" s="109"/>
      <c r="P208" s="109"/>
      <c r="Q208" s="109"/>
      <c r="R208" s="109"/>
      <c r="S208" s="281"/>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row>
    <row r="209" ht="12.0" customHeight="1">
      <c r="A209" s="45"/>
      <c r="B209" s="45"/>
      <c r="C209" s="45"/>
      <c r="D209" s="45"/>
      <c r="E209" s="45"/>
      <c r="F209" s="309"/>
      <c r="G209" s="109"/>
      <c r="H209" s="109"/>
      <c r="I209" s="109"/>
      <c r="J209" s="109"/>
      <c r="K209" s="109"/>
      <c r="L209" s="109"/>
      <c r="M209" s="109"/>
      <c r="N209" s="109"/>
      <c r="O209" s="109"/>
      <c r="P209" s="109"/>
      <c r="Q209" s="109"/>
      <c r="R209" s="109"/>
      <c r="S209" s="281"/>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row>
    <row r="210" ht="12.0" customHeight="1">
      <c r="A210" s="45"/>
      <c r="B210" s="45"/>
      <c r="C210" s="45"/>
      <c r="D210" s="45"/>
      <c r="E210" s="45"/>
      <c r="F210" s="309"/>
      <c r="G210" s="109"/>
      <c r="H210" s="109"/>
      <c r="I210" s="109"/>
      <c r="J210" s="109"/>
      <c r="K210" s="109"/>
      <c r="L210" s="109"/>
      <c r="M210" s="109"/>
      <c r="N210" s="109"/>
      <c r="O210" s="109"/>
      <c r="P210" s="109"/>
      <c r="Q210" s="109"/>
      <c r="R210" s="109"/>
      <c r="S210" s="281"/>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row>
    <row r="211" ht="12.0" customHeight="1">
      <c r="A211" s="45"/>
      <c r="B211" s="45"/>
      <c r="C211" s="45"/>
      <c r="D211" s="45"/>
      <c r="E211" s="45"/>
      <c r="F211" s="309"/>
      <c r="G211" s="109"/>
      <c r="H211" s="109"/>
      <c r="I211" s="109"/>
      <c r="J211" s="109"/>
      <c r="K211" s="109"/>
      <c r="L211" s="109"/>
      <c r="M211" s="109"/>
      <c r="N211" s="109"/>
      <c r="O211" s="109"/>
      <c r="P211" s="109"/>
      <c r="Q211" s="109"/>
      <c r="R211" s="109"/>
      <c r="S211" s="281"/>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row>
    <row r="212" ht="12.0" customHeight="1">
      <c r="A212" s="45"/>
      <c r="B212" s="45"/>
      <c r="C212" s="45"/>
      <c r="D212" s="45"/>
      <c r="E212" s="45"/>
      <c r="F212" s="309"/>
      <c r="G212" s="109"/>
      <c r="H212" s="109"/>
      <c r="I212" s="109"/>
      <c r="J212" s="109"/>
      <c r="K212" s="109"/>
      <c r="L212" s="109"/>
      <c r="M212" s="109"/>
      <c r="N212" s="109"/>
      <c r="O212" s="109"/>
      <c r="P212" s="109"/>
      <c r="Q212" s="109"/>
      <c r="R212" s="109"/>
      <c r="S212" s="281"/>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row>
    <row r="213" ht="12.0" customHeight="1">
      <c r="A213" s="45"/>
      <c r="B213" s="45"/>
      <c r="C213" s="45"/>
      <c r="D213" s="45"/>
      <c r="E213" s="45"/>
      <c r="F213" s="309"/>
      <c r="G213" s="109"/>
      <c r="H213" s="109"/>
      <c r="I213" s="109"/>
      <c r="J213" s="109"/>
      <c r="K213" s="109"/>
      <c r="L213" s="109"/>
      <c r="M213" s="109"/>
      <c r="N213" s="109"/>
      <c r="O213" s="109"/>
      <c r="P213" s="109"/>
      <c r="Q213" s="109"/>
      <c r="R213" s="109"/>
      <c r="S213" s="281"/>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row>
    <row r="214" ht="12.0" customHeight="1">
      <c r="A214" s="45"/>
      <c r="B214" s="45"/>
      <c r="C214" s="45"/>
      <c r="D214" s="45"/>
      <c r="E214" s="45"/>
      <c r="F214" s="309"/>
      <c r="G214" s="109"/>
      <c r="H214" s="109"/>
      <c r="I214" s="109"/>
      <c r="J214" s="109"/>
      <c r="K214" s="109"/>
      <c r="L214" s="109"/>
      <c r="M214" s="109"/>
      <c r="N214" s="109"/>
      <c r="O214" s="109"/>
      <c r="P214" s="109"/>
      <c r="Q214" s="109"/>
      <c r="R214" s="109"/>
      <c r="S214" s="281"/>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row>
    <row r="215" ht="12.0" customHeight="1">
      <c r="A215" s="45"/>
      <c r="B215" s="45"/>
      <c r="C215" s="45"/>
      <c r="D215" s="45"/>
      <c r="E215" s="45"/>
      <c r="F215" s="309"/>
      <c r="G215" s="109"/>
      <c r="H215" s="109"/>
      <c r="I215" s="109"/>
      <c r="J215" s="109"/>
      <c r="K215" s="109"/>
      <c r="L215" s="109"/>
      <c r="M215" s="109"/>
      <c r="N215" s="109"/>
      <c r="O215" s="109"/>
      <c r="P215" s="109"/>
      <c r="Q215" s="109"/>
      <c r="R215" s="109"/>
      <c r="S215" s="281"/>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row>
    <row r="216" ht="12.0" customHeight="1">
      <c r="A216" s="45"/>
      <c r="B216" s="45"/>
      <c r="C216" s="45"/>
      <c r="D216" s="45"/>
      <c r="E216" s="45"/>
      <c r="F216" s="309"/>
      <c r="G216" s="109"/>
      <c r="H216" s="109"/>
      <c r="I216" s="109"/>
      <c r="J216" s="109"/>
      <c r="K216" s="109"/>
      <c r="L216" s="109"/>
      <c r="M216" s="109"/>
      <c r="N216" s="109"/>
      <c r="O216" s="109"/>
      <c r="P216" s="109"/>
      <c r="Q216" s="109"/>
      <c r="R216" s="109"/>
      <c r="S216" s="281"/>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row>
    <row r="217" ht="12.0" customHeight="1">
      <c r="A217" s="45"/>
      <c r="B217" s="45"/>
      <c r="C217" s="45"/>
      <c r="D217" s="45"/>
      <c r="E217" s="45"/>
      <c r="F217" s="309"/>
      <c r="G217" s="109"/>
      <c r="H217" s="109"/>
      <c r="I217" s="109"/>
      <c r="J217" s="109"/>
      <c r="K217" s="109"/>
      <c r="L217" s="109"/>
      <c r="M217" s="109"/>
      <c r="N217" s="109"/>
      <c r="O217" s="109"/>
      <c r="P217" s="109"/>
      <c r="Q217" s="109"/>
      <c r="R217" s="109"/>
      <c r="S217" s="281"/>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row>
    <row r="218" ht="12.0" customHeight="1">
      <c r="A218" s="45"/>
      <c r="B218" s="45"/>
      <c r="C218" s="45"/>
      <c r="D218" s="45"/>
      <c r="E218" s="45"/>
      <c r="F218" s="309"/>
      <c r="G218" s="109"/>
      <c r="H218" s="109"/>
      <c r="I218" s="109"/>
      <c r="J218" s="109"/>
      <c r="K218" s="109"/>
      <c r="L218" s="109"/>
      <c r="M218" s="109"/>
      <c r="N218" s="109"/>
      <c r="O218" s="109"/>
      <c r="P218" s="109"/>
      <c r="Q218" s="109"/>
      <c r="R218" s="109"/>
      <c r="S218" s="281"/>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row>
    <row r="219" ht="12.0" customHeight="1">
      <c r="A219" s="45"/>
      <c r="B219" s="45"/>
      <c r="C219" s="45"/>
      <c r="D219" s="45"/>
      <c r="E219" s="45"/>
      <c r="F219" s="309"/>
      <c r="G219" s="109"/>
      <c r="H219" s="109"/>
      <c r="I219" s="109"/>
      <c r="J219" s="109"/>
      <c r="K219" s="109"/>
      <c r="L219" s="109"/>
      <c r="M219" s="109"/>
      <c r="N219" s="109"/>
      <c r="O219" s="109"/>
      <c r="P219" s="109"/>
      <c r="Q219" s="109"/>
      <c r="R219" s="109"/>
      <c r="S219" s="281"/>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row>
    <row r="220" ht="12.0" customHeight="1">
      <c r="A220" s="45"/>
      <c r="B220" s="45"/>
      <c r="C220" s="45"/>
      <c r="D220" s="45"/>
      <c r="E220" s="45"/>
      <c r="F220" s="309"/>
      <c r="G220" s="109"/>
      <c r="H220" s="109"/>
      <c r="I220" s="109"/>
      <c r="J220" s="109"/>
      <c r="K220" s="109"/>
      <c r="L220" s="109"/>
      <c r="M220" s="109"/>
      <c r="N220" s="109"/>
      <c r="O220" s="109"/>
      <c r="P220" s="109"/>
      <c r="Q220" s="109"/>
      <c r="R220" s="109"/>
      <c r="S220" s="281"/>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row>
    <row r="221" ht="12.0" customHeight="1">
      <c r="A221" s="45"/>
      <c r="B221" s="45"/>
      <c r="C221" s="45"/>
      <c r="D221" s="45"/>
      <c r="E221" s="45"/>
      <c r="F221" s="309"/>
      <c r="G221" s="109"/>
      <c r="H221" s="109"/>
      <c r="I221" s="109"/>
      <c r="J221" s="109"/>
      <c r="K221" s="109"/>
      <c r="L221" s="109"/>
      <c r="M221" s="109"/>
      <c r="N221" s="109"/>
      <c r="O221" s="109"/>
      <c r="P221" s="109"/>
      <c r="Q221" s="109"/>
      <c r="R221" s="109"/>
      <c r="S221" s="281"/>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row>
    <row r="222" ht="12.0" customHeight="1">
      <c r="A222" s="45"/>
      <c r="B222" s="45"/>
      <c r="C222" s="45"/>
      <c r="D222" s="45"/>
      <c r="E222" s="45"/>
      <c r="F222" s="309"/>
      <c r="G222" s="109"/>
      <c r="H222" s="109"/>
      <c r="I222" s="109"/>
      <c r="J222" s="109"/>
      <c r="K222" s="109"/>
      <c r="L222" s="109"/>
      <c r="M222" s="109"/>
      <c r="N222" s="109"/>
      <c r="O222" s="109"/>
      <c r="P222" s="109"/>
      <c r="Q222" s="109"/>
      <c r="R222" s="109"/>
      <c r="S222" s="281"/>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row>
    <row r="223" ht="12.0" customHeight="1">
      <c r="A223" s="45"/>
      <c r="B223" s="45"/>
      <c r="C223" s="45"/>
      <c r="D223" s="45"/>
      <c r="E223" s="45"/>
      <c r="F223" s="309"/>
      <c r="G223" s="109"/>
      <c r="H223" s="109"/>
      <c r="I223" s="109"/>
      <c r="J223" s="109"/>
      <c r="K223" s="109"/>
      <c r="L223" s="109"/>
      <c r="M223" s="109"/>
      <c r="N223" s="109"/>
      <c r="O223" s="109"/>
      <c r="P223" s="109"/>
      <c r="Q223" s="109"/>
      <c r="R223" s="109"/>
      <c r="S223" s="281"/>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row>
    <row r="224" ht="12.0" customHeight="1">
      <c r="A224" s="45"/>
      <c r="B224" s="45"/>
      <c r="C224" s="45"/>
      <c r="D224" s="45"/>
      <c r="E224" s="45"/>
      <c r="F224" s="309"/>
      <c r="G224" s="109"/>
      <c r="H224" s="109"/>
      <c r="I224" s="109"/>
      <c r="J224" s="109"/>
      <c r="K224" s="109"/>
      <c r="L224" s="109"/>
      <c r="M224" s="109"/>
      <c r="N224" s="109"/>
      <c r="O224" s="109"/>
      <c r="P224" s="109"/>
      <c r="Q224" s="109"/>
      <c r="R224" s="109"/>
      <c r="S224" s="281"/>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row>
    <row r="225" ht="12.0" customHeight="1">
      <c r="A225" s="45"/>
      <c r="B225" s="45"/>
      <c r="C225" s="45"/>
      <c r="D225" s="45"/>
      <c r="E225" s="45"/>
      <c r="F225" s="309"/>
      <c r="G225" s="109"/>
      <c r="H225" s="109"/>
      <c r="I225" s="109"/>
      <c r="J225" s="109"/>
      <c r="K225" s="109"/>
      <c r="L225" s="109"/>
      <c r="M225" s="109"/>
      <c r="N225" s="109"/>
      <c r="O225" s="109"/>
      <c r="P225" s="109"/>
      <c r="Q225" s="109"/>
      <c r="R225" s="109"/>
      <c r="S225" s="281"/>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row>
    <row r="226" ht="12.0" customHeight="1">
      <c r="A226" s="45"/>
      <c r="B226" s="45"/>
      <c r="C226" s="45"/>
      <c r="D226" s="45"/>
      <c r="E226" s="45"/>
      <c r="F226" s="309"/>
      <c r="G226" s="109"/>
      <c r="H226" s="109"/>
      <c r="I226" s="109"/>
      <c r="J226" s="109"/>
      <c r="K226" s="109"/>
      <c r="L226" s="109"/>
      <c r="M226" s="109"/>
      <c r="N226" s="109"/>
      <c r="O226" s="109"/>
      <c r="P226" s="109"/>
      <c r="Q226" s="109"/>
      <c r="R226" s="109"/>
      <c r="S226" s="281"/>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row>
    <row r="227" ht="12.0" customHeight="1">
      <c r="A227" s="45"/>
      <c r="B227" s="45"/>
      <c r="C227" s="45"/>
      <c r="D227" s="45"/>
      <c r="E227" s="45"/>
      <c r="F227" s="309"/>
      <c r="G227" s="109"/>
      <c r="H227" s="109"/>
      <c r="I227" s="109"/>
      <c r="J227" s="109"/>
      <c r="K227" s="109"/>
      <c r="L227" s="109"/>
      <c r="M227" s="109"/>
      <c r="N227" s="109"/>
      <c r="O227" s="109"/>
      <c r="P227" s="109"/>
      <c r="Q227" s="109"/>
      <c r="R227" s="109"/>
      <c r="S227" s="281"/>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row>
    <row r="228" ht="12.0" customHeight="1">
      <c r="A228" s="45"/>
      <c r="B228" s="45"/>
      <c r="C228" s="45"/>
      <c r="D228" s="45"/>
      <c r="E228" s="45"/>
      <c r="F228" s="309"/>
      <c r="G228" s="109"/>
      <c r="H228" s="109"/>
      <c r="I228" s="109"/>
      <c r="J228" s="109"/>
      <c r="K228" s="109"/>
      <c r="L228" s="109"/>
      <c r="M228" s="109"/>
      <c r="N228" s="109"/>
      <c r="O228" s="109"/>
      <c r="P228" s="109"/>
      <c r="Q228" s="109"/>
      <c r="R228" s="109"/>
      <c r="S228" s="281"/>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row>
    <row r="229" ht="12.0" customHeight="1">
      <c r="A229" s="45"/>
      <c r="B229" s="45"/>
      <c r="C229" s="45"/>
      <c r="D229" s="45"/>
      <c r="E229" s="45"/>
      <c r="F229" s="309"/>
      <c r="G229" s="109"/>
      <c r="H229" s="109"/>
      <c r="I229" s="109"/>
      <c r="J229" s="109"/>
      <c r="K229" s="109"/>
      <c r="L229" s="109"/>
      <c r="M229" s="109"/>
      <c r="N229" s="109"/>
      <c r="O229" s="109"/>
      <c r="P229" s="109"/>
      <c r="Q229" s="109"/>
      <c r="R229" s="109"/>
      <c r="S229" s="281"/>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row>
    <row r="230" ht="12.0" customHeight="1">
      <c r="A230" s="45"/>
      <c r="B230" s="45"/>
      <c r="C230" s="45"/>
      <c r="D230" s="45"/>
      <c r="E230" s="45"/>
      <c r="F230" s="309"/>
      <c r="G230" s="109"/>
      <c r="H230" s="109"/>
      <c r="I230" s="109"/>
      <c r="J230" s="109"/>
      <c r="K230" s="109"/>
      <c r="L230" s="109"/>
      <c r="M230" s="109"/>
      <c r="N230" s="109"/>
      <c r="O230" s="109"/>
      <c r="P230" s="109"/>
      <c r="Q230" s="109"/>
      <c r="R230" s="109"/>
      <c r="S230" s="281"/>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row>
    <row r="231" ht="12.0" customHeight="1">
      <c r="A231" s="45"/>
      <c r="B231" s="45"/>
      <c r="C231" s="45"/>
      <c r="D231" s="45"/>
      <c r="E231" s="45"/>
      <c r="F231" s="309"/>
      <c r="G231" s="109"/>
      <c r="H231" s="109"/>
      <c r="I231" s="109"/>
      <c r="J231" s="109"/>
      <c r="K231" s="109"/>
      <c r="L231" s="109"/>
      <c r="M231" s="109"/>
      <c r="N231" s="109"/>
      <c r="O231" s="109"/>
      <c r="P231" s="109"/>
      <c r="Q231" s="109"/>
      <c r="R231" s="109"/>
      <c r="S231" s="281"/>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row>
    <row r="232" ht="12.0" customHeight="1">
      <c r="A232" s="45"/>
      <c r="B232" s="45"/>
      <c r="C232" s="45"/>
      <c r="D232" s="45"/>
      <c r="E232" s="45"/>
      <c r="F232" s="309"/>
      <c r="G232" s="109"/>
      <c r="H232" s="109"/>
      <c r="I232" s="109"/>
      <c r="J232" s="109"/>
      <c r="K232" s="109"/>
      <c r="L232" s="109"/>
      <c r="M232" s="109"/>
      <c r="N232" s="109"/>
      <c r="O232" s="109"/>
      <c r="P232" s="109"/>
      <c r="Q232" s="109"/>
      <c r="R232" s="109"/>
      <c r="S232" s="281"/>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row>
    <row r="233" ht="12.0" customHeight="1">
      <c r="A233" s="45"/>
      <c r="B233" s="45"/>
      <c r="C233" s="45"/>
      <c r="D233" s="45"/>
      <c r="E233" s="45"/>
      <c r="F233" s="309"/>
      <c r="G233" s="109"/>
      <c r="H233" s="109"/>
      <c r="I233" s="109"/>
      <c r="J233" s="109"/>
      <c r="K233" s="109"/>
      <c r="L233" s="109"/>
      <c r="M233" s="109"/>
      <c r="N233" s="109"/>
      <c r="O233" s="109"/>
      <c r="P233" s="109"/>
      <c r="Q233" s="109"/>
      <c r="R233" s="109"/>
      <c r="S233" s="281"/>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row>
    <row r="234" ht="12.0" customHeight="1">
      <c r="A234" s="45"/>
      <c r="B234" s="45"/>
      <c r="C234" s="45"/>
      <c r="D234" s="45"/>
      <c r="E234" s="45"/>
      <c r="F234" s="309"/>
      <c r="G234" s="109"/>
      <c r="H234" s="109"/>
      <c r="I234" s="109"/>
      <c r="J234" s="109"/>
      <c r="K234" s="109"/>
      <c r="L234" s="109"/>
      <c r="M234" s="109"/>
      <c r="N234" s="109"/>
      <c r="O234" s="109"/>
      <c r="P234" s="109"/>
      <c r="Q234" s="109"/>
      <c r="R234" s="109"/>
      <c r="S234" s="281"/>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row>
    <row r="235" ht="12.0" customHeight="1">
      <c r="A235" s="45"/>
      <c r="B235" s="45"/>
      <c r="C235" s="45"/>
      <c r="D235" s="45"/>
      <c r="E235" s="45"/>
      <c r="F235" s="309"/>
      <c r="G235" s="109"/>
      <c r="H235" s="109"/>
      <c r="I235" s="109"/>
      <c r="J235" s="109"/>
      <c r="K235" s="109"/>
      <c r="L235" s="109"/>
      <c r="M235" s="109"/>
      <c r="N235" s="109"/>
      <c r="O235" s="109"/>
      <c r="P235" s="109"/>
      <c r="Q235" s="109"/>
      <c r="R235" s="109"/>
      <c r="S235" s="281"/>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row>
    <row r="236" ht="12.0" customHeight="1">
      <c r="A236" s="45"/>
      <c r="B236" s="45"/>
      <c r="C236" s="45"/>
      <c r="D236" s="45"/>
      <c r="E236" s="45"/>
      <c r="F236" s="309"/>
      <c r="G236" s="109"/>
      <c r="H236" s="109"/>
      <c r="I236" s="109"/>
      <c r="J236" s="109"/>
      <c r="K236" s="109"/>
      <c r="L236" s="109"/>
      <c r="M236" s="109"/>
      <c r="N236" s="109"/>
      <c r="O236" s="109"/>
      <c r="P236" s="109"/>
      <c r="Q236" s="109"/>
      <c r="R236" s="109"/>
      <c r="S236" s="281"/>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row>
    <row r="237" ht="12.0" customHeight="1">
      <c r="A237" s="45"/>
      <c r="B237" s="45"/>
      <c r="C237" s="45"/>
      <c r="D237" s="45"/>
      <c r="E237" s="45"/>
      <c r="F237" s="309"/>
      <c r="G237" s="109"/>
      <c r="H237" s="109"/>
      <c r="I237" s="109"/>
      <c r="J237" s="109"/>
      <c r="K237" s="109"/>
      <c r="L237" s="109"/>
      <c r="M237" s="109"/>
      <c r="N237" s="109"/>
      <c r="O237" s="109"/>
      <c r="P237" s="109"/>
      <c r="Q237" s="109"/>
      <c r="R237" s="109"/>
      <c r="S237" s="281"/>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row>
    <row r="238" ht="12.0" customHeight="1">
      <c r="A238" s="45"/>
      <c r="B238" s="45"/>
      <c r="C238" s="45"/>
      <c r="D238" s="45"/>
      <c r="E238" s="45"/>
      <c r="F238" s="309"/>
      <c r="G238" s="109"/>
      <c r="H238" s="109"/>
      <c r="I238" s="109"/>
      <c r="J238" s="109"/>
      <c r="K238" s="109"/>
      <c r="L238" s="109"/>
      <c r="M238" s="109"/>
      <c r="N238" s="109"/>
      <c r="O238" s="109"/>
      <c r="P238" s="109"/>
      <c r="Q238" s="109"/>
      <c r="R238" s="109"/>
      <c r="S238" s="281"/>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row>
    <row r="239" ht="12.0" customHeight="1">
      <c r="A239" s="45"/>
      <c r="B239" s="45"/>
      <c r="C239" s="45"/>
      <c r="D239" s="45"/>
      <c r="E239" s="45"/>
      <c r="F239" s="309"/>
      <c r="G239" s="109"/>
      <c r="H239" s="109"/>
      <c r="I239" s="109"/>
      <c r="J239" s="109"/>
      <c r="K239" s="109"/>
      <c r="L239" s="109"/>
      <c r="M239" s="109"/>
      <c r="N239" s="109"/>
      <c r="O239" s="109"/>
      <c r="P239" s="109"/>
      <c r="Q239" s="109"/>
      <c r="R239" s="109"/>
      <c r="S239" s="281"/>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row>
    <row r="240" ht="12.0" customHeight="1">
      <c r="A240" s="45"/>
      <c r="B240" s="45"/>
      <c r="C240" s="45"/>
      <c r="D240" s="45"/>
      <c r="E240" s="45"/>
      <c r="F240" s="309"/>
      <c r="G240" s="109"/>
      <c r="H240" s="109"/>
      <c r="I240" s="109"/>
      <c r="J240" s="109"/>
      <c r="K240" s="109"/>
      <c r="L240" s="109"/>
      <c r="M240" s="109"/>
      <c r="N240" s="109"/>
      <c r="O240" s="109"/>
      <c r="P240" s="109"/>
      <c r="Q240" s="109"/>
      <c r="R240" s="109"/>
      <c r="S240" s="281"/>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row>
    <row r="241" ht="12.0" customHeight="1">
      <c r="A241" s="45"/>
      <c r="B241" s="45"/>
      <c r="C241" s="45"/>
      <c r="D241" s="45"/>
      <c r="E241" s="45"/>
      <c r="F241" s="309"/>
      <c r="G241" s="109"/>
      <c r="H241" s="109"/>
      <c r="I241" s="109"/>
      <c r="J241" s="109"/>
      <c r="K241" s="109"/>
      <c r="L241" s="109"/>
      <c r="M241" s="109"/>
      <c r="N241" s="109"/>
      <c r="O241" s="109"/>
      <c r="P241" s="109"/>
      <c r="Q241" s="109"/>
      <c r="R241" s="109"/>
      <c r="S241" s="281"/>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row>
    <row r="242" ht="12.0" customHeight="1">
      <c r="A242" s="45"/>
      <c r="B242" s="45"/>
      <c r="C242" s="45"/>
      <c r="D242" s="45"/>
      <c r="E242" s="45"/>
      <c r="F242" s="309"/>
      <c r="G242" s="109"/>
      <c r="H242" s="109"/>
      <c r="I242" s="109"/>
      <c r="J242" s="109"/>
      <c r="K242" s="109"/>
      <c r="L242" s="109"/>
      <c r="M242" s="109"/>
      <c r="N242" s="109"/>
      <c r="O242" s="109"/>
      <c r="P242" s="109"/>
      <c r="Q242" s="109"/>
      <c r="R242" s="109"/>
      <c r="S242" s="281"/>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row>
    <row r="243" ht="12.0" customHeight="1">
      <c r="A243" s="45"/>
      <c r="B243" s="45"/>
      <c r="C243" s="45"/>
      <c r="D243" s="45"/>
      <c r="E243" s="45"/>
      <c r="F243" s="309"/>
      <c r="G243" s="109"/>
      <c r="H243" s="109"/>
      <c r="I243" s="109"/>
      <c r="J243" s="109"/>
      <c r="K243" s="109"/>
      <c r="L243" s="109"/>
      <c r="M243" s="109"/>
      <c r="N243" s="109"/>
      <c r="O243" s="109"/>
      <c r="P243" s="109"/>
      <c r="Q243" s="109"/>
      <c r="R243" s="109"/>
      <c r="S243" s="281"/>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row>
    <row r="244" ht="12.0" customHeight="1">
      <c r="A244" s="45"/>
      <c r="B244" s="45"/>
      <c r="C244" s="45"/>
      <c r="D244" s="45"/>
      <c r="E244" s="45"/>
      <c r="F244" s="309"/>
      <c r="G244" s="109"/>
      <c r="H244" s="109"/>
      <c r="I244" s="109"/>
      <c r="J244" s="109"/>
      <c r="K244" s="109"/>
      <c r="L244" s="109"/>
      <c r="M244" s="109"/>
      <c r="N244" s="109"/>
      <c r="O244" s="109"/>
      <c r="P244" s="109"/>
      <c r="Q244" s="109"/>
      <c r="R244" s="109"/>
      <c r="S244" s="281"/>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row>
    <row r="245" ht="12.0" customHeight="1">
      <c r="A245" s="45"/>
      <c r="B245" s="45"/>
      <c r="C245" s="45"/>
      <c r="D245" s="45"/>
      <c r="E245" s="45"/>
      <c r="F245" s="309"/>
      <c r="G245" s="109"/>
      <c r="H245" s="109"/>
      <c r="I245" s="109"/>
      <c r="J245" s="109"/>
      <c r="K245" s="109"/>
      <c r="L245" s="109"/>
      <c r="M245" s="109"/>
      <c r="N245" s="109"/>
      <c r="O245" s="109"/>
      <c r="P245" s="109"/>
      <c r="Q245" s="109"/>
      <c r="R245" s="109"/>
      <c r="S245" s="281"/>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row>
    <row r="246" ht="12.0" customHeight="1">
      <c r="A246" s="45"/>
      <c r="B246" s="45"/>
      <c r="C246" s="45"/>
      <c r="D246" s="45"/>
      <c r="E246" s="45"/>
      <c r="F246" s="309"/>
      <c r="G246" s="109"/>
      <c r="H246" s="109"/>
      <c r="I246" s="109"/>
      <c r="J246" s="109"/>
      <c r="K246" s="109"/>
      <c r="L246" s="109"/>
      <c r="M246" s="109"/>
      <c r="N246" s="109"/>
      <c r="O246" s="109"/>
      <c r="P246" s="109"/>
      <c r="Q246" s="109"/>
      <c r="R246" s="109"/>
      <c r="S246" s="281"/>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row>
    <row r="247" ht="12.0" customHeight="1">
      <c r="A247" s="45"/>
      <c r="B247" s="45"/>
      <c r="C247" s="45"/>
      <c r="D247" s="45"/>
      <c r="E247" s="45"/>
      <c r="F247" s="309"/>
      <c r="G247" s="109"/>
      <c r="H247" s="109"/>
      <c r="I247" s="109"/>
      <c r="J247" s="109"/>
      <c r="K247" s="109"/>
      <c r="L247" s="109"/>
      <c r="M247" s="109"/>
      <c r="N247" s="109"/>
      <c r="O247" s="109"/>
      <c r="P247" s="109"/>
      <c r="Q247" s="109"/>
      <c r="R247" s="109"/>
      <c r="S247" s="281"/>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row>
    <row r="248" ht="12.0" customHeight="1">
      <c r="A248" s="45"/>
      <c r="B248" s="45"/>
      <c r="C248" s="45"/>
      <c r="D248" s="45"/>
      <c r="E248" s="45"/>
      <c r="F248" s="309"/>
      <c r="G248" s="109"/>
      <c r="H248" s="109"/>
      <c r="I248" s="109"/>
      <c r="J248" s="109"/>
      <c r="K248" s="109"/>
      <c r="L248" s="109"/>
      <c r="M248" s="109"/>
      <c r="N248" s="109"/>
      <c r="O248" s="109"/>
      <c r="P248" s="109"/>
      <c r="Q248" s="109"/>
      <c r="R248" s="109"/>
      <c r="S248" s="281"/>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row>
    <row r="249" ht="12.0" customHeight="1">
      <c r="A249" s="45"/>
      <c r="B249" s="45"/>
      <c r="C249" s="45"/>
      <c r="D249" s="45"/>
      <c r="E249" s="45"/>
      <c r="F249" s="309"/>
      <c r="G249" s="109"/>
      <c r="H249" s="109"/>
      <c r="I249" s="109"/>
      <c r="J249" s="109"/>
      <c r="K249" s="109"/>
      <c r="L249" s="109"/>
      <c r="M249" s="109"/>
      <c r="N249" s="109"/>
      <c r="O249" s="109"/>
      <c r="P249" s="109"/>
      <c r="Q249" s="109"/>
      <c r="R249" s="109"/>
      <c r="S249" s="281"/>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row>
    <row r="250" ht="12.0" customHeight="1">
      <c r="A250" s="45"/>
      <c r="B250" s="45"/>
      <c r="C250" s="45"/>
      <c r="D250" s="45"/>
      <c r="E250" s="45"/>
      <c r="F250" s="309"/>
      <c r="G250" s="109"/>
      <c r="H250" s="109"/>
      <c r="I250" s="109"/>
      <c r="J250" s="109"/>
      <c r="K250" s="109"/>
      <c r="L250" s="109"/>
      <c r="M250" s="109"/>
      <c r="N250" s="109"/>
      <c r="O250" s="109"/>
      <c r="P250" s="109"/>
      <c r="Q250" s="109"/>
      <c r="R250" s="109"/>
      <c r="S250" s="281"/>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row>
    <row r="251" ht="12.0" customHeight="1">
      <c r="A251" s="45"/>
      <c r="B251" s="45"/>
      <c r="C251" s="45"/>
      <c r="D251" s="45"/>
      <c r="E251" s="45"/>
      <c r="F251" s="309"/>
      <c r="G251" s="109"/>
      <c r="H251" s="109"/>
      <c r="I251" s="109"/>
      <c r="J251" s="109"/>
      <c r="K251" s="109"/>
      <c r="L251" s="109"/>
      <c r="M251" s="109"/>
      <c r="N251" s="109"/>
      <c r="O251" s="109"/>
      <c r="P251" s="109"/>
      <c r="Q251" s="109"/>
      <c r="R251" s="109"/>
      <c r="S251" s="281"/>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row>
    <row r="252" ht="12.0" customHeight="1">
      <c r="A252" s="45"/>
      <c r="B252" s="45"/>
      <c r="C252" s="45"/>
      <c r="D252" s="45"/>
      <c r="E252" s="45"/>
      <c r="F252" s="309"/>
      <c r="G252" s="109"/>
      <c r="H252" s="109"/>
      <c r="I252" s="109"/>
      <c r="J252" s="109"/>
      <c r="K252" s="109"/>
      <c r="L252" s="109"/>
      <c r="M252" s="109"/>
      <c r="N252" s="109"/>
      <c r="O252" s="109"/>
      <c r="P252" s="109"/>
      <c r="Q252" s="109"/>
      <c r="R252" s="109"/>
      <c r="S252" s="281"/>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row>
    <row r="253" ht="12.0" customHeight="1">
      <c r="A253" s="45"/>
      <c r="B253" s="45"/>
      <c r="C253" s="45"/>
      <c r="D253" s="45"/>
      <c r="E253" s="45"/>
      <c r="F253" s="309"/>
      <c r="G253" s="109"/>
      <c r="H253" s="109"/>
      <c r="I253" s="109"/>
      <c r="J253" s="109"/>
      <c r="K253" s="109"/>
      <c r="L253" s="109"/>
      <c r="M253" s="109"/>
      <c r="N253" s="109"/>
      <c r="O253" s="109"/>
      <c r="P253" s="109"/>
      <c r="Q253" s="109"/>
      <c r="R253" s="109"/>
      <c r="S253" s="281"/>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row>
    <row r="254" ht="12.0" customHeight="1">
      <c r="A254" s="45"/>
      <c r="B254" s="45"/>
      <c r="C254" s="45"/>
      <c r="D254" s="45"/>
      <c r="E254" s="45"/>
      <c r="F254" s="309"/>
      <c r="G254" s="109"/>
      <c r="H254" s="109"/>
      <c r="I254" s="109"/>
      <c r="J254" s="109"/>
      <c r="K254" s="109"/>
      <c r="L254" s="109"/>
      <c r="M254" s="109"/>
      <c r="N254" s="109"/>
      <c r="O254" s="109"/>
      <c r="P254" s="109"/>
      <c r="Q254" s="109"/>
      <c r="R254" s="109"/>
      <c r="S254" s="281"/>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row>
    <row r="255" ht="12.0" customHeight="1">
      <c r="A255" s="45"/>
      <c r="B255" s="45"/>
      <c r="C255" s="45"/>
      <c r="D255" s="45"/>
      <c r="E255" s="45"/>
      <c r="F255" s="309"/>
      <c r="G255" s="109"/>
      <c r="H255" s="109"/>
      <c r="I255" s="109"/>
      <c r="J255" s="109"/>
      <c r="K255" s="109"/>
      <c r="L255" s="109"/>
      <c r="M255" s="109"/>
      <c r="N255" s="109"/>
      <c r="O255" s="109"/>
      <c r="P255" s="109"/>
      <c r="Q255" s="109"/>
      <c r="R255" s="109"/>
      <c r="S255" s="281"/>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row>
    <row r="256" ht="12.0" customHeight="1">
      <c r="A256" s="45"/>
      <c r="B256" s="45"/>
      <c r="C256" s="45"/>
      <c r="D256" s="45"/>
      <c r="E256" s="45"/>
      <c r="F256" s="309"/>
      <c r="G256" s="109"/>
      <c r="H256" s="109"/>
      <c r="I256" s="109"/>
      <c r="J256" s="109"/>
      <c r="K256" s="109"/>
      <c r="L256" s="109"/>
      <c r="M256" s="109"/>
      <c r="N256" s="109"/>
      <c r="O256" s="109"/>
      <c r="P256" s="109"/>
      <c r="Q256" s="109"/>
      <c r="R256" s="109"/>
      <c r="S256" s="281"/>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row>
    <row r="257" ht="12.0" customHeight="1">
      <c r="A257" s="45"/>
      <c r="B257" s="45"/>
      <c r="C257" s="45"/>
      <c r="D257" s="45"/>
      <c r="E257" s="45"/>
      <c r="F257" s="309"/>
      <c r="G257" s="109"/>
      <c r="H257" s="109"/>
      <c r="I257" s="109"/>
      <c r="J257" s="109"/>
      <c r="K257" s="109"/>
      <c r="L257" s="109"/>
      <c r="M257" s="109"/>
      <c r="N257" s="109"/>
      <c r="O257" s="109"/>
      <c r="P257" s="109"/>
      <c r="Q257" s="109"/>
      <c r="R257" s="109"/>
      <c r="S257" s="281"/>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row>
    <row r="258" ht="12.0" customHeight="1">
      <c r="A258" s="45"/>
      <c r="B258" s="45"/>
      <c r="C258" s="45"/>
      <c r="D258" s="45"/>
      <c r="E258" s="45"/>
      <c r="F258" s="309"/>
      <c r="G258" s="109"/>
      <c r="H258" s="109"/>
      <c r="I258" s="109"/>
      <c r="J258" s="109"/>
      <c r="K258" s="109"/>
      <c r="L258" s="109"/>
      <c r="M258" s="109"/>
      <c r="N258" s="109"/>
      <c r="O258" s="109"/>
      <c r="P258" s="109"/>
      <c r="Q258" s="109"/>
      <c r="R258" s="109"/>
      <c r="S258" s="281"/>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c r="AV258" s="45"/>
      <c r="AW258" s="45"/>
    </row>
    <row r="259" ht="12.0" customHeight="1">
      <c r="A259" s="45"/>
      <c r="B259" s="45"/>
      <c r="C259" s="45"/>
      <c r="D259" s="45"/>
      <c r="E259" s="45"/>
      <c r="F259" s="309"/>
      <c r="G259" s="109"/>
      <c r="H259" s="109"/>
      <c r="I259" s="109"/>
      <c r="J259" s="109"/>
      <c r="K259" s="109"/>
      <c r="L259" s="109"/>
      <c r="M259" s="109"/>
      <c r="N259" s="109"/>
      <c r="O259" s="109"/>
      <c r="P259" s="109"/>
      <c r="Q259" s="109"/>
      <c r="R259" s="109"/>
      <c r="S259" s="281"/>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c r="AV259" s="45"/>
      <c r="AW259" s="45"/>
    </row>
    <row r="260" ht="12.0" customHeight="1">
      <c r="A260" s="45"/>
      <c r="B260" s="45"/>
      <c r="C260" s="45"/>
      <c r="D260" s="45"/>
      <c r="E260" s="45"/>
      <c r="F260" s="309"/>
      <c r="G260" s="109"/>
      <c r="H260" s="109"/>
      <c r="I260" s="109"/>
      <c r="J260" s="109"/>
      <c r="K260" s="109"/>
      <c r="L260" s="109"/>
      <c r="M260" s="109"/>
      <c r="N260" s="109"/>
      <c r="O260" s="109"/>
      <c r="P260" s="109"/>
      <c r="Q260" s="109"/>
      <c r="R260" s="109"/>
      <c r="S260" s="281"/>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c r="AV260" s="45"/>
      <c r="AW260" s="45"/>
    </row>
    <row r="261" ht="12.0" customHeight="1">
      <c r="A261" s="45"/>
      <c r="B261" s="45"/>
      <c r="C261" s="45"/>
      <c r="D261" s="45"/>
      <c r="E261" s="45"/>
      <c r="F261" s="309"/>
      <c r="G261" s="109"/>
      <c r="H261" s="109"/>
      <c r="I261" s="109"/>
      <c r="J261" s="109"/>
      <c r="K261" s="109"/>
      <c r="L261" s="109"/>
      <c r="M261" s="109"/>
      <c r="N261" s="109"/>
      <c r="O261" s="109"/>
      <c r="P261" s="109"/>
      <c r="Q261" s="109"/>
      <c r="R261" s="109"/>
      <c r="S261" s="281"/>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row>
    <row r="262" ht="12.0" customHeight="1">
      <c r="A262" s="45"/>
      <c r="B262" s="45"/>
      <c r="C262" s="45"/>
      <c r="D262" s="45"/>
      <c r="E262" s="45"/>
      <c r="F262" s="309"/>
      <c r="G262" s="109"/>
      <c r="H262" s="109"/>
      <c r="I262" s="109"/>
      <c r="J262" s="109"/>
      <c r="K262" s="109"/>
      <c r="L262" s="109"/>
      <c r="M262" s="109"/>
      <c r="N262" s="109"/>
      <c r="O262" s="109"/>
      <c r="P262" s="109"/>
      <c r="Q262" s="109"/>
      <c r="R262" s="109"/>
      <c r="S262" s="281"/>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row>
    <row r="263" ht="12.0" customHeight="1">
      <c r="A263" s="45"/>
      <c r="B263" s="45"/>
      <c r="C263" s="45"/>
      <c r="D263" s="45"/>
      <c r="E263" s="45"/>
      <c r="F263" s="309"/>
      <c r="G263" s="109"/>
      <c r="H263" s="109"/>
      <c r="I263" s="109"/>
      <c r="J263" s="109"/>
      <c r="K263" s="109"/>
      <c r="L263" s="109"/>
      <c r="M263" s="109"/>
      <c r="N263" s="109"/>
      <c r="O263" s="109"/>
      <c r="P263" s="109"/>
      <c r="Q263" s="109"/>
      <c r="R263" s="109"/>
      <c r="S263" s="281"/>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c r="AT263" s="45"/>
      <c r="AU263" s="45"/>
      <c r="AV263" s="45"/>
      <c r="AW263" s="45"/>
    </row>
    <row r="264" ht="12.0" customHeight="1">
      <c r="A264" s="45"/>
      <c r="B264" s="45"/>
      <c r="C264" s="45"/>
      <c r="D264" s="45"/>
      <c r="E264" s="45"/>
      <c r="F264" s="309"/>
      <c r="G264" s="109"/>
      <c r="H264" s="109"/>
      <c r="I264" s="109"/>
      <c r="J264" s="109"/>
      <c r="K264" s="109"/>
      <c r="L264" s="109"/>
      <c r="M264" s="109"/>
      <c r="N264" s="109"/>
      <c r="O264" s="109"/>
      <c r="P264" s="109"/>
      <c r="Q264" s="109"/>
      <c r="R264" s="109"/>
      <c r="S264" s="281"/>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c r="AT264" s="45"/>
      <c r="AU264" s="45"/>
      <c r="AV264" s="45"/>
      <c r="AW264" s="45"/>
    </row>
    <row r="265" ht="12.0" customHeight="1">
      <c r="A265" s="45"/>
      <c r="B265" s="45"/>
      <c r="C265" s="45"/>
      <c r="D265" s="45"/>
      <c r="E265" s="45"/>
      <c r="F265" s="309"/>
      <c r="G265" s="109"/>
      <c r="H265" s="109"/>
      <c r="I265" s="109"/>
      <c r="J265" s="109"/>
      <c r="K265" s="109"/>
      <c r="L265" s="109"/>
      <c r="M265" s="109"/>
      <c r="N265" s="109"/>
      <c r="O265" s="109"/>
      <c r="P265" s="109"/>
      <c r="Q265" s="109"/>
      <c r="R265" s="109"/>
      <c r="S265" s="281"/>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c r="AT265" s="45"/>
      <c r="AU265" s="45"/>
      <c r="AV265" s="45"/>
      <c r="AW265" s="45"/>
    </row>
    <row r="266" ht="12.0" customHeight="1">
      <c r="A266" s="45"/>
      <c r="B266" s="45"/>
      <c r="C266" s="45"/>
      <c r="D266" s="45"/>
      <c r="E266" s="45"/>
      <c r="F266" s="309"/>
      <c r="G266" s="109"/>
      <c r="H266" s="109"/>
      <c r="I266" s="109"/>
      <c r="J266" s="109"/>
      <c r="K266" s="109"/>
      <c r="L266" s="109"/>
      <c r="M266" s="109"/>
      <c r="N266" s="109"/>
      <c r="O266" s="109"/>
      <c r="P266" s="109"/>
      <c r="Q266" s="109"/>
      <c r="R266" s="109"/>
      <c r="S266" s="281"/>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c r="AT266" s="45"/>
      <c r="AU266" s="45"/>
      <c r="AV266" s="45"/>
      <c r="AW266" s="45"/>
    </row>
    <row r="267" ht="12.0" customHeight="1">
      <c r="A267" s="45"/>
      <c r="B267" s="45"/>
      <c r="C267" s="45"/>
      <c r="D267" s="45"/>
      <c r="E267" s="45"/>
      <c r="F267" s="309"/>
      <c r="G267" s="109"/>
      <c r="H267" s="109"/>
      <c r="I267" s="109"/>
      <c r="J267" s="109"/>
      <c r="K267" s="109"/>
      <c r="L267" s="109"/>
      <c r="M267" s="109"/>
      <c r="N267" s="109"/>
      <c r="O267" s="109"/>
      <c r="P267" s="109"/>
      <c r="Q267" s="109"/>
      <c r="R267" s="109"/>
      <c r="S267" s="281"/>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row>
    <row r="268" ht="12.0" customHeight="1">
      <c r="A268" s="45"/>
      <c r="B268" s="45"/>
      <c r="C268" s="45"/>
      <c r="D268" s="45"/>
      <c r="E268" s="45"/>
      <c r="F268" s="309"/>
      <c r="G268" s="109"/>
      <c r="H268" s="109"/>
      <c r="I268" s="109"/>
      <c r="J268" s="109"/>
      <c r="K268" s="109"/>
      <c r="L268" s="109"/>
      <c r="M268" s="109"/>
      <c r="N268" s="109"/>
      <c r="O268" s="109"/>
      <c r="P268" s="109"/>
      <c r="Q268" s="109"/>
      <c r="R268" s="109"/>
      <c r="S268" s="281"/>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row>
    <row r="269" ht="12.0" customHeight="1">
      <c r="A269" s="45"/>
      <c r="B269" s="45"/>
      <c r="C269" s="45"/>
      <c r="D269" s="45"/>
      <c r="E269" s="45"/>
      <c r="F269" s="309"/>
      <c r="G269" s="109"/>
      <c r="H269" s="109"/>
      <c r="I269" s="109"/>
      <c r="J269" s="109"/>
      <c r="K269" s="109"/>
      <c r="L269" s="109"/>
      <c r="M269" s="109"/>
      <c r="N269" s="109"/>
      <c r="O269" s="109"/>
      <c r="P269" s="109"/>
      <c r="Q269" s="109"/>
      <c r="R269" s="109"/>
      <c r="S269" s="281"/>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c r="AT269" s="45"/>
      <c r="AU269" s="45"/>
      <c r="AV269" s="45"/>
      <c r="AW269" s="45"/>
    </row>
    <row r="270" ht="12.0" customHeight="1">
      <c r="A270" s="45"/>
      <c r="B270" s="45"/>
      <c r="C270" s="45"/>
      <c r="D270" s="45"/>
      <c r="E270" s="45"/>
      <c r="F270" s="309"/>
      <c r="G270" s="109"/>
      <c r="H270" s="109"/>
      <c r="I270" s="109"/>
      <c r="J270" s="109"/>
      <c r="K270" s="109"/>
      <c r="L270" s="109"/>
      <c r="M270" s="109"/>
      <c r="N270" s="109"/>
      <c r="O270" s="109"/>
      <c r="P270" s="109"/>
      <c r="Q270" s="109"/>
      <c r="R270" s="109"/>
      <c r="S270" s="281"/>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row>
    <row r="271" ht="12.0" customHeight="1">
      <c r="A271" s="45"/>
      <c r="B271" s="45"/>
      <c r="C271" s="45"/>
      <c r="D271" s="45"/>
      <c r="E271" s="45"/>
      <c r="F271" s="309"/>
      <c r="G271" s="109"/>
      <c r="H271" s="109"/>
      <c r="I271" s="109"/>
      <c r="J271" s="109"/>
      <c r="K271" s="109"/>
      <c r="L271" s="109"/>
      <c r="M271" s="109"/>
      <c r="N271" s="109"/>
      <c r="O271" s="109"/>
      <c r="P271" s="109"/>
      <c r="Q271" s="109"/>
      <c r="R271" s="109"/>
      <c r="S271" s="281"/>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row>
    <row r="272" ht="12.0" customHeight="1">
      <c r="A272" s="45"/>
      <c r="B272" s="45"/>
      <c r="C272" s="45"/>
      <c r="D272" s="45"/>
      <c r="E272" s="45"/>
      <c r="F272" s="309"/>
      <c r="G272" s="109"/>
      <c r="H272" s="109"/>
      <c r="I272" s="109"/>
      <c r="J272" s="109"/>
      <c r="K272" s="109"/>
      <c r="L272" s="109"/>
      <c r="M272" s="109"/>
      <c r="N272" s="109"/>
      <c r="O272" s="109"/>
      <c r="P272" s="109"/>
      <c r="Q272" s="109"/>
      <c r="R272" s="109"/>
      <c r="S272" s="281"/>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c r="AT272" s="45"/>
      <c r="AU272" s="45"/>
      <c r="AV272" s="45"/>
      <c r="AW272" s="45"/>
    </row>
    <row r="273" ht="12.0" customHeight="1">
      <c r="A273" s="45"/>
      <c r="B273" s="45"/>
      <c r="C273" s="45"/>
      <c r="D273" s="45"/>
      <c r="E273" s="45"/>
      <c r="F273" s="309"/>
      <c r="G273" s="109"/>
      <c r="H273" s="109"/>
      <c r="I273" s="109"/>
      <c r="J273" s="109"/>
      <c r="K273" s="109"/>
      <c r="L273" s="109"/>
      <c r="M273" s="109"/>
      <c r="N273" s="109"/>
      <c r="O273" s="109"/>
      <c r="P273" s="109"/>
      <c r="Q273" s="109"/>
      <c r="R273" s="109"/>
      <c r="S273" s="281"/>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c r="AT273" s="45"/>
      <c r="AU273" s="45"/>
      <c r="AV273" s="45"/>
      <c r="AW273" s="45"/>
    </row>
    <row r="274" ht="12.0" customHeight="1">
      <c r="A274" s="45"/>
      <c r="B274" s="45"/>
      <c r="C274" s="45"/>
      <c r="D274" s="45"/>
      <c r="E274" s="45"/>
      <c r="F274" s="309"/>
      <c r="G274" s="109"/>
      <c r="H274" s="109"/>
      <c r="I274" s="109"/>
      <c r="J274" s="109"/>
      <c r="K274" s="109"/>
      <c r="L274" s="109"/>
      <c r="M274" s="109"/>
      <c r="N274" s="109"/>
      <c r="O274" s="109"/>
      <c r="P274" s="109"/>
      <c r="Q274" s="109"/>
      <c r="R274" s="109"/>
      <c r="S274" s="281"/>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row>
    <row r="275" ht="12.0" customHeight="1">
      <c r="A275" s="45"/>
      <c r="B275" s="45"/>
      <c r="C275" s="45"/>
      <c r="D275" s="45"/>
      <c r="E275" s="45"/>
      <c r="F275" s="309"/>
      <c r="G275" s="109"/>
      <c r="H275" s="109"/>
      <c r="I275" s="109"/>
      <c r="J275" s="109"/>
      <c r="K275" s="109"/>
      <c r="L275" s="109"/>
      <c r="M275" s="109"/>
      <c r="N275" s="109"/>
      <c r="O275" s="109"/>
      <c r="P275" s="109"/>
      <c r="Q275" s="109"/>
      <c r="R275" s="109"/>
      <c r="S275" s="281"/>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row>
    <row r="276" ht="12.0" customHeight="1">
      <c r="A276" s="45"/>
      <c r="B276" s="45"/>
      <c r="C276" s="45"/>
      <c r="D276" s="45"/>
      <c r="E276" s="45"/>
      <c r="F276" s="309"/>
      <c r="G276" s="109"/>
      <c r="H276" s="109"/>
      <c r="I276" s="109"/>
      <c r="J276" s="109"/>
      <c r="K276" s="109"/>
      <c r="L276" s="109"/>
      <c r="M276" s="109"/>
      <c r="N276" s="109"/>
      <c r="O276" s="109"/>
      <c r="P276" s="109"/>
      <c r="Q276" s="109"/>
      <c r="R276" s="109"/>
      <c r="S276" s="281"/>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c r="AT276" s="45"/>
      <c r="AU276" s="45"/>
      <c r="AV276" s="45"/>
      <c r="AW276" s="45"/>
    </row>
    <row r="277" ht="12.0" customHeight="1">
      <c r="A277" s="45"/>
      <c r="B277" s="45"/>
      <c r="C277" s="45"/>
      <c r="D277" s="45"/>
      <c r="E277" s="45"/>
      <c r="F277" s="309"/>
      <c r="G277" s="109"/>
      <c r="H277" s="109"/>
      <c r="I277" s="109"/>
      <c r="J277" s="109"/>
      <c r="K277" s="109"/>
      <c r="L277" s="109"/>
      <c r="M277" s="109"/>
      <c r="N277" s="109"/>
      <c r="O277" s="109"/>
      <c r="P277" s="109"/>
      <c r="Q277" s="109"/>
      <c r="R277" s="109"/>
      <c r="S277" s="281"/>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c r="AT277" s="45"/>
      <c r="AU277" s="45"/>
      <c r="AV277" s="45"/>
      <c r="AW277" s="45"/>
    </row>
    <row r="278" ht="12.0" customHeight="1">
      <c r="A278" s="45"/>
      <c r="B278" s="45"/>
      <c r="C278" s="45"/>
      <c r="D278" s="45"/>
      <c r="E278" s="45"/>
      <c r="F278" s="309"/>
      <c r="G278" s="109"/>
      <c r="H278" s="109"/>
      <c r="I278" s="109"/>
      <c r="J278" s="109"/>
      <c r="K278" s="109"/>
      <c r="L278" s="109"/>
      <c r="M278" s="109"/>
      <c r="N278" s="109"/>
      <c r="O278" s="109"/>
      <c r="P278" s="109"/>
      <c r="Q278" s="109"/>
      <c r="R278" s="109"/>
      <c r="S278" s="281"/>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row>
    <row r="279" ht="12.0" customHeight="1">
      <c r="A279" s="45"/>
      <c r="B279" s="45"/>
      <c r="C279" s="45"/>
      <c r="D279" s="45"/>
      <c r="E279" s="45"/>
      <c r="F279" s="309"/>
      <c r="G279" s="109"/>
      <c r="H279" s="109"/>
      <c r="I279" s="109"/>
      <c r="J279" s="109"/>
      <c r="K279" s="109"/>
      <c r="L279" s="109"/>
      <c r="M279" s="109"/>
      <c r="N279" s="109"/>
      <c r="O279" s="109"/>
      <c r="P279" s="109"/>
      <c r="Q279" s="109"/>
      <c r="R279" s="109"/>
      <c r="S279" s="281"/>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c r="AV279" s="45"/>
      <c r="AW279" s="45"/>
    </row>
    <row r="280" ht="12.0" customHeight="1">
      <c r="A280" s="45"/>
      <c r="B280" s="45"/>
      <c r="C280" s="45"/>
      <c r="D280" s="45"/>
      <c r="E280" s="45"/>
      <c r="F280" s="309"/>
      <c r="G280" s="109"/>
      <c r="H280" s="109"/>
      <c r="I280" s="109"/>
      <c r="J280" s="109"/>
      <c r="K280" s="109"/>
      <c r="L280" s="109"/>
      <c r="M280" s="109"/>
      <c r="N280" s="109"/>
      <c r="O280" s="109"/>
      <c r="P280" s="109"/>
      <c r="Q280" s="109"/>
      <c r="R280" s="109"/>
      <c r="S280" s="281"/>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c r="AT280" s="45"/>
      <c r="AU280" s="45"/>
      <c r="AV280" s="45"/>
      <c r="AW280" s="45"/>
    </row>
    <row r="281" ht="12.0" customHeight="1">
      <c r="A281" s="45"/>
      <c r="B281" s="45"/>
      <c r="C281" s="45"/>
      <c r="D281" s="45"/>
      <c r="E281" s="45"/>
      <c r="F281" s="309"/>
      <c r="G281" s="109"/>
      <c r="H281" s="109"/>
      <c r="I281" s="109"/>
      <c r="J281" s="109"/>
      <c r="K281" s="109"/>
      <c r="L281" s="109"/>
      <c r="M281" s="109"/>
      <c r="N281" s="109"/>
      <c r="O281" s="109"/>
      <c r="P281" s="109"/>
      <c r="Q281" s="109"/>
      <c r="R281" s="109"/>
      <c r="S281" s="281"/>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c r="AV281" s="45"/>
      <c r="AW281" s="45"/>
    </row>
    <row r="282" ht="12.0" customHeight="1">
      <c r="A282" s="45"/>
      <c r="B282" s="45"/>
      <c r="C282" s="45"/>
      <c r="D282" s="45"/>
      <c r="E282" s="45"/>
      <c r="F282" s="309"/>
      <c r="G282" s="109"/>
      <c r="H282" s="109"/>
      <c r="I282" s="109"/>
      <c r="J282" s="109"/>
      <c r="K282" s="109"/>
      <c r="L282" s="109"/>
      <c r="M282" s="109"/>
      <c r="N282" s="109"/>
      <c r="O282" s="109"/>
      <c r="P282" s="109"/>
      <c r="Q282" s="109"/>
      <c r="R282" s="109"/>
      <c r="S282" s="281"/>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c r="AT282" s="45"/>
      <c r="AU282" s="45"/>
      <c r="AV282" s="45"/>
      <c r="AW282" s="45"/>
    </row>
    <row r="283" ht="12.0" customHeight="1">
      <c r="A283" s="45"/>
      <c r="B283" s="45"/>
      <c r="C283" s="45"/>
      <c r="D283" s="45"/>
      <c r="E283" s="45"/>
      <c r="F283" s="309"/>
      <c r="G283" s="109"/>
      <c r="H283" s="109"/>
      <c r="I283" s="109"/>
      <c r="J283" s="109"/>
      <c r="K283" s="109"/>
      <c r="L283" s="109"/>
      <c r="M283" s="109"/>
      <c r="N283" s="109"/>
      <c r="O283" s="109"/>
      <c r="P283" s="109"/>
      <c r="Q283" s="109"/>
      <c r="R283" s="109"/>
      <c r="S283" s="281"/>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c r="AT283" s="45"/>
      <c r="AU283" s="45"/>
      <c r="AV283" s="45"/>
      <c r="AW283" s="45"/>
    </row>
    <row r="284" ht="12.0" customHeight="1">
      <c r="A284" s="45"/>
      <c r="B284" s="45"/>
      <c r="C284" s="45"/>
      <c r="D284" s="45"/>
      <c r="E284" s="45"/>
      <c r="F284" s="309"/>
      <c r="G284" s="109"/>
      <c r="H284" s="109"/>
      <c r="I284" s="109"/>
      <c r="J284" s="109"/>
      <c r="K284" s="109"/>
      <c r="L284" s="109"/>
      <c r="M284" s="109"/>
      <c r="N284" s="109"/>
      <c r="O284" s="109"/>
      <c r="P284" s="109"/>
      <c r="Q284" s="109"/>
      <c r="R284" s="109"/>
      <c r="S284" s="281"/>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c r="AT284" s="45"/>
      <c r="AU284" s="45"/>
      <c r="AV284" s="45"/>
      <c r="AW284" s="45"/>
    </row>
    <row r="285" ht="12.0" customHeight="1">
      <c r="A285" s="45"/>
      <c r="B285" s="45"/>
      <c r="C285" s="45"/>
      <c r="D285" s="45"/>
      <c r="E285" s="45"/>
      <c r="F285" s="309"/>
      <c r="G285" s="109"/>
      <c r="H285" s="109"/>
      <c r="I285" s="109"/>
      <c r="J285" s="109"/>
      <c r="K285" s="109"/>
      <c r="L285" s="109"/>
      <c r="M285" s="109"/>
      <c r="N285" s="109"/>
      <c r="O285" s="109"/>
      <c r="P285" s="109"/>
      <c r="Q285" s="109"/>
      <c r="R285" s="109"/>
      <c r="S285" s="281"/>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c r="AV285" s="45"/>
      <c r="AW285" s="45"/>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X64:AC64"/>
  </mergeCells>
  <printOptions/>
  <pageMargins bottom="0.75" footer="0.0" header="0.0" left="0.7" right="0.7" top="0.75"/>
  <pageSetup orientation="landscape"/>
  <headerFooter>
    <oddHeader>&amp;C&amp;D &amp;T&amp;R&amp;F</oddHeader>
    <oddFooter>&amp;CCONFIDENTIAL</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fitToPage="1"/>
  </sheetPr>
  <sheetViews>
    <sheetView showGridLines="0"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outlineLevelCol="7" outlineLevelRow="7"/>
  <cols>
    <col customWidth="1" min="1" max="1" width="2.14"/>
    <col customWidth="1" min="2" max="2" width="24.0"/>
    <col customWidth="1" min="3" max="3" width="7.43"/>
    <col customWidth="1" min="4" max="4" width="7.43" outlineLevel="3"/>
    <col customWidth="1" min="5" max="5" width="5.43" outlineLevel="3"/>
    <col customWidth="1" hidden="1" min="6" max="6" width="8.86" outlineLevel="7"/>
    <col customWidth="1" min="7" max="7" width="8.86" outlineLevel="2"/>
    <col customWidth="1" min="8" max="8" width="9.57" outlineLevel="1"/>
    <col customWidth="1" min="9" max="17" width="8.86" outlineLevel="1"/>
    <col customWidth="1" min="18" max="18" width="12.14"/>
    <col customWidth="1" min="19" max="20" width="8.86"/>
    <col customWidth="1" min="21" max="22" width="4.57"/>
    <col customWidth="1" min="23" max="23" width="4.86"/>
    <col customWidth="1" min="24" max="24" width="7.71"/>
    <col customWidth="1" min="25" max="43" width="8.86"/>
    <col customWidth="1" min="44" max="49" width="8.71"/>
  </cols>
  <sheetData>
    <row r="1" ht="12.0" customHeight="1">
      <c r="A1" s="310" t="s">
        <v>58</v>
      </c>
      <c r="B1" s="310"/>
      <c r="C1" s="310"/>
      <c r="D1" s="310"/>
      <c r="E1" s="310"/>
      <c r="F1" s="310"/>
      <c r="G1" s="310"/>
      <c r="H1" s="310"/>
      <c r="I1" s="310"/>
      <c r="J1" s="310"/>
      <c r="K1" s="310"/>
      <c r="L1" s="310"/>
      <c r="M1" s="310"/>
      <c r="N1" s="310"/>
      <c r="O1" s="310"/>
      <c r="P1" s="310"/>
      <c r="Q1" s="311"/>
      <c r="R1" s="311"/>
      <c r="S1" s="310"/>
      <c r="T1" s="310"/>
      <c r="U1" s="310"/>
      <c r="V1" s="310"/>
      <c r="W1" s="310"/>
      <c r="X1" s="310"/>
      <c r="Y1" s="310"/>
      <c r="Z1" s="310"/>
      <c r="AA1" s="310"/>
      <c r="AB1" s="310"/>
      <c r="AC1" s="310"/>
      <c r="AD1" s="310"/>
      <c r="AE1" s="310"/>
      <c r="AF1" s="310"/>
      <c r="AG1" s="310"/>
      <c r="AH1" s="310"/>
      <c r="AI1" s="310"/>
      <c r="AJ1" s="310"/>
      <c r="AK1" s="310"/>
      <c r="AL1" s="310"/>
      <c r="AM1" s="310"/>
      <c r="AN1" s="310"/>
      <c r="AO1" s="310"/>
      <c r="AP1" s="310"/>
      <c r="AQ1" s="310"/>
      <c r="AR1" s="310"/>
      <c r="AS1" s="310"/>
      <c r="AT1" s="310"/>
      <c r="AU1" s="310"/>
      <c r="AV1" s="310"/>
      <c r="AW1" s="310"/>
    </row>
    <row r="2" ht="12.0" customHeight="1">
      <c r="A2" s="9"/>
      <c r="B2" s="10"/>
      <c r="C2" s="9"/>
      <c r="D2" s="11"/>
      <c r="E2" s="9"/>
      <c r="F2" s="12" t="s">
        <v>3</v>
      </c>
      <c r="G2" s="99" t="s">
        <v>4</v>
      </c>
      <c r="H2" s="100" t="s">
        <v>6</v>
      </c>
      <c r="I2" s="101">
        <v>2020.0</v>
      </c>
      <c r="J2" s="102">
        <v>2021.0</v>
      </c>
      <c r="K2" s="101">
        <v>2022.0</v>
      </c>
      <c r="L2" s="103">
        <f t="shared" ref="L2:Q2" si="1">K2+1</f>
        <v>2023</v>
      </c>
      <c r="M2" s="101">
        <f t="shared" si="1"/>
        <v>2024</v>
      </c>
      <c r="N2" s="101">
        <f t="shared" si="1"/>
        <v>2025</v>
      </c>
      <c r="O2" s="101">
        <f t="shared" si="1"/>
        <v>2026</v>
      </c>
      <c r="P2" s="101">
        <f t="shared" si="1"/>
        <v>2027</v>
      </c>
      <c r="Q2" s="101">
        <f t="shared" si="1"/>
        <v>2028</v>
      </c>
      <c r="R2" s="104"/>
      <c r="S2" s="312"/>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row>
    <row r="3" ht="12.0" customHeight="1" outlineLevel="2">
      <c r="A3" s="9"/>
      <c r="B3" s="17"/>
      <c r="C3" s="18"/>
      <c r="D3" s="19"/>
      <c r="E3" s="19"/>
      <c r="F3" s="20"/>
      <c r="G3" s="106"/>
      <c r="H3" s="22"/>
      <c r="I3" s="22"/>
      <c r="J3" s="107"/>
      <c r="K3" s="23"/>
      <c r="L3" s="108"/>
      <c r="M3" s="23"/>
      <c r="N3" s="23"/>
      <c r="O3" s="23"/>
      <c r="P3" s="23"/>
      <c r="Q3" s="23"/>
      <c r="R3" s="109"/>
      <c r="S3" s="313"/>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row>
    <row r="4" ht="12.0" customHeight="1" outlineLevel="1">
      <c r="A4" s="24"/>
      <c r="B4" s="111" t="s">
        <v>7</v>
      </c>
      <c r="C4" s="36"/>
      <c r="D4" s="112"/>
      <c r="E4" s="112"/>
      <c r="F4" s="113">
        <v>23.202560000000005</v>
      </c>
      <c r="G4" s="114">
        <f>JILL!G4</f>
        <v>27.1</v>
      </c>
      <c r="H4" s="114">
        <f>JILL!L4</f>
        <v>33.8</v>
      </c>
      <c r="I4" s="114">
        <f>JILL!M4</f>
        <v>59.73</v>
      </c>
      <c r="J4" s="114">
        <f>JILL!N4</f>
        <v>80.5</v>
      </c>
      <c r="K4" s="115">
        <f t="shared" ref="K4:Q4" si="2">J4*(1+K5)</f>
        <v>98.6125</v>
      </c>
      <c r="L4" s="116">
        <f t="shared" si="2"/>
        <v>115.8696875</v>
      </c>
      <c r="M4" s="115">
        <f t="shared" si="2"/>
        <v>133.2501406</v>
      </c>
      <c r="N4" s="115">
        <f t="shared" si="2"/>
        <v>149.9064082</v>
      </c>
      <c r="O4" s="115">
        <f t="shared" si="2"/>
        <v>164.897049</v>
      </c>
      <c r="P4" s="115">
        <f t="shared" si="2"/>
        <v>177.2643277</v>
      </c>
      <c r="Q4" s="115">
        <f t="shared" si="2"/>
        <v>186.1275441</v>
      </c>
      <c r="R4" s="109"/>
      <c r="S4" s="314"/>
      <c r="T4" s="9"/>
      <c r="U4" s="118"/>
      <c r="V4" s="118"/>
      <c r="W4" s="118"/>
      <c r="X4" s="118"/>
      <c r="Y4" s="118"/>
      <c r="Z4" s="118"/>
      <c r="AA4" s="9"/>
      <c r="AB4" s="36"/>
      <c r="AC4" s="36"/>
      <c r="AD4" s="36"/>
      <c r="AE4" s="36"/>
      <c r="AF4" s="36"/>
      <c r="AG4" s="36"/>
      <c r="AH4" s="36"/>
      <c r="AI4" s="36"/>
      <c r="AJ4" s="36"/>
      <c r="AK4" s="36"/>
      <c r="AL4" s="36"/>
      <c r="AM4" s="36"/>
      <c r="AN4" s="36"/>
      <c r="AO4" s="36"/>
      <c r="AP4" s="36"/>
      <c r="AQ4" s="36"/>
      <c r="AR4" s="36"/>
      <c r="AS4" s="36"/>
      <c r="AT4" s="36"/>
      <c r="AU4" s="36"/>
      <c r="AV4" s="36"/>
      <c r="AW4" s="36"/>
    </row>
    <row r="5" ht="12.0" customHeight="1" outlineLevel="1">
      <c r="A5" s="24"/>
      <c r="B5" s="119" t="s">
        <v>8</v>
      </c>
      <c r="C5" s="120"/>
      <c r="D5" s="120">
        <v>0.025</v>
      </c>
      <c r="E5" s="112"/>
      <c r="F5" s="121">
        <f>'mgmt '!I25</f>
        <v>0.1875783389</v>
      </c>
      <c r="G5" s="122">
        <f t="shared" ref="G5:J5" si="3">G4/F4-1</f>
        <v>0.1679745683</v>
      </c>
      <c r="H5" s="123">
        <f t="shared" si="3"/>
        <v>0.2472324723</v>
      </c>
      <c r="I5" s="123">
        <f t="shared" si="3"/>
        <v>0.7671597633</v>
      </c>
      <c r="J5" s="123">
        <f t="shared" si="3"/>
        <v>0.3477314582</v>
      </c>
      <c r="K5" s="123">
        <v>0.225</v>
      </c>
      <c r="L5" s="124">
        <v>0.175</v>
      </c>
      <c r="M5" s="123">
        <v>0.15</v>
      </c>
      <c r="N5" s="123">
        <f t="shared" ref="N5:Q5" si="4">M5-$D$5</f>
        <v>0.125</v>
      </c>
      <c r="O5" s="123">
        <f t="shared" si="4"/>
        <v>0.1</v>
      </c>
      <c r="P5" s="123">
        <f t="shared" si="4"/>
        <v>0.075</v>
      </c>
      <c r="Q5" s="123">
        <f t="shared" si="4"/>
        <v>0.05</v>
      </c>
      <c r="R5" s="125"/>
      <c r="S5" s="314"/>
      <c r="T5" s="61"/>
      <c r="U5" s="126"/>
      <c r="V5" s="127"/>
      <c r="W5" s="128"/>
      <c r="X5" s="128"/>
      <c r="Y5" s="128"/>
      <c r="Z5" s="128"/>
      <c r="AA5" s="61"/>
      <c r="AB5" s="36"/>
      <c r="AC5" s="36"/>
      <c r="AD5" s="36"/>
      <c r="AE5" s="36"/>
      <c r="AF5" s="36"/>
      <c r="AG5" s="36"/>
      <c r="AH5" s="36"/>
      <c r="AI5" s="36"/>
      <c r="AJ5" s="36"/>
      <c r="AK5" s="36"/>
      <c r="AL5" s="36"/>
      <c r="AM5" s="36"/>
      <c r="AN5" s="36"/>
      <c r="AO5" s="36"/>
      <c r="AP5" s="36"/>
      <c r="AQ5" s="36"/>
      <c r="AR5" s="36"/>
      <c r="AS5" s="36"/>
      <c r="AT5" s="36"/>
      <c r="AU5" s="36"/>
      <c r="AV5" s="36"/>
      <c r="AW5" s="36"/>
    </row>
    <row r="6" ht="12.0" customHeight="1" outlineLevel="4">
      <c r="A6" s="36"/>
      <c r="B6" s="129"/>
      <c r="C6" s="36"/>
      <c r="D6" s="112"/>
      <c r="E6" s="112"/>
      <c r="F6" s="130"/>
      <c r="G6" s="131"/>
      <c r="H6" s="132"/>
      <c r="I6" s="123"/>
      <c r="J6" s="122"/>
      <c r="K6" s="123"/>
      <c r="L6" s="124"/>
      <c r="M6" s="123"/>
      <c r="N6" s="123"/>
      <c r="O6" s="123"/>
      <c r="P6" s="123"/>
      <c r="Q6" s="123"/>
      <c r="R6" s="109"/>
      <c r="S6" s="314"/>
      <c r="T6" s="88"/>
      <c r="U6" s="133"/>
      <c r="V6" s="134"/>
      <c r="W6" s="135"/>
      <c r="X6" s="135"/>
      <c r="Y6" s="135"/>
      <c r="Z6" s="135"/>
      <c r="AA6" s="61"/>
      <c r="AB6" s="36"/>
      <c r="AC6" s="36"/>
      <c r="AD6" s="36"/>
      <c r="AE6" s="36"/>
      <c r="AF6" s="36"/>
      <c r="AG6" s="36"/>
      <c r="AH6" s="36"/>
      <c r="AI6" s="36"/>
      <c r="AJ6" s="36"/>
      <c r="AK6" s="36"/>
      <c r="AL6" s="36"/>
      <c r="AM6" s="36"/>
      <c r="AN6" s="36"/>
      <c r="AO6" s="36"/>
      <c r="AP6" s="36"/>
      <c r="AQ6" s="36"/>
      <c r="AR6" s="36"/>
      <c r="AS6" s="36"/>
      <c r="AT6" s="36"/>
      <c r="AU6" s="36"/>
      <c r="AV6" s="36"/>
      <c r="AW6" s="36"/>
    </row>
    <row r="7" ht="12.0" customHeight="1" outlineLevel="2">
      <c r="A7" s="39"/>
      <c r="B7" s="136" t="s">
        <v>9</v>
      </c>
      <c r="C7" s="45"/>
      <c r="D7" s="45"/>
      <c r="E7" s="137"/>
      <c r="F7" s="138">
        <f>'mgmt '!I48</f>
        <v>9.44350909</v>
      </c>
      <c r="G7" s="139">
        <f>JILL!G7</f>
        <v>10.942581</v>
      </c>
      <c r="H7" s="139">
        <f>JILL!L7</f>
        <v>13.6</v>
      </c>
      <c r="I7" s="139">
        <f>JILL!M7</f>
        <v>22.06</v>
      </c>
      <c r="J7" s="139">
        <f>JILL!N7</f>
        <v>31.1</v>
      </c>
      <c r="K7" s="140">
        <f t="shared" ref="K7:Q7" si="5">K4*K8</f>
        <v>38.0975</v>
      </c>
      <c r="L7" s="141">
        <f t="shared" si="5"/>
        <v>44.7645625</v>
      </c>
      <c r="M7" s="140">
        <f t="shared" si="5"/>
        <v>51.47924688</v>
      </c>
      <c r="N7" s="140">
        <f t="shared" si="5"/>
        <v>57.91415273</v>
      </c>
      <c r="O7" s="140">
        <f t="shared" si="5"/>
        <v>63.70556801</v>
      </c>
      <c r="P7" s="140">
        <f t="shared" si="5"/>
        <v>68.48348561</v>
      </c>
      <c r="Q7" s="140">
        <f t="shared" si="5"/>
        <v>71.90765989</v>
      </c>
      <c r="R7" s="115"/>
      <c r="S7" s="31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row>
    <row r="8" ht="12.0" customHeight="1" outlineLevel="1">
      <c r="A8" s="39"/>
      <c r="B8" s="143" t="s">
        <v>10</v>
      </c>
      <c r="C8" s="120">
        <v>0.0</v>
      </c>
      <c r="D8" s="120">
        <v>0.0</v>
      </c>
      <c r="E8" s="45"/>
      <c r="F8" s="144">
        <f t="shared" ref="F8:J8" si="6">F7/F4</f>
        <v>0.4070028949</v>
      </c>
      <c r="G8" s="145">
        <f t="shared" si="6"/>
        <v>0.4037852768</v>
      </c>
      <c r="H8" s="146">
        <f t="shared" si="6"/>
        <v>0.4023668639</v>
      </c>
      <c r="I8" s="146">
        <f t="shared" si="6"/>
        <v>0.3693286456</v>
      </c>
      <c r="J8" s="147">
        <f t="shared" si="6"/>
        <v>0.3863354037</v>
      </c>
      <c r="K8" s="148">
        <f t="shared" ref="K8:L8" si="7">J8+$C8</f>
        <v>0.3863354037</v>
      </c>
      <c r="L8" s="149">
        <f t="shared" si="7"/>
        <v>0.3863354037</v>
      </c>
      <c r="M8" s="148">
        <f t="shared" ref="M8:Q8" si="8">L8+$D8</f>
        <v>0.3863354037</v>
      </c>
      <c r="N8" s="148">
        <f t="shared" si="8"/>
        <v>0.3863354037</v>
      </c>
      <c r="O8" s="148">
        <f t="shared" si="8"/>
        <v>0.3863354037</v>
      </c>
      <c r="P8" s="148">
        <f t="shared" si="8"/>
        <v>0.3863354037</v>
      </c>
      <c r="Q8" s="148">
        <f t="shared" si="8"/>
        <v>0.3863354037</v>
      </c>
      <c r="R8" s="150"/>
      <c r="S8" s="316"/>
      <c r="T8" s="45"/>
      <c r="U8" s="109"/>
      <c r="V8" s="152"/>
      <c r="W8" s="152"/>
      <c r="X8" s="152"/>
      <c r="Y8" s="152"/>
      <c r="Z8" s="152"/>
      <c r="AA8" s="49"/>
      <c r="AB8" s="153"/>
      <c r="AC8" s="153"/>
      <c r="AD8" s="153"/>
      <c r="AE8" s="153"/>
      <c r="AF8" s="153"/>
      <c r="AG8" s="153"/>
      <c r="AH8" s="153"/>
      <c r="AI8" s="153"/>
      <c r="AJ8" s="153"/>
      <c r="AK8" s="153"/>
      <c r="AL8" s="153"/>
      <c r="AM8" s="153"/>
      <c r="AN8" s="153"/>
      <c r="AO8" s="153"/>
      <c r="AP8" s="153"/>
      <c r="AQ8" s="153"/>
      <c r="AR8" s="153"/>
      <c r="AS8" s="153"/>
      <c r="AT8" s="153"/>
      <c r="AU8" s="153"/>
      <c r="AV8" s="153"/>
      <c r="AW8" s="153"/>
    </row>
    <row r="9" ht="12.0" customHeight="1" outlineLevel="2">
      <c r="A9" s="45"/>
      <c r="B9" s="154"/>
      <c r="C9" s="49"/>
      <c r="D9" s="155"/>
      <c r="E9" s="155"/>
      <c r="F9" s="156"/>
      <c r="G9" s="147"/>
      <c r="H9" s="157"/>
      <c r="I9" s="148"/>
      <c r="J9" s="147"/>
      <c r="K9" s="148"/>
      <c r="L9" s="149"/>
      <c r="M9" s="148"/>
      <c r="N9" s="148"/>
      <c r="O9" s="148"/>
      <c r="P9" s="148"/>
      <c r="Q9" s="148"/>
      <c r="R9" s="109"/>
      <c r="S9" s="317"/>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row>
    <row r="10" ht="12.0" customHeight="1" outlineLevel="1">
      <c r="A10" s="49"/>
      <c r="B10" s="159" t="s">
        <v>11</v>
      </c>
      <c r="C10" s="49"/>
      <c r="D10" s="160"/>
      <c r="E10" s="160"/>
      <c r="F10" s="161">
        <f t="shared" ref="F10:Q10" si="9">F4-F7</f>
        <v>13.75905091</v>
      </c>
      <c r="G10" s="162">
        <f t="shared" si="9"/>
        <v>16.157419</v>
      </c>
      <c r="H10" s="115">
        <f t="shared" si="9"/>
        <v>20.2</v>
      </c>
      <c r="I10" s="115">
        <f t="shared" si="9"/>
        <v>37.67</v>
      </c>
      <c r="J10" s="162">
        <f t="shared" si="9"/>
        <v>49.4</v>
      </c>
      <c r="K10" s="115">
        <f t="shared" si="9"/>
        <v>60.515</v>
      </c>
      <c r="L10" s="116">
        <f t="shared" si="9"/>
        <v>71.105125</v>
      </c>
      <c r="M10" s="115">
        <f t="shared" si="9"/>
        <v>81.77089375</v>
      </c>
      <c r="N10" s="115">
        <f t="shared" si="9"/>
        <v>91.99225547</v>
      </c>
      <c r="O10" s="115">
        <f t="shared" si="9"/>
        <v>101.191481</v>
      </c>
      <c r="P10" s="115">
        <f t="shared" si="9"/>
        <v>108.7808421</v>
      </c>
      <c r="Q10" s="115">
        <f t="shared" si="9"/>
        <v>114.2198842</v>
      </c>
      <c r="R10" s="49"/>
      <c r="S10" s="318"/>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row>
    <row r="11" ht="12.0" customHeight="1" outlineLevel="1">
      <c r="A11" s="49"/>
      <c r="B11" s="129" t="s">
        <v>12</v>
      </c>
      <c r="C11" s="49"/>
      <c r="D11" s="160"/>
      <c r="E11" s="160"/>
      <c r="F11" s="121">
        <f t="shared" ref="F11:Q11" si="10">F10/F4</f>
        <v>0.5929971051</v>
      </c>
      <c r="G11" s="122">
        <f t="shared" si="10"/>
        <v>0.5962147232</v>
      </c>
      <c r="H11" s="123">
        <f t="shared" si="10"/>
        <v>0.5976331361</v>
      </c>
      <c r="I11" s="123">
        <f t="shared" si="10"/>
        <v>0.6306713544</v>
      </c>
      <c r="J11" s="122">
        <f t="shared" si="10"/>
        <v>0.6136645963</v>
      </c>
      <c r="K11" s="123">
        <f t="shared" si="10"/>
        <v>0.6136645963</v>
      </c>
      <c r="L11" s="124">
        <f t="shared" si="10"/>
        <v>0.6136645963</v>
      </c>
      <c r="M11" s="123">
        <f t="shared" si="10"/>
        <v>0.6136645963</v>
      </c>
      <c r="N11" s="123">
        <f t="shared" si="10"/>
        <v>0.6136645963</v>
      </c>
      <c r="O11" s="123">
        <f t="shared" si="10"/>
        <v>0.6136645963</v>
      </c>
      <c r="P11" s="123">
        <f t="shared" si="10"/>
        <v>0.6136645963</v>
      </c>
      <c r="Q11" s="123">
        <f t="shared" si="10"/>
        <v>0.6136645963</v>
      </c>
      <c r="R11" s="49"/>
      <c r="S11" s="316"/>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row>
    <row r="12" ht="12.0" customHeight="1" outlineLevel="1">
      <c r="A12" s="45"/>
      <c r="B12" s="164"/>
      <c r="C12" s="49"/>
      <c r="D12" s="155"/>
      <c r="E12" s="155"/>
      <c r="F12" s="144"/>
      <c r="G12" s="147"/>
      <c r="H12" s="148"/>
      <c r="I12" s="148"/>
      <c r="J12" s="147"/>
      <c r="K12" s="148"/>
      <c r="L12" s="149"/>
      <c r="M12" s="148"/>
      <c r="N12" s="148"/>
      <c r="O12" s="148"/>
      <c r="P12" s="148"/>
      <c r="Q12" s="148"/>
      <c r="R12" s="109"/>
      <c r="S12" s="317"/>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row>
    <row r="13" ht="12.0" customHeight="1" outlineLevel="2">
      <c r="A13" s="45"/>
      <c r="B13" s="165" t="s">
        <v>13</v>
      </c>
      <c r="C13" s="49"/>
      <c r="D13" s="155"/>
      <c r="E13" s="155"/>
      <c r="F13" s="144"/>
      <c r="G13" s="147"/>
      <c r="H13" s="148"/>
      <c r="I13" s="148"/>
      <c r="J13" s="147" t="s">
        <v>14</v>
      </c>
      <c r="K13" s="148"/>
      <c r="L13" s="149"/>
      <c r="M13" s="148"/>
      <c r="N13" s="148"/>
      <c r="O13" s="148"/>
      <c r="P13" s="148"/>
      <c r="Q13" s="148"/>
      <c r="R13" s="166"/>
      <c r="S13" s="317"/>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row>
    <row r="14" ht="12.0" customHeight="1" outlineLevel="2">
      <c r="A14" s="45"/>
      <c r="B14" s="167" t="s">
        <v>15</v>
      </c>
      <c r="C14" s="49"/>
      <c r="D14" s="168"/>
      <c r="E14" s="168"/>
      <c r="F14" s="138">
        <f>'mgmt '!I65+'mgmt '!I64</f>
        <v>7.727007</v>
      </c>
      <c r="G14" s="169">
        <f>JILL!G14</f>
        <v>7.614628</v>
      </c>
      <c r="H14" s="169">
        <f>JILL!L14</f>
        <v>9.9</v>
      </c>
      <c r="I14" s="169">
        <f>JILL!M14</f>
        <v>14.3</v>
      </c>
      <c r="J14" s="169">
        <f>JILL!N14</f>
        <v>16.4</v>
      </c>
      <c r="K14" s="140">
        <f t="shared" ref="K14:Q14" si="11">K$4*K21</f>
        <v>18.11775</v>
      </c>
      <c r="L14" s="141">
        <f t="shared" si="11"/>
        <v>18.9709625</v>
      </c>
      <c r="M14" s="140">
        <f t="shared" si="11"/>
        <v>21.15035617</v>
      </c>
      <c r="N14" s="140">
        <f t="shared" si="11"/>
        <v>23.04461865</v>
      </c>
      <c r="O14" s="140">
        <f t="shared" si="11"/>
        <v>24.52459527</v>
      </c>
      <c r="P14" s="140">
        <f t="shared" si="11"/>
        <v>25.47761828</v>
      </c>
      <c r="Q14" s="140">
        <f t="shared" si="11"/>
        <v>25.82086147</v>
      </c>
      <c r="R14" s="170"/>
      <c r="S14" s="31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row>
    <row r="15" ht="12.0" customHeight="1" outlineLevel="2">
      <c r="A15" s="45"/>
      <c r="B15" s="167" t="s">
        <v>16</v>
      </c>
      <c r="C15" s="49"/>
      <c r="D15" s="168"/>
      <c r="E15" s="168"/>
      <c r="F15" s="138">
        <f>'mgmt '!I63+'mgmt '!I66+'mgmt '!I67+'mgmt '!I69</f>
        <v>7.308554</v>
      </c>
      <c r="G15" s="169">
        <f>JILL!G15</f>
        <v>6.992441</v>
      </c>
      <c r="H15" s="169">
        <f>JILL!L15</f>
        <v>1.7</v>
      </c>
      <c r="I15" s="169">
        <f>JILL!M15</f>
        <v>3.4</v>
      </c>
      <c r="J15" s="169">
        <f>JILL!N15</f>
        <v>0.4</v>
      </c>
      <c r="K15" s="140">
        <f t="shared" ref="K15:Q15" si="12">K$4*K22</f>
        <v>9.86125</v>
      </c>
      <c r="L15" s="141">
        <f t="shared" si="12"/>
        <v>11.58696875</v>
      </c>
      <c r="M15" s="140">
        <f t="shared" si="12"/>
        <v>11.99251266</v>
      </c>
      <c r="N15" s="140">
        <f t="shared" si="12"/>
        <v>11.99251266</v>
      </c>
      <c r="O15" s="140">
        <f t="shared" si="12"/>
        <v>11.54279343</v>
      </c>
      <c r="P15" s="140">
        <f t="shared" si="12"/>
        <v>10.63585966</v>
      </c>
      <c r="Q15" s="140">
        <f t="shared" si="12"/>
        <v>9.306377204</v>
      </c>
      <c r="R15" s="109"/>
      <c r="S15" s="31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row>
    <row r="16" ht="12.0" customHeight="1" outlineLevel="2">
      <c r="A16" s="45"/>
      <c r="B16" s="167" t="s">
        <v>17</v>
      </c>
      <c r="C16" s="18"/>
      <c r="D16" s="171"/>
      <c r="E16" s="171"/>
      <c r="F16" s="172">
        <f>'mgmt '!I70-('SYNERGY CASE '!F14+'SYNERGY CASE '!F15)</f>
        <v>0.11225</v>
      </c>
      <c r="G16" s="169">
        <f>JILL!G16</f>
        <v>0.018178</v>
      </c>
      <c r="H16" s="319">
        <f>JILL!L16</f>
        <v>11.3</v>
      </c>
      <c r="I16" s="319">
        <f>JILL!M16</f>
        <v>13.6</v>
      </c>
      <c r="J16" s="319">
        <f>JILL!N16</f>
        <v>15.1</v>
      </c>
      <c r="K16" s="173">
        <f t="shared" ref="K16:Q16" si="13">K$4*K23</f>
        <v>17.75790625</v>
      </c>
      <c r="L16" s="174">
        <f t="shared" si="13"/>
        <v>19.99651719</v>
      </c>
      <c r="M16" s="173">
        <f t="shared" si="13"/>
        <v>22.66286941</v>
      </c>
      <c r="N16" s="173">
        <f t="shared" si="13"/>
        <v>25.12096207</v>
      </c>
      <c r="O16" s="173">
        <f t="shared" si="13"/>
        <v>27.22081565</v>
      </c>
      <c r="P16" s="173">
        <f t="shared" si="13"/>
        <v>28.81921601</v>
      </c>
      <c r="Q16" s="173">
        <f t="shared" si="13"/>
        <v>29.79485795</v>
      </c>
      <c r="R16" s="109"/>
      <c r="S16" s="31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row>
    <row r="17" ht="12.0" customHeight="1" outlineLevel="1">
      <c r="A17" s="61"/>
      <c r="B17" s="175" t="s">
        <v>18</v>
      </c>
      <c r="C17" s="153"/>
      <c r="D17" s="176"/>
      <c r="E17" s="176"/>
      <c r="F17" s="161">
        <f t="shared" ref="F17:Q17" si="14">SUM(F14:F16)</f>
        <v>15.147811</v>
      </c>
      <c r="G17" s="162">
        <f t="shared" si="14"/>
        <v>14.625247</v>
      </c>
      <c r="H17" s="115">
        <f t="shared" si="14"/>
        <v>22.9</v>
      </c>
      <c r="I17" s="115">
        <f t="shared" si="14"/>
        <v>31.3</v>
      </c>
      <c r="J17" s="162">
        <f t="shared" si="14"/>
        <v>31.9</v>
      </c>
      <c r="K17" s="115">
        <f t="shared" si="14"/>
        <v>45.73690625</v>
      </c>
      <c r="L17" s="116">
        <f t="shared" si="14"/>
        <v>50.55444844</v>
      </c>
      <c r="M17" s="115">
        <f t="shared" si="14"/>
        <v>55.80573824</v>
      </c>
      <c r="N17" s="115">
        <f t="shared" si="14"/>
        <v>60.15809338</v>
      </c>
      <c r="O17" s="115">
        <f t="shared" si="14"/>
        <v>63.28820436</v>
      </c>
      <c r="P17" s="115">
        <f t="shared" si="14"/>
        <v>64.93269395</v>
      </c>
      <c r="Q17" s="115">
        <f t="shared" si="14"/>
        <v>64.92209663</v>
      </c>
      <c r="R17" s="109"/>
      <c r="S17" s="320"/>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row>
    <row r="18" ht="12.0" customHeight="1" outlineLevel="1">
      <c r="A18" s="61"/>
      <c r="B18" s="178" t="s">
        <v>19</v>
      </c>
      <c r="C18" s="153"/>
      <c r="D18" s="176"/>
      <c r="E18" s="176"/>
      <c r="F18" s="121">
        <f t="shared" ref="F18:Q18" si="15">F17/F4</f>
        <v>0.6528508492</v>
      </c>
      <c r="G18" s="122">
        <f t="shared" si="15"/>
        <v>0.5396770111</v>
      </c>
      <c r="H18" s="123">
        <f t="shared" si="15"/>
        <v>0.6775147929</v>
      </c>
      <c r="I18" s="123">
        <f t="shared" si="15"/>
        <v>0.5240247782</v>
      </c>
      <c r="J18" s="122">
        <f t="shared" si="15"/>
        <v>0.3962732919</v>
      </c>
      <c r="K18" s="123">
        <f t="shared" si="15"/>
        <v>0.4638043478</v>
      </c>
      <c r="L18" s="124">
        <f t="shared" si="15"/>
        <v>0.4363043478</v>
      </c>
      <c r="M18" s="123">
        <f t="shared" si="15"/>
        <v>0.4188043478</v>
      </c>
      <c r="N18" s="123">
        <f t="shared" si="15"/>
        <v>0.4013043478</v>
      </c>
      <c r="O18" s="123">
        <f t="shared" si="15"/>
        <v>0.3838043478</v>
      </c>
      <c r="P18" s="123">
        <f t="shared" si="15"/>
        <v>0.3663043478</v>
      </c>
      <c r="Q18" s="123">
        <f t="shared" si="15"/>
        <v>0.3488043478</v>
      </c>
      <c r="R18" s="109"/>
      <c r="S18" s="316"/>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row>
    <row r="19" ht="12.0" customHeight="1" outlineLevel="2">
      <c r="A19" s="45"/>
      <c r="B19" s="178"/>
      <c r="C19" s="49"/>
      <c r="D19" s="179"/>
      <c r="E19" s="179"/>
      <c r="F19" s="121"/>
      <c r="G19" s="122"/>
      <c r="H19" s="123"/>
      <c r="I19" s="123"/>
      <c r="J19" s="122"/>
      <c r="K19" s="123"/>
      <c r="L19" s="124"/>
      <c r="M19" s="123"/>
      <c r="N19" s="123"/>
      <c r="O19" s="123"/>
      <c r="P19" s="123"/>
      <c r="Q19" s="123"/>
      <c r="R19" s="109"/>
      <c r="S19" s="316"/>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row>
    <row r="20" ht="12.0" customHeight="1" outlineLevel="2">
      <c r="A20" s="45"/>
      <c r="B20" s="165" t="s">
        <v>20</v>
      </c>
      <c r="C20" s="49"/>
      <c r="D20" s="179"/>
      <c r="E20" s="179"/>
      <c r="F20" s="156"/>
      <c r="G20" s="147"/>
      <c r="H20" s="148"/>
      <c r="I20" s="148"/>
      <c r="J20" s="147"/>
      <c r="K20" s="148"/>
      <c r="L20" s="149"/>
      <c r="M20" s="148"/>
      <c r="N20" s="148"/>
      <c r="O20" s="148"/>
      <c r="P20" s="148"/>
      <c r="Q20" s="148"/>
      <c r="R20" s="109"/>
      <c r="S20" s="317"/>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row>
    <row r="21" ht="12.0" customHeight="1" outlineLevel="2">
      <c r="A21" s="67"/>
      <c r="B21" s="167" t="s">
        <v>15</v>
      </c>
      <c r="C21" s="120">
        <v>-0.02</v>
      </c>
      <c r="D21" s="120">
        <v>-0.005</v>
      </c>
      <c r="E21" s="180"/>
      <c r="F21" s="156">
        <f t="shared" ref="F21:J21" si="16">F14/F$4</f>
        <v>0.3330238991</v>
      </c>
      <c r="G21" s="147">
        <f t="shared" si="16"/>
        <v>0.280982583</v>
      </c>
      <c r="H21" s="148">
        <f t="shared" si="16"/>
        <v>0.2928994083</v>
      </c>
      <c r="I21" s="148">
        <f t="shared" si="16"/>
        <v>0.2394106814</v>
      </c>
      <c r="J21" s="147">
        <f t="shared" si="16"/>
        <v>0.2037267081</v>
      </c>
      <c r="K21" s="148">
        <f t="shared" ref="K21:L21" si="17">J21+$C21</f>
        <v>0.1837267081</v>
      </c>
      <c r="L21" s="149">
        <f t="shared" si="17"/>
        <v>0.1637267081</v>
      </c>
      <c r="M21" s="148">
        <f t="shared" ref="M21:Q21" si="18">L21+$D21</f>
        <v>0.1587267081</v>
      </c>
      <c r="N21" s="148">
        <f t="shared" si="18"/>
        <v>0.1537267081</v>
      </c>
      <c r="O21" s="148">
        <f t="shared" si="18"/>
        <v>0.1487267081</v>
      </c>
      <c r="P21" s="148">
        <f t="shared" si="18"/>
        <v>0.1437267081</v>
      </c>
      <c r="Q21" s="148">
        <f t="shared" si="18"/>
        <v>0.1387267081</v>
      </c>
      <c r="R21" s="109"/>
      <c r="S21" s="317"/>
      <c r="T21" s="180"/>
      <c r="U21" s="180"/>
      <c r="V21" s="180"/>
      <c r="W21" s="180"/>
      <c r="X21" s="180"/>
      <c r="Y21" s="180"/>
      <c r="Z21" s="180"/>
      <c r="AA21" s="180"/>
      <c r="AB21" s="180"/>
      <c r="AC21" s="180"/>
      <c r="AD21" s="180"/>
      <c r="AE21" s="180"/>
      <c r="AF21" s="180"/>
      <c r="AG21" s="180"/>
      <c r="AH21" s="180"/>
      <c r="AI21" s="180"/>
      <c r="AJ21" s="180"/>
      <c r="AK21" s="180"/>
      <c r="AL21" s="180"/>
      <c r="AM21" s="180"/>
      <c r="AN21" s="180"/>
      <c r="AO21" s="180"/>
      <c r="AP21" s="180"/>
      <c r="AQ21" s="180"/>
      <c r="AR21" s="180"/>
      <c r="AS21" s="180"/>
      <c r="AT21" s="180"/>
      <c r="AU21" s="180"/>
      <c r="AV21" s="180"/>
      <c r="AW21" s="180"/>
    </row>
    <row r="22" ht="12.0" customHeight="1" outlineLevel="2">
      <c r="A22" s="67"/>
      <c r="B22" s="167" t="s">
        <v>16</v>
      </c>
      <c r="C22" s="120"/>
      <c r="D22" s="120">
        <v>-0.01</v>
      </c>
      <c r="E22" s="180"/>
      <c r="F22" s="156">
        <f t="shared" ref="F22:J22" si="19">F15/F$4</f>
        <v>0.3149891219</v>
      </c>
      <c r="G22" s="147">
        <f t="shared" si="19"/>
        <v>0.2580236531</v>
      </c>
      <c r="H22" s="148">
        <f t="shared" si="19"/>
        <v>0.05029585799</v>
      </c>
      <c r="I22" s="148">
        <f t="shared" si="19"/>
        <v>0.05692281935</v>
      </c>
      <c r="J22" s="147">
        <f t="shared" si="19"/>
        <v>0.004968944099</v>
      </c>
      <c r="K22" s="148">
        <v>0.1</v>
      </c>
      <c r="L22" s="149">
        <v>0.1</v>
      </c>
      <c r="M22" s="148">
        <f t="shared" ref="M22:Q22" si="20">L22+$D22</f>
        <v>0.09</v>
      </c>
      <c r="N22" s="148">
        <f t="shared" si="20"/>
        <v>0.08</v>
      </c>
      <c r="O22" s="148">
        <f t="shared" si="20"/>
        <v>0.07</v>
      </c>
      <c r="P22" s="148">
        <f t="shared" si="20"/>
        <v>0.06</v>
      </c>
      <c r="Q22" s="148">
        <f t="shared" si="20"/>
        <v>0.05</v>
      </c>
      <c r="R22" s="109"/>
      <c r="S22" s="317"/>
      <c r="T22" s="180"/>
      <c r="U22" s="180"/>
      <c r="V22" s="180"/>
      <c r="W22" s="180"/>
      <c r="X22" s="180"/>
      <c r="Y22" s="180"/>
      <c r="Z22" s="180"/>
      <c r="AA22" s="180"/>
      <c r="AB22" s="180"/>
      <c r="AC22" s="180"/>
      <c r="AD22" s="180"/>
      <c r="AE22" s="180"/>
      <c r="AF22" s="180"/>
      <c r="AG22" s="180"/>
      <c r="AH22" s="180"/>
      <c r="AI22" s="180"/>
      <c r="AJ22" s="180"/>
      <c r="AK22" s="180"/>
      <c r="AL22" s="180"/>
      <c r="AM22" s="180"/>
      <c r="AN22" s="180"/>
      <c r="AO22" s="180"/>
      <c r="AP22" s="180"/>
      <c r="AQ22" s="180"/>
      <c r="AR22" s="180"/>
      <c r="AS22" s="180"/>
      <c r="AT22" s="180"/>
      <c r="AU22" s="180"/>
      <c r="AV22" s="180"/>
      <c r="AW22" s="180"/>
    </row>
    <row r="23" ht="12.0" customHeight="1" outlineLevel="2">
      <c r="A23" s="67"/>
      <c r="B23" s="167" t="s">
        <v>17</v>
      </c>
      <c r="C23" s="181">
        <v>-0.0075</v>
      </c>
      <c r="D23" s="181">
        <v>-0.0025</v>
      </c>
      <c r="E23" s="182"/>
      <c r="F23" s="183">
        <f t="shared" ref="F23:J23" si="21">F16/F$4</f>
        <v>0.00483782824</v>
      </c>
      <c r="G23" s="184">
        <f t="shared" si="21"/>
        <v>0.0006707749077</v>
      </c>
      <c r="H23" s="185">
        <f t="shared" si="21"/>
        <v>0.3343195266</v>
      </c>
      <c r="I23" s="185">
        <f t="shared" si="21"/>
        <v>0.2276912774</v>
      </c>
      <c r="J23" s="184">
        <f t="shared" si="21"/>
        <v>0.1875776398</v>
      </c>
      <c r="K23" s="185">
        <f t="shared" ref="K23:L23" si="22">J23+$C23</f>
        <v>0.1800776398</v>
      </c>
      <c r="L23" s="186">
        <f t="shared" si="22"/>
        <v>0.1725776398</v>
      </c>
      <c r="M23" s="185">
        <f t="shared" ref="M23:Q23" si="23">L23+$D23</f>
        <v>0.1700776398</v>
      </c>
      <c r="N23" s="185">
        <f t="shared" si="23"/>
        <v>0.1675776398</v>
      </c>
      <c r="O23" s="185">
        <f t="shared" si="23"/>
        <v>0.1650776398</v>
      </c>
      <c r="P23" s="185">
        <f t="shared" si="23"/>
        <v>0.1625776398</v>
      </c>
      <c r="Q23" s="185">
        <f t="shared" si="23"/>
        <v>0.1600776398</v>
      </c>
      <c r="R23" s="109"/>
      <c r="S23" s="317"/>
      <c r="T23" s="180"/>
      <c r="U23" s="180"/>
      <c r="V23" s="180"/>
      <c r="W23" s="180"/>
      <c r="X23" s="180"/>
      <c r="Y23" s="180"/>
      <c r="Z23" s="180"/>
      <c r="AA23" s="180"/>
      <c r="AB23" s="180"/>
      <c r="AC23" s="180"/>
      <c r="AD23" s="180"/>
      <c r="AE23" s="180"/>
      <c r="AF23" s="180"/>
      <c r="AG23" s="180"/>
      <c r="AH23" s="180"/>
      <c r="AI23" s="180"/>
      <c r="AJ23" s="180"/>
      <c r="AK23" s="180"/>
      <c r="AL23" s="180"/>
      <c r="AM23" s="180"/>
      <c r="AN23" s="180"/>
      <c r="AO23" s="180"/>
      <c r="AP23" s="180"/>
      <c r="AQ23" s="180"/>
      <c r="AR23" s="180"/>
      <c r="AS23" s="180"/>
      <c r="AT23" s="180"/>
      <c r="AU23" s="180"/>
      <c r="AV23" s="180"/>
      <c r="AW23" s="180"/>
    </row>
    <row r="24" ht="12.0" customHeight="1" outlineLevel="2">
      <c r="A24" s="45"/>
      <c r="B24" s="187" t="s">
        <v>21</v>
      </c>
      <c r="C24" s="188"/>
      <c r="D24" s="17"/>
      <c r="E24" s="17"/>
      <c r="F24" s="121">
        <f t="shared" ref="F24:Q24" si="24">SUM(F21:F23)</f>
        <v>0.6528508492</v>
      </c>
      <c r="G24" s="122">
        <f t="shared" si="24"/>
        <v>0.5396770111</v>
      </c>
      <c r="H24" s="123">
        <f t="shared" si="24"/>
        <v>0.6775147929</v>
      </c>
      <c r="I24" s="123">
        <f t="shared" si="24"/>
        <v>0.5240247782</v>
      </c>
      <c r="J24" s="122">
        <f t="shared" si="24"/>
        <v>0.3962732919</v>
      </c>
      <c r="K24" s="123">
        <f t="shared" si="24"/>
        <v>0.4638043478</v>
      </c>
      <c r="L24" s="124">
        <f t="shared" si="24"/>
        <v>0.4363043478</v>
      </c>
      <c r="M24" s="123">
        <f t="shared" si="24"/>
        <v>0.4188043478</v>
      </c>
      <c r="N24" s="123">
        <f t="shared" si="24"/>
        <v>0.4013043478</v>
      </c>
      <c r="O24" s="123">
        <f t="shared" si="24"/>
        <v>0.3838043478</v>
      </c>
      <c r="P24" s="123">
        <f t="shared" si="24"/>
        <v>0.3663043478</v>
      </c>
      <c r="Q24" s="123">
        <f t="shared" si="24"/>
        <v>0.3488043478</v>
      </c>
      <c r="R24" s="109"/>
      <c r="S24" s="318"/>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row>
    <row r="25" ht="12.0" customHeight="1" outlineLevel="2">
      <c r="A25" s="45"/>
      <c r="B25" s="189"/>
      <c r="C25" s="188"/>
      <c r="D25" s="17"/>
      <c r="E25" s="17"/>
      <c r="F25" s="190"/>
      <c r="G25" s="191"/>
      <c r="H25" s="192"/>
      <c r="I25" s="192"/>
      <c r="J25" s="191"/>
      <c r="K25" s="192"/>
      <c r="L25" s="193"/>
      <c r="M25" s="192"/>
      <c r="N25" s="192"/>
      <c r="O25" s="192"/>
      <c r="P25" s="192"/>
      <c r="Q25" s="192"/>
      <c r="R25" s="104"/>
      <c r="S25" s="318"/>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row>
    <row r="26" ht="12.0" customHeight="1" outlineLevel="1">
      <c r="A26" s="45"/>
      <c r="B26" s="194" t="s">
        <v>22</v>
      </c>
      <c r="C26" s="195"/>
      <c r="D26" s="17"/>
      <c r="E26" s="17"/>
      <c r="F26" s="161">
        <f t="shared" ref="F26:Q26" si="25">F10-F17</f>
        <v>-1.38876009</v>
      </c>
      <c r="G26" s="162">
        <f t="shared" si="25"/>
        <v>1.532172</v>
      </c>
      <c r="H26" s="115">
        <f t="shared" si="25"/>
        <v>-2.7</v>
      </c>
      <c r="I26" s="115">
        <f t="shared" si="25"/>
        <v>6.37</v>
      </c>
      <c r="J26" s="162">
        <f t="shared" si="25"/>
        <v>17.5</v>
      </c>
      <c r="K26" s="115">
        <f t="shared" si="25"/>
        <v>14.77809375</v>
      </c>
      <c r="L26" s="116">
        <f t="shared" si="25"/>
        <v>20.55067656</v>
      </c>
      <c r="M26" s="115">
        <f t="shared" si="25"/>
        <v>25.96515551</v>
      </c>
      <c r="N26" s="115">
        <f t="shared" si="25"/>
        <v>31.83416209</v>
      </c>
      <c r="O26" s="115">
        <f t="shared" si="25"/>
        <v>37.90327666</v>
      </c>
      <c r="P26" s="115">
        <f t="shared" si="25"/>
        <v>43.84814814</v>
      </c>
      <c r="Q26" s="115">
        <f t="shared" si="25"/>
        <v>49.29778757</v>
      </c>
      <c r="R26" s="104"/>
      <c r="S26" s="318"/>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row>
    <row r="27" ht="12.0" customHeight="1" outlineLevel="1">
      <c r="A27" s="45"/>
      <c r="B27" s="187" t="s">
        <v>12</v>
      </c>
      <c r="C27" s="49"/>
      <c r="D27" s="159"/>
      <c r="E27" s="159"/>
      <c r="F27" s="121">
        <f t="shared" ref="F27:Q27" si="26">F26/F4</f>
        <v>-0.05985374416</v>
      </c>
      <c r="G27" s="122">
        <f t="shared" si="26"/>
        <v>0.05653771218</v>
      </c>
      <c r="H27" s="123">
        <f t="shared" si="26"/>
        <v>-0.0798816568</v>
      </c>
      <c r="I27" s="123">
        <f t="shared" si="26"/>
        <v>0.1066465763</v>
      </c>
      <c r="J27" s="122">
        <f t="shared" si="26"/>
        <v>0.2173913043</v>
      </c>
      <c r="K27" s="123">
        <f t="shared" si="26"/>
        <v>0.1498602484</v>
      </c>
      <c r="L27" s="124">
        <f t="shared" si="26"/>
        <v>0.1773602484</v>
      </c>
      <c r="M27" s="123">
        <f t="shared" si="26"/>
        <v>0.1948602484</v>
      </c>
      <c r="N27" s="123">
        <f t="shared" si="26"/>
        <v>0.2123602484</v>
      </c>
      <c r="O27" s="123">
        <f t="shared" si="26"/>
        <v>0.2298602484</v>
      </c>
      <c r="P27" s="123">
        <f t="shared" si="26"/>
        <v>0.2473602484</v>
      </c>
      <c r="Q27" s="123">
        <f t="shared" si="26"/>
        <v>0.2648602484</v>
      </c>
      <c r="R27" s="104"/>
      <c r="S27" s="316"/>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row>
    <row r="28" ht="12.0" customHeight="1" outlineLevel="2">
      <c r="A28" s="45"/>
      <c r="B28" s="194"/>
      <c r="C28" s="49"/>
      <c r="D28" s="129"/>
      <c r="E28" s="129"/>
      <c r="F28" s="196"/>
      <c r="G28" s="197"/>
      <c r="H28" s="198"/>
      <c r="I28" s="198"/>
      <c r="J28" s="197"/>
      <c r="K28" s="198"/>
      <c r="L28" s="199"/>
      <c r="M28" s="198"/>
      <c r="N28" s="198"/>
      <c r="O28" s="198"/>
      <c r="P28" s="198"/>
      <c r="Q28" s="198"/>
      <c r="R28" s="104"/>
      <c r="S28" s="321"/>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row>
    <row r="29" ht="12.0" customHeight="1" outlineLevel="7">
      <c r="A29" s="78"/>
      <c r="B29" s="201" t="s">
        <v>23</v>
      </c>
      <c r="C29" s="49"/>
      <c r="D29" s="136"/>
      <c r="E29" s="202"/>
      <c r="F29" s="203">
        <f>'mgmt '!I86</f>
        <v>0.99483639</v>
      </c>
      <c r="G29" s="169">
        <f>JILL!G29</f>
        <v>2.2</v>
      </c>
      <c r="H29" s="169">
        <f>JILL!H29</f>
        <v>1.28</v>
      </c>
      <c r="I29" s="169">
        <f>JILL!I29</f>
        <v>1.3</v>
      </c>
      <c r="J29" s="169">
        <f>JILL!J29</f>
        <v>2.8</v>
      </c>
      <c r="K29" s="204">
        <f t="shared" ref="K29:L29" si="27">K4*K30</f>
        <v>4.930625</v>
      </c>
      <c r="L29" s="205">
        <f t="shared" si="27"/>
        <v>5.793484375</v>
      </c>
      <c r="M29" s="204">
        <f t="shared" ref="M29:Q29" si="28">M35</f>
        <v>7.595258016</v>
      </c>
      <c r="N29" s="204">
        <f t="shared" si="28"/>
        <v>8.094946043</v>
      </c>
      <c r="O29" s="204">
        <f t="shared" si="28"/>
        <v>8.4097495</v>
      </c>
      <c r="P29" s="204">
        <f t="shared" si="28"/>
        <v>8.50868773</v>
      </c>
      <c r="Q29" s="204">
        <f t="shared" si="28"/>
        <v>8.375739484</v>
      </c>
      <c r="R29" s="206"/>
      <c r="S29" s="315"/>
      <c r="T29" s="45"/>
      <c r="U29" s="45"/>
      <c r="V29" s="45"/>
      <c r="W29" s="45"/>
      <c r="X29" s="45"/>
      <c r="Y29" s="45"/>
      <c r="Z29" s="45"/>
      <c r="AA29" s="45"/>
      <c r="AB29" s="45"/>
      <c r="AC29" s="45"/>
      <c r="AD29" s="45"/>
      <c r="AE29" s="45"/>
      <c r="AF29" s="45"/>
      <c r="AG29" s="45"/>
      <c r="AH29" s="45"/>
      <c r="AI29" s="45"/>
      <c r="AJ29" s="45"/>
      <c r="AK29" s="45"/>
      <c r="AL29" s="80"/>
      <c r="AM29" s="80"/>
      <c r="AN29" s="80"/>
      <c r="AO29" s="80"/>
      <c r="AP29" s="80"/>
      <c r="AQ29" s="80"/>
      <c r="AR29" s="80"/>
      <c r="AS29" s="80"/>
      <c r="AT29" s="80"/>
      <c r="AU29" s="80"/>
      <c r="AV29" s="80"/>
      <c r="AW29" s="80"/>
    </row>
    <row r="30" ht="12.0" customHeight="1" outlineLevel="7">
      <c r="A30" s="78"/>
      <c r="B30" s="167" t="s">
        <v>10</v>
      </c>
      <c r="C30" s="207">
        <v>0.05</v>
      </c>
      <c r="D30" s="207">
        <f>D36</f>
        <v>0.003</v>
      </c>
      <c r="E30" s="208"/>
      <c r="F30" s="156">
        <f t="shared" ref="F30:J30" si="29">F29/F4</f>
        <v>0.04287614772</v>
      </c>
      <c r="G30" s="147">
        <f t="shared" si="29"/>
        <v>0.08118081181</v>
      </c>
      <c r="H30" s="148">
        <f t="shared" si="29"/>
        <v>0.03786982249</v>
      </c>
      <c r="I30" s="148">
        <f t="shared" si="29"/>
        <v>0.0217646074</v>
      </c>
      <c r="J30" s="209">
        <f t="shared" si="29"/>
        <v>0.0347826087</v>
      </c>
      <c r="K30" s="157">
        <f>C30</f>
        <v>0.05</v>
      </c>
      <c r="L30" s="210">
        <f>K30</f>
        <v>0.05</v>
      </c>
      <c r="M30" s="157">
        <f t="shared" ref="M30:Q30" si="30">M29/M4</f>
        <v>0.057</v>
      </c>
      <c r="N30" s="157">
        <f t="shared" si="30"/>
        <v>0.054</v>
      </c>
      <c r="O30" s="157">
        <f t="shared" si="30"/>
        <v>0.051</v>
      </c>
      <c r="P30" s="157">
        <f t="shared" si="30"/>
        <v>0.048</v>
      </c>
      <c r="Q30" s="157">
        <f t="shared" si="30"/>
        <v>0.045</v>
      </c>
      <c r="R30" s="157"/>
      <c r="S30" s="317"/>
      <c r="T30" s="45"/>
      <c r="U30" s="45"/>
      <c r="V30" s="45"/>
      <c r="W30" s="45"/>
      <c r="X30" s="45"/>
      <c r="Y30" s="45"/>
      <c r="Z30" s="45"/>
      <c r="AA30" s="45"/>
      <c r="AB30" s="45"/>
      <c r="AC30" s="45"/>
      <c r="AD30" s="45"/>
      <c r="AE30" s="45"/>
      <c r="AF30" s="45"/>
      <c r="AG30" s="45"/>
      <c r="AH30" s="45"/>
      <c r="AI30" s="45"/>
      <c r="AJ30" s="45"/>
      <c r="AK30" s="45"/>
      <c r="AL30" s="80"/>
      <c r="AM30" s="80"/>
      <c r="AN30" s="80"/>
      <c r="AO30" s="80"/>
      <c r="AP30" s="80"/>
      <c r="AQ30" s="80"/>
      <c r="AR30" s="80"/>
      <c r="AS30" s="80"/>
      <c r="AT30" s="80"/>
      <c r="AU30" s="80"/>
      <c r="AV30" s="80"/>
      <c r="AW30" s="80"/>
    </row>
    <row r="31" ht="12.0" customHeight="1" outlineLevel="2">
      <c r="A31" s="80"/>
      <c r="B31" s="167"/>
      <c r="C31" s="49"/>
      <c r="D31" s="211"/>
      <c r="E31" s="208"/>
      <c r="F31" s="156"/>
      <c r="G31" s="147"/>
      <c r="H31" s="148"/>
      <c r="I31" s="157"/>
      <c r="J31" s="209"/>
      <c r="K31" s="157"/>
      <c r="L31" s="210"/>
      <c r="M31" s="157"/>
      <c r="N31" s="157"/>
      <c r="O31" s="157"/>
      <c r="P31" s="157"/>
      <c r="Q31" s="157"/>
      <c r="R31" s="212"/>
      <c r="S31" s="317"/>
      <c r="T31" s="45"/>
      <c r="U31" s="45"/>
      <c r="V31" s="45"/>
      <c r="W31" s="45"/>
      <c r="X31" s="45"/>
      <c r="Y31" s="45"/>
      <c r="Z31" s="45"/>
      <c r="AA31" s="45"/>
      <c r="AB31" s="45"/>
      <c r="AC31" s="45"/>
      <c r="AD31" s="45"/>
      <c r="AE31" s="45"/>
      <c r="AF31" s="45"/>
      <c r="AG31" s="45"/>
      <c r="AH31" s="45"/>
      <c r="AI31" s="45"/>
      <c r="AJ31" s="45"/>
      <c r="AK31" s="45"/>
      <c r="AL31" s="80"/>
      <c r="AM31" s="80"/>
      <c r="AN31" s="80"/>
      <c r="AO31" s="80"/>
      <c r="AP31" s="80"/>
      <c r="AQ31" s="80"/>
      <c r="AR31" s="80"/>
      <c r="AS31" s="80"/>
      <c r="AT31" s="80"/>
      <c r="AU31" s="80"/>
      <c r="AV31" s="80"/>
      <c r="AW31" s="80"/>
    </row>
    <row r="32" ht="12.0" customHeight="1" outlineLevel="1">
      <c r="A32" s="45"/>
      <c r="B32" s="194" t="s">
        <v>24</v>
      </c>
      <c r="C32" s="195"/>
      <c r="D32" s="211"/>
      <c r="E32" s="211"/>
      <c r="F32" s="161">
        <f t="shared" ref="F32:Q32" si="31">F26+F29</f>
        <v>-0.3939237</v>
      </c>
      <c r="G32" s="162">
        <f t="shared" si="31"/>
        <v>3.732172</v>
      </c>
      <c r="H32" s="115">
        <f t="shared" si="31"/>
        <v>-1.42</v>
      </c>
      <c r="I32" s="115">
        <f t="shared" si="31"/>
        <v>7.67</v>
      </c>
      <c r="J32" s="162">
        <f t="shared" si="31"/>
        <v>20.3</v>
      </c>
      <c r="K32" s="115">
        <f t="shared" si="31"/>
        <v>19.70871875</v>
      </c>
      <c r="L32" s="116">
        <f t="shared" si="31"/>
        <v>26.34416094</v>
      </c>
      <c r="M32" s="115">
        <f t="shared" si="31"/>
        <v>33.56041352</v>
      </c>
      <c r="N32" s="115">
        <f t="shared" si="31"/>
        <v>39.92910813</v>
      </c>
      <c r="O32" s="115">
        <f t="shared" si="31"/>
        <v>46.31302616</v>
      </c>
      <c r="P32" s="115">
        <f t="shared" si="31"/>
        <v>52.35683587</v>
      </c>
      <c r="Q32" s="115">
        <f t="shared" si="31"/>
        <v>57.67352705</v>
      </c>
      <c r="R32" s="109"/>
      <c r="S32" s="318"/>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row>
    <row r="33" ht="12.0" customHeight="1" outlineLevel="1">
      <c r="A33" s="45"/>
      <c r="B33" s="187" t="s">
        <v>12</v>
      </c>
      <c r="C33" s="195"/>
      <c r="D33" s="211"/>
      <c r="E33" s="211"/>
      <c r="F33" s="121">
        <f t="shared" ref="F33:Q33" si="32">F32/F4</f>
        <v>-0.01697759644</v>
      </c>
      <c r="G33" s="122">
        <f t="shared" si="32"/>
        <v>0.137718524</v>
      </c>
      <c r="H33" s="123">
        <f t="shared" si="32"/>
        <v>-0.04201183432</v>
      </c>
      <c r="I33" s="123">
        <f t="shared" si="32"/>
        <v>0.1284111837</v>
      </c>
      <c r="J33" s="122">
        <f t="shared" si="32"/>
        <v>0.252173913</v>
      </c>
      <c r="K33" s="123">
        <f t="shared" si="32"/>
        <v>0.1998602484</v>
      </c>
      <c r="L33" s="124">
        <f t="shared" si="32"/>
        <v>0.2273602484</v>
      </c>
      <c r="M33" s="123">
        <f t="shared" si="32"/>
        <v>0.2518602484</v>
      </c>
      <c r="N33" s="123">
        <f t="shared" si="32"/>
        <v>0.2663602484</v>
      </c>
      <c r="O33" s="123">
        <f t="shared" si="32"/>
        <v>0.2808602484</v>
      </c>
      <c r="P33" s="123">
        <f t="shared" si="32"/>
        <v>0.2953602484</v>
      </c>
      <c r="Q33" s="123">
        <f t="shared" si="32"/>
        <v>0.3098602484</v>
      </c>
      <c r="R33" s="109"/>
      <c r="S33" s="318"/>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row>
    <row r="34" ht="12.0" customHeight="1" outlineLevel="3">
      <c r="A34" s="45"/>
      <c r="B34" s="194"/>
      <c r="C34" s="195"/>
      <c r="D34" s="211"/>
      <c r="E34" s="211"/>
      <c r="F34" s="213"/>
      <c r="G34" s="214"/>
      <c r="H34" s="215"/>
      <c r="I34" s="115"/>
      <c r="J34" s="162"/>
      <c r="K34" s="115"/>
      <c r="L34" s="116"/>
      <c r="M34" s="115"/>
      <c r="N34" s="115"/>
      <c r="O34" s="115"/>
      <c r="P34" s="115"/>
      <c r="Q34" s="115"/>
      <c r="R34" s="109"/>
      <c r="S34" s="318"/>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row>
    <row r="35" ht="12.0" customHeight="1" outlineLevel="3">
      <c r="A35" s="78"/>
      <c r="B35" s="194" t="s">
        <v>25</v>
      </c>
      <c r="C35" s="195"/>
      <c r="D35" s="211"/>
      <c r="E35" s="211"/>
      <c r="F35" s="138">
        <v>0.0</v>
      </c>
      <c r="G35" s="169">
        <f>JILL!G35</f>
        <v>1</v>
      </c>
      <c r="H35" s="169">
        <f>JILL!H35</f>
        <v>1.28</v>
      </c>
      <c r="I35" s="169">
        <f>JILL!I35</f>
        <v>1.3</v>
      </c>
      <c r="J35" s="169">
        <f>JILL!J35</f>
        <v>2.8</v>
      </c>
      <c r="K35" s="204">
        <f t="shared" ref="K35:Q35" si="33">K4*K36</f>
        <v>5.91675</v>
      </c>
      <c r="L35" s="205">
        <f t="shared" si="33"/>
        <v>6.95218125</v>
      </c>
      <c r="M35" s="204">
        <f t="shared" si="33"/>
        <v>7.595258016</v>
      </c>
      <c r="N35" s="204">
        <f t="shared" si="33"/>
        <v>8.094946043</v>
      </c>
      <c r="O35" s="204">
        <f t="shared" si="33"/>
        <v>8.4097495</v>
      </c>
      <c r="P35" s="204">
        <f t="shared" si="33"/>
        <v>8.50868773</v>
      </c>
      <c r="Q35" s="204">
        <f t="shared" si="33"/>
        <v>8.375739484</v>
      </c>
      <c r="R35" s="109"/>
      <c r="S35" s="318"/>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row>
    <row r="36" ht="12.0" customHeight="1" outlineLevel="3">
      <c r="A36" s="78"/>
      <c r="B36" s="187" t="s">
        <v>10</v>
      </c>
      <c r="C36" s="216">
        <v>0.06</v>
      </c>
      <c r="D36" s="216">
        <v>0.003</v>
      </c>
      <c r="E36" s="211"/>
      <c r="F36" s="156">
        <f t="shared" ref="F36:J36" si="34">F35/F4</f>
        <v>0</v>
      </c>
      <c r="G36" s="209">
        <f t="shared" si="34"/>
        <v>0.036900369</v>
      </c>
      <c r="H36" s="157">
        <f t="shared" si="34"/>
        <v>0.03786982249</v>
      </c>
      <c r="I36" s="157">
        <f t="shared" si="34"/>
        <v>0.0217646074</v>
      </c>
      <c r="J36" s="209">
        <f t="shared" si="34"/>
        <v>0.0347826087</v>
      </c>
      <c r="K36" s="157">
        <f>C36</f>
        <v>0.06</v>
      </c>
      <c r="L36" s="210">
        <f>K36</f>
        <v>0.06</v>
      </c>
      <c r="M36" s="157">
        <f t="shared" ref="M36:Q36" si="35">L36-$D$36</f>
        <v>0.057</v>
      </c>
      <c r="N36" s="157">
        <f t="shared" si="35"/>
        <v>0.054</v>
      </c>
      <c r="O36" s="157">
        <f t="shared" si="35"/>
        <v>0.051</v>
      </c>
      <c r="P36" s="157">
        <f t="shared" si="35"/>
        <v>0.048</v>
      </c>
      <c r="Q36" s="157">
        <f t="shared" si="35"/>
        <v>0.045</v>
      </c>
      <c r="R36" s="109"/>
      <c r="S36" s="318"/>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row>
    <row r="37" ht="12.0" customHeight="1" outlineLevel="3">
      <c r="A37" s="45"/>
      <c r="B37" s="194"/>
      <c r="C37" s="195"/>
      <c r="D37" s="211"/>
      <c r="E37" s="211"/>
      <c r="F37" s="213"/>
      <c r="G37" s="215"/>
      <c r="H37" s="215"/>
      <c r="I37" s="115"/>
      <c r="J37" s="115"/>
      <c r="K37" s="115"/>
      <c r="L37" s="115"/>
      <c r="M37" s="115"/>
      <c r="N37" s="115"/>
      <c r="O37" s="115"/>
      <c r="P37" s="115"/>
      <c r="Q37" s="115"/>
      <c r="R37" s="109"/>
      <c r="S37" s="318"/>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row>
    <row r="38" ht="12.0" customHeight="1" outlineLevel="3">
      <c r="A38" s="45"/>
      <c r="B38" s="194"/>
      <c r="C38" s="195"/>
      <c r="D38" s="211"/>
      <c r="E38" s="211"/>
      <c r="F38" s="213"/>
      <c r="G38" s="215"/>
      <c r="H38" s="215"/>
      <c r="I38" s="115"/>
      <c r="J38" s="115"/>
      <c r="K38" s="115"/>
      <c r="L38" s="115"/>
      <c r="M38" s="115"/>
      <c r="N38" s="115"/>
      <c r="O38" s="115"/>
      <c r="P38" s="115"/>
      <c r="Q38" s="115"/>
      <c r="R38" s="109"/>
      <c r="S38" s="318"/>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row>
    <row r="39" ht="12.0" customHeight="1" outlineLevel="3">
      <c r="A39" s="217" t="s">
        <v>30</v>
      </c>
      <c r="B39" s="218"/>
      <c r="C39" s="219"/>
      <c r="D39" s="220"/>
      <c r="E39" s="220"/>
      <c r="F39" s="221"/>
      <c r="G39" s="222"/>
      <c r="H39" s="220"/>
      <c r="I39" s="220"/>
      <c r="J39" s="220"/>
      <c r="K39" s="220"/>
      <c r="L39" s="223"/>
      <c r="M39" s="220"/>
      <c r="N39" s="220"/>
      <c r="O39" s="220"/>
      <c r="P39" s="220"/>
      <c r="Q39" s="220"/>
      <c r="R39" s="109"/>
      <c r="S39" s="317"/>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row>
    <row r="40" ht="12.0" customHeight="1" outlineLevel="3">
      <c r="A40" s="45"/>
      <c r="B40" s="187"/>
      <c r="C40" s="45"/>
      <c r="D40" s="45"/>
      <c r="E40" s="45"/>
      <c r="F40" s="156"/>
      <c r="G40" s="224" t="s">
        <v>31</v>
      </c>
      <c r="H40" s="225">
        <v>1.0</v>
      </c>
      <c r="I40" s="225">
        <v>2.0</v>
      </c>
      <c r="J40" s="226">
        <v>3.0</v>
      </c>
      <c r="K40" s="225">
        <v>4.0</v>
      </c>
      <c r="L40" s="225">
        <v>5.0</v>
      </c>
      <c r="M40" s="227">
        <f t="shared" ref="M40:Q40" si="36">L40+1</f>
        <v>6</v>
      </c>
      <c r="N40" s="227">
        <f t="shared" si="36"/>
        <v>7</v>
      </c>
      <c r="O40" s="227">
        <f t="shared" si="36"/>
        <v>8</v>
      </c>
      <c r="P40" s="227">
        <f t="shared" si="36"/>
        <v>9</v>
      </c>
      <c r="Q40" s="228">
        <f t="shared" si="36"/>
        <v>10</v>
      </c>
      <c r="R40" s="109"/>
      <c r="S40" s="317"/>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row>
    <row r="41" ht="12.0" customHeight="1" outlineLevel="3">
      <c r="A41" s="45"/>
      <c r="B41" s="194" t="s">
        <v>26</v>
      </c>
      <c r="C41" s="322">
        <v>0.05</v>
      </c>
      <c r="D41" s="323">
        <f>C41</f>
        <v>0.05</v>
      </c>
      <c r="E41" s="45"/>
      <c r="F41" s="20"/>
      <c r="G41" s="231">
        <f t="shared" ref="G41:L41" si="37">G4*$C$41</f>
        <v>1.355</v>
      </c>
      <c r="H41" s="140">
        <f t="shared" si="37"/>
        <v>1.69</v>
      </c>
      <c r="I41" s="140">
        <f t="shared" si="37"/>
        <v>2.9865</v>
      </c>
      <c r="J41" s="140">
        <f t="shared" si="37"/>
        <v>4.025</v>
      </c>
      <c r="K41" s="140">
        <f t="shared" si="37"/>
        <v>4.930625</v>
      </c>
      <c r="L41" s="140">
        <f t="shared" si="37"/>
        <v>5.793484375</v>
      </c>
      <c r="M41" s="140">
        <f t="shared" ref="M41:Q41" si="38">M4*$D$41</f>
        <v>6.662507031</v>
      </c>
      <c r="N41" s="140">
        <f t="shared" si="38"/>
        <v>7.49532041</v>
      </c>
      <c r="O41" s="140">
        <f t="shared" si="38"/>
        <v>8.244852451</v>
      </c>
      <c r="P41" s="140">
        <f t="shared" si="38"/>
        <v>8.863216385</v>
      </c>
      <c r="Q41" s="140">
        <f t="shared" si="38"/>
        <v>9.306377204</v>
      </c>
      <c r="R41" s="45"/>
      <c r="S41" s="317"/>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row>
    <row r="42" ht="12.0" customHeight="1" outlineLevel="3">
      <c r="A42" s="88"/>
      <c r="B42" s="143" t="s">
        <v>27</v>
      </c>
      <c r="C42" s="88"/>
      <c r="D42" s="88"/>
      <c r="E42" s="88"/>
      <c r="F42" s="232"/>
      <c r="G42" s="233"/>
      <c r="H42" s="234">
        <f t="shared" ref="H42:Q42" si="39">H41-G41</f>
        <v>0.335</v>
      </c>
      <c r="I42" s="234">
        <f t="shared" si="39"/>
        <v>1.2965</v>
      </c>
      <c r="J42" s="234">
        <f t="shared" si="39"/>
        <v>1.0385</v>
      </c>
      <c r="K42" s="234">
        <f t="shared" si="39"/>
        <v>0.905625</v>
      </c>
      <c r="L42" s="234">
        <f t="shared" si="39"/>
        <v>0.862859375</v>
      </c>
      <c r="M42" s="234">
        <f t="shared" si="39"/>
        <v>0.8690226562</v>
      </c>
      <c r="N42" s="234">
        <f t="shared" si="39"/>
        <v>0.8328133789</v>
      </c>
      <c r="O42" s="234">
        <f t="shared" si="39"/>
        <v>0.749532041</v>
      </c>
      <c r="P42" s="234">
        <f t="shared" si="39"/>
        <v>0.6183639338</v>
      </c>
      <c r="Q42" s="234">
        <f t="shared" si="39"/>
        <v>0.4431608193</v>
      </c>
      <c r="R42" s="88"/>
      <c r="S42" s="316"/>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row>
    <row r="43" ht="12.0" customHeight="1" outlineLevel="3">
      <c r="A43" s="45"/>
      <c r="B43" s="143"/>
      <c r="C43" s="45"/>
      <c r="D43" s="45"/>
      <c r="E43" s="45"/>
      <c r="F43" s="235"/>
      <c r="G43" s="236"/>
      <c r="H43" s="237"/>
      <c r="I43" s="237"/>
      <c r="J43" s="237"/>
      <c r="K43" s="237"/>
      <c r="L43" s="237"/>
      <c r="M43" s="237"/>
      <c r="N43" s="237"/>
      <c r="O43" s="237"/>
      <c r="P43" s="237"/>
      <c r="Q43" s="237"/>
      <c r="R43" s="45"/>
      <c r="S43" s="317"/>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row>
    <row r="44" ht="12.0" customHeight="1" outlineLevel="3">
      <c r="A44" s="45"/>
      <c r="B44" s="159" t="s">
        <v>32</v>
      </c>
      <c r="C44" s="238"/>
      <c r="D44" s="238"/>
      <c r="E44" s="238"/>
      <c r="F44" s="239"/>
      <c r="G44" s="240"/>
      <c r="H44" s="140">
        <f t="shared" ref="H44:Q44" si="40">H26</f>
        <v>-2.7</v>
      </c>
      <c r="I44" s="140">
        <f t="shared" si="40"/>
        <v>6.37</v>
      </c>
      <c r="J44" s="140">
        <f t="shared" si="40"/>
        <v>17.5</v>
      </c>
      <c r="K44" s="140">
        <f t="shared" si="40"/>
        <v>14.77809375</v>
      </c>
      <c r="L44" s="140">
        <f t="shared" si="40"/>
        <v>20.55067656</v>
      </c>
      <c r="M44" s="140">
        <f t="shared" si="40"/>
        <v>25.96515551</v>
      </c>
      <c r="N44" s="140">
        <f t="shared" si="40"/>
        <v>31.83416209</v>
      </c>
      <c r="O44" s="140">
        <f t="shared" si="40"/>
        <v>37.90327666</v>
      </c>
      <c r="P44" s="140">
        <f t="shared" si="40"/>
        <v>43.84814814</v>
      </c>
      <c r="Q44" s="140">
        <f t="shared" si="40"/>
        <v>49.29778757</v>
      </c>
      <c r="R44" s="45"/>
      <c r="S44" s="324"/>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row>
    <row r="45" ht="12.0" customHeight="1" outlineLevel="3">
      <c r="A45" s="45"/>
      <c r="B45" s="242" t="s">
        <v>33</v>
      </c>
      <c r="C45" s="229">
        <v>0.2</v>
      </c>
      <c r="D45" s="243"/>
      <c r="E45" s="243"/>
      <c r="F45" s="244"/>
      <c r="G45" s="245"/>
      <c r="H45" s="203">
        <v>0.0</v>
      </c>
      <c r="I45" s="140">
        <f t="shared" ref="I45:Q45" si="41">-I44*$C$45</f>
        <v>-1.274</v>
      </c>
      <c r="J45" s="140">
        <f t="shared" si="41"/>
        <v>-3.5</v>
      </c>
      <c r="K45" s="140">
        <f t="shared" si="41"/>
        <v>-2.95561875</v>
      </c>
      <c r="L45" s="140">
        <f t="shared" si="41"/>
        <v>-4.110135313</v>
      </c>
      <c r="M45" s="140">
        <f t="shared" si="41"/>
        <v>-5.193031102</v>
      </c>
      <c r="N45" s="140">
        <f t="shared" si="41"/>
        <v>-6.366832418</v>
      </c>
      <c r="O45" s="140">
        <f t="shared" si="41"/>
        <v>-7.580655331</v>
      </c>
      <c r="P45" s="140">
        <f t="shared" si="41"/>
        <v>-8.769629628</v>
      </c>
      <c r="Q45" s="140">
        <f t="shared" si="41"/>
        <v>-9.859557514</v>
      </c>
      <c r="R45" s="45"/>
      <c r="S45" s="317"/>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row>
    <row r="46" ht="12.0" customHeight="1" outlineLevel="3">
      <c r="A46" s="80"/>
      <c r="B46" s="246" t="s">
        <v>34</v>
      </c>
      <c r="C46" s="247">
        <v>1.0</v>
      </c>
      <c r="D46" s="248"/>
      <c r="E46" s="248"/>
      <c r="F46" s="249"/>
      <c r="G46" s="249"/>
      <c r="H46" s="204">
        <f t="shared" ref="H46:Q46" si="42">IF(-H45&lt;=$C$46,-H45,($C$46))</f>
        <v>0</v>
      </c>
      <c r="I46" s="204">
        <f t="shared" si="42"/>
        <v>1</v>
      </c>
      <c r="J46" s="204">
        <f t="shared" si="42"/>
        <v>1</v>
      </c>
      <c r="K46" s="204">
        <f t="shared" si="42"/>
        <v>1</v>
      </c>
      <c r="L46" s="204">
        <f t="shared" si="42"/>
        <v>1</v>
      </c>
      <c r="M46" s="204">
        <f t="shared" si="42"/>
        <v>1</v>
      </c>
      <c r="N46" s="204">
        <f t="shared" si="42"/>
        <v>1</v>
      </c>
      <c r="O46" s="204">
        <f t="shared" si="42"/>
        <v>1</v>
      </c>
      <c r="P46" s="204">
        <f t="shared" si="42"/>
        <v>1</v>
      </c>
      <c r="Q46" s="204">
        <f t="shared" si="42"/>
        <v>1</v>
      </c>
      <c r="R46" s="80"/>
      <c r="S46" s="317"/>
      <c r="T46" s="80"/>
      <c r="U46" s="80"/>
      <c r="V46" s="80"/>
      <c r="W46" s="80"/>
      <c r="X46" s="80"/>
      <c r="Y46" s="80"/>
      <c r="Z46" s="80"/>
      <c r="AA46" s="80"/>
      <c r="AB46" s="80"/>
      <c r="AC46" s="80"/>
      <c r="AD46" s="80"/>
      <c r="AE46" s="80"/>
      <c r="AF46" s="80"/>
      <c r="AG46" s="80"/>
      <c r="AH46" s="80"/>
      <c r="AI46" s="80"/>
      <c r="AJ46" s="80"/>
      <c r="AK46" s="80"/>
      <c r="AL46" s="80"/>
      <c r="AM46" s="80"/>
      <c r="AN46" s="80"/>
      <c r="AO46" s="80"/>
      <c r="AP46" s="80"/>
      <c r="AQ46" s="80"/>
      <c r="AR46" s="80"/>
      <c r="AS46" s="80"/>
      <c r="AT46" s="80"/>
      <c r="AU46" s="80"/>
      <c r="AV46" s="80"/>
      <c r="AW46" s="80"/>
    </row>
    <row r="47" ht="12.0" customHeight="1" outlineLevel="4">
      <c r="A47" s="45"/>
      <c r="B47" s="242" t="s">
        <v>35</v>
      </c>
      <c r="C47" s="238"/>
      <c r="D47" s="238"/>
      <c r="E47" s="238"/>
      <c r="F47" s="239"/>
      <c r="G47" s="240"/>
      <c r="H47" s="140">
        <f t="shared" ref="H47:Q47" si="43">-H35</f>
        <v>-1.28</v>
      </c>
      <c r="I47" s="140">
        <f t="shared" si="43"/>
        <v>-1.3</v>
      </c>
      <c r="J47" s="140">
        <f t="shared" si="43"/>
        <v>-2.8</v>
      </c>
      <c r="K47" s="140">
        <f t="shared" si="43"/>
        <v>-5.91675</v>
      </c>
      <c r="L47" s="140">
        <f t="shared" si="43"/>
        <v>-6.95218125</v>
      </c>
      <c r="M47" s="140">
        <f t="shared" si="43"/>
        <v>-7.595258016</v>
      </c>
      <c r="N47" s="140">
        <f t="shared" si="43"/>
        <v>-8.094946043</v>
      </c>
      <c r="O47" s="140">
        <f t="shared" si="43"/>
        <v>-8.4097495</v>
      </c>
      <c r="P47" s="140">
        <f t="shared" si="43"/>
        <v>-8.50868773</v>
      </c>
      <c r="Q47" s="140">
        <f t="shared" si="43"/>
        <v>-8.375739484</v>
      </c>
      <c r="R47" s="45"/>
      <c r="S47" s="32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row>
    <row r="48" ht="12.0" customHeight="1" outlineLevel="4">
      <c r="A48" s="45"/>
      <c r="B48" s="242" t="s">
        <v>36</v>
      </c>
      <c r="C48" s="238"/>
      <c r="D48" s="238"/>
      <c r="E48" s="238"/>
      <c r="F48" s="239"/>
      <c r="G48" s="240"/>
      <c r="H48" s="140">
        <f t="shared" ref="H48:Q48" si="44">H29</f>
        <v>1.28</v>
      </c>
      <c r="I48" s="140">
        <f t="shared" si="44"/>
        <v>1.3</v>
      </c>
      <c r="J48" s="140">
        <f t="shared" si="44"/>
        <v>2.8</v>
      </c>
      <c r="K48" s="140">
        <f t="shared" si="44"/>
        <v>4.930625</v>
      </c>
      <c r="L48" s="140">
        <f t="shared" si="44"/>
        <v>5.793484375</v>
      </c>
      <c r="M48" s="140">
        <f t="shared" si="44"/>
        <v>7.595258016</v>
      </c>
      <c r="N48" s="140">
        <f t="shared" si="44"/>
        <v>8.094946043</v>
      </c>
      <c r="O48" s="140">
        <f t="shared" si="44"/>
        <v>8.4097495</v>
      </c>
      <c r="P48" s="140">
        <f t="shared" si="44"/>
        <v>8.50868773</v>
      </c>
      <c r="Q48" s="140">
        <f t="shared" si="44"/>
        <v>8.375739484</v>
      </c>
      <c r="R48" s="45"/>
      <c r="S48" s="324"/>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row>
    <row r="49" ht="12.0" customHeight="1" outlineLevel="3">
      <c r="A49" s="45"/>
      <c r="B49" s="251" t="s">
        <v>37</v>
      </c>
      <c r="C49" s="252"/>
      <c r="D49" s="252"/>
      <c r="E49" s="252"/>
      <c r="F49" s="253"/>
      <c r="G49" s="254"/>
      <c r="H49" s="173">
        <f t="shared" ref="H49:Q49" si="45">H42</f>
        <v>0.335</v>
      </c>
      <c r="I49" s="173">
        <f t="shared" si="45"/>
        <v>1.2965</v>
      </c>
      <c r="J49" s="173">
        <f t="shared" si="45"/>
        <v>1.0385</v>
      </c>
      <c r="K49" s="173">
        <f t="shared" si="45"/>
        <v>0.905625</v>
      </c>
      <c r="L49" s="173">
        <f t="shared" si="45"/>
        <v>0.862859375</v>
      </c>
      <c r="M49" s="173">
        <f t="shared" si="45"/>
        <v>0.8690226562</v>
      </c>
      <c r="N49" s="173">
        <f t="shared" si="45"/>
        <v>0.8328133789</v>
      </c>
      <c r="O49" s="173">
        <f t="shared" si="45"/>
        <v>0.749532041</v>
      </c>
      <c r="P49" s="173">
        <f t="shared" si="45"/>
        <v>0.6183639338</v>
      </c>
      <c r="Q49" s="173">
        <f t="shared" si="45"/>
        <v>0.4431608193</v>
      </c>
      <c r="R49" s="109"/>
      <c r="S49" s="326"/>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row>
    <row r="50" ht="12.0" customHeight="1" outlineLevel="3">
      <c r="A50" s="45"/>
      <c r="B50" s="159" t="s">
        <v>38</v>
      </c>
      <c r="C50" s="256"/>
      <c r="D50" s="256"/>
      <c r="E50" s="256"/>
      <c r="F50" s="257"/>
      <c r="G50" s="150"/>
      <c r="H50" s="115">
        <f t="shared" ref="H50:Q50" si="46">SUM(H44:H49)</f>
        <v>-2.365</v>
      </c>
      <c r="I50" s="115">
        <f t="shared" si="46"/>
        <v>7.3925</v>
      </c>
      <c r="J50" s="115">
        <f t="shared" si="46"/>
        <v>16.0385</v>
      </c>
      <c r="K50" s="115">
        <f t="shared" si="46"/>
        <v>12.741975</v>
      </c>
      <c r="L50" s="115">
        <f t="shared" si="46"/>
        <v>17.14470375</v>
      </c>
      <c r="M50" s="115">
        <f t="shared" si="46"/>
        <v>22.64114706</v>
      </c>
      <c r="N50" s="115">
        <f t="shared" si="46"/>
        <v>27.30014305</v>
      </c>
      <c r="O50" s="115">
        <f t="shared" si="46"/>
        <v>32.07215337</v>
      </c>
      <c r="P50" s="115">
        <f t="shared" si="46"/>
        <v>36.69688245</v>
      </c>
      <c r="Q50" s="115">
        <f t="shared" si="46"/>
        <v>40.88139087</v>
      </c>
      <c r="R50" s="109"/>
      <c r="S50" s="327"/>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row>
    <row r="51" ht="12.0" customHeight="1" outlineLevel="3">
      <c r="A51" s="45"/>
      <c r="B51" s="238"/>
      <c r="C51" s="238"/>
      <c r="D51" s="238"/>
      <c r="E51" s="238"/>
      <c r="F51" s="239"/>
      <c r="G51" s="240"/>
      <c r="H51" s="240"/>
      <c r="I51" s="240"/>
      <c r="J51" s="240"/>
      <c r="K51" s="240"/>
      <c r="L51" s="240"/>
      <c r="M51" s="240"/>
      <c r="N51" s="240"/>
      <c r="O51" s="240"/>
      <c r="P51" s="240"/>
      <c r="Q51" s="240"/>
      <c r="R51" s="45"/>
      <c r="S51" s="324"/>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row>
    <row r="52" ht="12.0" customHeight="1" outlineLevel="3">
      <c r="A52" s="45"/>
      <c r="B52" s="136" t="s">
        <v>39</v>
      </c>
      <c r="C52" s="238"/>
      <c r="D52" s="238"/>
      <c r="E52" s="238"/>
      <c r="F52" s="239"/>
      <c r="G52" s="240"/>
      <c r="H52" s="240">
        <v>1.0</v>
      </c>
      <c r="I52" s="240">
        <f t="shared" ref="I52:Q52" si="47">H52+1</f>
        <v>2</v>
      </c>
      <c r="J52" s="240">
        <f t="shared" si="47"/>
        <v>3</v>
      </c>
      <c r="K52" s="240">
        <f t="shared" si="47"/>
        <v>4</v>
      </c>
      <c r="L52" s="240">
        <f t="shared" si="47"/>
        <v>5</v>
      </c>
      <c r="M52" s="240">
        <f t="shared" si="47"/>
        <v>6</v>
      </c>
      <c r="N52" s="240">
        <f t="shared" si="47"/>
        <v>7</v>
      </c>
      <c r="O52" s="240">
        <f t="shared" si="47"/>
        <v>8</v>
      </c>
      <c r="P52" s="240">
        <f t="shared" si="47"/>
        <v>9</v>
      </c>
      <c r="Q52" s="240">
        <f t="shared" si="47"/>
        <v>10</v>
      </c>
      <c r="R52" s="259" t="s">
        <v>40</v>
      </c>
      <c r="S52" s="324"/>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row>
    <row r="53" ht="12.0" customHeight="1" outlineLevel="3">
      <c r="A53" s="45"/>
      <c r="B53" s="136" t="s">
        <v>41</v>
      </c>
      <c r="C53" s="229">
        <v>0.18</v>
      </c>
      <c r="D53" s="260"/>
      <c r="E53" s="243"/>
      <c r="F53" s="244"/>
      <c r="G53" s="245"/>
      <c r="H53" s="261">
        <f t="shared" ref="H53:Q53" si="48">1/((1+$C$53)^H52)</f>
        <v>0.8474576271</v>
      </c>
      <c r="I53" s="261">
        <f t="shared" si="48"/>
        <v>0.7181844298</v>
      </c>
      <c r="J53" s="261">
        <f t="shared" si="48"/>
        <v>0.6086308727</v>
      </c>
      <c r="K53" s="261">
        <f t="shared" si="48"/>
        <v>0.5157888752</v>
      </c>
      <c r="L53" s="261">
        <f t="shared" si="48"/>
        <v>0.4371092162</v>
      </c>
      <c r="M53" s="261">
        <f t="shared" si="48"/>
        <v>0.3704315392</v>
      </c>
      <c r="N53" s="261">
        <f t="shared" si="48"/>
        <v>0.3139250332</v>
      </c>
      <c r="O53" s="261">
        <f t="shared" si="48"/>
        <v>0.2660381637</v>
      </c>
      <c r="P53" s="261">
        <f t="shared" si="48"/>
        <v>0.225456071</v>
      </c>
      <c r="Q53" s="261">
        <f t="shared" si="48"/>
        <v>0.1910644669</v>
      </c>
      <c r="R53" s="262">
        <f>Q53</f>
        <v>0.1910644669</v>
      </c>
      <c r="S53" s="317"/>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row>
    <row r="54" ht="12.0" customHeight="1" outlineLevel="3">
      <c r="A54" s="45"/>
      <c r="B54" s="154" t="s">
        <v>42</v>
      </c>
      <c r="C54" s="229">
        <v>0.02</v>
      </c>
      <c r="D54" s="243"/>
      <c r="E54" s="245"/>
      <c r="F54" s="244"/>
      <c r="G54" s="240"/>
      <c r="H54" s="245"/>
      <c r="I54" s="245"/>
      <c r="J54" s="245"/>
      <c r="K54" s="245"/>
      <c r="L54" s="245"/>
      <c r="M54" s="245"/>
      <c r="N54" s="245"/>
      <c r="O54" s="245"/>
      <c r="P54" s="245"/>
      <c r="Q54" s="243"/>
      <c r="R54" s="261"/>
      <c r="S54" s="317"/>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row>
    <row r="55" ht="12.0" customHeight="1" outlineLevel="3">
      <c r="A55" s="45"/>
      <c r="B55" s="159"/>
      <c r="C55" s="263"/>
      <c r="D55" s="263"/>
      <c r="E55" s="264"/>
      <c r="F55" s="265"/>
      <c r="G55" s="240"/>
      <c r="H55" s="264"/>
      <c r="I55" s="264"/>
      <c r="J55" s="264"/>
      <c r="K55" s="264"/>
      <c r="L55" s="264"/>
      <c r="M55" s="264"/>
      <c r="N55" s="264"/>
      <c r="O55" s="264"/>
      <c r="P55" s="264"/>
      <c r="Q55" s="45"/>
      <c r="R55" s="109"/>
      <c r="S55" s="317"/>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row>
    <row r="56" ht="12.0" customHeight="1" outlineLevel="3">
      <c r="A56" s="45"/>
      <c r="B56" s="159" t="s">
        <v>43</v>
      </c>
      <c r="C56" s="256"/>
      <c r="D56" s="256"/>
      <c r="E56" s="256"/>
      <c r="F56" s="257"/>
      <c r="G56" s="150"/>
      <c r="H56" s="115">
        <f t="shared" ref="H56:Q56" si="49">H50*H53</f>
        <v>-2.004237288</v>
      </c>
      <c r="I56" s="115">
        <f t="shared" si="49"/>
        <v>5.309178397</v>
      </c>
      <c r="J56" s="115">
        <f t="shared" si="49"/>
        <v>9.761526251</v>
      </c>
      <c r="K56" s="115">
        <f t="shared" si="49"/>
        <v>6.572168952</v>
      </c>
      <c r="L56" s="115">
        <f t="shared" si="49"/>
        <v>7.494108019</v>
      </c>
      <c r="M56" s="115">
        <f t="shared" si="49"/>
        <v>8.386994955</v>
      </c>
      <c r="N56" s="115">
        <f t="shared" si="49"/>
        <v>8.570198314</v>
      </c>
      <c r="O56" s="115">
        <f t="shared" si="49"/>
        <v>8.532416788</v>
      </c>
      <c r="P56" s="115">
        <f t="shared" si="49"/>
        <v>8.273534933</v>
      </c>
      <c r="Q56" s="115">
        <f t="shared" si="49"/>
        <v>7.810981154</v>
      </c>
      <c r="R56" s="115">
        <f>((Q50*(1+C53))/(C53-C54))*Q53</f>
        <v>57.60598601</v>
      </c>
      <c r="S56" s="317"/>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row>
    <row r="57" ht="12.0" customHeight="1" outlineLevel="2">
      <c r="A57" s="45"/>
      <c r="B57" s="159"/>
      <c r="C57" s="256"/>
      <c r="D57" s="256"/>
      <c r="E57" s="256"/>
      <c r="F57" s="257"/>
      <c r="G57" s="150"/>
      <c r="H57" s="115"/>
      <c r="I57" s="115"/>
      <c r="J57" s="115"/>
      <c r="K57" s="115"/>
      <c r="L57" s="115"/>
      <c r="M57" s="115"/>
      <c r="N57" s="115"/>
      <c r="O57" s="115"/>
      <c r="P57" s="115"/>
      <c r="Q57" s="266" t="s">
        <v>44</v>
      </c>
      <c r="R57" s="267">
        <f>R56/H58</f>
        <v>0.4560579787</v>
      </c>
      <c r="S57" s="317"/>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row>
    <row r="58" ht="12.0" customHeight="1" outlineLevel="2">
      <c r="A58" s="45"/>
      <c r="B58" s="268" t="s">
        <v>45</v>
      </c>
      <c r="C58" s="269"/>
      <c r="D58" s="269"/>
      <c r="E58" s="269"/>
      <c r="F58" s="270"/>
      <c r="G58" s="269"/>
      <c r="H58" s="271">
        <f>SUM(H56:R56)</f>
        <v>126.3128565</v>
      </c>
      <c r="I58" s="272"/>
      <c r="J58" s="115"/>
      <c r="K58" s="115"/>
      <c r="L58" s="115"/>
      <c r="M58" s="115"/>
      <c r="N58" s="115"/>
      <c r="O58" s="115"/>
      <c r="P58" s="115"/>
      <c r="Q58" s="115"/>
      <c r="R58" s="109"/>
      <c r="S58" s="317"/>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row>
    <row r="59" ht="12.0" customHeight="1" outlineLevel="2">
      <c r="A59" s="80"/>
      <c r="B59" s="273" t="s">
        <v>46</v>
      </c>
      <c r="C59" s="274"/>
      <c r="D59" s="274"/>
      <c r="E59" s="274"/>
      <c r="F59" s="275"/>
      <c r="G59" s="276"/>
      <c r="H59" s="277">
        <f>SUM(H56:Q56)</f>
        <v>68.70687048</v>
      </c>
      <c r="I59" s="278"/>
      <c r="J59" s="279"/>
      <c r="K59" s="279"/>
      <c r="L59" s="279"/>
      <c r="M59" s="279"/>
      <c r="N59" s="279"/>
      <c r="O59" s="279"/>
      <c r="P59" s="279"/>
      <c r="Q59" s="279"/>
      <c r="R59" s="212"/>
      <c r="S59" s="317"/>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row>
    <row r="60" ht="12.0" customHeight="1">
      <c r="A60" s="274"/>
      <c r="B60" s="273" t="s">
        <v>47</v>
      </c>
      <c r="C60" s="274"/>
      <c r="D60" s="274"/>
      <c r="E60" s="274"/>
      <c r="F60" s="275"/>
      <c r="G60" s="276"/>
      <c r="H60" s="277">
        <f>R56</f>
        <v>57.60598601</v>
      </c>
      <c r="I60" s="276"/>
      <c r="J60" s="276"/>
      <c r="K60" s="276"/>
      <c r="L60" s="276"/>
      <c r="M60" s="276"/>
      <c r="N60" s="276"/>
      <c r="O60" s="276"/>
      <c r="P60" s="276"/>
      <c r="Q60" s="276"/>
      <c r="R60" s="276"/>
      <c r="S60" s="328"/>
      <c r="T60" s="274"/>
      <c r="U60" s="274"/>
      <c r="V60" s="274"/>
      <c r="W60" s="274"/>
      <c r="X60" s="274"/>
      <c r="Y60" s="274"/>
      <c r="Z60" s="274"/>
      <c r="AA60" s="274"/>
      <c r="AB60" s="274"/>
      <c r="AC60" s="274"/>
      <c r="AD60" s="274"/>
      <c r="AE60" s="274"/>
      <c r="AF60" s="274"/>
      <c r="AG60" s="274"/>
      <c r="AH60" s="274"/>
      <c r="AI60" s="274"/>
      <c r="AJ60" s="274"/>
      <c r="AK60" s="274"/>
      <c r="AL60" s="274"/>
      <c r="AM60" s="274"/>
      <c r="AN60" s="274"/>
      <c r="AO60" s="274"/>
      <c r="AP60" s="274"/>
      <c r="AQ60" s="274"/>
      <c r="AR60" s="274"/>
      <c r="AS60" s="274"/>
      <c r="AT60" s="274"/>
      <c r="AU60" s="274"/>
      <c r="AV60" s="274"/>
      <c r="AW60" s="274"/>
    </row>
    <row r="61" ht="12.0" customHeight="1">
      <c r="A61" s="274"/>
      <c r="B61" s="273" t="s">
        <v>48</v>
      </c>
      <c r="C61" s="274"/>
      <c r="D61" s="274"/>
      <c r="E61" s="274"/>
      <c r="F61" s="275"/>
      <c r="G61" s="276"/>
      <c r="H61" s="173">
        <f>SUM(H46:Q46)</f>
        <v>9</v>
      </c>
      <c r="I61" s="276"/>
      <c r="J61" s="276"/>
      <c r="K61" s="276"/>
      <c r="L61" s="276"/>
      <c r="M61" s="276"/>
      <c r="N61" s="276"/>
      <c r="O61" s="276"/>
      <c r="P61" s="276"/>
      <c r="Q61" s="276"/>
      <c r="R61" s="276"/>
      <c r="S61" s="328"/>
      <c r="T61" s="274"/>
      <c r="U61" s="274"/>
      <c r="V61" s="274"/>
      <c r="W61" s="274"/>
      <c r="X61" s="274"/>
      <c r="Y61" s="274"/>
      <c r="Z61" s="274"/>
      <c r="AA61" s="274"/>
      <c r="AB61" s="274"/>
      <c r="AC61" s="274"/>
      <c r="AD61" s="274"/>
      <c r="AE61" s="274"/>
      <c r="AF61" s="274"/>
      <c r="AG61" s="274"/>
      <c r="AH61" s="274"/>
      <c r="AI61" s="274"/>
      <c r="AJ61" s="274"/>
      <c r="AK61" s="274"/>
      <c r="AL61" s="274"/>
      <c r="AM61" s="274"/>
      <c r="AN61" s="274"/>
      <c r="AO61" s="274"/>
      <c r="AP61" s="274"/>
      <c r="AQ61" s="274"/>
      <c r="AR61" s="274"/>
      <c r="AS61" s="274"/>
      <c r="AT61" s="274"/>
      <c r="AU61" s="274"/>
      <c r="AV61" s="274"/>
      <c r="AW61" s="274"/>
    </row>
    <row r="62" ht="12.0" customHeight="1">
      <c r="A62" s="274"/>
      <c r="B62" s="274"/>
      <c r="C62" s="274"/>
      <c r="D62" s="274"/>
      <c r="E62" s="274"/>
      <c r="F62" s="275"/>
      <c r="G62" s="104" t="s">
        <v>49</v>
      </c>
      <c r="H62" s="282">
        <f>H58-SUM(H59+H60)</f>
        <v>0</v>
      </c>
      <c r="I62" s="276"/>
      <c r="J62" s="276"/>
      <c r="K62" s="276"/>
      <c r="L62" s="276"/>
      <c r="M62" s="276"/>
      <c r="N62" s="276"/>
      <c r="O62" s="276"/>
      <c r="P62" s="276"/>
      <c r="Q62" s="276"/>
      <c r="R62" s="276"/>
      <c r="S62" s="328"/>
      <c r="T62" s="274"/>
      <c r="U62" s="274"/>
      <c r="V62" s="274"/>
      <c r="W62" s="274"/>
      <c r="X62" s="274"/>
      <c r="Y62" s="274"/>
      <c r="Z62" s="274"/>
      <c r="AA62" s="274"/>
      <c r="AB62" s="274"/>
      <c r="AC62" s="274"/>
      <c r="AD62" s="274"/>
      <c r="AE62" s="274"/>
      <c r="AF62" s="274"/>
      <c r="AG62" s="274"/>
      <c r="AH62" s="274"/>
      <c r="AI62" s="274"/>
      <c r="AJ62" s="274"/>
      <c r="AK62" s="274"/>
      <c r="AL62" s="274"/>
      <c r="AM62" s="274"/>
      <c r="AN62" s="274"/>
      <c r="AO62" s="274"/>
      <c r="AP62" s="274"/>
      <c r="AQ62" s="274"/>
      <c r="AR62" s="274"/>
      <c r="AS62" s="274"/>
      <c r="AT62" s="274"/>
      <c r="AU62" s="274"/>
      <c r="AV62" s="274"/>
      <c r="AW62" s="274"/>
    </row>
    <row r="63" ht="21.0" customHeight="1">
      <c r="A63" s="274"/>
      <c r="B63" s="274"/>
      <c r="C63" s="274"/>
      <c r="D63" s="274"/>
      <c r="E63" s="274"/>
      <c r="F63" s="275"/>
      <c r="G63" s="276"/>
      <c r="H63" s="276"/>
      <c r="I63" s="276"/>
      <c r="J63" s="276"/>
      <c r="K63" s="276"/>
      <c r="L63" s="276"/>
      <c r="M63" s="276"/>
      <c r="N63" s="276"/>
      <c r="O63" s="276"/>
      <c r="P63" s="276"/>
      <c r="Q63" s="276"/>
      <c r="R63" s="276"/>
      <c r="S63" s="328"/>
      <c r="T63" s="274"/>
      <c r="U63" s="283"/>
      <c r="V63" s="49"/>
      <c r="W63" s="9"/>
      <c r="X63" s="118"/>
      <c r="Y63" s="36"/>
      <c r="Z63" s="36"/>
      <c r="AA63" s="36"/>
      <c r="AB63" s="36"/>
      <c r="AC63" s="36"/>
      <c r="AD63" s="274"/>
      <c r="AE63" s="274"/>
      <c r="AF63" s="274"/>
      <c r="AG63" s="274"/>
      <c r="AH63" s="274"/>
      <c r="AI63" s="274"/>
      <c r="AJ63" s="274"/>
      <c r="AK63" s="274"/>
      <c r="AL63" s="274"/>
      <c r="AM63" s="274"/>
      <c r="AN63" s="274"/>
      <c r="AO63" s="274"/>
      <c r="AP63" s="274"/>
      <c r="AQ63" s="274"/>
      <c r="AR63" s="274"/>
      <c r="AS63" s="274"/>
      <c r="AT63" s="274"/>
      <c r="AU63" s="274"/>
      <c r="AV63" s="274"/>
      <c r="AW63" s="274"/>
    </row>
    <row r="64" ht="21.0" customHeight="1">
      <c r="A64" s="274"/>
      <c r="B64" s="274"/>
      <c r="C64" s="274"/>
      <c r="D64" s="274"/>
      <c r="E64" s="274"/>
      <c r="F64" s="275"/>
      <c r="G64" s="276"/>
      <c r="H64" s="276"/>
      <c r="I64" s="276"/>
      <c r="J64" s="276"/>
      <c r="K64" s="276"/>
      <c r="L64" s="276"/>
      <c r="M64" s="276"/>
      <c r="N64" s="276"/>
      <c r="O64" s="276"/>
      <c r="P64" s="276"/>
      <c r="Q64" s="276"/>
      <c r="R64" s="276"/>
      <c r="S64" s="328"/>
      <c r="T64" s="274"/>
      <c r="U64" s="284"/>
      <c r="V64" s="285"/>
      <c r="W64" s="286"/>
      <c r="X64" s="287" t="s">
        <v>50</v>
      </c>
      <c r="Y64" s="288"/>
      <c r="Z64" s="288"/>
      <c r="AA64" s="288"/>
      <c r="AB64" s="288"/>
      <c r="AC64" s="288"/>
      <c r="AD64" s="274"/>
      <c r="AE64" s="274"/>
      <c r="AF64" s="274"/>
      <c r="AG64" s="274"/>
      <c r="AH64" s="274"/>
      <c r="AI64" s="274"/>
      <c r="AJ64" s="274"/>
      <c r="AK64" s="274"/>
      <c r="AL64" s="274"/>
      <c r="AM64" s="274"/>
      <c r="AN64" s="274"/>
      <c r="AO64" s="274"/>
      <c r="AP64" s="274"/>
      <c r="AQ64" s="274"/>
      <c r="AR64" s="274"/>
      <c r="AS64" s="274"/>
      <c r="AT64" s="274"/>
      <c r="AU64" s="274"/>
      <c r="AV64" s="274"/>
      <c r="AW64" s="274"/>
    </row>
    <row r="65" ht="21.0" customHeight="1">
      <c r="A65" s="274"/>
      <c r="B65" s="274"/>
      <c r="C65" s="274"/>
      <c r="D65" s="274"/>
      <c r="E65" s="274"/>
      <c r="F65" s="275"/>
      <c r="G65" s="276"/>
      <c r="H65" s="276"/>
      <c r="I65" s="276"/>
      <c r="J65" s="276"/>
      <c r="K65" s="276"/>
      <c r="L65" s="276"/>
      <c r="M65" s="276"/>
      <c r="N65" s="276"/>
      <c r="O65" s="276"/>
      <c r="P65" s="276"/>
      <c r="Q65" s="276"/>
      <c r="R65" s="276"/>
      <c r="S65" s="328"/>
      <c r="T65" s="274"/>
      <c r="U65" s="284"/>
      <c r="V65" s="289"/>
      <c r="W65" s="290"/>
      <c r="X65" s="291">
        <f>H58</f>
        <v>126.3128565</v>
      </c>
      <c r="Y65" s="292">
        <f t="shared" ref="Y65:Z65" si="50">Z65-$Y$73</f>
        <v>0.17</v>
      </c>
      <c r="Z65" s="292">
        <f t="shared" si="50"/>
        <v>0.175</v>
      </c>
      <c r="AA65" s="293">
        <v>0.18</v>
      </c>
      <c r="AB65" s="292">
        <f t="shared" ref="AB65:AC65" si="51">AA65+$Y$73</f>
        <v>0.185</v>
      </c>
      <c r="AC65" s="292">
        <f t="shared" si="51"/>
        <v>0.19</v>
      </c>
      <c r="AD65" s="274"/>
      <c r="AE65" s="274"/>
      <c r="AF65" s="274"/>
      <c r="AG65" s="274"/>
      <c r="AH65" s="274"/>
      <c r="AI65" s="274"/>
      <c r="AJ65" s="274"/>
      <c r="AK65" s="274"/>
      <c r="AL65" s="274"/>
      <c r="AM65" s="274"/>
      <c r="AN65" s="274"/>
      <c r="AO65" s="274"/>
      <c r="AP65" s="274"/>
      <c r="AQ65" s="274"/>
      <c r="AR65" s="274"/>
      <c r="AS65" s="274"/>
      <c r="AT65" s="274"/>
      <c r="AU65" s="274"/>
      <c r="AV65" s="274"/>
      <c r="AW65" s="274"/>
    </row>
    <row r="66" ht="21.0" customHeight="1">
      <c r="A66" s="274"/>
      <c r="B66" s="274"/>
      <c r="C66" s="274"/>
      <c r="D66" s="274"/>
      <c r="E66" s="274"/>
      <c r="F66" s="275"/>
      <c r="G66" s="276"/>
      <c r="H66" s="276"/>
      <c r="I66" s="276"/>
      <c r="J66" s="276"/>
      <c r="K66" s="276"/>
      <c r="L66" s="276"/>
      <c r="M66" s="276"/>
      <c r="N66" s="276"/>
      <c r="O66" s="276"/>
      <c r="P66" s="276"/>
      <c r="Q66" s="276"/>
      <c r="R66" s="276"/>
      <c r="S66" s="328"/>
      <c r="T66" s="274"/>
      <c r="U66" s="284"/>
      <c r="V66" s="289"/>
      <c r="W66" s="294"/>
      <c r="X66" s="295">
        <f t="shared" ref="X66:X67" si="52">X67-$Y$74</f>
        <v>0.01</v>
      </c>
      <c r="Y66" s="296">
        <v>134.6976125951298</v>
      </c>
      <c r="Z66" s="296">
        <v>128.60956982084633</v>
      </c>
      <c r="AA66" s="296">
        <v>122.92426907508928</v>
      </c>
      <c r="AB66" s="296">
        <v>117.60610283032473</v>
      </c>
      <c r="AC66" s="296">
        <v>112.62344042320561</v>
      </c>
      <c r="AD66" s="274"/>
      <c r="AE66" s="274"/>
      <c r="AF66" s="274"/>
      <c r="AG66" s="274"/>
      <c r="AH66" s="274"/>
      <c r="AI66" s="274"/>
      <c r="AJ66" s="274"/>
      <c r="AK66" s="274"/>
      <c r="AL66" s="274"/>
      <c r="AM66" s="274"/>
      <c r="AN66" s="274"/>
      <c r="AO66" s="274"/>
      <c r="AP66" s="274"/>
      <c r="AQ66" s="274"/>
      <c r="AR66" s="274"/>
      <c r="AS66" s="274"/>
      <c r="AT66" s="274"/>
      <c r="AU66" s="274"/>
      <c r="AV66" s="274"/>
      <c r="AW66" s="274"/>
    </row>
    <row r="67" ht="21.0" customHeight="1">
      <c r="A67" s="274"/>
      <c r="B67" s="274"/>
      <c r="C67" s="274"/>
      <c r="D67" s="274"/>
      <c r="E67" s="274"/>
      <c r="F67" s="275"/>
      <c r="G67" s="276"/>
      <c r="H67" s="276"/>
      <c r="I67" s="276"/>
      <c r="J67" s="276"/>
      <c r="K67" s="297"/>
      <c r="L67" s="274"/>
      <c r="M67" s="276"/>
      <c r="N67" s="276"/>
      <c r="O67" s="276"/>
      <c r="P67" s="276"/>
      <c r="Q67" s="276"/>
      <c r="R67" s="276"/>
      <c r="S67" s="328"/>
      <c r="T67" s="274"/>
      <c r="U67" s="284"/>
      <c r="V67" s="289"/>
      <c r="W67" s="294"/>
      <c r="X67" s="295">
        <f t="shared" si="52"/>
        <v>0.015</v>
      </c>
      <c r="Y67" s="296">
        <v>136.70379875877444</v>
      </c>
      <c r="Z67" s="296">
        <v>130.42320921697393</v>
      </c>
      <c r="AA67" s="296">
        <v>124.5672205477994</v>
      </c>
      <c r="AB67" s="296">
        <v>119.09732909488133</v>
      </c>
      <c r="AC67" s="296">
        <v>113.97944907674119</v>
      </c>
      <c r="AD67" s="274"/>
      <c r="AE67" s="274"/>
      <c r="AF67" s="274"/>
      <c r="AG67" s="274"/>
      <c r="AH67" s="274"/>
      <c r="AI67" s="274"/>
      <c r="AJ67" s="274"/>
      <c r="AK67" s="274"/>
      <c r="AL67" s="274"/>
      <c r="AM67" s="274"/>
      <c r="AN67" s="274"/>
      <c r="AO67" s="274"/>
      <c r="AP67" s="274"/>
      <c r="AQ67" s="274"/>
      <c r="AR67" s="274"/>
      <c r="AS67" s="274"/>
      <c r="AT67" s="274"/>
      <c r="AU67" s="274"/>
      <c r="AV67" s="274"/>
      <c r="AW67" s="274"/>
    </row>
    <row r="68" ht="21.0" customHeight="1">
      <c r="A68" s="274"/>
      <c r="B68" s="274"/>
      <c r="C68" s="274"/>
      <c r="D68" s="274"/>
      <c r="E68" s="274"/>
      <c r="F68" s="275"/>
      <c r="G68" s="276"/>
      <c r="H68" s="276"/>
      <c r="I68" s="276"/>
      <c r="J68" s="276"/>
      <c r="K68" s="274"/>
      <c r="L68" s="274"/>
      <c r="M68" s="274"/>
      <c r="N68" s="274"/>
      <c r="O68" s="274"/>
      <c r="P68" s="274"/>
      <c r="Q68" s="274"/>
      <c r="R68" s="276"/>
      <c r="S68" s="328"/>
      <c r="T68" s="274"/>
      <c r="U68" s="284"/>
      <c r="V68" s="289"/>
      <c r="W68" s="294"/>
      <c r="X68" s="298">
        <v>0.02</v>
      </c>
      <c r="Y68" s="296">
        <v>138.84373066666205</v>
      </c>
      <c r="Z68" s="296">
        <v>132.35385760640006</v>
      </c>
      <c r="AA68" s="299">
        <v>126.3128564875539</v>
      </c>
      <c r="AB68" s="296">
        <v>120.678932708805</v>
      </c>
      <c r="AC68" s="296">
        <v>115.41522294519064</v>
      </c>
      <c r="AD68" s="274"/>
      <c r="AE68" s="274"/>
      <c r="AF68" s="274"/>
      <c r="AG68" s="274"/>
      <c r="AH68" s="274"/>
      <c r="AI68" s="274"/>
      <c r="AJ68" s="274"/>
      <c r="AK68" s="274"/>
      <c r="AL68" s="274"/>
      <c r="AM68" s="274"/>
      <c r="AN68" s="274"/>
      <c r="AO68" s="274"/>
      <c r="AP68" s="274"/>
      <c r="AQ68" s="274"/>
      <c r="AR68" s="274"/>
      <c r="AS68" s="274"/>
      <c r="AT68" s="274"/>
      <c r="AU68" s="274"/>
      <c r="AV68" s="274"/>
      <c r="AW68" s="274"/>
    </row>
    <row r="69" ht="21.0" customHeight="1">
      <c r="A69" s="274"/>
      <c r="B69" s="274"/>
      <c r="C69" s="274"/>
      <c r="D69" s="274"/>
      <c r="E69" s="274"/>
      <c r="F69" s="275"/>
      <c r="G69" s="276"/>
      <c r="H69" s="276"/>
      <c r="I69" s="276"/>
      <c r="J69" s="276"/>
      <c r="K69" s="276"/>
      <c r="L69" s="274"/>
      <c r="M69" s="274"/>
      <c r="N69" s="274"/>
      <c r="O69" s="274"/>
      <c r="P69" s="274"/>
      <c r="Q69" s="274"/>
      <c r="R69" s="276"/>
      <c r="S69" s="328"/>
      <c r="T69" s="274"/>
      <c r="U69" s="284"/>
      <c r="V69" s="289"/>
      <c r="W69" s="294"/>
      <c r="X69" s="295">
        <f t="shared" ref="X69:X70" si="53">X68+$Y$74</f>
        <v>0.025</v>
      </c>
      <c r="Y69" s="296">
        <v>141.13124408543848</v>
      </c>
      <c r="Z69" s="296">
        <v>134.4132158884546</v>
      </c>
      <c r="AA69" s="296">
        <v>128.17111410084095</v>
      </c>
      <c r="AB69" s="296">
        <v>122.3593865485989</v>
      </c>
      <c r="AC69" s="296">
        <v>116.9380134117279</v>
      </c>
      <c r="AD69" s="274"/>
      <c r="AE69" s="274"/>
      <c r="AF69" s="274"/>
      <c r="AG69" s="274"/>
      <c r="AH69" s="274"/>
      <c r="AI69" s="274"/>
      <c r="AJ69" s="274"/>
      <c r="AK69" s="274"/>
      <c r="AL69" s="274"/>
      <c r="AM69" s="274"/>
      <c r="AN69" s="274"/>
      <c r="AO69" s="274"/>
      <c r="AP69" s="274"/>
      <c r="AQ69" s="274"/>
      <c r="AR69" s="274"/>
      <c r="AS69" s="274"/>
      <c r="AT69" s="274"/>
      <c r="AU69" s="274"/>
      <c r="AV69" s="274"/>
      <c r="AW69" s="274"/>
    </row>
    <row r="70" ht="21.0" customHeight="1">
      <c r="A70" s="274"/>
      <c r="B70" s="274"/>
      <c r="C70" s="274"/>
      <c r="D70" s="274"/>
      <c r="E70" s="274"/>
      <c r="F70" s="275"/>
      <c r="G70" s="276"/>
      <c r="H70" s="276"/>
      <c r="I70" s="276"/>
      <c r="J70" s="276"/>
      <c r="K70" s="276"/>
      <c r="L70" s="274"/>
      <c r="M70" s="274"/>
      <c r="N70" s="274"/>
      <c r="O70" s="274"/>
      <c r="P70" s="274"/>
      <c r="Q70" s="274"/>
      <c r="R70" s="276"/>
      <c r="S70" s="328"/>
      <c r="T70" s="274"/>
      <c r="U70" s="300"/>
      <c r="V70" s="301"/>
      <c r="W70" s="294"/>
      <c r="X70" s="295">
        <f t="shared" si="53"/>
        <v>0.03</v>
      </c>
      <c r="Y70" s="296">
        <v>143.58215131984178</v>
      </c>
      <c r="Z70" s="296">
        <v>136.61459887961638</v>
      </c>
      <c r="AA70" s="296">
        <v>130.1532555550138</v>
      </c>
      <c r="AB70" s="296">
        <v>124.14825676515369</v>
      </c>
      <c r="AC70" s="296">
        <v>118.55597828242375</v>
      </c>
      <c r="AD70" s="274"/>
      <c r="AE70" s="274"/>
      <c r="AF70" s="274"/>
      <c r="AG70" s="274"/>
      <c r="AH70" s="274"/>
      <c r="AI70" s="274"/>
      <c r="AJ70" s="274"/>
      <c r="AK70" s="274"/>
      <c r="AL70" s="274"/>
      <c r="AM70" s="274"/>
      <c r="AN70" s="274"/>
      <c r="AO70" s="274"/>
      <c r="AP70" s="274"/>
      <c r="AQ70" s="274"/>
      <c r="AR70" s="274"/>
      <c r="AS70" s="274"/>
      <c r="AT70" s="274"/>
      <c r="AU70" s="274"/>
      <c r="AV70" s="274"/>
      <c r="AW70" s="274"/>
    </row>
    <row r="71" ht="12.0" customHeight="1">
      <c r="A71" s="274"/>
      <c r="B71" s="274"/>
      <c r="C71" s="274"/>
      <c r="D71" s="274"/>
      <c r="E71" s="274"/>
      <c r="F71" s="275"/>
      <c r="G71" s="276"/>
      <c r="H71" s="276"/>
      <c r="I71" s="276"/>
      <c r="J71" s="276"/>
      <c r="K71" s="276"/>
      <c r="L71" s="274"/>
      <c r="M71" s="274"/>
      <c r="N71" s="274"/>
      <c r="O71" s="274"/>
      <c r="P71" s="274"/>
      <c r="Q71" s="274"/>
      <c r="R71" s="276"/>
      <c r="S71" s="328"/>
      <c r="T71" s="274"/>
      <c r="U71" s="283"/>
      <c r="V71" s="61"/>
      <c r="W71" s="61"/>
      <c r="X71" s="302"/>
      <c r="Y71" s="109"/>
      <c r="Z71" s="109"/>
      <c r="AA71" s="109"/>
      <c r="AB71" s="109"/>
      <c r="AC71" s="109"/>
      <c r="AD71" s="274"/>
      <c r="AE71" s="274"/>
      <c r="AF71" s="274"/>
      <c r="AG71" s="274"/>
      <c r="AH71" s="274"/>
      <c r="AI71" s="274"/>
      <c r="AJ71" s="274"/>
      <c r="AK71" s="274"/>
      <c r="AL71" s="274"/>
      <c r="AM71" s="274"/>
      <c r="AN71" s="274"/>
      <c r="AO71" s="274"/>
      <c r="AP71" s="274"/>
      <c r="AQ71" s="274"/>
      <c r="AR71" s="274"/>
      <c r="AS71" s="274"/>
      <c r="AT71" s="274"/>
      <c r="AU71" s="274"/>
      <c r="AV71" s="274"/>
      <c r="AW71" s="274"/>
    </row>
    <row r="72" ht="12.0" customHeight="1">
      <c r="A72" s="274"/>
      <c r="B72" s="274"/>
      <c r="C72" s="274"/>
      <c r="D72" s="274"/>
      <c r="E72" s="274"/>
      <c r="F72" s="275"/>
      <c r="G72" s="276"/>
      <c r="H72" s="276"/>
      <c r="I72" s="276"/>
      <c r="J72" s="276"/>
      <c r="K72" s="276"/>
      <c r="L72" s="274"/>
      <c r="M72" s="274"/>
      <c r="N72" s="274"/>
      <c r="O72" s="274"/>
      <c r="P72" s="274"/>
      <c r="Q72" s="274"/>
      <c r="R72" s="276"/>
      <c r="S72" s="328"/>
      <c r="T72" s="274"/>
      <c r="U72" s="274"/>
      <c r="V72" s="61"/>
      <c r="W72" s="61"/>
      <c r="X72" s="302"/>
      <c r="Y72" s="109"/>
      <c r="Z72" s="109"/>
      <c r="AA72" s="109"/>
      <c r="AB72" s="109"/>
      <c r="AC72" s="109"/>
      <c r="AD72" s="274"/>
      <c r="AE72" s="274"/>
      <c r="AF72" s="274"/>
      <c r="AG72" s="274"/>
      <c r="AH72" s="274"/>
      <c r="AI72" s="274"/>
      <c r="AJ72" s="274"/>
      <c r="AK72" s="274"/>
      <c r="AL72" s="274"/>
      <c r="AM72" s="274"/>
      <c r="AN72" s="274"/>
      <c r="AO72" s="274"/>
      <c r="AP72" s="274"/>
      <c r="AQ72" s="274"/>
      <c r="AR72" s="274"/>
      <c r="AS72" s="274"/>
      <c r="AT72" s="274"/>
      <c r="AU72" s="274"/>
      <c r="AV72" s="274"/>
      <c r="AW72" s="274"/>
    </row>
    <row r="73" ht="12.0" customHeight="1">
      <c r="A73" s="274"/>
      <c r="B73" s="274"/>
      <c r="C73" s="274"/>
      <c r="D73" s="274"/>
      <c r="E73" s="274"/>
      <c r="F73" s="275"/>
      <c r="G73" s="276"/>
      <c r="H73" s="276"/>
      <c r="I73" s="276"/>
      <c r="J73" s="276"/>
      <c r="K73" s="276"/>
      <c r="L73" s="274"/>
      <c r="M73" s="274"/>
      <c r="N73" s="274"/>
      <c r="O73" s="274"/>
      <c r="P73" s="274"/>
      <c r="Q73" s="274"/>
      <c r="R73" s="276"/>
      <c r="S73" s="328"/>
      <c r="T73" s="274"/>
      <c r="U73" s="274"/>
      <c r="V73" s="45"/>
      <c r="W73" s="45"/>
      <c r="X73" s="302" t="s">
        <v>51</v>
      </c>
      <c r="Y73" s="303">
        <v>0.005</v>
      </c>
      <c r="Z73" s="45"/>
      <c r="AA73" s="45"/>
      <c r="AB73" s="45"/>
      <c r="AC73" s="274"/>
      <c r="AD73" s="274"/>
      <c r="AE73" s="274"/>
      <c r="AF73" s="274"/>
      <c r="AG73" s="274"/>
      <c r="AH73" s="274"/>
      <c r="AI73" s="274"/>
      <c r="AJ73" s="274"/>
      <c r="AK73" s="274"/>
      <c r="AL73" s="274"/>
      <c r="AM73" s="274"/>
      <c r="AN73" s="274"/>
      <c r="AO73" s="274"/>
      <c r="AP73" s="274"/>
      <c r="AQ73" s="274"/>
      <c r="AR73" s="274"/>
      <c r="AS73" s="274"/>
      <c r="AT73" s="274"/>
      <c r="AU73" s="274"/>
      <c r="AV73" s="274"/>
      <c r="AW73" s="274"/>
    </row>
    <row r="74" ht="12.0" customHeight="1">
      <c r="A74" s="274"/>
      <c r="B74" s="274"/>
      <c r="C74" s="274"/>
      <c r="D74" s="274"/>
      <c r="E74" s="274"/>
      <c r="F74" s="275"/>
      <c r="G74" s="276"/>
      <c r="H74" s="276"/>
      <c r="I74" s="276"/>
      <c r="J74" s="276"/>
      <c r="K74" s="276"/>
      <c r="L74" s="274"/>
      <c r="M74" s="274"/>
      <c r="N74" s="274"/>
      <c r="O74" s="274"/>
      <c r="P74" s="274"/>
      <c r="Q74" s="274"/>
      <c r="R74" s="276"/>
      <c r="S74" s="328"/>
      <c r="T74" s="274"/>
      <c r="U74" s="274"/>
      <c r="V74" s="45"/>
      <c r="W74" s="45"/>
      <c r="X74" s="14" t="s">
        <v>52</v>
      </c>
      <c r="Y74" s="303">
        <v>0.005</v>
      </c>
      <c r="Z74" s="49"/>
      <c r="AA74" s="49"/>
      <c r="AB74" s="49"/>
      <c r="AC74" s="274"/>
      <c r="AD74" s="274"/>
      <c r="AE74" s="274"/>
      <c r="AF74" s="274"/>
      <c r="AG74" s="274"/>
      <c r="AH74" s="274"/>
      <c r="AI74" s="274"/>
      <c r="AJ74" s="274"/>
      <c r="AK74" s="274"/>
      <c r="AL74" s="274"/>
      <c r="AM74" s="274"/>
      <c r="AN74" s="274"/>
      <c r="AO74" s="274"/>
      <c r="AP74" s="274"/>
      <c r="AQ74" s="274"/>
      <c r="AR74" s="274"/>
      <c r="AS74" s="274"/>
      <c r="AT74" s="274"/>
      <c r="AU74" s="274"/>
      <c r="AV74" s="274"/>
      <c r="AW74" s="274"/>
    </row>
    <row r="75" ht="12.0" customHeight="1">
      <c r="A75" s="274"/>
      <c r="B75" s="274"/>
      <c r="C75" s="274"/>
      <c r="D75" s="274"/>
      <c r="E75" s="274"/>
      <c r="F75" s="275"/>
      <c r="G75" s="276"/>
      <c r="H75" s="276" t="s">
        <v>53</v>
      </c>
      <c r="I75" s="276"/>
      <c r="J75" s="276"/>
      <c r="K75" s="276"/>
      <c r="L75" s="274"/>
      <c r="M75" s="274"/>
      <c r="N75" s="274"/>
      <c r="O75" s="274"/>
      <c r="P75" s="274"/>
      <c r="Q75" s="274"/>
      <c r="R75" s="276"/>
      <c r="S75" s="328"/>
      <c r="T75" s="274"/>
      <c r="U75" s="274"/>
      <c r="V75" s="45"/>
      <c r="W75" s="45"/>
      <c r="X75" s="153"/>
      <c r="Y75" s="260"/>
      <c r="Z75" s="49"/>
      <c r="AA75" s="49"/>
      <c r="AB75" s="49"/>
      <c r="AC75" s="49"/>
      <c r="AD75" s="274"/>
      <c r="AE75" s="274"/>
      <c r="AF75" s="274"/>
      <c r="AG75" s="274"/>
      <c r="AH75" s="274"/>
      <c r="AI75" s="274"/>
      <c r="AJ75" s="274"/>
      <c r="AK75" s="274"/>
      <c r="AL75" s="274"/>
      <c r="AM75" s="274"/>
      <c r="AN75" s="274"/>
      <c r="AO75" s="274"/>
      <c r="AP75" s="274"/>
      <c r="AQ75" s="274"/>
      <c r="AR75" s="274"/>
      <c r="AS75" s="274"/>
      <c r="AT75" s="274"/>
      <c r="AU75" s="274"/>
      <c r="AV75" s="274"/>
      <c r="AW75" s="274"/>
    </row>
    <row r="76" ht="12.0" customHeight="1">
      <c r="A76" s="274"/>
      <c r="B76" s="274"/>
      <c r="C76" s="274"/>
      <c r="D76" s="274"/>
      <c r="E76" s="274"/>
      <c r="F76" s="275"/>
      <c r="G76" s="276"/>
      <c r="H76" s="276"/>
      <c r="I76" s="276"/>
      <c r="J76" s="276"/>
      <c r="K76" s="276"/>
      <c r="L76" s="274"/>
      <c r="M76" s="274"/>
      <c r="N76" s="274"/>
      <c r="O76" s="274"/>
      <c r="P76" s="274"/>
      <c r="Q76" s="274"/>
      <c r="R76" s="276"/>
      <c r="S76" s="328"/>
      <c r="T76" s="274"/>
      <c r="U76" s="274"/>
      <c r="V76" s="180"/>
      <c r="W76" s="45"/>
      <c r="X76" s="302" t="s">
        <v>51</v>
      </c>
      <c r="Y76" s="304">
        <f t="shared" ref="Y76:AC76" si="54">Y65</f>
        <v>0.17</v>
      </c>
      <c r="Z76" s="304">
        <f t="shared" si="54"/>
        <v>0.175</v>
      </c>
      <c r="AA76" s="305">
        <f t="shared" si="54"/>
        <v>0.18</v>
      </c>
      <c r="AB76" s="305">
        <f t="shared" si="54"/>
        <v>0.185</v>
      </c>
      <c r="AC76" s="305">
        <f t="shared" si="54"/>
        <v>0.19</v>
      </c>
      <c r="AD76" s="274"/>
      <c r="AE76" s="274"/>
      <c r="AF76" s="274"/>
      <c r="AG76" s="274"/>
      <c r="AH76" s="274"/>
      <c r="AI76" s="274"/>
      <c r="AJ76" s="274"/>
      <c r="AK76" s="274"/>
      <c r="AL76" s="274"/>
      <c r="AM76" s="274"/>
      <c r="AN76" s="274"/>
      <c r="AO76" s="274"/>
      <c r="AP76" s="274"/>
      <c r="AQ76" s="274"/>
      <c r="AR76" s="274"/>
      <c r="AS76" s="274"/>
      <c r="AT76" s="274"/>
      <c r="AU76" s="274"/>
      <c r="AV76" s="274"/>
      <c r="AW76" s="274"/>
    </row>
    <row r="77" ht="12.0" customHeight="1">
      <c r="A77" s="274"/>
      <c r="B77" s="274"/>
      <c r="C77" s="274"/>
      <c r="D77" s="274"/>
      <c r="E77" s="274"/>
      <c r="F77" s="275"/>
      <c r="G77" s="276"/>
      <c r="H77" s="276"/>
      <c r="I77" s="276"/>
      <c r="J77" s="276"/>
      <c r="K77" s="276"/>
      <c r="L77" s="274"/>
      <c r="M77" s="274"/>
      <c r="N77" s="274"/>
      <c r="O77" s="274"/>
      <c r="P77" s="274"/>
      <c r="Q77" s="274"/>
      <c r="R77" s="276"/>
      <c r="S77" s="328"/>
      <c r="T77" s="274"/>
      <c r="U77" s="274"/>
      <c r="V77" s="274"/>
      <c r="W77" s="45"/>
      <c r="X77" s="274"/>
      <c r="Y77" s="152">
        <f t="shared" ref="Y77:AC77" si="55">AVERAGE(Y66:Y70)</f>
        <v>138.9917075</v>
      </c>
      <c r="Z77" s="152">
        <f t="shared" si="55"/>
        <v>132.4828903</v>
      </c>
      <c r="AA77" s="152">
        <f t="shared" si="55"/>
        <v>126.4257432</v>
      </c>
      <c r="AB77" s="152">
        <f t="shared" si="55"/>
        <v>120.7780016</v>
      </c>
      <c r="AC77" s="152">
        <f t="shared" si="55"/>
        <v>115.5024208</v>
      </c>
      <c r="AD77" s="274"/>
      <c r="AE77" s="274"/>
      <c r="AF77" s="274"/>
      <c r="AG77" s="274"/>
      <c r="AH77" s="274"/>
      <c r="AI77" s="274"/>
      <c r="AJ77" s="274"/>
      <c r="AK77" s="274"/>
      <c r="AL77" s="274"/>
      <c r="AM77" s="274"/>
      <c r="AN77" s="274"/>
      <c r="AO77" s="274"/>
      <c r="AP77" s="274"/>
      <c r="AQ77" s="274"/>
      <c r="AR77" s="274"/>
      <c r="AS77" s="274"/>
      <c r="AT77" s="274"/>
      <c r="AU77" s="274"/>
      <c r="AV77" s="274"/>
      <c r="AW77" s="274"/>
    </row>
    <row r="78" ht="12.0" customHeight="1">
      <c r="A78" s="274"/>
      <c r="B78" s="274"/>
      <c r="C78" s="274"/>
      <c r="D78" s="274"/>
      <c r="E78" s="274"/>
      <c r="F78" s="275"/>
      <c r="G78" s="276"/>
      <c r="H78" s="276"/>
      <c r="I78" s="276"/>
      <c r="J78" s="276"/>
      <c r="K78" s="276"/>
      <c r="L78" s="274"/>
      <c r="M78" s="274"/>
      <c r="N78" s="274"/>
      <c r="O78" s="274"/>
      <c r="P78" s="274"/>
      <c r="Q78" s="274"/>
      <c r="R78" s="276"/>
      <c r="S78" s="328"/>
      <c r="T78" s="274"/>
      <c r="U78" s="274"/>
      <c r="V78" s="274"/>
      <c r="W78" s="49"/>
      <c r="X78" s="45"/>
      <c r="Y78" s="125" t="s">
        <v>54</v>
      </c>
      <c r="Z78" s="152">
        <f t="shared" ref="Z78:AC78" si="56">ABS(Z77-Y77)</f>
        <v>6.508817203</v>
      </c>
      <c r="AA78" s="152">
        <f t="shared" si="56"/>
        <v>6.057147129</v>
      </c>
      <c r="AB78" s="152">
        <f t="shared" si="56"/>
        <v>5.647741564</v>
      </c>
      <c r="AC78" s="152">
        <f t="shared" si="56"/>
        <v>5.275580762</v>
      </c>
      <c r="AD78" s="274"/>
      <c r="AE78" s="274"/>
      <c r="AF78" s="274"/>
      <c r="AG78" s="274"/>
      <c r="AH78" s="274"/>
      <c r="AI78" s="274"/>
      <c r="AJ78" s="274"/>
      <c r="AK78" s="274"/>
      <c r="AL78" s="274"/>
      <c r="AM78" s="274"/>
      <c r="AN78" s="274"/>
      <c r="AO78" s="274"/>
      <c r="AP78" s="274"/>
      <c r="AQ78" s="274"/>
      <c r="AR78" s="274"/>
      <c r="AS78" s="274"/>
      <c r="AT78" s="274"/>
      <c r="AU78" s="274"/>
      <c r="AV78" s="274"/>
      <c r="AW78" s="274"/>
    </row>
    <row r="79" ht="12.0" customHeight="1">
      <c r="A79" s="274"/>
      <c r="B79" s="274"/>
      <c r="C79" s="274"/>
      <c r="D79" s="274"/>
      <c r="E79" s="274"/>
      <c r="F79" s="275"/>
      <c r="G79" s="276"/>
      <c r="H79" s="276"/>
      <c r="I79" s="276"/>
      <c r="J79" s="276"/>
      <c r="K79" s="276"/>
      <c r="L79" s="276"/>
      <c r="M79" s="276"/>
      <c r="N79" s="276"/>
      <c r="O79" s="276"/>
      <c r="P79" s="276"/>
      <c r="Q79" s="276"/>
      <c r="R79" s="276"/>
      <c r="S79" s="328"/>
      <c r="T79" s="274"/>
      <c r="U79" s="274"/>
      <c r="V79" s="274"/>
      <c r="W79" s="49"/>
      <c r="X79" s="109"/>
      <c r="Y79" s="306" t="s">
        <v>55</v>
      </c>
      <c r="Z79" s="307">
        <f>MEDIAN(Z78:AC78)</f>
        <v>5.852444346</v>
      </c>
      <c r="AA79" s="109"/>
      <c r="AB79" s="109"/>
      <c r="AC79" s="109"/>
      <c r="AD79" s="274"/>
      <c r="AE79" s="274"/>
      <c r="AF79" s="274"/>
      <c r="AG79" s="274"/>
      <c r="AH79" s="274"/>
      <c r="AI79" s="274"/>
      <c r="AJ79" s="274"/>
      <c r="AK79" s="274"/>
      <c r="AL79" s="274"/>
      <c r="AM79" s="274"/>
      <c r="AN79" s="274"/>
      <c r="AO79" s="274"/>
      <c r="AP79" s="274"/>
      <c r="AQ79" s="274"/>
      <c r="AR79" s="274"/>
      <c r="AS79" s="274"/>
      <c r="AT79" s="274"/>
      <c r="AU79" s="274"/>
      <c r="AV79" s="274"/>
      <c r="AW79" s="274"/>
    </row>
    <row r="80" ht="12.0" customHeight="1">
      <c r="A80" s="274"/>
      <c r="B80" s="274"/>
      <c r="C80" s="274"/>
      <c r="D80" s="274"/>
      <c r="E80" s="274"/>
      <c r="F80" s="275"/>
      <c r="G80" s="276"/>
      <c r="H80" s="276"/>
      <c r="I80" s="276"/>
      <c r="J80" s="276"/>
      <c r="K80" s="276"/>
      <c r="L80" s="276"/>
      <c r="M80" s="276"/>
      <c r="N80" s="276"/>
      <c r="O80" s="276"/>
      <c r="P80" s="276"/>
      <c r="Q80" s="276"/>
      <c r="R80" s="276"/>
      <c r="S80" s="328"/>
      <c r="T80" s="274"/>
      <c r="U80" s="274"/>
      <c r="V80" s="274"/>
      <c r="W80" s="49"/>
      <c r="X80" s="49"/>
      <c r="Y80" s="49"/>
      <c r="Z80" s="49"/>
      <c r="AA80" s="49"/>
      <c r="AB80" s="49"/>
      <c r="AC80" s="49"/>
      <c r="AD80" s="274"/>
      <c r="AE80" s="274"/>
      <c r="AF80" s="274"/>
      <c r="AG80" s="274"/>
      <c r="AH80" s="274"/>
      <c r="AI80" s="274"/>
      <c r="AJ80" s="274"/>
      <c r="AK80" s="274"/>
      <c r="AL80" s="274"/>
      <c r="AM80" s="274"/>
      <c r="AN80" s="274"/>
      <c r="AO80" s="274"/>
      <c r="AP80" s="274"/>
      <c r="AQ80" s="274"/>
      <c r="AR80" s="274"/>
      <c r="AS80" s="274"/>
      <c r="AT80" s="274"/>
      <c r="AU80" s="274"/>
      <c r="AV80" s="274"/>
      <c r="AW80" s="274"/>
    </row>
    <row r="81" ht="12.0" customHeight="1">
      <c r="A81" s="274"/>
      <c r="B81" s="274"/>
      <c r="C81" s="274"/>
      <c r="D81" s="274"/>
      <c r="E81" s="274"/>
      <c r="F81" s="275"/>
      <c r="G81" s="276"/>
      <c r="H81" s="276"/>
      <c r="I81" s="276"/>
      <c r="J81" s="276"/>
      <c r="K81" s="276"/>
      <c r="L81" s="276"/>
      <c r="M81" s="276"/>
      <c r="N81" s="276"/>
      <c r="O81" s="276"/>
      <c r="P81" s="276"/>
      <c r="Q81" s="276"/>
      <c r="R81" s="276"/>
      <c r="S81" s="328"/>
      <c r="T81" s="274"/>
      <c r="U81" s="274"/>
      <c r="V81" s="274"/>
      <c r="W81" s="49"/>
      <c r="X81" s="49"/>
      <c r="Y81" s="49"/>
      <c r="Z81" s="49"/>
      <c r="AA81" s="49"/>
      <c r="AB81" s="49"/>
      <c r="AC81" s="49"/>
      <c r="AD81" s="274"/>
      <c r="AE81" s="274"/>
      <c r="AF81" s="274"/>
      <c r="AG81" s="274"/>
      <c r="AH81" s="274"/>
      <c r="AI81" s="274"/>
      <c r="AJ81" s="274"/>
      <c r="AK81" s="274"/>
      <c r="AL81" s="274"/>
      <c r="AM81" s="274"/>
      <c r="AN81" s="274"/>
      <c r="AO81" s="274"/>
      <c r="AP81" s="274"/>
      <c r="AQ81" s="274"/>
      <c r="AR81" s="274"/>
      <c r="AS81" s="274"/>
      <c r="AT81" s="274"/>
      <c r="AU81" s="274"/>
      <c r="AV81" s="274"/>
      <c r="AW81" s="274"/>
    </row>
    <row r="82" ht="12.0" customHeight="1">
      <c r="A82" s="274"/>
      <c r="B82" s="274"/>
      <c r="C82" s="274"/>
      <c r="D82" s="274"/>
      <c r="E82" s="274"/>
      <c r="F82" s="275"/>
      <c r="G82" s="276"/>
      <c r="H82" s="276"/>
      <c r="I82" s="276"/>
      <c r="J82" s="276"/>
      <c r="K82" s="276"/>
      <c r="L82" s="276"/>
      <c r="M82" s="276"/>
      <c r="N82" s="276"/>
      <c r="O82" s="276"/>
      <c r="P82" s="276"/>
      <c r="Q82" s="276"/>
      <c r="R82" s="276"/>
      <c r="S82" s="328"/>
      <c r="T82" s="274"/>
      <c r="U82" s="274"/>
      <c r="V82" s="274"/>
      <c r="W82" s="49"/>
      <c r="X82" s="49"/>
      <c r="Y82" s="304">
        <f>X66</f>
        <v>0.01</v>
      </c>
      <c r="Z82" s="304">
        <f>X67</f>
        <v>0.015</v>
      </c>
      <c r="AA82" s="305">
        <f>X68</f>
        <v>0.02</v>
      </c>
      <c r="AB82" s="304">
        <f>X69</f>
        <v>0.025</v>
      </c>
      <c r="AC82" s="304">
        <f>X70</f>
        <v>0.03</v>
      </c>
      <c r="AD82" s="274"/>
      <c r="AE82" s="274"/>
      <c r="AF82" s="274"/>
      <c r="AG82" s="274"/>
      <c r="AH82" s="274"/>
      <c r="AI82" s="274"/>
      <c r="AJ82" s="274"/>
      <c r="AK82" s="274"/>
      <c r="AL82" s="274"/>
      <c r="AM82" s="274"/>
      <c r="AN82" s="274"/>
      <c r="AO82" s="274"/>
      <c r="AP82" s="274"/>
      <c r="AQ82" s="274"/>
      <c r="AR82" s="274"/>
      <c r="AS82" s="274"/>
      <c r="AT82" s="274"/>
      <c r="AU82" s="274"/>
      <c r="AV82" s="274"/>
      <c r="AW82" s="274"/>
    </row>
    <row r="83" ht="12.0" customHeight="1">
      <c r="A83" s="274"/>
      <c r="B83" s="274"/>
      <c r="C83" s="274"/>
      <c r="D83" s="274"/>
      <c r="E83" s="274"/>
      <c r="F83" s="275"/>
      <c r="G83" s="276"/>
      <c r="H83" s="276"/>
      <c r="I83" s="276"/>
      <c r="J83" s="276"/>
      <c r="K83" s="276"/>
      <c r="L83" s="276"/>
      <c r="M83" s="276"/>
      <c r="N83" s="276"/>
      <c r="O83" s="276"/>
      <c r="P83" s="276"/>
      <c r="Q83" s="276"/>
      <c r="R83" s="276"/>
      <c r="S83" s="328"/>
      <c r="T83" s="274"/>
      <c r="U83" s="274"/>
      <c r="V83" s="274"/>
      <c r="W83" s="45"/>
      <c r="X83" s="302" t="s">
        <v>52</v>
      </c>
      <c r="Y83" s="152">
        <f>AVERAGE(Y66:AC66)</f>
        <v>123.2921989</v>
      </c>
      <c r="Z83" s="152">
        <f>AVERAGE(Y67:AC67)</f>
        <v>124.9542013</v>
      </c>
      <c r="AA83" s="152">
        <f>AVERAGE(Y68:AC68)</f>
        <v>126.7209201</v>
      </c>
      <c r="AB83" s="152">
        <f>AVERAGE(Y69:AC69)</f>
        <v>128.6025948</v>
      </c>
      <c r="AC83" s="152">
        <f>AVERAGE(Y70:AC70)</f>
        <v>130.6108482</v>
      </c>
      <c r="AD83" s="274"/>
      <c r="AE83" s="274"/>
      <c r="AF83" s="274"/>
      <c r="AG83" s="274"/>
      <c r="AH83" s="274"/>
      <c r="AI83" s="274"/>
      <c r="AJ83" s="274"/>
      <c r="AK83" s="274"/>
      <c r="AL83" s="274"/>
      <c r="AM83" s="274"/>
      <c r="AN83" s="274"/>
      <c r="AO83" s="274"/>
      <c r="AP83" s="274"/>
      <c r="AQ83" s="274"/>
      <c r="AR83" s="274"/>
      <c r="AS83" s="274"/>
      <c r="AT83" s="274"/>
      <c r="AU83" s="274"/>
      <c r="AV83" s="274"/>
      <c r="AW83" s="274"/>
    </row>
    <row r="84" ht="12.0" customHeight="1">
      <c r="A84" s="274"/>
      <c r="B84" s="274"/>
      <c r="C84" s="274"/>
      <c r="D84" s="274"/>
      <c r="E84" s="274"/>
      <c r="F84" s="275"/>
      <c r="G84" s="276"/>
      <c r="H84" s="276"/>
      <c r="I84" s="276"/>
      <c r="J84" s="276"/>
      <c r="K84" s="276"/>
      <c r="L84" s="276"/>
      <c r="M84" s="276"/>
      <c r="N84" s="276"/>
      <c r="O84" s="276"/>
      <c r="P84" s="276"/>
      <c r="Q84" s="276"/>
      <c r="R84" s="276"/>
      <c r="S84" s="328"/>
      <c r="T84" s="274"/>
      <c r="U84" s="274"/>
      <c r="V84" s="274"/>
      <c r="W84" s="49"/>
      <c r="X84" s="45"/>
      <c r="Y84" s="125" t="s">
        <v>56</v>
      </c>
      <c r="Z84" s="152">
        <f t="shared" ref="Z84:AC84" si="57">ABS(Z83-Y83)</f>
        <v>1.66200239</v>
      </c>
      <c r="AA84" s="152">
        <f t="shared" si="57"/>
        <v>1.766718744</v>
      </c>
      <c r="AB84" s="152">
        <f t="shared" si="57"/>
        <v>1.881674724</v>
      </c>
      <c r="AC84" s="152">
        <f t="shared" si="57"/>
        <v>2.008253353</v>
      </c>
      <c r="AD84" s="274"/>
      <c r="AE84" s="274"/>
      <c r="AF84" s="274"/>
      <c r="AG84" s="274"/>
      <c r="AH84" s="274"/>
      <c r="AI84" s="274"/>
      <c r="AJ84" s="274"/>
      <c r="AK84" s="274"/>
      <c r="AL84" s="274"/>
      <c r="AM84" s="274"/>
      <c r="AN84" s="274"/>
      <c r="AO84" s="274"/>
      <c r="AP84" s="274"/>
      <c r="AQ84" s="274"/>
      <c r="AR84" s="274"/>
      <c r="AS84" s="274"/>
      <c r="AT84" s="274"/>
      <c r="AU84" s="274"/>
      <c r="AV84" s="274"/>
      <c r="AW84" s="274"/>
    </row>
    <row r="85" ht="12.0" customHeight="1">
      <c r="A85" s="274"/>
      <c r="B85" s="274"/>
      <c r="C85" s="274"/>
      <c r="D85" s="274"/>
      <c r="E85" s="274"/>
      <c r="F85" s="275"/>
      <c r="G85" s="276"/>
      <c r="H85" s="276"/>
      <c r="I85" s="276"/>
      <c r="J85" s="276"/>
      <c r="K85" s="276"/>
      <c r="L85" s="276"/>
      <c r="M85" s="276"/>
      <c r="N85" s="276"/>
      <c r="O85" s="276"/>
      <c r="P85" s="276"/>
      <c r="Q85" s="276"/>
      <c r="R85" s="276"/>
      <c r="S85" s="328"/>
      <c r="T85" s="274"/>
      <c r="U85" s="274"/>
      <c r="V85" s="274"/>
      <c r="W85" s="274"/>
      <c r="X85" s="274"/>
      <c r="Y85" s="306" t="s">
        <v>57</v>
      </c>
      <c r="Z85" s="307">
        <f>MEDIAN(Z84:AC84)</f>
        <v>1.824196734</v>
      </c>
      <c r="AA85" s="274"/>
      <c r="AB85" s="274"/>
      <c r="AC85" s="274"/>
      <c r="AD85" s="274"/>
      <c r="AE85" s="274"/>
      <c r="AF85" s="274"/>
      <c r="AG85" s="274"/>
      <c r="AH85" s="274"/>
      <c r="AI85" s="274"/>
      <c r="AJ85" s="274"/>
      <c r="AK85" s="274"/>
      <c r="AL85" s="274"/>
      <c r="AM85" s="274"/>
      <c r="AN85" s="274"/>
      <c r="AO85" s="274"/>
      <c r="AP85" s="274"/>
      <c r="AQ85" s="274"/>
      <c r="AR85" s="274"/>
      <c r="AS85" s="274"/>
      <c r="AT85" s="274"/>
      <c r="AU85" s="274"/>
      <c r="AV85" s="274"/>
      <c r="AW85" s="274"/>
    </row>
    <row r="86" ht="12.0" customHeight="1">
      <c r="A86" s="274"/>
      <c r="B86" s="274"/>
      <c r="C86" s="274"/>
      <c r="D86" s="274"/>
      <c r="E86" s="274"/>
      <c r="F86" s="275"/>
      <c r="G86" s="276"/>
      <c r="H86" s="276"/>
      <c r="I86" s="276"/>
      <c r="J86" s="276"/>
      <c r="K86" s="276"/>
      <c r="L86" s="276"/>
      <c r="M86" s="276"/>
      <c r="N86" s="276"/>
      <c r="O86" s="276"/>
      <c r="P86" s="276"/>
      <c r="Q86" s="276"/>
      <c r="R86" s="276"/>
      <c r="S86" s="328"/>
      <c r="T86" s="274"/>
      <c r="U86" s="274"/>
      <c r="V86" s="274"/>
      <c r="W86" s="274"/>
      <c r="X86" s="274"/>
      <c r="Y86" s="274"/>
      <c r="Z86" s="274"/>
      <c r="AA86" s="274"/>
      <c r="AB86" s="274"/>
      <c r="AC86" s="274"/>
      <c r="AD86" s="274"/>
      <c r="AE86" s="274"/>
      <c r="AF86" s="274"/>
      <c r="AG86" s="274"/>
      <c r="AH86" s="274"/>
      <c r="AI86" s="274"/>
      <c r="AJ86" s="274"/>
      <c r="AK86" s="274"/>
      <c r="AL86" s="274"/>
      <c r="AM86" s="274"/>
      <c r="AN86" s="274"/>
      <c r="AO86" s="274"/>
      <c r="AP86" s="274"/>
      <c r="AQ86" s="274"/>
      <c r="AR86" s="274"/>
      <c r="AS86" s="274"/>
      <c r="AT86" s="274"/>
      <c r="AU86" s="274"/>
      <c r="AV86" s="274"/>
      <c r="AW86" s="274"/>
    </row>
    <row r="87" ht="12.0" customHeight="1">
      <c r="A87" s="274"/>
      <c r="B87" s="274"/>
      <c r="C87" s="274"/>
      <c r="D87" s="274"/>
      <c r="E87" s="274"/>
      <c r="F87" s="275"/>
      <c r="G87" s="276"/>
      <c r="H87" s="276"/>
      <c r="I87" s="276"/>
      <c r="J87" s="276"/>
      <c r="K87" s="276"/>
      <c r="L87" s="276"/>
      <c r="M87" s="276"/>
      <c r="N87" s="276"/>
      <c r="O87" s="276"/>
      <c r="P87" s="276"/>
      <c r="Q87" s="276"/>
      <c r="R87" s="276"/>
      <c r="S87" s="328"/>
      <c r="T87" s="274"/>
      <c r="U87" s="274"/>
      <c r="V87" s="274"/>
      <c r="W87" s="274"/>
      <c r="X87" s="274"/>
      <c r="Y87" s="274"/>
      <c r="Z87" s="274"/>
      <c r="AA87" s="274"/>
      <c r="AB87" s="274"/>
      <c r="AC87" s="274"/>
      <c r="AD87" s="274"/>
      <c r="AE87" s="274"/>
      <c r="AF87" s="274"/>
      <c r="AG87" s="274"/>
      <c r="AH87" s="274"/>
      <c r="AI87" s="274"/>
      <c r="AJ87" s="274"/>
      <c r="AK87" s="274"/>
      <c r="AL87" s="274"/>
      <c r="AM87" s="274"/>
      <c r="AN87" s="274"/>
      <c r="AO87" s="274"/>
      <c r="AP87" s="274"/>
      <c r="AQ87" s="274"/>
      <c r="AR87" s="274"/>
      <c r="AS87" s="274"/>
      <c r="AT87" s="274"/>
      <c r="AU87" s="274"/>
      <c r="AV87" s="274"/>
      <c r="AW87" s="274"/>
    </row>
    <row r="88" ht="12.0" customHeight="1">
      <c r="A88" s="274"/>
      <c r="B88" s="274"/>
      <c r="C88" s="274"/>
      <c r="D88" s="274"/>
      <c r="E88" s="274"/>
      <c r="F88" s="275"/>
      <c r="G88" s="276"/>
      <c r="H88" s="276"/>
      <c r="I88" s="276"/>
      <c r="J88" s="276"/>
      <c r="K88" s="276"/>
      <c r="L88" s="276"/>
      <c r="M88" s="276"/>
      <c r="N88" s="276"/>
      <c r="O88" s="276"/>
      <c r="P88" s="276"/>
      <c r="Q88" s="276"/>
      <c r="R88" s="276"/>
      <c r="S88" s="328"/>
      <c r="T88" s="274"/>
      <c r="U88" s="274"/>
      <c r="V88" s="274"/>
      <c r="W88" s="274"/>
      <c r="X88" s="274"/>
      <c r="Y88" s="274"/>
      <c r="Z88" s="274"/>
      <c r="AA88" s="274"/>
      <c r="AB88" s="274"/>
      <c r="AC88" s="274"/>
      <c r="AD88" s="274"/>
      <c r="AE88" s="274"/>
      <c r="AF88" s="274"/>
      <c r="AG88" s="274"/>
      <c r="AH88" s="274"/>
      <c r="AI88" s="274"/>
      <c r="AJ88" s="274"/>
      <c r="AK88" s="274"/>
      <c r="AL88" s="274"/>
      <c r="AM88" s="274"/>
      <c r="AN88" s="274"/>
      <c r="AO88" s="274"/>
      <c r="AP88" s="274"/>
      <c r="AQ88" s="274"/>
      <c r="AR88" s="274"/>
      <c r="AS88" s="274"/>
      <c r="AT88" s="274"/>
      <c r="AU88" s="274"/>
      <c r="AV88" s="274"/>
      <c r="AW88" s="274"/>
    </row>
    <row r="89" ht="12.0" customHeight="1">
      <c r="A89" s="274"/>
      <c r="B89" s="274"/>
      <c r="C89" s="274"/>
      <c r="D89" s="274"/>
      <c r="E89" s="274"/>
      <c r="F89" s="275"/>
      <c r="G89" s="276"/>
      <c r="H89" s="276"/>
      <c r="I89" s="276"/>
      <c r="J89" s="276"/>
      <c r="K89" s="276"/>
      <c r="L89" s="276"/>
      <c r="M89" s="276"/>
      <c r="N89" s="276"/>
      <c r="O89" s="276"/>
      <c r="P89" s="276"/>
      <c r="Q89" s="276"/>
      <c r="R89" s="276"/>
      <c r="S89" s="328"/>
      <c r="T89" s="274"/>
      <c r="U89" s="274"/>
      <c r="V89" s="274"/>
      <c r="W89" s="274"/>
      <c r="X89" s="274"/>
      <c r="Y89" s="274"/>
      <c r="Z89" s="274"/>
      <c r="AA89" s="274"/>
      <c r="AB89" s="274"/>
      <c r="AC89" s="274"/>
      <c r="AD89" s="274"/>
      <c r="AE89" s="274"/>
      <c r="AF89" s="274"/>
      <c r="AG89" s="274"/>
      <c r="AH89" s="274"/>
      <c r="AI89" s="274"/>
      <c r="AJ89" s="274"/>
      <c r="AK89" s="274"/>
      <c r="AL89" s="274"/>
      <c r="AM89" s="274"/>
      <c r="AN89" s="274"/>
      <c r="AO89" s="274"/>
      <c r="AP89" s="274"/>
      <c r="AQ89" s="274"/>
      <c r="AR89" s="274"/>
      <c r="AS89" s="274"/>
      <c r="AT89" s="274"/>
      <c r="AU89" s="274"/>
      <c r="AV89" s="274"/>
      <c r="AW89" s="274"/>
    </row>
    <row r="90" ht="12.0" customHeight="1">
      <c r="A90" s="274"/>
      <c r="B90" s="274"/>
      <c r="C90" s="274"/>
      <c r="D90" s="274"/>
      <c r="E90" s="274"/>
      <c r="F90" s="275"/>
      <c r="G90" s="276"/>
      <c r="H90" s="276"/>
      <c r="I90" s="276"/>
      <c r="J90" s="276"/>
      <c r="K90" s="276"/>
      <c r="L90" s="276"/>
      <c r="M90" s="276"/>
      <c r="N90" s="276"/>
      <c r="O90" s="276"/>
      <c r="P90" s="276"/>
      <c r="Q90" s="276"/>
      <c r="R90" s="276"/>
      <c r="S90" s="328"/>
      <c r="T90" s="274"/>
      <c r="U90" s="274"/>
      <c r="V90" s="274"/>
      <c r="W90" s="274"/>
      <c r="X90" s="274"/>
      <c r="Y90" s="274"/>
      <c r="Z90" s="274"/>
      <c r="AA90" s="274"/>
      <c r="AB90" s="274"/>
      <c r="AC90" s="274"/>
      <c r="AD90" s="274"/>
      <c r="AE90" s="274"/>
      <c r="AF90" s="274"/>
      <c r="AG90" s="274"/>
      <c r="AH90" s="274"/>
      <c r="AI90" s="274"/>
      <c r="AJ90" s="274"/>
      <c r="AK90" s="274"/>
      <c r="AL90" s="274"/>
      <c r="AM90" s="274"/>
      <c r="AN90" s="274"/>
      <c r="AO90" s="274"/>
      <c r="AP90" s="274"/>
      <c r="AQ90" s="274"/>
      <c r="AR90" s="274"/>
      <c r="AS90" s="274"/>
      <c r="AT90" s="274"/>
      <c r="AU90" s="274"/>
      <c r="AV90" s="274"/>
      <c r="AW90" s="274"/>
    </row>
    <row r="91" ht="12.0" customHeight="1">
      <c r="A91" s="274"/>
      <c r="B91" s="274"/>
      <c r="C91" s="274"/>
      <c r="D91" s="274"/>
      <c r="E91" s="274"/>
      <c r="F91" s="275"/>
      <c r="G91" s="276"/>
      <c r="H91" s="276"/>
      <c r="I91" s="276"/>
      <c r="J91" s="276"/>
      <c r="K91" s="276"/>
      <c r="L91" s="276"/>
      <c r="M91" s="276"/>
      <c r="N91" s="276"/>
      <c r="O91" s="276"/>
      <c r="P91" s="276"/>
      <c r="Q91" s="276"/>
      <c r="R91" s="276"/>
      <c r="S91" s="328"/>
      <c r="T91" s="274"/>
      <c r="U91" s="274"/>
      <c r="V91" s="274"/>
      <c r="W91" s="274"/>
      <c r="X91" s="274"/>
      <c r="Y91" s="274"/>
      <c r="Z91" s="274"/>
      <c r="AA91" s="274"/>
      <c r="AB91" s="274"/>
      <c r="AC91" s="274"/>
      <c r="AD91" s="274"/>
      <c r="AE91" s="274"/>
      <c r="AF91" s="274"/>
      <c r="AG91" s="274"/>
      <c r="AH91" s="274"/>
      <c r="AI91" s="274"/>
      <c r="AJ91" s="274"/>
      <c r="AK91" s="274"/>
      <c r="AL91" s="274"/>
      <c r="AM91" s="274"/>
      <c r="AN91" s="274"/>
      <c r="AO91" s="274"/>
      <c r="AP91" s="274"/>
      <c r="AQ91" s="274"/>
      <c r="AR91" s="274"/>
      <c r="AS91" s="274"/>
      <c r="AT91" s="274"/>
      <c r="AU91" s="274"/>
      <c r="AV91" s="274"/>
      <c r="AW91" s="274"/>
    </row>
    <row r="92" ht="12.0" customHeight="1">
      <c r="A92" s="274"/>
      <c r="B92" s="274"/>
      <c r="C92" s="274"/>
      <c r="D92" s="274"/>
      <c r="E92" s="274"/>
      <c r="F92" s="275"/>
      <c r="G92" s="276"/>
      <c r="H92" s="276"/>
      <c r="I92" s="276"/>
      <c r="J92" s="276"/>
      <c r="K92" s="276"/>
      <c r="L92" s="276"/>
      <c r="M92" s="276"/>
      <c r="N92" s="276"/>
      <c r="O92" s="276"/>
      <c r="P92" s="276"/>
      <c r="Q92" s="276"/>
      <c r="R92" s="276"/>
      <c r="S92" s="328"/>
      <c r="T92" s="274"/>
      <c r="U92" s="274"/>
      <c r="V92" s="274"/>
      <c r="W92" s="274"/>
      <c r="X92" s="274"/>
      <c r="Y92" s="274"/>
      <c r="Z92" s="274"/>
      <c r="AA92" s="274"/>
      <c r="AB92" s="274"/>
      <c r="AC92" s="274"/>
      <c r="AD92" s="274"/>
      <c r="AE92" s="274"/>
      <c r="AF92" s="274"/>
      <c r="AG92" s="274"/>
      <c r="AH92" s="274"/>
      <c r="AI92" s="274"/>
      <c r="AJ92" s="274"/>
      <c r="AK92" s="274"/>
      <c r="AL92" s="274"/>
      <c r="AM92" s="274"/>
      <c r="AN92" s="274"/>
      <c r="AO92" s="274"/>
      <c r="AP92" s="274"/>
      <c r="AQ92" s="274"/>
      <c r="AR92" s="274"/>
      <c r="AS92" s="274"/>
      <c r="AT92" s="274"/>
      <c r="AU92" s="274"/>
      <c r="AV92" s="274"/>
      <c r="AW92" s="274"/>
    </row>
    <row r="93" ht="12.0" customHeight="1">
      <c r="A93" s="274"/>
      <c r="B93" s="274"/>
      <c r="C93" s="274"/>
      <c r="D93" s="274"/>
      <c r="E93" s="274"/>
      <c r="F93" s="275"/>
      <c r="G93" s="276"/>
      <c r="H93" s="276"/>
      <c r="I93" s="276"/>
      <c r="J93" s="276"/>
      <c r="K93" s="276"/>
      <c r="L93" s="276"/>
      <c r="M93" s="276"/>
      <c r="N93" s="276"/>
      <c r="O93" s="276"/>
      <c r="P93" s="276"/>
      <c r="Q93" s="276"/>
      <c r="R93" s="276"/>
      <c r="S93" s="328"/>
      <c r="T93" s="274"/>
      <c r="U93" s="274"/>
      <c r="V93" s="274"/>
      <c r="W93" s="274"/>
      <c r="X93" s="274"/>
      <c r="Y93" s="274"/>
      <c r="Z93" s="274"/>
      <c r="AA93" s="274"/>
      <c r="AB93" s="274"/>
      <c r="AC93" s="274"/>
      <c r="AD93" s="274"/>
      <c r="AE93" s="274"/>
      <c r="AF93" s="274"/>
      <c r="AG93" s="274"/>
      <c r="AH93" s="274"/>
      <c r="AI93" s="274"/>
      <c r="AJ93" s="274"/>
      <c r="AK93" s="274"/>
      <c r="AL93" s="274"/>
      <c r="AM93" s="274"/>
      <c r="AN93" s="274"/>
      <c r="AO93" s="274"/>
      <c r="AP93" s="274"/>
      <c r="AQ93" s="274"/>
      <c r="AR93" s="274"/>
      <c r="AS93" s="274"/>
      <c r="AT93" s="274"/>
      <c r="AU93" s="274"/>
      <c r="AV93" s="274"/>
      <c r="AW93" s="274"/>
    </row>
    <row r="94" ht="12.0" customHeight="1">
      <c r="A94" s="274"/>
      <c r="B94" s="274"/>
      <c r="C94" s="274"/>
      <c r="D94" s="274"/>
      <c r="E94" s="274"/>
      <c r="F94" s="275"/>
      <c r="G94" s="276"/>
      <c r="H94" s="276"/>
      <c r="I94" s="276"/>
      <c r="J94" s="276"/>
      <c r="K94" s="276"/>
      <c r="L94" s="276"/>
      <c r="M94" s="276"/>
      <c r="N94" s="276"/>
      <c r="O94" s="276"/>
      <c r="P94" s="276"/>
      <c r="Q94" s="276"/>
      <c r="R94" s="276"/>
      <c r="S94" s="328"/>
      <c r="T94" s="274"/>
      <c r="U94" s="274"/>
      <c r="V94" s="274"/>
      <c r="W94" s="274"/>
      <c r="X94" s="274"/>
      <c r="Y94" s="274"/>
      <c r="Z94" s="274"/>
      <c r="AA94" s="274"/>
      <c r="AB94" s="274"/>
      <c r="AC94" s="274"/>
      <c r="AD94" s="274"/>
      <c r="AE94" s="274"/>
      <c r="AF94" s="274"/>
      <c r="AG94" s="274"/>
      <c r="AH94" s="274"/>
      <c r="AI94" s="274"/>
      <c r="AJ94" s="274"/>
      <c r="AK94" s="274"/>
      <c r="AL94" s="274"/>
      <c r="AM94" s="274"/>
      <c r="AN94" s="274"/>
      <c r="AO94" s="274"/>
      <c r="AP94" s="274"/>
      <c r="AQ94" s="274"/>
      <c r="AR94" s="274"/>
      <c r="AS94" s="274"/>
      <c r="AT94" s="274"/>
      <c r="AU94" s="274"/>
      <c r="AV94" s="274"/>
      <c r="AW94" s="274"/>
    </row>
    <row r="95" ht="12.0" customHeight="1">
      <c r="A95" s="274"/>
      <c r="B95" s="274"/>
      <c r="C95" s="274"/>
      <c r="D95" s="274"/>
      <c r="E95" s="274"/>
      <c r="F95" s="275"/>
      <c r="G95" s="276"/>
      <c r="H95" s="276"/>
      <c r="I95" s="276"/>
      <c r="J95" s="276"/>
      <c r="K95" s="276"/>
      <c r="L95" s="276"/>
      <c r="M95" s="276"/>
      <c r="N95" s="276"/>
      <c r="O95" s="276"/>
      <c r="P95" s="276"/>
      <c r="Q95" s="276"/>
      <c r="R95" s="276"/>
      <c r="S95" s="328"/>
      <c r="T95" s="274"/>
      <c r="U95" s="274"/>
      <c r="V95" s="274"/>
      <c r="W95" s="274"/>
      <c r="X95" s="274"/>
      <c r="Y95" s="274"/>
      <c r="Z95" s="274"/>
      <c r="AA95" s="274"/>
      <c r="AB95" s="274"/>
      <c r="AC95" s="274"/>
      <c r="AD95" s="274"/>
      <c r="AE95" s="274"/>
      <c r="AF95" s="274"/>
      <c r="AG95" s="274"/>
      <c r="AH95" s="274"/>
      <c r="AI95" s="274"/>
      <c r="AJ95" s="274"/>
      <c r="AK95" s="274"/>
      <c r="AL95" s="274"/>
      <c r="AM95" s="274"/>
      <c r="AN95" s="274"/>
      <c r="AO95" s="274"/>
      <c r="AP95" s="274"/>
      <c r="AQ95" s="274"/>
      <c r="AR95" s="274"/>
      <c r="AS95" s="274"/>
      <c r="AT95" s="274"/>
      <c r="AU95" s="274"/>
      <c r="AV95" s="274"/>
      <c r="AW95" s="274"/>
    </row>
    <row r="96" ht="12.0" customHeight="1">
      <c r="A96" s="274"/>
      <c r="B96" s="274"/>
      <c r="C96" s="274"/>
      <c r="D96" s="274"/>
      <c r="E96" s="274"/>
      <c r="F96" s="275"/>
      <c r="G96" s="276"/>
      <c r="H96" s="276"/>
      <c r="I96" s="276"/>
      <c r="J96" s="276"/>
      <c r="K96" s="276"/>
      <c r="L96" s="276"/>
      <c r="M96" s="276"/>
      <c r="N96" s="276"/>
      <c r="O96" s="276"/>
      <c r="P96" s="276"/>
      <c r="Q96" s="276"/>
      <c r="R96" s="276"/>
      <c r="S96" s="328"/>
      <c r="T96" s="274"/>
      <c r="U96" s="274"/>
      <c r="V96" s="274"/>
      <c r="W96" s="274"/>
      <c r="X96" s="274"/>
      <c r="Y96" s="274"/>
      <c r="Z96" s="274"/>
      <c r="AA96" s="274"/>
      <c r="AB96" s="274"/>
      <c r="AC96" s="274"/>
      <c r="AD96" s="274"/>
      <c r="AE96" s="274"/>
      <c r="AF96" s="274"/>
      <c r="AG96" s="274"/>
      <c r="AH96" s="274"/>
      <c r="AI96" s="274"/>
      <c r="AJ96" s="274"/>
      <c r="AK96" s="274"/>
      <c r="AL96" s="274"/>
      <c r="AM96" s="274"/>
      <c r="AN96" s="274"/>
      <c r="AO96" s="274"/>
      <c r="AP96" s="274"/>
      <c r="AQ96" s="274"/>
      <c r="AR96" s="274"/>
      <c r="AS96" s="274"/>
      <c r="AT96" s="274"/>
      <c r="AU96" s="274"/>
      <c r="AV96" s="274"/>
      <c r="AW96" s="274"/>
    </row>
    <row r="97" ht="12.0" customHeight="1">
      <c r="A97" s="274"/>
      <c r="B97" s="274"/>
      <c r="C97" s="274"/>
      <c r="D97" s="274"/>
      <c r="E97" s="274"/>
      <c r="F97" s="275"/>
      <c r="G97" s="276"/>
      <c r="H97" s="276"/>
      <c r="I97" s="276"/>
      <c r="J97" s="276"/>
      <c r="K97" s="276"/>
      <c r="L97" s="276"/>
      <c r="M97" s="276"/>
      <c r="N97" s="276"/>
      <c r="O97" s="276"/>
      <c r="P97" s="276"/>
      <c r="Q97" s="276"/>
      <c r="R97" s="276"/>
      <c r="S97" s="328"/>
      <c r="T97" s="274"/>
      <c r="U97" s="274"/>
      <c r="V97" s="274"/>
      <c r="W97" s="274"/>
      <c r="X97" s="274"/>
      <c r="Y97" s="274"/>
      <c r="Z97" s="274"/>
      <c r="AA97" s="274"/>
      <c r="AB97" s="274"/>
      <c r="AC97" s="274"/>
      <c r="AD97" s="274"/>
      <c r="AE97" s="274"/>
      <c r="AF97" s="274"/>
      <c r="AG97" s="274"/>
      <c r="AH97" s="274"/>
      <c r="AI97" s="274"/>
      <c r="AJ97" s="274"/>
      <c r="AK97" s="274"/>
      <c r="AL97" s="274"/>
      <c r="AM97" s="274"/>
      <c r="AN97" s="274"/>
      <c r="AO97" s="274"/>
      <c r="AP97" s="274"/>
      <c r="AQ97" s="274"/>
      <c r="AR97" s="274"/>
      <c r="AS97" s="274"/>
      <c r="AT97" s="274"/>
      <c r="AU97" s="274"/>
      <c r="AV97" s="274"/>
      <c r="AW97" s="274"/>
    </row>
    <row r="98" ht="12.0" customHeight="1">
      <c r="A98" s="274"/>
      <c r="B98" s="274"/>
      <c r="C98" s="274"/>
      <c r="D98" s="274"/>
      <c r="E98" s="274"/>
      <c r="F98" s="275"/>
      <c r="G98" s="276"/>
      <c r="H98" s="276"/>
      <c r="I98" s="276"/>
      <c r="J98" s="276"/>
      <c r="K98" s="276"/>
      <c r="L98" s="276"/>
      <c r="M98" s="276"/>
      <c r="N98" s="276"/>
      <c r="O98" s="276"/>
      <c r="P98" s="276"/>
      <c r="Q98" s="276"/>
      <c r="R98" s="276"/>
      <c r="S98" s="328"/>
      <c r="T98" s="274"/>
      <c r="U98" s="274"/>
      <c r="V98" s="274"/>
      <c r="W98" s="274"/>
      <c r="X98" s="274"/>
      <c r="Y98" s="274"/>
      <c r="Z98" s="274"/>
      <c r="AA98" s="274"/>
      <c r="AB98" s="274"/>
      <c r="AC98" s="274"/>
      <c r="AD98" s="274"/>
      <c r="AE98" s="274"/>
      <c r="AF98" s="274"/>
      <c r="AG98" s="274"/>
      <c r="AH98" s="274"/>
      <c r="AI98" s="274"/>
      <c r="AJ98" s="274"/>
      <c r="AK98" s="274"/>
      <c r="AL98" s="274"/>
      <c r="AM98" s="274"/>
      <c r="AN98" s="274"/>
      <c r="AO98" s="274"/>
      <c r="AP98" s="274"/>
      <c r="AQ98" s="274"/>
      <c r="AR98" s="274"/>
      <c r="AS98" s="274"/>
      <c r="AT98" s="274"/>
      <c r="AU98" s="274"/>
      <c r="AV98" s="274"/>
      <c r="AW98" s="274"/>
    </row>
    <row r="99" ht="12.0" customHeight="1">
      <c r="A99" s="274"/>
      <c r="B99" s="274"/>
      <c r="C99" s="274"/>
      <c r="D99" s="274"/>
      <c r="E99" s="274"/>
      <c r="F99" s="275"/>
      <c r="G99" s="276"/>
      <c r="H99" s="276"/>
      <c r="I99" s="276"/>
      <c r="J99" s="276"/>
      <c r="K99" s="276"/>
      <c r="L99" s="276"/>
      <c r="M99" s="276"/>
      <c r="N99" s="276"/>
      <c r="O99" s="276"/>
      <c r="P99" s="276"/>
      <c r="Q99" s="276"/>
      <c r="R99" s="276"/>
      <c r="S99" s="328"/>
      <c r="T99" s="274"/>
      <c r="U99" s="274"/>
      <c r="V99" s="274"/>
      <c r="W99" s="274"/>
      <c r="X99" s="274"/>
      <c r="Y99" s="274"/>
      <c r="Z99" s="274"/>
      <c r="AA99" s="274"/>
      <c r="AB99" s="274"/>
      <c r="AC99" s="274"/>
      <c r="AD99" s="274"/>
      <c r="AE99" s="274"/>
      <c r="AF99" s="274"/>
      <c r="AG99" s="274"/>
      <c r="AH99" s="274"/>
      <c r="AI99" s="274"/>
      <c r="AJ99" s="274"/>
      <c r="AK99" s="274"/>
      <c r="AL99" s="274"/>
      <c r="AM99" s="274"/>
      <c r="AN99" s="274"/>
      <c r="AO99" s="274"/>
      <c r="AP99" s="274"/>
      <c r="AQ99" s="274"/>
      <c r="AR99" s="274"/>
      <c r="AS99" s="274"/>
      <c r="AT99" s="274"/>
      <c r="AU99" s="274"/>
      <c r="AV99" s="274"/>
      <c r="AW99" s="274"/>
    </row>
    <row r="100" ht="12.0" customHeight="1">
      <c r="A100" s="274"/>
      <c r="B100" s="274"/>
      <c r="C100" s="274"/>
      <c r="D100" s="274"/>
      <c r="E100" s="274"/>
      <c r="F100" s="275"/>
      <c r="G100" s="276"/>
      <c r="H100" s="276"/>
      <c r="I100" s="276"/>
      <c r="J100" s="276"/>
      <c r="K100" s="276"/>
      <c r="L100" s="276"/>
      <c r="M100" s="276"/>
      <c r="N100" s="276"/>
      <c r="O100" s="276"/>
      <c r="P100" s="276"/>
      <c r="Q100" s="276"/>
      <c r="R100" s="276"/>
      <c r="S100" s="328"/>
      <c r="T100" s="274"/>
      <c r="U100" s="274"/>
      <c r="V100" s="274"/>
      <c r="W100" s="274"/>
      <c r="X100" s="274"/>
      <c r="Y100" s="274"/>
      <c r="Z100" s="274"/>
      <c r="AA100" s="274"/>
      <c r="AB100" s="274"/>
      <c r="AC100" s="274"/>
      <c r="AD100" s="274"/>
      <c r="AE100" s="274"/>
      <c r="AF100" s="274"/>
      <c r="AG100" s="274"/>
      <c r="AH100" s="274"/>
      <c r="AI100" s="274"/>
      <c r="AJ100" s="274"/>
      <c r="AK100" s="274"/>
      <c r="AL100" s="274"/>
      <c r="AM100" s="274"/>
      <c r="AN100" s="274"/>
      <c r="AO100" s="274"/>
      <c r="AP100" s="274"/>
      <c r="AQ100" s="274"/>
      <c r="AR100" s="274"/>
      <c r="AS100" s="274"/>
      <c r="AT100" s="274"/>
      <c r="AU100" s="274"/>
      <c r="AV100" s="274"/>
      <c r="AW100" s="274"/>
    </row>
    <row r="101" ht="12.0" customHeight="1">
      <c r="A101" s="274"/>
      <c r="B101" s="274"/>
      <c r="C101" s="274"/>
      <c r="D101" s="274"/>
      <c r="E101" s="274"/>
      <c r="F101" s="275"/>
      <c r="G101" s="276"/>
      <c r="H101" s="276"/>
      <c r="I101" s="276"/>
      <c r="J101" s="276"/>
      <c r="K101" s="276"/>
      <c r="L101" s="276"/>
      <c r="M101" s="276"/>
      <c r="N101" s="276"/>
      <c r="O101" s="276"/>
      <c r="P101" s="276"/>
      <c r="Q101" s="276"/>
      <c r="R101" s="276"/>
      <c r="S101" s="328"/>
      <c r="T101" s="274"/>
      <c r="U101" s="274"/>
      <c r="V101" s="274"/>
      <c r="W101" s="274"/>
      <c r="X101" s="274"/>
      <c r="Y101" s="274"/>
      <c r="Z101" s="274"/>
      <c r="AA101" s="274"/>
      <c r="AB101" s="274"/>
      <c r="AC101" s="274"/>
      <c r="AD101" s="274"/>
      <c r="AE101" s="274"/>
      <c r="AF101" s="274"/>
      <c r="AG101" s="274"/>
      <c r="AH101" s="274"/>
      <c r="AI101" s="274"/>
      <c r="AJ101" s="274"/>
      <c r="AK101" s="274"/>
      <c r="AL101" s="274"/>
      <c r="AM101" s="274"/>
      <c r="AN101" s="274"/>
      <c r="AO101" s="274"/>
      <c r="AP101" s="274"/>
      <c r="AQ101" s="274"/>
      <c r="AR101" s="274"/>
      <c r="AS101" s="274"/>
      <c r="AT101" s="274"/>
      <c r="AU101" s="274"/>
      <c r="AV101" s="274"/>
      <c r="AW101" s="274"/>
    </row>
    <row r="102" ht="12.0" customHeight="1">
      <c r="A102" s="274"/>
      <c r="B102" s="274"/>
      <c r="C102" s="274"/>
      <c r="D102" s="274"/>
      <c r="E102" s="274"/>
      <c r="F102" s="275"/>
      <c r="G102" s="276"/>
      <c r="H102" s="276"/>
      <c r="I102" s="276"/>
      <c r="J102" s="276"/>
      <c r="K102" s="276"/>
      <c r="L102" s="276"/>
      <c r="M102" s="276"/>
      <c r="N102" s="276"/>
      <c r="O102" s="276"/>
      <c r="P102" s="276"/>
      <c r="Q102" s="276"/>
      <c r="R102" s="276"/>
      <c r="S102" s="328"/>
      <c r="T102" s="274"/>
      <c r="U102" s="274"/>
      <c r="V102" s="274"/>
      <c r="W102" s="274"/>
      <c r="X102" s="274"/>
      <c r="Y102" s="274"/>
      <c r="Z102" s="274"/>
      <c r="AA102" s="274"/>
      <c r="AB102" s="274"/>
      <c r="AC102" s="274"/>
      <c r="AD102" s="274"/>
      <c r="AE102" s="274"/>
      <c r="AF102" s="274"/>
      <c r="AG102" s="274"/>
      <c r="AH102" s="274"/>
      <c r="AI102" s="274"/>
      <c r="AJ102" s="274"/>
      <c r="AK102" s="274"/>
      <c r="AL102" s="274"/>
      <c r="AM102" s="274"/>
      <c r="AN102" s="274"/>
      <c r="AO102" s="274"/>
      <c r="AP102" s="274"/>
      <c r="AQ102" s="274"/>
      <c r="AR102" s="274"/>
      <c r="AS102" s="274"/>
      <c r="AT102" s="274"/>
      <c r="AU102" s="274"/>
      <c r="AV102" s="274"/>
      <c r="AW102" s="274"/>
    </row>
    <row r="103" ht="12.0" customHeight="1">
      <c r="A103" s="274"/>
      <c r="B103" s="274"/>
      <c r="C103" s="274"/>
      <c r="D103" s="274"/>
      <c r="E103" s="274"/>
      <c r="F103" s="275"/>
      <c r="G103" s="276"/>
      <c r="H103" s="276"/>
      <c r="I103" s="276"/>
      <c r="J103" s="276"/>
      <c r="K103" s="276"/>
      <c r="L103" s="276"/>
      <c r="M103" s="276"/>
      <c r="N103" s="276"/>
      <c r="O103" s="276"/>
      <c r="P103" s="276"/>
      <c r="Q103" s="276"/>
      <c r="R103" s="276"/>
      <c r="S103" s="328"/>
      <c r="T103" s="274"/>
      <c r="U103" s="274"/>
      <c r="V103" s="274"/>
      <c r="W103" s="274"/>
      <c r="X103" s="274"/>
      <c r="Y103" s="274"/>
      <c r="Z103" s="274"/>
      <c r="AA103" s="274"/>
      <c r="AB103" s="274"/>
      <c r="AC103" s="274"/>
      <c r="AD103" s="274"/>
      <c r="AE103" s="274"/>
      <c r="AF103" s="274"/>
      <c r="AG103" s="274"/>
      <c r="AH103" s="274"/>
      <c r="AI103" s="274"/>
      <c r="AJ103" s="274"/>
      <c r="AK103" s="274"/>
      <c r="AL103" s="274"/>
      <c r="AM103" s="274"/>
      <c r="AN103" s="274"/>
      <c r="AO103" s="274"/>
      <c r="AP103" s="274"/>
      <c r="AQ103" s="274"/>
      <c r="AR103" s="274"/>
      <c r="AS103" s="274"/>
      <c r="AT103" s="274"/>
      <c r="AU103" s="274"/>
      <c r="AV103" s="274"/>
      <c r="AW103" s="274"/>
    </row>
    <row r="104" ht="12.0" customHeight="1">
      <c r="A104" s="274"/>
      <c r="B104" s="274"/>
      <c r="C104" s="274"/>
      <c r="D104" s="274"/>
      <c r="E104" s="274"/>
      <c r="F104" s="275"/>
      <c r="G104" s="276"/>
      <c r="H104" s="276"/>
      <c r="I104" s="276"/>
      <c r="J104" s="276"/>
      <c r="K104" s="276"/>
      <c r="L104" s="276"/>
      <c r="M104" s="276"/>
      <c r="N104" s="276"/>
      <c r="O104" s="276"/>
      <c r="P104" s="276"/>
      <c r="Q104" s="276"/>
      <c r="R104" s="276"/>
      <c r="S104" s="328"/>
      <c r="T104" s="274"/>
      <c r="U104" s="274"/>
      <c r="V104" s="274"/>
      <c r="W104" s="274"/>
      <c r="X104" s="274"/>
      <c r="Y104" s="274"/>
      <c r="Z104" s="274"/>
      <c r="AA104" s="274"/>
      <c r="AB104" s="274"/>
      <c r="AC104" s="274"/>
      <c r="AD104" s="274"/>
      <c r="AE104" s="274"/>
      <c r="AF104" s="274"/>
      <c r="AG104" s="274"/>
      <c r="AH104" s="274"/>
      <c r="AI104" s="274"/>
      <c r="AJ104" s="274"/>
      <c r="AK104" s="274"/>
      <c r="AL104" s="274"/>
      <c r="AM104" s="274"/>
      <c r="AN104" s="274"/>
      <c r="AO104" s="274"/>
      <c r="AP104" s="274"/>
      <c r="AQ104" s="274"/>
      <c r="AR104" s="274"/>
      <c r="AS104" s="274"/>
      <c r="AT104" s="274"/>
      <c r="AU104" s="274"/>
      <c r="AV104" s="274"/>
      <c r="AW104" s="274"/>
    </row>
    <row r="105" ht="12.0" customHeight="1">
      <c r="A105" s="274"/>
      <c r="B105" s="274"/>
      <c r="C105" s="274"/>
      <c r="D105" s="274"/>
      <c r="E105" s="274"/>
      <c r="F105" s="275"/>
      <c r="G105" s="276"/>
      <c r="H105" s="276"/>
      <c r="I105" s="276"/>
      <c r="J105" s="276"/>
      <c r="K105" s="276"/>
      <c r="L105" s="276"/>
      <c r="M105" s="276"/>
      <c r="N105" s="276"/>
      <c r="O105" s="276"/>
      <c r="P105" s="276"/>
      <c r="Q105" s="276"/>
      <c r="R105" s="276"/>
      <c r="S105" s="328"/>
      <c r="T105" s="274"/>
      <c r="U105" s="274"/>
      <c r="V105" s="274"/>
      <c r="W105" s="274"/>
      <c r="X105" s="274"/>
      <c r="Y105" s="274"/>
      <c r="Z105" s="274"/>
      <c r="AA105" s="274"/>
      <c r="AB105" s="274"/>
      <c r="AC105" s="274"/>
      <c r="AD105" s="274"/>
      <c r="AE105" s="274"/>
      <c r="AF105" s="274"/>
      <c r="AG105" s="274"/>
      <c r="AH105" s="274"/>
      <c r="AI105" s="274"/>
      <c r="AJ105" s="274"/>
      <c r="AK105" s="274"/>
      <c r="AL105" s="274"/>
      <c r="AM105" s="274"/>
      <c r="AN105" s="274"/>
      <c r="AO105" s="274"/>
      <c r="AP105" s="274"/>
      <c r="AQ105" s="274"/>
      <c r="AR105" s="274"/>
      <c r="AS105" s="274"/>
      <c r="AT105" s="274"/>
      <c r="AU105" s="274"/>
      <c r="AV105" s="274"/>
      <c r="AW105" s="274"/>
    </row>
    <row r="106" ht="12.0" customHeight="1">
      <c r="A106" s="274"/>
      <c r="B106" s="274"/>
      <c r="C106" s="274"/>
      <c r="D106" s="274"/>
      <c r="E106" s="274"/>
      <c r="F106" s="275"/>
      <c r="G106" s="276"/>
      <c r="H106" s="276"/>
      <c r="I106" s="276"/>
      <c r="J106" s="276"/>
      <c r="K106" s="276"/>
      <c r="L106" s="276"/>
      <c r="M106" s="276"/>
      <c r="N106" s="276"/>
      <c r="O106" s="276"/>
      <c r="P106" s="276"/>
      <c r="Q106" s="276"/>
      <c r="R106" s="276"/>
      <c r="S106" s="328"/>
      <c r="T106" s="274"/>
      <c r="U106" s="274"/>
      <c r="V106" s="274"/>
      <c r="W106" s="274"/>
      <c r="X106" s="274"/>
      <c r="Y106" s="274"/>
      <c r="Z106" s="274"/>
      <c r="AA106" s="274"/>
      <c r="AB106" s="274"/>
      <c r="AC106" s="274"/>
      <c r="AD106" s="274"/>
      <c r="AE106" s="274"/>
      <c r="AF106" s="274"/>
      <c r="AG106" s="274"/>
      <c r="AH106" s="274"/>
      <c r="AI106" s="274"/>
      <c r="AJ106" s="274"/>
      <c r="AK106" s="274"/>
      <c r="AL106" s="274"/>
      <c r="AM106" s="274"/>
      <c r="AN106" s="274"/>
      <c r="AO106" s="274"/>
      <c r="AP106" s="274"/>
      <c r="AQ106" s="274"/>
      <c r="AR106" s="274"/>
      <c r="AS106" s="274"/>
      <c r="AT106" s="274"/>
      <c r="AU106" s="274"/>
      <c r="AV106" s="274"/>
      <c r="AW106" s="274"/>
    </row>
    <row r="107" ht="12.0" customHeight="1">
      <c r="A107" s="274"/>
      <c r="B107" s="274"/>
      <c r="C107" s="274"/>
      <c r="D107" s="274"/>
      <c r="E107" s="274"/>
      <c r="F107" s="275"/>
      <c r="G107" s="276"/>
      <c r="H107" s="276"/>
      <c r="I107" s="276"/>
      <c r="J107" s="276"/>
      <c r="K107" s="276"/>
      <c r="L107" s="276"/>
      <c r="M107" s="276"/>
      <c r="N107" s="276"/>
      <c r="O107" s="276"/>
      <c r="P107" s="276"/>
      <c r="Q107" s="276"/>
      <c r="R107" s="276"/>
      <c r="S107" s="328"/>
      <c r="T107" s="274"/>
      <c r="U107" s="274"/>
      <c r="V107" s="274"/>
      <c r="W107" s="274"/>
      <c r="X107" s="274"/>
      <c r="Y107" s="274"/>
      <c r="Z107" s="274"/>
      <c r="AA107" s="274"/>
      <c r="AB107" s="274"/>
      <c r="AC107" s="274"/>
      <c r="AD107" s="274"/>
      <c r="AE107" s="274"/>
      <c r="AF107" s="274"/>
      <c r="AG107" s="274"/>
      <c r="AH107" s="274"/>
      <c r="AI107" s="274"/>
      <c r="AJ107" s="274"/>
      <c r="AK107" s="274"/>
      <c r="AL107" s="274"/>
      <c r="AM107" s="274"/>
      <c r="AN107" s="274"/>
      <c r="AO107" s="274"/>
      <c r="AP107" s="274"/>
      <c r="AQ107" s="274"/>
      <c r="AR107" s="274"/>
      <c r="AS107" s="274"/>
      <c r="AT107" s="274"/>
      <c r="AU107" s="274"/>
      <c r="AV107" s="274"/>
      <c r="AW107" s="274"/>
    </row>
    <row r="108" ht="12.0" customHeight="1">
      <c r="A108" s="274"/>
      <c r="B108" s="274"/>
      <c r="C108" s="274"/>
      <c r="D108" s="274"/>
      <c r="E108" s="274"/>
      <c r="F108" s="275"/>
      <c r="G108" s="276"/>
      <c r="H108" s="276"/>
      <c r="I108" s="276"/>
      <c r="J108" s="276"/>
      <c r="K108" s="276"/>
      <c r="L108" s="276"/>
      <c r="M108" s="276"/>
      <c r="N108" s="276"/>
      <c r="O108" s="276"/>
      <c r="P108" s="276"/>
      <c r="Q108" s="276"/>
      <c r="R108" s="276"/>
      <c r="S108" s="328"/>
      <c r="T108" s="274"/>
      <c r="U108" s="274"/>
      <c r="V108" s="274"/>
      <c r="W108" s="274"/>
      <c r="X108" s="274"/>
      <c r="Y108" s="274"/>
      <c r="Z108" s="274"/>
      <c r="AA108" s="274"/>
      <c r="AB108" s="274"/>
      <c r="AC108" s="274"/>
      <c r="AD108" s="274"/>
      <c r="AE108" s="274"/>
      <c r="AF108" s="274"/>
      <c r="AG108" s="274"/>
      <c r="AH108" s="274"/>
      <c r="AI108" s="274"/>
      <c r="AJ108" s="274"/>
      <c r="AK108" s="274"/>
      <c r="AL108" s="274"/>
      <c r="AM108" s="274"/>
      <c r="AN108" s="274"/>
      <c r="AO108" s="274"/>
      <c r="AP108" s="274"/>
      <c r="AQ108" s="274"/>
      <c r="AR108" s="274"/>
      <c r="AS108" s="274"/>
      <c r="AT108" s="274"/>
      <c r="AU108" s="274"/>
      <c r="AV108" s="274"/>
      <c r="AW108" s="274"/>
    </row>
    <row r="109" ht="12.0" customHeight="1">
      <c r="A109" s="274"/>
      <c r="B109" s="274"/>
      <c r="C109" s="274"/>
      <c r="D109" s="274"/>
      <c r="E109" s="274"/>
      <c r="F109" s="275"/>
      <c r="G109" s="276"/>
      <c r="H109" s="276"/>
      <c r="I109" s="276"/>
      <c r="J109" s="276"/>
      <c r="K109" s="276"/>
      <c r="L109" s="276"/>
      <c r="M109" s="276"/>
      <c r="N109" s="276"/>
      <c r="O109" s="276"/>
      <c r="P109" s="276"/>
      <c r="Q109" s="276"/>
      <c r="R109" s="276"/>
      <c r="S109" s="328"/>
      <c r="T109" s="274"/>
      <c r="U109" s="274"/>
      <c r="V109" s="274"/>
      <c r="W109" s="274"/>
      <c r="X109" s="274"/>
      <c r="Y109" s="274"/>
      <c r="Z109" s="274"/>
      <c r="AA109" s="274"/>
      <c r="AB109" s="274"/>
      <c r="AC109" s="274"/>
      <c r="AD109" s="274"/>
      <c r="AE109" s="274"/>
      <c r="AF109" s="274"/>
      <c r="AG109" s="274"/>
      <c r="AH109" s="274"/>
      <c r="AI109" s="274"/>
      <c r="AJ109" s="274"/>
      <c r="AK109" s="274"/>
      <c r="AL109" s="274"/>
      <c r="AM109" s="274"/>
      <c r="AN109" s="274"/>
      <c r="AO109" s="274"/>
      <c r="AP109" s="274"/>
      <c r="AQ109" s="274"/>
      <c r="AR109" s="274"/>
      <c r="AS109" s="274"/>
      <c r="AT109" s="274"/>
      <c r="AU109" s="274"/>
      <c r="AV109" s="274"/>
      <c r="AW109" s="274"/>
    </row>
    <row r="110" ht="12.0" customHeight="1">
      <c r="A110" s="274"/>
      <c r="B110" s="274"/>
      <c r="C110" s="274"/>
      <c r="D110" s="274"/>
      <c r="E110" s="274"/>
      <c r="F110" s="275"/>
      <c r="G110" s="276"/>
      <c r="H110" s="276"/>
      <c r="I110" s="276"/>
      <c r="J110" s="276"/>
      <c r="K110" s="276"/>
      <c r="L110" s="276"/>
      <c r="M110" s="276"/>
      <c r="N110" s="276"/>
      <c r="O110" s="276"/>
      <c r="P110" s="276"/>
      <c r="Q110" s="276"/>
      <c r="R110" s="276"/>
      <c r="S110" s="328"/>
      <c r="T110" s="274"/>
      <c r="U110" s="274"/>
      <c r="V110" s="274"/>
      <c r="W110" s="274"/>
      <c r="X110" s="274"/>
      <c r="Y110" s="274"/>
      <c r="Z110" s="274"/>
      <c r="AA110" s="274"/>
      <c r="AB110" s="274"/>
      <c r="AC110" s="274"/>
      <c r="AD110" s="274"/>
      <c r="AE110" s="274"/>
      <c r="AF110" s="274"/>
      <c r="AG110" s="274"/>
      <c r="AH110" s="274"/>
      <c r="AI110" s="274"/>
      <c r="AJ110" s="274"/>
      <c r="AK110" s="274"/>
      <c r="AL110" s="274"/>
      <c r="AM110" s="274"/>
      <c r="AN110" s="274"/>
      <c r="AO110" s="274"/>
      <c r="AP110" s="274"/>
      <c r="AQ110" s="274"/>
      <c r="AR110" s="274"/>
      <c r="AS110" s="274"/>
      <c r="AT110" s="274"/>
      <c r="AU110" s="274"/>
      <c r="AV110" s="274"/>
      <c r="AW110" s="274"/>
    </row>
    <row r="111" ht="12.0" customHeight="1">
      <c r="A111" s="274"/>
      <c r="B111" s="274"/>
      <c r="C111" s="274"/>
      <c r="D111" s="274"/>
      <c r="E111" s="274"/>
      <c r="F111" s="275"/>
      <c r="G111" s="276"/>
      <c r="H111" s="276"/>
      <c r="I111" s="276"/>
      <c r="J111" s="276"/>
      <c r="K111" s="276"/>
      <c r="L111" s="276"/>
      <c r="M111" s="276"/>
      <c r="N111" s="276"/>
      <c r="O111" s="276"/>
      <c r="P111" s="276"/>
      <c r="Q111" s="276"/>
      <c r="R111" s="276"/>
      <c r="S111" s="328"/>
      <c r="T111" s="274"/>
      <c r="U111" s="274"/>
      <c r="V111" s="274"/>
      <c r="W111" s="274"/>
      <c r="X111" s="274"/>
      <c r="Y111" s="274"/>
      <c r="Z111" s="274"/>
      <c r="AA111" s="274"/>
      <c r="AB111" s="274"/>
      <c r="AC111" s="274"/>
      <c r="AD111" s="274"/>
      <c r="AE111" s="274"/>
      <c r="AF111" s="274"/>
      <c r="AG111" s="274"/>
      <c r="AH111" s="274"/>
      <c r="AI111" s="274"/>
      <c r="AJ111" s="274"/>
      <c r="AK111" s="274"/>
      <c r="AL111" s="274"/>
      <c r="AM111" s="274"/>
      <c r="AN111" s="274"/>
      <c r="AO111" s="274"/>
      <c r="AP111" s="274"/>
      <c r="AQ111" s="274"/>
      <c r="AR111" s="274"/>
      <c r="AS111" s="274"/>
      <c r="AT111" s="274"/>
      <c r="AU111" s="274"/>
      <c r="AV111" s="274"/>
      <c r="AW111" s="274"/>
    </row>
    <row r="112" ht="12.0" customHeight="1">
      <c r="A112" s="274"/>
      <c r="B112" s="274"/>
      <c r="C112" s="274"/>
      <c r="D112" s="274"/>
      <c r="E112" s="274"/>
      <c r="F112" s="275"/>
      <c r="G112" s="276"/>
      <c r="H112" s="276"/>
      <c r="I112" s="276"/>
      <c r="J112" s="276"/>
      <c r="K112" s="276"/>
      <c r="L112" s="276"/>
      <c r="M112" s="276"/>
      <c r="N112" s="276"/>
      <c r="O112" s="276"/>
      <c r="P112" s="276"/>
      <c r="Q112" s="276"/>
      <c r="R112" s="276"/>
      <c r="S112" s="328"/>
      <c r="T112" s="274"/>
      <c r="U112" s="274"/>
      <c r="V112" s="274"/>
      <c r="W112" s="274"/>
      <c r="X112" s="274"/>
      <c r="Y112" s="274"/>
      <c r="Z112" s="274"/>
      <c r="AA112" s="274"/>
      <c r="AB112" s="274"/>
      <c r="AC112" s="274"/>
      <c r="AD112" s="274"/>
      <c r="AE112" s="274"/>
      <c r="AF112" s="274"/>
      <c r="AG112" s="274"/>
      <c r="AH112" s="274"/>
      <c r="AI112" s="274"/>
      <c r="AJ112" s="274"/>
      <c r="AK112" s="274"/>
      <c r="AL112" s="274"/>
      <c r="AM112" s="274"/>
      <c r="AN112" s="274"/>
      <c r="AO112" s="274"/>
      <c r="AP112" s="274"/>
      <c r="AQ112" s="274"/>
      <c r="AR112" s="274"/>
      <c r="AS112" s="274"/>
      <c r="AT112" s="274"/>
      <c r="AU112" s="274"/>
      <c r="AV112" s="274"/>
      <c r="AW112" s="274"/>
    </row>
    <row r="113" ht="12.0" customHeight="1">
      <c r="A113" s="274"/>
      <c r="B113" s="274"/>
      <c r="C113" s="274"/>
      <c r="D113" s="274"/>
      <c r="E113" s="274"/>
      <c r="F113" s="275"/>
      <c r="G113" s="276"/>
      <c r="H113" s="276"/>
      <c r="I113" s="276"/>
      <c r="J113" s="276"/>
      <c r="K113" s="276"/>
      <c r="L113" s="276"/>
      <c r="M113" s="276"/>
      <c r="N113" s="276"/>
      <c r="O113" s="276"/>
      <c r="P113" s="276"/>
      <c r="Q113" s="276"/>
      <c r="R113" s="276"/>
      <c r="S113" s="328"/>
      <c r="T113" s="274"/>
      <c r="U113" s="274"/>
      <c r="V113" s="274"/>
      <c r="W113" s="274"/>
      <c r="X113" s="274"/>
      <c r="Y113" s="274"/>
      <c r="Z113" s="274"/>
      <c r="AA113" s="274"/>
      <c r="AB113" s="274"/>
      <c r="AC113" s="274"/>
      <c r="AD113" s="274"/>
      <c r="AE113" s="274"/>
      <c r="AF113" s="274"/>
      <c r="AG113" s="274"/>
      <c r="AH113" s="274"/>
      <c r="AI113" s="274"/>
      <c r="AJ113" s="274"/>
      <c r="AK113" s="274"/>
      <c r="AL113" s="274"/>
      <c r="AM113" s="274"/>
      <c r="AN113" s="274"/>
      <c r="AO113" s="274"/>
      <c r="AP113" s="274"/>
      <c r="AQ113" s="274"/>
      <c r="AR113" s="274"/>
      <c r="AS113" s="274"/>
      <c r="AT113" s="274"/>
      <c r="AU113" s="274"/>
      <c r="AV113" s="274"/>
      <c r="AW113" s="274"/>
    </row>
    <row r="114" ht="12.0" customHeight="1">
      <c r="A114" s="274"/>
      <c r="B114" s="274"/>
      <c r="C114" s="274"/>
      <c r="D114" s="274"/>
      <c r="E114" s="274"/>
      <c r="F114" s="275"/>
      <c r="G114" s="276"/>
      <c r="H114" s="276"/>
      <c r="I114" s="276"/>
      <c r="J114" s="276"/>
      <c r="K114" s="276"/>
      <c r="L114" s="276"/>
      <c r="M114" s="276"/>
      <c r="N114" s="276"/>
      <c r="O114" s="276"/>
      <c r="P114" s="276"/>
      <c r="Q114" s="276"/>
      <c r="R114" s="276"/>
      <c r="S114" s="328"/>
      <c r="T114" s="274"/>
      <c r="U114" s="274"/>
      <c r="V114" s="274"/>
      <c r="W114" s="274"/>
      <c r="X114" s="274"/>
      <c r="Y114" s="274"/>
      <c r="Z114" s="274"/>
      <c r="AA114" s="274"/>
      <c r="AB114" s="274"/>
      <c r="AC114" s="274"/>
      <c r="AD114" s="274"/>
      <c r="AE114" s="274"/>
      <c r="AF114" s="274"/>
      <c r="AG114" s="274"/>
      <c r="AH114" s="274"/>
      <c r="AI114" s="274"/>
      <c r="AJ114" s="274"/>
      <c r="AK114" s="274"/>
      <c r="AL114" s="274"/>
      <c r="AM114" s="274"/>
      <c r="AN114" s="274"/>
      <c r="AO114" s="274"/>
      <c r="AP114" s="274"/>
      <c r="AQ114" s="274"/>
      <c r="AR114" s="274"/>
      <c r="AS114" s="274"/>
      <c r="AT114" s="274"/>
      <c r="AU114" s="274"/>
      <c r="AV114" s="274"/>
      <c r="AW114" s="274"/>
    </row>
    <row r="115" ht="12.0" customHeight="1">
      <c r="A115" s="274"/>
      <c r="B115" s="274"/>
      <c r="C115" s="274"/>
      <c r="D115" s="274"/>
      <c r="E115" s="274"/>
      <c r="F115" s="275"/>
      <c r="G115" s="276"/>
      <c r="H115" s="276"/>
      <c r="I115" s="276"/>
      <c r="J115" s="276"/>
      <c r="K115" s="276"/>
      <c r="L115" s="276"/>
      <c r="M115" s="276"/>
      <c r="N115" s="276"/>
      <c r="O115" s="276"/>
      <c r="P115" s="276"/>
      <c r="Q115" s="276"/>
      <c r="R115" s="276"/>
      <c r="S115" s="328"/>
      <c r="T115" s="274"/>
      <c r="U115" s="274"/>
      <c r="V115" s="274"/>
      <c r="W115" s="274"/>
      <c r="X115" s="274"/>
      <c r="Y115" s="274"/>
      <c r="Z115" s="274"/>
      <c r="AA115" s="274"/>
      <c r="AB115" s="274"/>
      <c r="AC115" s="274"/>
      <c r="AD115" s="274"/>
      <c r="AE115" s="274"/>
      <c r="AF115" s="274"/>
      <c r="AG115" s="274"/>
      <c r="AH115" s="274"/>
      <c r="AI115" s="274"/>
      <c r="AJ115" s="274"/>
      <c r="AK115" s="274"/>
      <c r="AL115" s="274"/>
      <c r="AM115" s="274"/>
      <c r="AN115" s="274"/>
      <c r="AO115" s="274"/>
      <c r="AP115" s="274"/>
      <c r="AQ115" s="274"/>
      <c r="AR115" s="274"/>
      <c r="AS115" s="274"/>
      <c r="AT115" s="274"/>
      <c r="AU115" s="274"/>
      <c r="AV115" s="274"/>
      <c r="AW115" s="274"/>
    </row>
    <row r="116" ht="12.0" customHeight="1">
      <c r="A116" s="274"/>
      <c r="B116" s="274"/>
      <c r="C116" s="274"/>
      <c r="D116" s="274"/>
      <c r="E116" s="274"/>
      <c r="F116" s="275"/>
      <c r="G116" s="276"/>
      <c r="H116" s="276"/>
      <c r="I116" s="276"/>
      <c r="J116" s="276"/>
      <c r="K116" s="276"/>
      <c r="L116" s="276"/>
      <c r="M116" s="274"/>
      <c r="N116" s="276"/>
      <c r="O116" s="276"/>
      <c r="P116" s="276"/>
      <c r="Q116" s="276"/>
      <c r="R116" s="276"/>
      <c r="S116" s="328"/>
      <c r="T116" s="274"/>
      <c r="U116" s="274"/>
      <c r="V116" s="274"/>
      <c r="W116" s="274"/>
      <c r="X116" s="274"/>
      <c r="Y116" s="274"/>
      <c r="Z116" s="274"/>
      <c r="AA116" s="274"/>
      <c r="AB116" s="274"/>
      <c r="AC116" s="274"/>
      <c r="AD116" s="274"/>
      <c r="AE116" s="274"/>
      <c r="AF116" s="274"/>
      <c r="AG116" s="274"/>
      <c r="AH116" s="274"/>
      <c r="AI116" s="274"/>
      <c r="AJ116" s="274"/>
      <c r="AK116" s="274"/>
      <c r="AL116" s="274"/>
      <c r="AM116" s="274"/>
      <c r="AN116" s="274"/>
      <c r="AO116" s="274"/>
      <c r="AP116" s="274"/>
      <c r="AQ116" s="274"/>
      <c r="AR116" s="274"/>
      <c r="AS116" s="274"/>
      <c r="AT116" s="274"/>
      <c r="AU116" s="274"/>
      <c r="AV116" s="274"/>
      <c r="AW116" s="274"/>
    </row>
    <row r="117" ht="12.0" customHeight="1">
      <c r="A117" s="274"/>
      <c r="B117" s="274"/>
      <c r="C117" s="274"/>
      <c r="D117" s="274"/>
      <c r="E117" s="274"/>
      <c r="F117" s="275"/>
      <c r="G117" s="276"/>
      <c r="H117" s="276"/>
      <c r="I117" s="276"/>
      <c r="J117" s="276"/>
      <c r="K117" s="276"/>
      <c r="L117" s="308"/>
      <c r="M117" s="276"/>
      <c r="N117" s="276"/>
      <c r="O117" s="276"/>
      <c r="P117" s="276"/>
      <c r="Q117" s="276"/>
      <c r="R117" s="276"/>
      <c r="S117" s="328"/>
      <c r="T117" s="274"/>
      <c r="U117" s="274"/>
      <c r="V117" s="274"/>
      <c r="W117" s="274"/>
      <c r="X117" s="274"/>
      <c r="Y117" s="274"/>
      <c r="Z117" s="274"/>
      <c r="AA117" s="274"/>
      <c r="AB117" s="274"/>
      <c r="AC117" s="274"/>
      <c r="AD117" s="274"/>
      <c r="AE117" s="274"/>
      <c r="AF117" s="274"/>
      <c r="AG117" s="274"/>
      <c r="AH117" s="274"/>
      <c r="AI117" s="274"/>
      <c r="AJ117" s="274"/>
      <c r="AK117" s="274"/>
      <c r="AL117" s="274"/>
      <c r="AM117" s="274"/>
      <c r="AN117" s="274"/>
      <c r="AO117" s="274"/>
      <c r="AP117" s="274"/>
      <c r="AQ117" s="274"/>
      <c r="AR117" s="274"/>
      <c r="AS117" s="274"/>
      <c r="AT117" s="274"/>
      <c r="AU117" s="274"/>
      <c r="AV117" s="274"/>
      <c r="AW117" s="274"/>
    </row>
    <row r="118" ht="12.0" customHeight="1">
      <c r="A118" s="274"/>
      <c r="B118" s="274"/>
      <c r="C118" s="274"/>
      <c r="D118" s="274"/>
      <c r="E118" s="274"/>
      <c r="F118" s="275"/>
      <c r="G118" s="276"/>
      <c r="H118" s="276"/>
      <c r="I118" s="276"/>
      <c r="J118" s="276"/>
      <c r="K118" s="276"/>
      <c r="L118" s="276"/>
      <c r="M118" s="276"/>
      <c r="N118" s="276"/>
      <c r="O118" s="276"/>
      <c r="P118" s="276"/>
      <c r="Q118" s="276"/>
      <c r="R118" s="276"/>
      <c r="S118" s="328"/>
      <c r="T118" s="274"/>
      <c r="U118" s="274"/>
      <c r="V118" s="274"/>
      <c r="W118" s="274"/>
      <c r="X118" s="274"/>
      <c r="Y118" s="274"/>
      <c r="Z118" s="274"/>
      <c r="AA118" s="274"/>
      <c r="AB118" s="274"/>
      <c r="AC118" s="274"/>
      <c r="AD118" s="274"/>
      <c r="AE118" s="274"/>
      <c r="AF118" s="274"/>
      <c r="AG118" s="274"/>
      <c r="AH118" s="274"/>
      <c r="AI118" s="274"/>
      <c r="AJ118" s="274"/>
      <c r="AK118" s="274"/>
      <c r="AL118" s="274"/>
      <c r="AM118" s="274"/>
      <c r="AN118" s="274"/>
      <c r="AO118" s="274"/>
      <c r="AP118" s="274"/>
      <c r="AQ118" s="274"/>
      <c r="AR118" s="274"/>
      <c r="AS118" s="274"/>
      <c r="AT118" s="274"/>
      <c r="AU118" s="274"/>
      <c r="AV118" s="274"/>
      <c r="AW118" s="274"/>
    </row>
    <row r="119" ht="12.0" customHeight="1">
      <c r="A119" s="274"/>
      <c r="B119" s="274"/>
      <c r="C119" s="274"/>
      <c r="D119" s="274"/>
      <c r="E119" s="274"/>
      <c r="F119" s="275"/>
      <c r="G119" s="276"/>
      <c r="H119" s="276"/>
      <c r="I119" s="276"/>
      <c r="J119" s="276"/>
      <c r="K119" s="276"/>
      <c r="L119" s="276"/>
      <c r="M119" s="308"/>
      <c r="N119" s="308"/>
      <c r="O119" s="308"/>
      <c r="P119" s="308"/>
      <c r="Q119" s="276"/>
      <c r="R119" s="276"/>
      <c r="S119" s="328"/>
      <c r="T119" s="274"/>
      <c r="U119" s="274"/>
      <c r="V119" s="274"/>
      <c r="W119" s="274"/>
      <c r="X119" s="274"/>
      <c r="Y119" s="274"/>
      <c r="Z119" s="274"/>
      <c r="AA119" s="274"/>
      <c r="AB119" s="274"/>
      <c r="AC119" s="274"/>
      <c r="AD119" s="274"/>
      <c r="AE119" s="274"/>
      <c r="AF119" s="274"/>
      <c r="AG119" s="274"/>
      <c r="AH119" s="274"/>
      <c r="AI119" s="274"/>
      <c r="AJ119" s="274"/>
      <c r="AK119" s="274"/>
      <c r="AL119" s="274"/>
      <c r="AM119" s="274"/>
      <c r="AN119" s="274"/>
      <c r="AO119" s="274"/>
      <c r="AP119" s="274"/>
      <c r="AQ119" s="274"/>
      <c r="AR119" s="274"/>
      <c r="AS119" s="274"/>
      <c r="AT119" s="274"/>
      <c r="AU119" s="274"/>
      <c r="AV119" s="274"/>
      <c r="AW119" s="274"/>
    </row>
    <row r="120" ht="12.0" customHeight="1">
      <c r="A120" s="274"/>
      <c r="B120" s="274"/>
      <c r="C120" s="274"/>
      <c r="D120" s="274"/>
      <c r="E120" s="274"/>
      <c r="F120" s="275"/>
      <c r="G120" s="276"/>
      <c r="H120" s="276"/>
      <c r="I120" s="276"/>
      <c r="J120" s="276"/>
      <c r="K120" s="276"/>
      <c r="L120" s="276"/>
      <c r="M120" s="276"/>
      <c r="N120" s="276"/>
      <c r="O120" s="276"/>
      <c r="P120" s="276"/>
      <c r="Q120" s="276"/>
      <c r="R120" s="276"/>
      <c r="S120" s="328"/>
      <c r="T120" s="274"/>
      <c r="U120" s="274"/>
      <c r="V120" s="274"/>
      <c r="W120" s="274"/>
      <c r="X120" s="274"/>
      <c r="Y120" s="274"/>
      <c r="Z120" s="274"/>
      <c r="AA120" s="274"/>
      <c r="AB120" s="274"/>
      <c r="AC120" s="274"/>
      <c r="AD120" s="274"/>
      <c r="AE120" s="274"/>
      <c r="AF120" s="274"/>
      <c r="AG120" s="274"/>
      <c r="AH120" s="274"/>
      <c r="AI120" s="274"/>
      <c r="AJ120" s="274"/>
      <c r="AK120" s="274"/>
      <c r="AL120" s="274"/>
      <c r="AM120" s="274"/>
      <c r="AN120" s="274"/>
      <c r="AO120" s="274"/>
      <c r="AP120" s="274"/>
      <c r="AQ120" s="274"/>
      <c r="AR120" s="274"/>
      <c r="AS120" s="274"/>
      <c r="AT120" s="274"/>
      <c r="AU120" s="274"/>
      <c r="AV120" s="274"/>
      <c r="AW120" s="274"/>
    </row>
    <row r="121" ht="12.0" customHeight="1">
      <c r="A121" s="274"/>
      <c r="B121" s="274"/>
      <c r="C121" s="274"/>
      <c r="D121" s="274"/>
      <c r="E121" s="274"/>
      <c r="F121" s="275"/>
      <c r="G121" s="276"/>
      <c r="H121" s="276"/>
      <c r="I121" s="276"/>
      <c r="J121" s="276"/>
      <c r="K121" s="276"/>
      <c r="L121" s="276"/>
      <c r="M121" s="276"/>
      <c r="N121" s="276"/>
      <c r="O121" s="276"/>
      <c r="P121" s="276"/>
      <c r="Q121" s="276"/>
      <c r="R121" s="276"/>
      <c r="S121" s="328"/>
      <c r="T121" s="274"/>
      <c r="U121" s="274"/>
      <c r="V121" s="274"/>
      <c r="W121" s="274"/>
      <c r="X121" s="274"/>
      <c r="Y121" s="274"/>
      <c r="Z121" s="274"/>
      <c r="AA121" s="274"/>
      <c r="AB121" s="274"/>
      <c r="AC121" s="274"/>
      <c r="AD121" s="274"/>
      <c r="AE121" s="274"/>
      <c r="AF121" s="274"/>
      <c r="AG121" s="274"/>
      <c r="AH121" s="274"/>
      <c r="AI121" s="274"/>
      <c r="AJ121" s="274"/>
      <c r="AK121" s="274"/>
      <c r="AL121" s="274"/>
      <c r="AM121" s="274"/>
      <c r="AN121" s="274"/>
      <c r="AO121" s="274"/>
      <c r="AP121" s="274"/>
      <c r="AQ121" s="274"/>
      <c r="AR121" s="274"/>
      <c r="AS121" s="274"/>
      <c r="AT121" s="274"/>
      <c r="AU121" s="274"/>
      <c r="AV121" s="274"/>
      <c r="AW121" s="274"/>
    </row>
    <row r="122" ht="12.0" customHeight="1">
      <c r="A122" s="274"/>
      <c r="B122" s="274"/>
      <c r="C122" s="274"/>
      <c r="D122" s="274"/>
      <c r="E122" s="274"/>
      <c r="F122" s="275"/>
      <c r="G122" s="276"/>
      <c r="H122" s="276"/>
      <c r="I122" s="276"/>
      <c r="J122" s="276"/>
      <c r="K122" s="276"/>
      <c r="L122" s="276"/>
      <c r="M122" s="276"/>
      <c r="N122" s="276"/>
      <c r="O122" s="276"/>
      <c r="P122" s="276"/>
      <c r="Q122" s="276"/>
      <c r="R122" s="276"/>
      <c r="S122" s="328"/>
      <c r="T122" s="274"/>
      <c r="U122" s="274"/>
      <c r="V122" s="274"/>
      <c r="W122" s="274"/>
      <c r="X122" s="274"/>
      <c r="Y122" s="274"/>
      <c r="Z122" s="274"/>
      <c r="AA122" s="274"/>
      <c r="AB122" s="274"/>
      <c r="AC122" s="274"/>
      <c r="AD122" s="274"/>
      <c r="AE122" s="274"/>
      <c r="AF122" s="274"/>
      <c r="AG122" s="274"/>
      <c r="AH122" s="274"/>
      <c r="AI122" s="274"/>
      <c r="AJ122" s="274"/>
      <c r="AK122" s="274"/>
      <c r="AL122" s="274"/>
      <c r="AM122" s="274"/>
      <c r="AN122" s="274"/>
      <c r="AO122" s="274"/>
      <c r="AP122" s="274"/>
      <c r="AQ122" s="274"/>
      <c r="AR122" s="274"/>
      <c r="AS122" s="274"/>
      <c r="AT122" s="274"/>
      <c r="AU122" s="274"/>
      <c r="AV122" s="274"/>
      <c r="AW122" s="274"/>
    </row>
    <row r="123" ht="12.0" customHeight="1">
      <c r="A123" s="274"/>
      <c r="B123" s="274"/>
      <c r="C123" s="274"/>
      <c r="D123" s="274"/>
      <c r="E123" s="274"/>
      <c r="F123" s="275"/>
      <c r="G123" s="276"/>
      <c r="H123" s="276"/>
      <c r="I123" s="276"/>
      <c r="J123" s="276"/>
      <c r="K123" s="276"/>
      <c r="L123" s="276"/>
      <c r="M123" s="276"/>
      <c r="N123" s="276"/>
      <c r="O123" s="276"/>
      <c r="P123" s="276"/>
      <c r="Q123" s="276"/>
      <c r="R123" s="276"/>
      <c r="S123" s="328"/>
      <c r="T123" s="274"/>
      <c r="U123" s="274"/>
      <c r="V123" s="274"/>
      <c r="W123" s="274"/>
      <c r="X123" s="274"/>
      <c r="Y123" s="274"/>
      <c r="Z123" s="274"/>
      <c r="AA123" s="274"/>
      <c r="AB123" s="274"/>
      <c r="AC123" s="274"/>
      <c r="AD123" s="274"/>
      <c r="AE123" s="274"/>
      <c r="AF123" s="274"/>
      <c r="AG123" s="274"/>
      <c r="AH123" s="274"/>
      <c r="AI123" s="274"/>
      <c r="AJ123" s="274"/>
      <c r="AK123" s="274"/>
      <c r="AL123" s="274"/>
      <c r="AM123" s="274"/>
      <c r="AN123" s="274"/>
      <c r="AO123" s="274"/>
      <c r="AP123" s="274"/>
      <c r="AQ123" s="274"/>
      <c r="AR123" s="274"/>
      <c r="AS123" s="274"/>
      <c r="AT123" s="274"/>
      <c r="AU123" s="274"/>
      <c r="AV123" s="274"/>
      <c r="AW123" s="274"/>
    </row>
    <row r="124" ht="12.0" customHeight="1">
      <c r="A124" s="274"/>
      <c r="B124" s="274"/>
      <c r="C124" s="274"/>
      <c r="D124" s="274"/>
      <c r="E124" s="274"/>
      <c r="F124" s="275"/>
      <c r="G124" s="276"/>
      <c r="H124" s="276"/>
      <c r="I124" s="276"/>
      <c r="J124" s="276"/>
      <c r="K124" s="276"/>
      <c r="L124" s="276"/>
      <c r="M124" s="276"/>
      <c r="N124" s="276"/>
      <c r="O124" s="276"/>
      <c r="P124" s="276"/>
      <c r="Q124" s="276"/>
      <c r="R124" s="276"/>
      <c r="S124" s="328"/>
      <c r="T124" s="274"/>
      <c r="U124" s="274"/>
      <c r="V124" s="274"/>
      <c r="W124" s="274"/>
      <c r="X124" s="274"/>
      <c r="Y124" s="274"/>
      <c r="Z124" s="274"/>
      <c r="AA124" s="274"/>
      <c r="AB124" s="274"/>
      <c r="AC124" s="274"/>
      <c r="AD124" s="274"/>
      <c r="AE124" s="274"/>
      <c r="AF124" s="274"/>
      <c r="AG124" s="274"/>
      <c r="AH124" s="274"/>
      <c r="AI124" s="274"/>
      <c r="AJ124" s="274"/>
      <c r="AK124" s="274"/>
      <c r="AL124" s="274"/>
      <c r="AM124" s="274"/>
      <c r="AN124" s="274"/>
      <c r="AO124" s="274"/>
      <c r="AP124" s="274"/>
      <c r="AQ124" s="274"/>
      <c r="AR124" s="274"/>
      <c r="AS124" s="274"/>
      <c r="AT124" s="274"/>
      <c r="AU124" s="274"/>
      <c r="AV124" s="274"/>
      <c r="AW124" s="274"/>
    </row>
    <row r="125" ht="12.0" customHeight="1">
      <c r="A125" s="274"/>
      <c r="B125" s="274"/>
      <c r="C125" s="274"/>
      <c r="D125" s="274"/>
      <c r="E125" s="274"/>
      <c r="F125" s="275"/>
      <c r="G125" s="276"/>
      <c r="H125" s="276"/>
      <c r="I125" s="276"/>
      <c r="J125" s="276"/>
      <c r="K125" s="276"/>
      <c r="L125" s="276"/>
      <c r="M125" s="276"/>
      <c r="N125" s="276"/>
      <c r="O125" s="276"/>
      <c r="P125" s="276"/>
      <c r="Q125" s="276"/>
      <c r="R125" s="276"/>
      <c r="S125" s="328"/>
      <c r="T125" s="274"/>
      <c r="U125" s="274"/>
      <c r="V125" s="274"/>
      <c r="W125" s="274"/>
      <c r="X125" s="274"/>
      <c r="Y125" s="274"/>
      <c r="Z125" s="274"/>
      <c r="AA125" s="274"/>
      <c r="AB125" s="274"/>
      <c r="AC125" s="274"/>
      <c r="AD125" s="274"/>
      <c r="AE125" s="274"/>
      <c r="AF125" s="274"/>
      <c r="AG125" s="274"/>
      <c r="AH125" s="274"/>
      <c r="AI125" s="274"/>
      <c r="AJ125" s="274"/>
      <c r="AK125" s="274"/>
      <c r="AL125" s="274"/>
      <c r="AM125" s="274"/>
      <c r="AN125" s="274"/>
      <c r="AO125" s="274"/>
      <c r="AP125" s="274"/>
      <c r="AQ125" s="274"/>
      <c r="AR125" s="274"/>
      <c r="AS125" s="274"/>
      <c r="AT125" s="274"/>
      <c r="AU125" s="274"/>
      <c r="AV125" s="274"/>
      <c r="AW125" s="274"/>
    </row>
    <row r="126" ht="12.0" customHeight="1">
      <c r="A126" s="274"/>
      <c r="B126" s="274"/>
      <c r="C126" s="274"/>
      <c r="D126" s="274"/>
      <c r="E126" s="274"/>
      <c r="F126" s="275"/>
      <c r="G126" s="276"/>
      <c r="H126" s="276"/>
      <c r="I126" s="276"/>
      <c r="J126" s="276"/>
      <c r="K126" s="276"/>
      <c r="L126" s="276"/>
      <c r="M126" s="276"/>
      <c r="N126" s="276"/>
      <c r="O126" s="276"/>
      <c r="P126" s="276"/>
      <c r="Q126" s="276"/>
      <c r="R126" s="276"/>
      <c r="S126" s="328"/>
      <c r="T126" s="274"/>
      <c r="U126" s="274"/>
      <c r="V126" s="274"/>
      <c r="W126" s="274"/>
      <c r="X126" s="274"/>
      <c r="Y126" s="274"/>
      <c r="Z126" s="274"/>
      <c r="AA126" s="274"/>
      <c r="AB126" s="274"/>
      <c r="AC126" s="274"/>
      <c r="AD126" s="274"/>
      <c r="AE126" s="274"/>
      <c r="AF126" s="274"/>
      <c r="AG126" s="274"/>
      <c r="AH126" s="274"/>
      <c r="AI126" s="274"/>
      <c r="AJ126" s="274"/>
      <c r="AK126" s="274"/>
      <c r="AL126" s="274"/>
      <c r="AM126" s="274"/>
      <c r="AN126" s="274"/>
      <c r="AO126" s="274"/>
      <c r="AP126" s="274"/>
      <c r="AQ126" s="274"/>
      <c r="AR126" s="274"/>
      <c r="AS126" s="274"/>
      <c r="AT126" s="274"/>
      <c r="AU126" s="274"/>
      <c r="AV126" s="274"/>
      <c r="AW126" s="274"/>
    </row>
    <row r="127" ht="12.0" customHeight="1">
      <c r="A127" s="274"/>
      <c r="B127" s="274"/>
      <c r="C127" s="274"/>
      <c r="D127" s="274"/>
      <c r="E127" s="274"/>
      <c r="F127" s="275"/>
      <c r="G127" s="276"/>
      <c r="H127" s="276"/>
      <c r="I127" s="276"/>
      <c r="J127" s="276"/>
      <c r="K127" s="276"/>
      <c r="L127" s="276"/>
      <c r="M127" s="276"/>
      <c r="N127" s="276"/>
      <c r="O127" s="276"/>
      <c r="P127" s="276"/>
      <c r="Q127" s="276"/>
      <c r="R127" s="276"/>
      <c r="S127" s="328"/>
      <c r="T127" s="274"/>
      <c r="U127" s="274"/>
      <c r="V127" s="274"/>
      <c r="W127" s="274"/>
      <c r="X127" s="274"/>
      <c r="Y127" s="274"/>
      <c r="Z127" s="274"/>
      <c r="AA127" s="274"/>
      <c r="AB127" s="274"/>
      <c r="AC127" s="274"/>
      <c r="AD127" s="274"/>
      <c r="AE127" s="274"/>
      <c r="AF127" s="274"/>
      <c r="AG127" s="274"/>
      <c r="AH127" s="274"/>
      <c r="AI127" s="274"/>
      <c r="AJ127" s="274"/>
      <c r="AK127" s="274"/>
      <c r="AL127" s="274"/>
      <c r="AM127" s="274"/>
      <c r="AN127" s="274"/>
      <c r="AO127" s="274"/>
      <c r="AP127" s="274"/>
      <c r="AQ127" s="274"/>
      <c r="AR127" s="274"/>
      <c r="AS127" s="274"/>
      <c r="AT127" s="274"/>
      <c r="AU127" s="274"/>
      <c r="AV127" s="274"/>
      <c r="AW127" s="274"/>
    </row>
    <row r="128" ht="12.0" customHeight="1">
      <c r="A128" s="274"/>
      <c r="B128" s="274"/>
      <c r="C128" s="274"/>
      <c r="D128" s="274"/>
      <c r="E128" s="274"/>
      <c r="F128" s="275"/>
      <c r="G128" s="276"/>
      <c r="H128" s="276"/>
      <c r="I128" s="276"/>
      <c r="J128" s="276"/>
      <c r="K128" s="276"/>
      <c r="L128" s="276"/>
      <c r="M128" s="276"/>
      <c r="N128" s="276"/>
      <c r="O128" s="276"/>
      <c r="P128" s="276"/>
      <c r="Q128" s="276"/>
      <c r="R128" s="276"/>
      <c r="S128" s="328"/>
      <c r="T128" s="274"/>
      <c r="U128" s="274"/>
      <c r="V128" s="274"/>
      <c r="W128" s="274"/>
      <c r="X128" s="274"/>
      <c r="Y128" s="274"/>
      <c r="Z128" s="274"/>
      <c r="AA128" s="274"/>
      <c r="AB128" s="274"/>
      <c r="AC128" s="274"/>
      <c r="AD128" s="274"/>
      <c r="AE128" s="274"/>
      <c r="AF128" s="274"/>
      <c r="AG128" s="274"/>
      <c r="AH128" s="274"/>
      <c r="AI128" s="274"/>
      <c r="AJ128" s="274"/>
      <c r="AK128" s="274"/>
      <c r="AL128" s="274"/>
      <c r="AM128" s="274"/>
      <c r="AN128" s="274"/>
      <c r="AO128" s="274"/>
      <c r="AP128" s="274"/>
      <c r="AQ128" s="274"/>
      <c r="AR128" s="274"/>
      <c r="AS128" s="274"/>
      <c r="AT128" s="274"/>
      <c r="AU128" s="274"/>
      <c r="AV128" s="274"/>
      <c r="AW128" s="274"/>
    </row>
    <row r="129" ht="12.0" customHeight="1">
      <c r="A129" s="274"/>
      <c r="B129" s="274"/>
      <c r="C129" s="274"/>
      <c r="D129" s="274"/>
      <c r="E129" s="274"/>
      <c r="F129" s="275"/>
      <c r="G129" s="276"/>
      <c r="H129" s="276"/>
      <c r="I129" s="276"/>
      <c r="J129" s="276"/>
      <c r="K129" s="276"/>
      <c r="L129" s="276"/>
      <c r="M129" s="276"/>
      <c r="N129" s="276"/>
      <c r="O129" s="276"/>
      <c r="P129" s="276"/>
      <c r="Q129" s="276"/>
      <c r="R129" s="276"/>
      <c r="S129" s="328"/>
      <c r="T129" s="274"/>
      <c r="U129" s="274"/>
      <c r="V129" s="274"/>
      <c r="W129" s="274"/>
      <c r="X129" s="274"/>
      <c r="Y129" s="274"/>
      <c r="Z129" s="274"/>
      <c r="AA129" s="274"/>
      <c r="AB129" s="274"/>
      <c r="AC129" s="274"/>
      <c r="AD129" s="274"/>
      <c r="AE129" s="274"/>
      <c r="AF129" s="274"/>
      <c r="AG129" s="274"/>
      <c r="AH129" s="274"/>
      <c r="AI129" s="274"/>
      <c r="AJ129" s="274"/>
      <c r="AK129" s="274"/>
      <c r="AL129" s="274"/>
      <c r="AM129" s="274"/>
      <c r="AN129" s="274"/>
      <c r="AO129" s="274"/>
      <c r="AP129" s="274"/>
      <c r="AQ129" s="274"/>
      <c r="AR129" s="274"/>
      <c r="AS129" s="274"/>
      <c r="AT129" s="274"/>
      <c r="AU129" s="274"/>
      <c r="AV129" s="274"/>
      <c r="AW129" s="274"/>
    </row>
    <row r="130" ht="12.0" customHeight="1">
      <c r="A130" s="274"/>
      <c r="B130" s="274"/>
      <c r="C130" s="274"/>
      <c r="D130" s="274"/>
      <c r="E130" s="274"/>
      <c r="F130" s="275"/>
      <c r="G130" s="276"/>
      <c r="H130" s="276"/>
      <c r="I130" s="276"/>
      <c r="J130" s="276"/>
      <c r="K130" s="276"/>
      <c r="L130" s="276"/>
      <c r="M130" s="276"/>
      <c r="N130" s="276"/>
      <c r="O130" s="276"/>
      <c r="P130" s="276"/>
      <c r="Q130" s="276"/>
      <c r="R130" s="276"/>
      <c r="S130" s="328"/>
      <c r="T130" s="274"/>
      <c r="U130" s="274"/>
      <c r="V130" s="274"/>
      <c r="W130" s="274"/>
      <c r="X130" s="274"/>
      <c r="Y130" s="274"/>
      <c r="Z130" s="274"/>
      <c r="AA130" s="274"/>
      <c r="AB130" s="274"/>
      <c r="AC130" s="274"/>
      <c r="AD130" s="274"/>
      <c r="AE130" s="274"/>
      <c r="AF130" s="274"/>
      <c r="AG130" s="274"/>
      <c r="AH130" s="274"/>
      <c r="AI130" s="274"/>
      <c r="AJ130" s="274"/>
      <c r="AK130" s="274"/>
      <c r="AL130" s="274"/>
      <c r="AM130" s="274"/>
      <c r="AN130" s="274"/>
      <c r="AO130" s="274"/>
      <c r="AP130" s="274"/>
      <c r="AQ130" s="274"/>
      <c r="AR130" s="274"/>
      <c r="AS130" s="274"/>
      <c r="AT130" s="274"/>
      <c r="AU130" s="274"/>
      <c r="AV130" s="274"/>
      <c r="AW130" s="274"/>
    </row>
    <row r="131" ht="12.0" customHeight="1">
      <c r="A131" s="274"/>
      <c r="B131" s="274"/>
      <c r="C131" s="274"/>
      <c r="D131" s="274"/>
      <c r="E131" s="274"/>
      <c r="F131" s="275"/>
      <c r="G131" s="276"/>
      <c r="H131" s="276"/>
      <c r="I131" s="276"/>
      <c r="J131" s="276"/>
      <c r="K131" s="276"/>
      <c r="L131" s="276"/>
      <c r="M131" s="276"/>
      <c r="N131" s="276"/>
      <c r="O131" s="276"/>
      <c r="P131" s="276"/>
      <c r="Q131" s="276"/>
      <c r="R131" s="276"/>
      <c r="S131" s="328"/>
      <c r="T131" s="274"/>
      <c r="U131" s="274"/>
      <c r="V131" s="274"/>
      <c r="W131" s="274"/>
      <c r="X131" s="274"/>
      <c r="Y131" s="274"/>
      <c r="Z131" s="274"/>
      <c r="AA131" s="274"/>
      <c r="AB131" s="274"/>
      <c r="AC131" s="274"/>
      <c r="AD131" s="274"/>
      <c r="AE131" s="274"/>
      <c r="AF131" s="274"/>
      <c r="AG131" s="274"/>
      <c r="AH131" s="274"/>
      <c r="AI131" s="274"/>
      <c r="AJ131" s="274"/>
      <c r="AK131" s="274"/>
      <c r="AL131" s="274"/>
      <c r="AM131" s="274"/>
      <c r="AN131" s="274"/>
      <c r="AO131" s="274"/>
      <c r="AP131" s="274"/>
      <c r="AQ131" s="274"/>
      <c r="AR131" s="274"/>
      <c r="AS131" s="274"/>
      <c r="AT131" s="274"/>
      <c r="AU131" s="274"/>
      <c r="AV131" s="274"/>
      <c r="AW131" s="274"/>
    </row>
    <row r="132" ht="12.0" customHeight="1">
      <c r="A132" s="274"/>
      <c r="B132" s="274"/>
      <c r="C132" s="274"/>
      <c r="D132" s="274"/>
      <c r="E132" s="274"/>
      <c r="F132" s="275"/>
      <c r="G132" s="276"/>
      <c r="H132" s="276"/>
      <c r="I132" s="276"/>
      <c r="J132" s="276"/>
      <c r="K132" s="276"/>
      <c r="L132" s="276"/>
      <c r="M132" s="276"/>
      <c r="N132" s="276"/>
      <c r="O132" s="276"/>
      <c r="P132" s="276"/>
      <c r="Q132" s="276"/>
      <c r="R132" s="276"/>
      <c r="S132" s="328"/>
      <c r="T132" s="274"/>
      <c r="U132" s="274"/>
      <c r="V132" s="274"/>
      <c r="W132" s="274"/>
      <c r="X132" s="274"/>
      <c r="Y132" s="274"/>
      <c r="Z132" s="274"/>
      <c r="AA132" s="274"/>
      <c r="AB132" s="274"/>
      <c r="AC132" s="274"/>
      <c r="AD132" s="274"/>
      <c r="AE132" s="274"/>
      <c r="AF132" s="274"/>
      <c r="AG132" s="274"/>
      <c r="AH132" s="274"/>
      <c r="AI132" s="274"/>
      <c r="AJ132" s="274"/>
      <c r="AK132" s="274"/>
      <c r="AL132" s="274"/>
      <c r="AM132" s="274"/>
      <c r="AN132" s="274"/>
      <c r="AO132" s="274"/>
      <c r="AP132" s="274"/>
      <c r="AQ132" s="274"/>
      <c r="AR132" s="274"/>
      <c r="AS132" s="274"/>
      <c r="AT132" s="274"/>
      <c r="AU132" s="274"/>
      <c r="AV132" s="274"/>
      <c r="AW132" s="274"/>
    </row>
    <row r="133" ht="12.0" customHeight="1">
      <c r="A133" s="274"/>
      <c r="B133" s="274"/>
      <c r="C133" s="274"/>
      <c r="D133" s="274"/>
      <c r="E133" s="274"/>
      <c r="F133" s="275"/>
      <c r="G133" s="276"/>
      <c r="H133" s="276"/>
      <c r="I133" s="276"/>
      <c r="J133" s="276"/>
      <c r="K133" s="276"/>
      <c r="L133" s="276"/>
      <c r="M133" s="276"/>
      <c r="N133" s="276"/>
      <c r="O133" s="276"/>
      <c r="P133" s="276"/>
      <c r="Q133" s="276"/>
      <c r="R133" s="276"/>
      <c r="S133" s="328"/>
      <c r="T133" s="274"/>
      <c r="U133" s="274"/>
      <c r="V133" s="274"/>
      <c r="W133" s="274"/>
      <c r="X133" s="274"/>
      <c r="Y133" s="274"/>
      <c r="Z133" s="274"/>
      <c r="AA133" s="274"/>
      <c r="AB133" s="274"/>
      <c r="AC133" s="274"/>
      <c r="AD133" s="274"/>
      <c r="AE133" s="274"/>
      <c r="AF133" s="274"/>
      <c r="AG133" s="274"/>
      <c r="AH133" s="274"/>
      <c r="AI133" s="274"/>
      <c r="AJ133" s="274"/>
      <c r="AK133" s="274"/>
      <c r="AL133" s="274"/>
      <c r="AM133" s="274"/>
      <c r="AN133" s="274"/>
      <c r="AO133" s="274"/>
      <c r="AP133" s="274"/>
      <c r="AQ133" s="274"/>
      <c r="AR133" s="274"/>
      <c r="AS133" s="274"/>
      <c r="AT133" s="274"/>
      <c r="AU133" s="274"/>
      <c r="AV133" s="274"/>
      <c r="AW133" s="274"/>
    </row>
    <row r="134" ht="12.0" customHeight="1">
      <c r="A134" s="274"/>
      <c r="B134" s="274"/>
      <c r="C134" s="274"/>
      <c r="D134" s="274"/>
      <c r="E134" s="274"/>
      <c r="F134" s="275"/>
      <c r="G134" s="276"/>
      <c r="H134" s="276"/>
      <c r="I134" s="276"/>
      <c r="J134" s="276"/>
      <c r="K134" s="276"/>
      <c r="L134" s="276"/>
      <c r="M134" s="276"/>
      <c r="N134" s="276"/>
      <c r="O134" s="276"/>
      <c r="P134" s="276"/>
      <c r="Q134" s="276"/>
      <c r="R134" s="276"/>
      <c r="S134" s="328"/>
      <c r="T134" s="274"/>
      <c r="U134" s="274"/>
      <c r="V134" s="274"/>
      <c r="W134" s="274"/>
      <c r="X134" s="274"/>
      <c r="Y134" s="274"/>
      <c r="Z134" s="274"/>
      <c r="AA134" s="274"/>
      <c r="AB134" s="274"/>
      <c r="AC134" s="274"/>
      <c r="AD134" s="274"/>
      <c r="AE134" s="274"/>
      <c r="AF134" s="274"/>
      <c r="AG134" s="274"/>
      <c r="AH134" s="274"/>
      <c r="AI134" s="274"/>
      <c r="AJ134" s="274"/>
      <c r="AK134" s="274"/>
      <c r="AL134" s="274"/>
      <c r="AM134" s="274"/>
      <c r="AN134" s="274"/>
      <c r="AO134" s="274"/>
      <c r="AP134" s="274"/>
      <c r="AQ134" s="274"/>
      <c r="AR134" s="274"/>
      <c r="AS134" s="274"/>
      <c r="AT134" s="274"/>
      <c r="AU134" s="274"/>
      <c r="AV134" s="274"/>
      <c r="AW134" s="274"/>
    </row>
    <row r="135" ht="12.0" customHeight="1">
      <c r="A135" s="274"/>
      <c r="B135" s="274"/>
      <c r="C135" s="274"/>
      <c r="D135" s="274"/>
      <c r="E135" s="274"/>
      <c r="F135" s="275"/>
      <c r="G135" s="276"/>
      <c r="H135" s="276"/>
      <c r="I135" s="276"/>
      <c r="J135" s="276"/>
      <c r="K135" s="276"/>
      <c r="L135" s="276"/>
      <c r="M135" s="276"/>
      <c r="N135" s="276"/>
      <c r="O135" s="276"/>
      <c r="P135" s="276"/>
      <c r="Q135" s="276"/>
      <c r="R135" s="276"/>
      <c r="S135" s="328"/>
      <c r="T135" s="274"/>
      <c r="U135" s="274"/>
      <c r="V135" s="274"/>
      <c r="W135" s="274"/>
      <c r="X135" s="274"/>
      <c r="Y135" s="274"/>
      <c r="Z135" s="274"/>
      <c r="AA135" s="274"/>
      <c r="AB135" s="274"/>
      <c r="AC135" s="274"/>
      <c r="AD135" s="274"/>
      <c r="AE135" s="274"/>
      <c r="AF135" s="274"/>
      <c r="AG135" s="274"/>
      <c r="AH135" s="274"/>
      <c r="AI135" s="274"/>
      <c r="AJ135" s="274"/>
      <c r="AK135" s="274"/>
      <c r="AL135" s="274"/>
      <c r="AM135" s="274"/>
      <c r="AN135" s="274"/>
      <c r="AO135" s="274"/>
      <c r="AP135" s="274"/>
      <c r="AQ135" s="274"/>
      <c r="AR135" s="274"/>
      <c r="AS135" s="274"/>
      <c r="AT135" s="274"/>
      <c r="AU135" s="274"/>
      <c r="AV135" s="274"/>
      <c r="AW135" s="274"/>
    </row>
    <row r="136" ht="12.0" customHeight="1">
      <c r="A136" s="274"/>
      <c r="B136" s="274"/>
      <c r="C136" s="274"/>
      <c r="D136" s="274"/>
      <c r="E136" s="274"/>
      <c r="F136" s="275"/>
      <c r="G136" s="276"/>
      <c r="H136" s="276"/>
      <c r="I136" s="276"/>
      <c r="J136" s="276"/>
      <c r="K136" s="276"/>
      <c r="L136" s="276"/>
      <c r="M136" s="276"/>
      <c r="N136" s="276"/>
      <c r="O136" s="276"/>
      <c r="P136" s="276"/>
      <c r="Q136" s="276"/>
      <c r="R136" s="276"/>
      <c r="S136" s="328"/>
      <c r="T136" s="274"/>
      <c r="U136" s="274"/>
      <c r="V136" s="274"/>
      <c r="W136" s="274"/>
      <c r="X136" s="274"/>
      <c r="Y136" s="274"/>
      <c r="Z136" s="274"/>
      <c r="AA136" s="274"/>
      <c r="AB136" s="274"/>
      <c r="AC136" s="274"/>
      <c r="AD136" s="274"/>
      <c r="AE136" s="274"/>
      <c r="AF136" s="274"/>
      <c r="AG136" s="274"/>
      <c r="AH136" s="274"/>
      <c r="AI136" s="274"/>
      <c r="AJ136" s="274"/>
      <c r="AK136" s="274"/>
      <c r="AL136" s="274"/>
      <c r="AM136" s="274"/>
      <c r="AN136" s="274"/>
      <c r="AO136" s="274"/>
      <c r="AP136" s="274"/>
      <c r="AQ136" s="274"/>
      <c r="AR136" s="274"/>
      <c r="AS136" s="274"/>
      <c r="AT136" s="274"/>
      <c r="AU136" s="274"/>
      <c r="AV136" s="274"/>
      <c r="AW136" s="274"/>
    </row>
    <row r="137" ht="12.0" customHeight="1">
      <c r="A137" s="274"/>
      <c r="B137" s="274"/>
      <c r="C137" s="274"/>
      <c r="D137" s="274"/>
      <c r="E137" s="274"/>
      <c r="F137" s="275"/>
      <c r="G137" s="276"/>
      <c r="H137" s="276"/>
      <c r="I137" s="276"/>
      <c r="J137" s="276"/>
      <c r="K137" s="276"/>
      <c r="L137" s="276"/>
      <c r="M137" s="276"/>
      <c r="N137" s="276"/>
      <c r="O137" s="276"/>
      <c r="P137" s="276"/>
      <c r="Q137" s="276"/>
      <c r="R137" s="276"/>
      <c r="S137" s="328"/>
      <c r="T137" s="274"/>
      <c r="U137" s="274"/>
      <c r="V137" s="274"/>
      <c r="W137" s="274"/>
      <c r="X137" s="274"/>
      <c r="Y137" s="274"/>
      <c r="Z137" s="274"/>
      <c r="AA137" s="274"/>
      <c r="AB137" s="274"/>
      <c r="AC137" s="274"/>
      <c r="AD137" s="274"/>
      <c r="AE137" s="274"/>
      <c r="AF137" s="274"/>
      <c r="AG137" s="274"/>
      <c r="AH137" s="274"/>
      <c r="AI137" s="274"/>
      <c r="AJ137" s="274"/>
      <c r="AK137" s="274"/>
      <c r="AL137" s="274"/>
      <c r="AM137" s="274"/>
      <c r="AN137" s="274"/>
      <c r="AO137" s="274"/>
      <c r="AP137" s="274"/>
      <c r="AQ137" s="274"/>
      <c r="AR137" s="274"/>
      <c r="AS137" s="274"/>
      <c r="AT137" s="274"/>
      <c r="AU137" s="274"/>
      <c r="AV137" s="274"/>
      <c r="AW137" s="274"/>
    </row>
    <row r="138" ht="12.0" customHeight="1">
      <c r="A138" s="274"/>
      <c r="B138" s="274"/>
      <c r="C138" s="274"/>
      <c r="D138" s="274"/>
      <c r="E138" s="274"/>
      <c r="F138" s="275"/>
      <c r="G138" s="276"/>
      <c r="H138" s="276"/>
      <c r="I138" s="276"/>
      <c r="J138" s="276"/>
      <c r="K138" s="276"/>
      <c r="L138" s="276"/>
      <c r="M138" s="276"/>
      <c r="N138" s="276"/>
      <c r="O138" s="276"/>
      <c r="P138" s="276"/>
      <c r="Q138" s="276"/>
      <c r="R138" s="276"/>
      <c r="S138" s="328"/>
      <c r="T138" s="274"/>
      <c r="U138" s="274"/>
      <c r="V138" s="274"/>
      <c r="W138" s="274"/>
      <c r="X138" s="274"/>
      <c r="Y138" s="274"/>
      <c r="Z138" s="274"/>
      <c r="AA138" s="274"/>
      <c r="AB138" s="274"/>
      <c r="AC138" s="274"/>
      <c r="AD138" s="274"/>
      <c r="AE138" s="274"/>
      <c r="AF138" s="274"/>
      <c r="AG138" s="274"/>
      <c r="AH138" s="274"/>
      <c r="AI138" s="274"/>
      <c r="AJ138" s="274"/>
      <c r="AK138" s="274"/>
      <c r="AL138" s="274"/>
      <c r="AM138" s="274"/>
      <c r="AN138" s="274"/>
      <c r="AO138" s="274"/>
      <c r="AP138" s="274"/>
      <c r="AQ138" s="274"/>
      <c r="AR138" s="274"/>
      <c r="AS138" s="274"/>
      <c r="AT138" s="274"/>
      <c r="AU138" s="274"/>
      <c r="AV138" s="274"/>
      <c r="AW138" s="274"/>
    </row>
    <row r="139" ht="12.0" customHeight="1">
      <c r="A139" s="274"/>
      <c r="B139" s="274"/>
      <c r="C139" s="274"/>
      <c r="D139" s="274"/>
      <c r="E139" s="274"/>
      <c r="F139" s="275"/>
      <c r="G139" s="276"/>
      <c r="H139" s="276"/>
      <c r="I139" s="276"/>
      <c r="J139" s="276"/>
      <c r="K139" s="276"/>
      <c r="L139" s="276"/>
      <c r="M139" s="276"/>
      <c r="N139" s="276"/>
      <c r="O139" s="276"/>
      <c r="P139" s="276"/>
      <c r="Q139" s="276"/>
      <c r="R139" s="276"/>
      <c r="S139" s="328"/>
      <c r="T139" s="274"/>
      <c r="U139" s="274"/>
      <c r="V139" s="274"/>
      <c r="W139" s="274"/>
      <c r="X139" s="274"/>
      <c r="Y139" s="274"/>
      <c r="Z139" s="274"/>
      <c r="AA139" s="274"/>
      <c r="AB139" s="274"/>
      <c r="AC139" s="274"/>
      <c r="AD139" s="274"/>
      <c r="AE139" s="274"/>
      <c r="AF139" s="274"/>
      <c r="AG139" s="274"/>
      <c r="AH139" s="274"/>
      <c r="AI139" s="274"/>
      <c r="AJ139" s="274"/>
      <c r="AK139" s="274"/>
      <c r="AL139" s="274"/>
      <c r="AM139" s="274"/>
      <c r="AN139" s="274"/>
      <c r="AO139" s="274"/>
      <c r="AP139" s="274"/>
      <c r="AQ139" s="274"/>
      <c r="AR139" s="274"/>
      <c r="AS139" s="274"/>
      <c r="AT139" s="274"/>
      <c r="AU139" s="274"/>
      <c r="AV139" s="274"/>
      <c r="AW139" s="274"/>
    </row>
    <row r="140" ht="12.0" customHeight="1">
      <c r="A140" s="274"/>
      <c r="B140" s="274"/>
      <c r="C140" s="274"/>
      <c r="D140" s="274"/>
      <c r="E140" s="274"/>
      <c r="F140" s="275"/>
      <c r="G140" s="276"/>
      <c r="H140" s="276"/>
      <c r="I140" s="276"/>
      <c r="J140" s="276"/>
      <c r="K140" s="276"/>
      <c r="L140" s="276"/>
      <c r="M140" s="276"/>
      <c r="N140" s="276"/>
      <c r="O140" s="276"/>
      <c r="P140" s="276"/>
      <c r="Q140" s="276"/>
      <c r="R140" s="276"/>
      <c r="S140" s="328"/>
      <c r="T140" s="274"/>
      <c r="U140" s="274"/>
      <c r="V140" s="274"/>
      <c r="W140" s="274"/>
      <c r="X140" s="274"/>
      <c r="Y140" s="274"/>
      <c r="Z140" s="274"/>
      <c r="AA140" s="274"/>
      <c r="AB140" s="274"/>
      <c r="AC140" s="274"/>
      <c r="AD140" s="274"/>
      <c r="AE140" s="274"/>
      <c r="AF140" s="274"/>
      <c r="AG140" s="274"/>
      <c r="AH140" s="274"/>
      <c r="AI140" s="274"/>
      <c r="AJ140" s="274"/>
      <c r="AK140" s="274"/>
      <c r="AL140" s="274"/>
      <c r="AM140" s="274"/>
      <c r="AN140" s="274"/>
      <c r="AO140" s="274"/>
      <c r="AP140" s="274"/>
      <c r="AQ140" s="274"/>
      <c r="AR140" s="274"/>
      <c r="AS140" s="274"/>
      <c r="AT140" s="274"/>
      <c r="AU140" s="274"/>
      <c r="AV140" s="274"/>
      <c r="AW140" s="274"/>
    </row>
    <row r="141" ht="12.0" customHeight="1">
      <c r="A141" s="274"/>
      <c r="B141" s="274"/>
      <c r="C141" s="274"/>
      <c r="D141" s="274"/>
      <c r="E141" s="274"/>
      <c r="F141" s="275"/>
      <c r="G141" s="276"/>
      <c r="H141" s="276"/>
      <c r="I141" s="276"/>
      <c r="J141" s="276"/>
      <c r="K141" s="276"/>
      <c r="L141" s="276"/>
      <c r="M141" s="276"/>
      <c r="N141" s="276"/>
      <c r="O141" s="276"/>
      <c r="P141" s="276"/>
      <c r="Q141" s="276"/>
      <c r="R141" s="276"/>
      <c r="S141" s="328"/>
      <c r="T141" s="274"/>
      <c r="U141" s="274"/>
      <c r="V141" s="274"/>
      <c r="W141" s="274"/>
      <c r="X141" s="274"/>
      <c r="Y141" s="274"/>
      <c r="Z141" s="274"/>
      <c r="AA141" s="274"/>
      <c r="AB141" s="274"/>
      <c r="AC141" s="274"/>
      <c r="AD141" s="274"/>
      <c r="AE141" s="274"/>
      <c r="AF141" s="274"/>
      <c r="AG141" s="274"/>
      <c r="AH141" s="274"/>
      <c r="AI141" s="274"/>
      <c r="AJ141" s="274"/>
      <c r="AK141" s="274"/>
      <c r="AL141" s="274"/>
      <c r="AM141" s="274"/>
      <c r="AN141" s="274"/>
      <c r="AO141" s="274"/>
      <c r="AP141" s="274"/>
      <c r="AQ141" s="274"/>
      <c r="AR141" s="274"/>
      <c r="AS141" s="274"/>
      <c r="AT141" s="274"/>
      <c r="AU141" s="274"/>
      <c r="AV141" s="274"/>
      <c r="AW141" s="274"/>
    </row>
    <row r="142" ht="12.0" customHeight="1">
      <c r="A142" s="274"/>
      <c r="B142" s="274"/>
      <c r="C142" s="274"/>
      <c r="D142" s="274"/>
      <c r="E142" s="274"/>
      <c r="F142" s="275"/>
      <c r="G142" s="276"/>
      <c r="H142" s="276"/>
      <c r="I142" s="276"/>
      <c r="J142" s="276"/>
      <c r="K142" s="276"/>
      <c r="L142" s="276"/>
      <c r="M142" s="276"/>
      <c r="N142" s="276"/>
      <c r="O142" s="276"/>
      <c r="P142" s="276"/>
      <c r="Q142" s="276"/>
      <c r="R142" s="276"/>
      <c r="S142" s="328"/>
      <c r="T142" s="274"/>
      <c r="U142" s="274"/>
      <c r="V142" s="274"/>
      <c r="W142" s="274"/>
      <c r="X142" s="274"/>
      <c r="Y142" s="274"/>
      <c r="Z142" s="274"/>
      <c r="AA142" s="274"/>
      <c r="AB142" s="274"/>
      <c r="AC142" s="274"/>
      <c r="AD142" s="274"/>
      <c r="AE142" s="274"/>
      <c r="AF142" s="274"/>
      <c r="AG142" s="274"/>
      <c r="AH142" s="274"/>
      <c r="AI142" s="274"/>
      <c r="AJ142" s="274"/>
      <c r="AK142" s="274"/>
      <c r="AL142" s="274"/>
      <c r="AM142" s="274"/>
      <c r="AN142" s="274"/>
      <c r="AO142" s="274"/>
      <c r="AP142" s="274"/>
      <c r="AQ142" s="274"/>
      <c r="AR142" s="274"/>
      <c r="AS142" s="274"/>
      <c r="AT142" s="274"/>
      <c r="AU142" s="274"/>
      <c r="AV142" s="274"/>
      <c r="AW142" s="274"/>
    </row>
    <row r="143" ht="12.0" customHeight="1">
      <c r="A143" s="274"/>
      <c r="B143" s="274"/>
      <c r="C143" s="274"/>
      <c r="D143" s="274"/>
      <c r="E143" s="274"/>
      <c r="F143" s="275"/>
      <c r="G143" s="276"/>
      <c r="H143" s="276"/>
      <c r="I143" s="276"/>
      <c r="J143" s="276"/>
      <c r="K143" s="276"/>
      <c r="L143" s="276"/>
      <c r="M143" s="276"/>
      <c r="N143" s="276"/>
      <c r="O143" s="276"/>
      <c r="P143" s="276"/>
      <c r="Q143" s="276"/>
      <c r="R143" s="276"/>
      <c r="S143" s="328"/>
      <c r="T143" s="274"/>
      <c r="U143" s="274"/>
      <c r="V143" s="274"/>
      <c r="W143" s="274"/>
      <c r="X143" s="274"/>
      <c r="Y143" s="274"/>
      <c r="Z143" s="274"/>
      <c r="AA143" s="274"/>
      <c r="AB143" s="274"/>
      <c r="AC143" s="274"/>
      <c r="AD143" s="274"/>
      <c r="AE143" s="274"/>
      <c r="AF143" s="274"/>
      <c r="AG143" s="274"/>
      <c r="AH143" s="274"/>
      <c r="AI143" s="274"/>
      <c r="AJ143" s="274"/>
      <c r="AK143" s="274"/>
      <c r="AL143" s="274"/>
      <c r="AM143" s="274"/>
      <c r="AN143" s="274"/>
      <c r="AO143" s="274"/>
      <c r="AP143" s="274"/>
      <c r="AQ143" s="274"/>
      <c r="AR143" s="274"/>
      <c r="AS143" s="274"/>
      <c r="AT143" s="274"/>
      <c r="AU143" s="274"/>
      <c r="AV143" s="274"/>
      <c r="AW143" s="274"/>
    </row>
    <row r="144" ht="12.0" customHeight="1">
      <c r="A144" s="274"/>
      <c r="B144" s="274"/>
      <c r="C144" s="274"/>
      <c r="D144" s="274"/>
      <c r="E144" s="274"/>
      <c r="F144" s="275"/>
      <c r="G144" s="276"/>
      <c r="H144" s="276"/>
      <c r="I144" s="276"/>
      <c r="J144" s="276"/>
      <c r="K144" s="276"/>
      <c r="L144" s="276"/>
      <c r="M144" s="276"/>
      <c r="N144" s="276"/>
      <c r="O144" s="276"/>
      <c r="P144" s="276"/>
      <c r="Q144" s="276"/>
      <c r="R144" s="276"/>
      <c r="S144" s="328"/>
      <c r="T144" s="274"/>
      <c r="U144" s="274"/>
      <c r="V144" s="274"/>
      <c r="W144" s="274"/>
      <c r="X144" s="274"/>
      <c r="Y144" s="274"/>
      <c r="Z144" s="274"/>
      <c r="AA144" s="274"/>
      <c r="AB144" s="274"/>
      <c r="AC144" s="274"/>
      <c r="AD144" s="274"/>
      <c r="AE144" s="274"/>
      <c r="AF144" s="274"/>
      <c r="AG144" s="274"/>
      <c r="AH144" s="274"/>
      <c r="AI144" s="274"/>
      <c r="AJ144" s="274"/>
      <c r="AK144" s="274"/>
      <c r="AL144" s="274"/>
      <c r="AM144" s="274"/>
      <c r="AN144" s="274"/>
      <c r="AO144" s="274"/>
      <c r="AP144" s="274"/>
      <c r="AQ144" s="274"/>
      <c r="AR144" s="274"/>
      <c r="AS144" s="274"/>
      <c r="AT144" s="274"/>
      <c r="AU144" s="274"/>
      <c r="AV144" s="274"/>
      <c r="AW144" s="274"/>
    </row>
    <row r="145" ht="12.0" customHeight="1">
      <c r="A145" s="274"/>
      <c r="B145" s="274"/>
      <c r="C145" s="274"/>
      <c r="D145" s="274"/>
      <c r="E145" s="274"/>
      <c r="F145" s="275"/>
      <c r="G145" s="276"/>
      <c r="H145" s="276"/>
      <c r="I145" s="276"/>
      <c r="J145" s="276"/>
      <c r="K145" s="276"/>
      <c r="L145" s="276"/>
      <c r="M145" s="276"/>
      <c r="N145" s="276"/>
      <c r="O145" s="276"/>
      <c r="P145" s="276"/>
      <c r="Q145" s="276"/>
      <c r="R145" s="276"/>
      <c r="S145" s="328"/>
      <c r="T145" s="274"/>
      <c r="U145" s="274"/>
      <c r="V145" s="274"/>
      <c r="W145" s="274"/>
      <c r="X145" s="274"/>
      <c r="Y145" s="274"/>
      <c r="Z145" s="274"/>
      <c r="AA145" s="274"/>
      <c r="AB145" s="274"/>
      <c r="AC145" s="274"/>
      <c r="AD145" s="274"/>
      <c r="AE145" s="274"/>
      <c r="AF145" s="274"/>
      <c r="AG145" s="274"/>
      <c r="AH145" s="274"/>
      <c r="AI145" s="274"/>
      <c r="AJ145" s="274"/>
      <c r="AK145" s="274"/>
      <c r="AL145" s="274"/>
      <c r="AM145" s="274"/>
      <c r="AN145" s="274"/>
      <c r="AO145" s="274"/>
      <c r="AP145" s="274"/>
      <c r="AQ145" s="274"/>
      <c r="AR145" s="274"/>
      <c r="AS145" s="274"/>
      <c r="AT145" s="274"/>
      <c r="AU145" s="274"/>
      <c r="AV145" s="274"/>
      <c r="AW145" s="274"/>
    </row>
    <row r="146" ht="12.0" customHeight="1">
      <c r="A146" s="274"/>
      <c r="B146" s="274"/>
      <c r="C146" s="274"/>
      <c r="D146" s="274"/>
      <c r="E146" s="274"/>
      <c r="F146" s="275"/>
      <c r="G146" s="276"/>
      <c r="H146" s="276"/>
      <c r="I146" s="276"/>
      <c r="J146" s="276"/>
      <c r="K146" s="276"/>
      <c r="L146" s="276"/>
      <c r="M146" s="276"/>
      <c r="N146" s="276"/>
      <c r="O146" s="276"/>
      <c r="P146" s="276"/>
      <c r="Q146" s="276"/>
      <c r="R146" s="276"/>
      <c r="S146" s="328"/>
      <c r="T146" s="274"/>
      <c r="U146" s="274"/>
      <c r="V146" s="274"/>
      <c r="W146" s="274"/>
      <c r="X146" s="274"/>
      <c r="Y146" s="274"/>
      <c r="Z146" s="274"/>
      <c r="AA146" s="274"/>
      <c r="AB146" s="274"/>
      <c r="AC146" s="274"/>
      <c r="AD146" s="274"/>
      <c r="AE146" s="274"/>
      <c r="AF146" s="274"/>
      <c r="AG146" s="274"/>
      <c r="AH146" s="274"/>
      <c r="AI146" s="274"/>
      <c r="AJ146" s="274"/>
      <c r="AK146" s="274"/>
      <c r="AL146" s="274"/>
      <c r="AM146" s="274"/>
      <c r="AN146" s="274"/>
      <c r="AO146" s="274"/>
      <c r="AP146" s="274"/>
      <c r="AQ146" s="274"/>
      <c r="AR146" s="274"/>
      <c r="AS146" s="274"/>
      <c r="AT146" s="274"/>
      <c r="AU146" s="274"/>
      <c r="AV146" s="274"/>
      <c r="AW146" s="274"/>
    </row>
    <row r="147" ht="12.0" customHeight="1">
      <c r="A147" s="274"/>
      <c r="B147" s="274"/>
      <c r="C147" s="274"/>
      <c r="D147" s="274"/>
      <c r="E147" s="274"/>
      <c r="F147" s="275"/>
      <c r="G147" s="276"/>
      <c r="H147" s="276"/>
      <c r="I147" s="276"/>
      <c r="J147" s="276"/>
      <c r="K147" s="276"/>
      <c r="L147" s="276"/>
      <c r="M147" s="276"/>
      <c r="N147" s="276"/>
      <c r="O147" s="276"/>
      <c r="P147" s="276"/>
      <c r="Q147" s="276"/>
      <c r="R147" s="276"/>
      <c r="S147" s="328"/>
      <c r="T147" s="274"/>
      <c r="U147" s="274"/>
      <c r="V147" s="274"/>
      <c r="W147" s="274"/>
      <c r="X147" s="274"/>
      <c r="Y147" s="274"/>
      <c r="Z147" s="274"/>
      <c r="AA147" s="274"/>
      <c r="AB147" s="274"/>
      <c r="AC147" s="274"/>
      <c r="AD147" s="274"/>
      <c r="AE147" s="274"/>
      <c r="AF147" s="274"/>
      <c r="AG147" s="274"/>
      <c r="AH147" s="274"/>
      <c r="AI147" s="274"/>
      <c r="AJ147" s="274"/>
      <c r="AK147" s="274"/>
      <c r="AL147" s="274"/>
      <c r="AM147" s="274"/>
      <c r="AN147" s="274"/>
      <c r="AO147" s="274"/>
      <c r="AP147" s="274"/>
      <c r="AQ147" s="274"/>
      <c r="AR147" s="274"/>
      <c r="AS147" s="274"/>
      <c r="AT147" s="274"/>
      <c r="AU147" s="274"/>
      <c r="AV147" s="274"/>
      <c r="AW147" s="274"/>
    </row>
    <row r="148" ht="12.0" customHeight="1">
      <c r="A148" s="274"/>
      <c r="B148" s="274"/>
      <c r="C148" s="274"/>
      <c r="D148" s="274"/>
      <c r="E148" s="274"/>
      <c r="F148" s="275"/>
      <c r="G148" s="276"/>
      <c r="H148" s="276"/>
      <c r="I148" s="276"/>
      <c r="J148" s="276"/>
      <c r="K148" s="276"/>
      <c r="L148" s="276"/>
      <c r="M148" s="276"/>
      <c r="N148" s="276"/>
      <c r="O148" s="276"/>
      <c r="P148" s="276"/>
      <c r="Q148" s="276"/>
      <c r="R148" s="276"/>
      <c r="S148" s="328"/>
      <c r="T148" s="274"/>
      <c r="U148" s="274"/>
      <c r="V148" s="274"/>
      <c r="W148" s="274"/>
      <c r="X148" s="274"/>
      <c r="Y148" s="274"/>
      <c r="Z148" s="274"/>
      <c r="AA148" s="274"/>
      <c r="AB148" s="274"/>
      <c r="AC148" s="274"/>
      <c r="AD148" s="274"/>
      <c r="AE148" s="274"/>
      <c r="AF148" s="274"/>
      <c r="AG148" s="274"/>
      <c r="AH148" s="274"/>
      <c r="AI148" s="274"/>
      <c r="AJ148" s="274"/>
      <c r="AK148" s="274"/>
      <c r="AL148" s="274"/>
      <c r="AM148" s="274"/>
      <c r="AN148" s="274"/>
      <c r="AO148" s="274"/>
      <c r="AP148" s="274"/>
      <c r="AQ148" s="274"/>
      <c r="AR148" s="274"/>
      <c r="AS148" s="274"/>
      <c r="AT148" s="274"/>
      <c r="AU148" s="274"/>
      <c r="AV148" s="274"/>
      <c r="AW148" s="274"/>
    </row>
    <row r="149" ht="12.0" customHeight="1">
      <c r="A149" s="274"/>
      <c r="B149" s="274"/>
      <c r="C149" s="274"/>
      <c r="D149" s="274"/>
      <c r="E149" s="274"/>
      <c r="F149" s="275"/>
      <c r="G149" s="276"/>
      <c r="H149" s="276"/>
      <c r="I149" s="276"/>
      <c r="J149" s="276"/>
      <c r="K149" s="276"/>
      <c r="L149" s="276"/>
      <c r="M149" s="276"/>
      <c r="N149" s="276"/>
      <c r="O149" s="276"/>
      <c r="P149" s="276"/>
      <c r="Q149" s="276"/>
      <c r="R149" s="276"/>
      <c r="S149" s="328"/>
      <c r="T149" s="274"/>
      <c r="U149" s="274"/>
      <c r="V149" s="274"/>
      <c r="W149" s="274"/>
      <c r="X149" s="274"/>
      <c r="Y149" s="274"/>
      <c r="Z149" s="274"/>
      <c r="AA149" s="274"/>
      <c r="AB149" s="274"/>
      <c r="AC149" s="274"/>
      <c r="AD149" s="274"/>
      <c r="AE149" s="274"/>
      <c r="AF149" s="274"/>
      <c r="AG149" s="274"/>
      <c r="AH149" s="274"/>
      <c r="AI149" s="274"/>
      <c r="AJ149" s="274"/>
      <c r="AK149" s="274"/>
      <c r="AL149" s="274"/>
      <c r="AM149" s="274"/>
      <c r="AN149" s="274"/>
      <c r="AO149" s="274"/>
      <c r="AP149" s="274"/>
      <c r="AQ149" s="274"/>
      <c r="AR149" s="274"/>
      <c r="AS149" s="274"/>
      <c r="AT149" s="274"/>
      <c r="AU149" s="274"/>
      <c r="AV149" s="274"/>
      <c r="AW149" s="274"/>
    </row>
    <row r="150" ht="12.0" customHeight="1">
      <c r="A150" s="274"/>
      <c r="B150" s="274"/>
      <c r="C150" s="274"/>
      <c r="D150" s="274"/>
      <c r="E150" s="274"/>
      <c r="F150" s="275"/>
      <c r="G150" s="276"/>
      <c r="H150" s="276"/>
      <c r="I150" s="276"/>
      <c r="J150" s="276"/>
      <c r="K150" s="276"/>
      <c r="L150" s="276"/>
      <c r="M150" s="276"/>
      <c r="N150" s="276"/>
      <c r="O150" s="276"/>
      <c r="P150" s="276"/>
      <c r="Q150" s="276"/>
      <c r="R150" s="276"/>
      <c r="S150" s="328"/>
      <c r="T150" s="274"/>
      <c r="U150" s="274"/>
      <c r="V150" s="274"/>
      <c r="W150" s="274"/>
      <c r="X150" s="274"/>
      <c r="Y150" s="274"/>
      <c r="Z150" s="274"/>
      <c r="AA150" s="274"/>
      <c r="AB150" s="274"/>
      <c r="AC150" s="274"/>
      <c r="AD150" s="274"/>
      <c r="AE150" s="274"/>
      <c r="AF150" s="274"/>
      <c r="AG150" s="274"/>
      <c r="AH150" s="274"/>
      <c r="AI150" s="274"/>
      <c r="AJ150" s="274"/>
      <c r="AK150" s="274"/>
      <c r="AL150" s="274"/>
      <c r="AM150" s="274"/>
      <c r="AN150" s="274"/>
      <c r="AO150" s="274"/>
      <c r="AP150" s="274"/>
      <c r="AQ150" s="274"/>
      <c r="AR150" s="274"/>
      <c r="AS150" s="274"/>
      <c r="AT150" s="274"/>
      <c r="AU150" s="274"/>
      <c r="AV150" s="274"/>
      <c r="AW150" s="274"/>
    </row>
    <row r="151" ht="12.0" customHeight="1">
      <c r="A151" s="274"/>
      <c r="B151" s="274"/>
      <c r="C151" s="274"/>
      <c r="D151" s="274"/>
      <c r="E151" s="274"/>
      <c r="F151" s="275"/>
      <c r="G151" s="276"/>
      <c r="H151" s="276"/>
      <c r="I151" s="276"/>
      <c r="J151" s="276"/>
      <c r="K151" s="276"/>
      <c r="L151" s="276"/>
      <c r="M151" s="276"/>
      <c r="N151" s="276"/>
      <c r="O151" s="276"/>
      <c r="P151" s="276"/>
      <c r="Q151" s="276"/>
      <c r="R151" s="276"/>
      <c r="S151" s="328"/>
      <c r="T151" s="274"/>
      <c r="U151" s="274"/>
      <c r="V151" s="274"/>
      <c r="W151" s="274"/>
      <c r="X151" s="274"/>
      <c r="Y151" s="274"/>
      <c r="Z151" s="274"/>
      <c r="AA151" s="274"/>
      <c r="AB151" s="274"/>
      <c r="AC151" s="274"/>
      <c r="AD151" s="274"/>
      <c r="AE151" s="274"/>
      <c r="AF151" s="274"/>
      <c r="AG151" s="274"/>
      <c r="AH151" s="274"/>
      <c r="AI151" s="274"/>
      <c r="AJ151" s="274"/>
      <c r="AK151" s="274"/>
      <c r="AL151" s="274"/>
      <c r="AM151" s="274"/>
      <c r="AN151" s="274"/>
      <c r="AO151" s="274"/>
      <c r="AP151" s="274"/>
      <c r="AQ151" s="274"/>
      <c r="AR151" s="274"/>
      <c r="AS151" s="274"/>
      <c r="AT151" s="274"/>
      <c r="AU151" s="274"/>
      <c r="AV151" s="274"/>
      <c r="AW151" s="274"/>
    </row>
    <row r="152" ht="12.0" customHeight="1">
      <c r="A152" s="274"/>
      <c r="B152" s="274"/>
      <c r="C152" s="274"/>
      <c r="D152" s="274"/>
      <c r="E152" s="274"/>
      <c r="F152" s="275"/>
      <c r="G152" s="276"/>
      <c r="H152" s="276"/>
      <c r="I152" s="276"/>
      <c r="J152" s="276"/>
      <c r="K152" s="276"/>
      <c r="L152" s="276"/>
      <c r="M152" s="276"/>
      <c r="N152" s="276"/>
      <c r="O152" s="276"/>
      <c r="P152" s="276"/>
      <c r="Q152" s="276"/>
      <c r="R152" s="276"/>
      <c r="S152" s="328"/>
      <c r="T152" s="274"/>
      <c r="U152" s="274"/>
      <c r="V152" s="274"/>
      <c r="W152" s="274"/>
      <c r="X152" s="274"/>
      <c r="Y152" s="274"/>
      <c r="Z152" s="274"/>
      <c r="AA152" s="274"/>
      <c r="AB152" s="274"/>
      <c r="AC152" s="274"/>
      <c r="AD152" s="274"/>
      <c r="AE152" s="274"/>
      <c r="AF152" s="274"/>
      <c r="AG152" s="274"/>
      <c r="AH152" s="274"/>
      <c r="AI152" s="274"/>
      <c r="AJ152" s="274"/>
      <c r="AK152" s="274"/>
      <c r="AL152" s="274"/>
      <c r="AM152" s="274"/>
      <c r="AN152" s="274"/>
      <c r="AO152" s="274"/>
      <c r="AP152" s="274"/>
      <c r="AQ152" s="274"/>
      <c r="AR152" s="274"/>
      <c r="AS152" s="274"/>
      <c r="AT152" s="274"/>
      <c r="AU152" s="274"/>
      <c r="AV152" s="274"/>
      <c r="AW152" s="274"/>
    </row>
    <row r="153" ht="12.0" customHeight="1">
      <c r="A153" s="274"/>
      <c r="B153" s="274"/>
      <c r="C153" s="274"/>
      <c r="D153" s="274"/>
      <c r="E153" s="274"/>
      <c r="F153" s="275"/>
      <c r="G153" s="276"/>
      <c r="H153" s="276"/>
      <c r="I153" s="276"/>
      <c r="J153" s="276"/>
      <c r="K153" s="276"/>
      <c r="L153" s="276"/>
      <c r="M153" s="276"/>
      <c r="N153" s="276"/>
      <c r="O153" s="276"/>
      <c r="P153" s="276"/>
      <c r="Q153" s="276"/>
      <c r="R153" s="276"/>
      <c r="S153" s="328"/>
      <c r="T153" s="274"/>
      <c r="U153" s="274"/>
      <c r="V153" s="274"/>
      <c r="W153" s="274"/>
      <c r="X153" s="274"/>
      <c r="Y153" s="274"/>
      <c r="Z153" s="274"/>
      <c r="AA153" s="274"/>
      <c r="AB153" s="274"/>
      <c r="AC153" s="274"/>
      <c r="AD153" s="274"/>
      <c r="AE153" s="274"/>
      <c r="AF153" s="274"/>
      <c r="AG153" s="274"/>
      <c r="AH153" s="274"/>
      <c r="AI153" s="274"/>
      <c r="AJ153" s="274"/>
      <c r="AK153" s="274"/>
      <c r="AL153" s="274"/>
      <c r="AM153" s="274"/>
      <c r="AN153" s="274"/>
      <c r="AO153" s="274"/>
      <c r="AP153" s="274"/>
      <c r="AQ153" s="274"/>
      <c r="AR153" s="274"/>
      <c r="AS153" s="274"/>
      <c r="AT153" s="274"/>
      <c r="AU153" s="274"/>
      <c r="AV153" s="274"/>
      <c r="AW153" s="274"/>
    </row>
    <row r="154" ht="12.0" customHeight="1">
      <c r="A154" s="274"/>
      <c r="B154" s="274"/>
      <c r="C154" s="274"/>
      <c r="D154" s="274"/>
      <c r="E154" s="274"/>
      <c r="F154" s="275"/>
      <c r="G154" s="276"/>
      <c r="H154" s="276"/>
      <c r="I154" s="276"/>
      <c r="J154" s="276"/>
      <c r="K154" s="276"/>
      <c r="L154" s="276"/>
      <c r="M154" s="276"/>
      <c r="N154" s="276"/>
      <c r="O154" s="276"/>
      <c r="P154" s="276"/>
      <c r="Q154" s="276"/>
      <c r="R154" s="276"/>
      <c r="S154" s="328"/>
      <c r="T154" s="274"/>
      <c r="U154" s="274"/>
      <c r="V154" s="274"/>
      <c r="W154" s="274"/>
      <c r="X154" s="274"/>
      <c r="Y154" s="274"/>
      <c r="Z154" s="274"/>
      <c r="AA154" s="274"/>
      <c r="AB154" s="274"/>
      <c r="AC154" s="274"/>
      <c r="AD154" s="274"/>
      <c r="AE154" s="274"/>
      <c r="AF154" s="274"/>
      <c r="AG154" s="274"/>
      <c r="AH154" s="274"/>
      <c r="AI154" s="274"/>
      <c r="AJ154" s="274"/>
      <c r="AK154" s="274"/>
      <c r="AL154" s="274"/>
      <c r="AM154" s="274"/>
      <c r="AN154" s="274"/>
      <c r="AO154" s="274"/>
      <c r="AP154" s="274"/>
      <c r="AQ154" s="274"/>
      <c r="AR154" s="274"/>
      <c r="AS154" s="274"/>
      <c r="AT154" s="274"/>
      <c r="AU154" s="274"/>
      <c r="AV154" s="274"/>
      <c r="AW154" s="274"/>
    </row>
    <row r="155" ht="12.0" customHeight="1">
      <c r="A155" s="274"/>
      <c r="B155" s="274"/>
      <c r="C155" s="274"/>
      <c r="D155" s="274"/>
      <c r="E155" s="274"/>
      <c r="F155" s="275"/>
      <c r="G155" s="276"/>
      <c r="H155" s="276"/>
      <c r="I155" s="276"/>
      <c r="J155" s="276"/>
      <c r="K155" s="276"/>
      <c r="L155" s="276"/>
      <c r="M155" s="276"/>
      <c r="N155" s="276"/>
      <c r="O155" s="276"/>
      <c r="P155" s="276"/>
      <c r="Q155" s="276"/>
      <c r="R155" s="276"/>
      <c r="S155" s="328"/>
      <c r="T155" s="274"/>
      <c r="U155" s="274"/>
      <c r="V155" s="274"/>
      <c r="W155" s="274"/>
      <c r="X155" s="274"/>
      <c r="Y155" s="274"/>
      <c r="Z155" s="274"/>
      <c r="AA155" s="274"/>
      <c r="AB155" s="274"/>
      <c r="AC155" s="274"/>
      <c r="AD155" s="274"/>
      <c r="AE155" s="274"/>
      <c r="AF155" s="274"/>
      <c r="AG155" s="274"/>
      <c r="AH155" s="274"/>
      <c r="AI155" s="274"/>
      <c r="AJ155" s="274"/>
      <c r="AK155" s="274"/>
      <c r="AL155" s="274"/>
      <c r="AM155" s="274"/>
      <c r="AN155" s="274"/>
      <c r="AO155" s="274"/>
      <c r="AP155" s="274"/>
      <c r="AQ155" s="274"/>
      <c r="AR155" s="274"/>
      <c r="AS155" s="274"/>
      <c r="AT155" s="274"/>
      <c r="AU155" s="274"/>
      <c r="AV155" s="274"/>
      <c r="AW155" s="274"/>
    </row>
    <row r="156" ht="12.0" customHeight="1">
      <c r="A156" s="274"/>
      <c r="B156" s="274"/>
      <c r="C156" s="274"/>
      <c r="D156" s="274"/>
      <c r="E156" s="274"/>
      <c r="F156" s="275"/>
      <c r="G156" s="276"/>
      <c r="H156" s="276"/>
      <c r="I156" s="276"/>
      <c r="J156" s="276"/>
      <c r="K156" s="276"/>
      <c r="L156" s="276"/>
      <c r="M156" s="276"/>
      <c r="N156" s="276"/>
      <c r="O156" s="276"/>
      <c r="P156" s="276"/>
      <c r="Q156" s="276"/>
      <c r="R156" s="276"/>
      <c r="S156" s="328"/>
      <c r="T156" s="274"/>
      <c r="U156" s="274"/>
      <c r="V156" s="274"/>
      <c r="W156" s="274"/>
      <c r="X156" s="274"/>
      <c r="Y156" s="274"/>
      <c r="Z156" s="274"/>
      <c r="AA156" s="274"/>
      <c r="AB156" s="274"/>
      <c r="AC156" s="274"/>
      <c r="AD156" s="274"/>
      <c r="AE156" s="274"/>
      <c r="AF156" s="274"/>
      <c r="AG156" s="274"/>
      <c r="AH156" s="274"/>
      <c r="AI156" s="274"/>
      <c r="AJ156" s="274"/>
      <c r="AK156" s="274"/>
      <c r="AL156" s="274"/>
      <c r="AM156" s="274"/>
      <c r="AN156" s="274"/>
      <c r="AO156" s="274"/>
      <c r="AP156" s="274"/>
      <c r="AQ156" s="274"/>
      <c r="AR156" s="274"/>
      <c r="AS156" s="274"/>
      <c r="AT156" s="274"/>
      <c r="AU156" s="274"/>
      <c r="AV156" s="274"/>
      <c r="AW156" s="274"/>
    </row>
    <row r="157" ht="12.0" customHeight="1">
      <c r="A157" s="45"/>
      <c r="B157" s="45"/>
      <c r="C157" s="45"/>
      <c r="D157" s="45"/>
      <c r="E157" s="45"/>
      <c r="F157" s="309"/>
      <c r="G157" s="109"/>
      <c r="H157" s="109"/>
      <c r="I157" s="109"/>
      <c r="J157" s="109"/>
      <c r="K157" s="109"/>
      <c r="L157" s="109"/>
      <c r="M157" s="109"/>
      <c r="N157" s="109"/>
      <c r="O157" s="109"/>
      <c r="P157" s="109"/>
      <c r="Q157" s="109"/>
      <c r="R157" s="109"/>
      <c r="S157" s="328"/>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row>
    <row r="158" ht="12.0" customHeight="1">
      <c r="A158" s="45"/>
      <c r="B158" s="45"/>
      <c r="C158" s="45"/>
      <c r="D158" s="45"/>
      <c r="E158" s="45"/>
      <c r="F158" s="309"/>
      <c r="G158" s="109"/>
      <c r="H158" s="109"/>
      <c r="I158" s="109"/>
      <c r="J158" s="109"/>
      <c r="K158" s="109"/>
      <c r="L158" s="109"/>
      <c r="M158" s="109"/>
      <c r="N158" s="109"/>
      <c r="O158" s="109"/>
      <c r="P158" s="109"/>
      <c r="Q158" s="109"/>
      <c r="R158" s="109"/>
      <c r="S158" s="328"/>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row>
    <row r="159" ht="12.0" customHeight="1">
      <c r="A159" s="45"/>
      <c r="B159" s="45"/>
      <c r="C159" s="45"/>
      <c r="D159" s="45"/>
      <c r="E159" s="45"/>
      <c r="F159" s="309"/>
      <c r="G159" s="109"/>
      <c r="H159" s="109"/>
      <c r="I159" s="109"/>
      <c r="J159" s="109"/>
      <c r="K159" s="109"/>
      <c r="L159" s="109"/>
      <c r="M159" s="109"/>
      <c r="N159" s="109"/>
      <c r="O159" s="109"/>
      <c r="P159" s="109"/>
      <c r="Q159" s="109"/>
      <c r="R159" s="109"/>
      <c r="S159" s="328"/>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row>
    <row r="160" ht="12.0" customHeight="1">
      <c r="A160" s="45"/>
      <c r="B160" s="45"/>
      <c r="C160" s="45"/>
      <c r="D160" s="45"/>
      <c r="E160" s="45"/>
      <c r="F160" s="309"/>
      <c r="G160" s="109"/>
      <c r="H160" s="109"/>
      <c r="I160" s="109"/>
      <c r="J160" s="109"/>
      <c r="K160" s="109"/>
      <c r="L160" s="109"/>
      <c r="M160" s="109"/>
      <c r="N160" s="109"/>
      <c r="O160" s="109"/>
      <c r="P160" s="109"/>
      <c r="Q160" s="109"/>
      <c r="R160" s="109"/>
      <c r="S160" s="328"/>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row>
    <row r="161" ht="12.0" customHeight="1">
      <c r="A161" s="45"/>
      <c r="B161" s="45"/>
      <c r="C161" s="45"/>
      <c r="D161" s="45"/>
      <c r="E161" s="45"/>
      <c r="F161" s="309"/>
      <c r="G161" s="109"/>
      <c r="H161" s="109"/>
      <c r="I161" s="109"/>
      <c r="J161" s="109"/>
      <c r="K161" s="109"/>
      <c r="L161" s="109"/>
      <c r="M161" s="109"/>
      <c r="N161" s="109"/>
      <c r="O161" s="109"/>
      <c r="P161" s="109"/>
      <c r="Q161" s="109"/>
      <c r="R161" s="109"/>
      <c r="S161" s="328"/>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row>
    <row r="162" ht="12.0" customHeight="1">
      <c r="A162" s="45"/>
      <c r="B162" s="45"/>
      <c r="C162" s="45"/>
      <c r="D162" s="45"/>
      <c r="E162" s="45"/>
      <c r="F162" s="309"/>
      <c r="G162" s="109"/>
      <c r="H162" s="109"/>
      <c r="I162" s="109"/>
      <c r="J162" s="109"/>
      <c r="K162" s="109"/>
      <c r="L162" s="109"/>
      <c r="M162" s="109"/>
      <c r="N162" s="109"/>
      <c r="O162" s="109"/>
      <c r="P162" s="109"/>
      <c r="Q162" s="109"/>
      <c r="R162" s="109"/>
      <c r="S162" s="328"/>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row>
    <row r="163" ht="12.0" customHeight="1">
      <c r="A163" s="45"/>
      <c r="B163" s="45"/>
      <c r="C163" s="45"/>
      <c r="D163" s="45"/>
      <c r="E163" s="45"/>
      <c r="F163" s="309"/>
      <c r="G163" s="109"/>
      <c r="H163" s="109"/>
      <c r="I163" s="109"/>
      <c r="J163" s="109"/>
      <c r="K163" s="109"/>
      <c r="L163" s="109"/>
      <c r="M163" s="109"/>
      <c r="N163" s="109"/>
      <c r="O163" s="109"/>
      <c r="P163" s="109"/>
      <c r="Q163" s="109"/>
      <c r="R163" s="109"/>
      <c r="S163" s="328"/>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row>
    <row r="164" ht="12.0" customHeight="1">
      <c r="A164" s="45"/>
      <c r="B164" s="45"/>
      <c r="C164" s="45"/>
      <c r="D164" s="45"/>
      <c r="E164" s="45"/>
      <c r="F164" s="309"/>
      <c r="G164" s="109"/>
      <c r="H164" s="109"/>
      <c r="I164" s="109"/>
      <c r="J164" s="109"/>
      <c r="K164" s="109"/>
      <c r="L164" s="109"/>
      <c r="M164" s="109"/>
      <c r="N164" s="109"/>
      <c r="O164" s="109"/>
      <c r="P164" s="109"/>
      <c r="Q164" s="109"/>
      <c r="R164" s="109"/>
      <c r="S164" s="328"/>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row>
    <row r="165" ht="12.0" customHeight="1">
      <c r="A165" s="45"/>
      <c r="B165" s="45"/>
      <c r="C165" s="45"/>
      <c r="D165" s="45"/>
      <c r="E165" s="45"/>
      <c r="F165" s="309"/>
      <c r="G165" s="109"/>
      <c r="H165" s="109"/>
      <c r="I165" s="109"/>
      <c r="J165" s="109"/>
      <c r="K165" s="109"/>
      <c r="L165" s="109"/>
      <c r="M165" s="109"/>
      <c r="N165" s="109"/>
      <c r="O165" s="109"/>
      <c r="P165" s="109"/>
      <c r="Q165" s="109"/>
      <c r="R165" s="109"/>
      <c r="S165" s="328"/>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row>
    <row r="166" ht="12.0" customHeight="1">
      <c r="A166" s="45"/>
      <c r="B166" s="45"/>
      <c r="C166" s="45"/>
      <c r="D166" s="45"/>
      <c r="E166" s="45"/>
      <c r="F166" s="309"/>
      <c r="G166" s="109"/>
      <c r="H166" s="109"/>
      <c r="I166" s="109"/>
      <c r="J166" s="109"/>
      <c r="K166" s="109"/>
      <c r="L166" s="109"/>
      <c r="M166" s="109"/>
      <c r="N166" s="109"/>
      <c r="O166" s="109"/>
      <c r="P166" s="109"/>
      <c r="Q166" s="109"/>
      <c r="R166" s="109"/>
      <c r="S166" s="328"/>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row>
    <row r="167" ht="12.0" customHeight="1">
      <c r="A167" s="45"/>
      <c r="B167" s="45"/>
      <c r="C167" s="45"/>
      <c r="D167" s="45"/>
      <c r="E167" s="45"/>
      <c r="F167" s="309"/>
      <c r="G167" s="109"/>
      <c r="H167" s="109"/>
      <c r="I167" s="109"/>
      <c r="J167" s="109"/>
      <c r="K167" s="109"/>
      <c r="L167" s="109"/>
      <c r="M167" s="109"/>
      <c r="N167" s="109"/>
      <c r="O167" s="109"/>
      <c r="P167" s="109"/>
      <c r="Q167" s="109"/>
      <c r="R167" s="109"/>
      <c r="S167" s="328"/>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row>
    <row r="168" ht="12.0" customHeight="1">
      <c r="A168" s="45"/>
      <c r="B168" s="45"/>
      <c r="C168" s="45"/>
      <c r="D168" s="45"/>
      <c r="E168" s="45"/>
      <c r="F168" s="309"/>
      <c r="G168" s="109"/>
      <c r="H168" s="109"/>
      <c r="I168" s="109"/>
      <c r="J168" s="109"/>
      <c r="K168" s="109"/>
      <c r="L168" s="109"/>
      <c r="M168" s="109"/>
      <c r="N168" s="109"/>
      <c r="O168" s="109"/>
      <c r="P168" s="109"/>
      <c r="Q168" s="109"/>
      <c r="R168" s="109"/>
      <c r="S168" s="328"/>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row>
    <row r="169" ht="12.0" customHeight="1">
      <c r="A169" s="45"/>
      <c r="B169" s="45"/>
      <c r="C169" s="45"/>
      <c r="D169" s="45"/>
      <c r="E169" s="45"/>
      <c r="F169" s="309"/>
      <c r="G169" s="109"/>
      <c r="H169" s="109"/>
      <c r="I169" s="109"/>
      <c r="J169" s="109"/>
      <c r="K169" s="109"/>
      <c r="L169" s="109"/>
      <c r="M169" s="109"/>
      <c r="N169" s="109"/>
      <c r="O169" s="109"/>
      <c r="P169" s="109"/>
      <c r="Q169" s="109"/>
      <c r="R169" s="109"/>
      <c r="S169" s="328"/>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row>
    <row r="170" ht="12.0" customHeight="1">
      <c r="A170" s="45"/>
      <c r="B170" s="45"/>
      <c r="C170" s="45"/>
      <c r="D170" s="45"/>
      <c r="E170" s="45"/>
      <c r="F170" s="309"/>
      <c r="G170" s="109"/>
      <c r="H170" s="109"/>
      <c r="I170" s="109"/>
      <c r="J170" s="109"/>
      <c r="K170" s="109"/>
      <c r="L170" s="109"/>
      <c r="M170" s="109"/>
      <c r="N170" s="109"/>
      <c r="O170" s="109"/>
      <c r="P170" s="109"/>
      <c r="Q170" s="109"/>
      <c r="R170" s="109"/>
      <c r="S170" s="328"/>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row>
    <row r="171" ht="12.0" customHeight="1">
      <c r="A171" s="45"/>
      <c r="B171" s="45"/>
      <c r="C171" s="45"/>
      <c r="D171" s="45"/>
      <c r="E171" s="45"/>
      <c r="F171" s="309"/>
      <c r="G171" s="109"/>
      <c r="H171" s="109"/>
      <c r="I171" s="109"/>
      <c r="J171" s="109"/>
      <c r="K171" s="109"/>
      <c r="L171" s="109"/>
      <c r="M171" s="109"/>
      <c r="N171" s="109"/>
      <c r="O171" s="109"/>
      <c r="P171" s="109"/>
      <c r="Q171" s="109"/>
      <c r="R171" s="109"/>
      <c r="S171" s="328"/>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row>
    <row r="172" ht="12.0" customHeight="1">
      <c r="A172" s="45"/>
      <c r="B172" s="45"/>
      <c r="C172" s="45"/>
      <c r="D172" s="45"/>
      <c r="E172" s="45"/>
      <c r="F172" s="309"/>
      <c r="G172" s="109"/>
      <c r="H172" s="109"/>
      <c r="I172" s="109"/>
      <c r="J172" s="109"/>
      <c r="K172" s="109"/>
      <c r="L172" s="109"/>
      <c r="M172" s="109"/>
      <c r="N172" s="109"/>
      <c r="O172" s="109"/>
      <c r="P172" s="109"/>
      <c r="Q172" s="109"/>
      <c r="R172" s="109"/>
      <c r="S172" s="328"/>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row>
    <row r="173" ht="12.0" customHeight="1">
      <c r="A173" s="45"/>
      <c r="B173" s="45"/>
      <c r="C173" s="45"/>
      <c r="D173" s="45"/>
      <c r="E173" s="45"/>
      <c r="F173" s="309"/>
      <c r="G173" s="109"/>
      <c r="H173" s="109"/>
      <c r="I173" s="109"/>
      <c r="J173" s="109"/>
      <c r="K173" s="109"/>
      <c r="L173" s="109"/>
      <c r="M173" s="109"/>
      <c r="N173" s="109"/>
      <c r="O173" s="109"/>
      <c r="P173" s="109"/>
      <c r="Q173" s="109"/>
      <c r="R173" s="109"/>
      <c r="S173" s="328"/>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row>
    <row r="174" ht="12.0" customHeight="1">
      <c r="A174" s="45"/>
      <c r="B174" s="45"/>
      <c r="C174" s="45"/>
      <c r="D174" s="45"/>
      <c r="E174" s="45"/>
      <c r="F174" s="309"/>
      <c r="G174" s="109"/>
      <c r="H174" s="109"/>
      <c r="I174" s="109"/>
      <c r="J174" s="109"/>
      <c r="K174" s="109"/>
      <c r="L174" s="109"/>
      <c r="M174" s="109"/>
      <c r="N174" s="109"/>
      <c r="O174" s="109"/>
      <c r="P174" s="109"/>
      <c r="Q174" s="109"/>
      <c r="R174" s="109"/>
      <c r="S174" s="328"/>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row>
    <row r="175" ht="12.0" customHeight="1">
      <c r="A175" s="45"/>
      <c r="B175" s="45"/>
      <c r="C175" s="45"/>
      <c r="D175" s="45"/>
      <c r="E175" s="45"/>
      <c r="F175" s="309"/>
      <c r="G175" s="109"/>
      <c r="H175" s="109"/>
      <c r="I175" s="109"/>
      <c r="J175" s="109"/>
      <c r="K175" s="109"/>
      <c r="L175" s="109"/>
      <c r="M175" s="109"/>
      <c r="N175" s="109"/>
      <c r="O175" s="109"/>
      <c r="P175" s="109"/>
      <c r="Q175" s="109"/>
      <c r="R175" s="109"/>
      <c r="S175" s="328"/>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row>
    <row r="176" ht="12.0" customHeight="1">
      <c r="A176" s="45"/>
      <c r="B176" s="45"/>
      <c r="C176" s="45"/>
      <c r="D176" s="45"/>
      <c r="E176" s="45"/>
      <c r="F176" s="309"/>
      <c r="G176" s="109"/>
      <c r="H176" s="109"/>
      <c r="I176" s="109"/>
      <c r="J176" s="109"/>
      <c r="K176" s="109"/>
      <c r="L176" s="109"/>
      <c r="M176" s="109"/>
      <c r="N176" s="109"/>
      <c r="O176" s="109"/>
      <c r="P176" s="109"/>
      <c r="Q176" s="109"/>
      <c r="R176" s="109"/>
      <c r="S176" s="328"/>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row>
    <row r="177" ht="12.0" customHeight="1">
      <c r="A177" s="45"/>
      <c r="B177" s="45"/>
      <c r="C177" s="45"/>
      <c r="D177" s="45"/>
      <c r="E177" s="45"/>
      <c r="F177" s="309"/>
      <c r="G177" s="109"/>
      <c r="H177" s="109"/>
      <c r="I177" s="109"/>
      <c r="J177" s="109"/>
      <c r="K177" s="109"/>
      <c r="L177" s="109"/>
      <c r="M177" s="109"/>
      <c r="N177" s="109"/>
      <c r="O177" s="109"/>
      <c r="P177" s="109"/>
      <c r="Q177" s="109"/>
      <c r="R177" s="109"/>
      <c r="S177" s="328"/>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row>
    <row r="178" ht="12.0" customHeight="1">
      <c r="A178" s="45"/>
      <c r="B178" s="45"/>
      <c r="C178" s="45"/>
      <c r="D178" s="45"/>
      <c r="E178" s="45"/>
      <c r="F178" s="309"/>
      <c r="G178" s="109"/>
      <c r="H178" s="109"/>
      <c r="I178" s="109"/>
      <c r="J178" s="109"/>
      <c r="K178" s="109"/>
      <c r="L178" s="109"/>
      <c r="M178" s="109"/>
      <c r="N178" s="109"/>
      <c r="O178" s="109"/>
      <c r="P178" s="109"/>
      <c r="Q178" s="109"/>
      <c r="R178" s="109"/>
      <c r="S178" s="328"/>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row>
    <row r="179" ht="12.0" customHeight="1">
      <c r="A179" s="45"/>
      <c r="B179" s="45"/>
      <c r="C179" s="45"/>
      <c r="D179" s="45"/>
      <c r="E179" s="45"/>
      <c r="F179" s="309"/>
      <c r="G179" s="109"/>
      <c r="H179" s="109"/>
      <c r="I179" s="109"/>
      <c r="J179" s="109"/>
      <c r="K179" s="109"/>
      <c r="L179" s="109"/>
      <c r="M179" s="109"/>
      <c r="N179" s="109"/>
      <c r="O179" s="109"/>
      <c r="P179" s="109"/>
      <c r="Q179" s="109"/>
      <c r="R179" s="109"/>
      <c r="S179" s="328"/>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row>
    <row r="180" ht="12.0" customHeight="1">
      <c r="A180" s="45"/>
      <c r="B180" s="45"/>
      <c r="C180" s="45"/>
      <c r="D180" s="45"/>
      <c r="E180" s="45"/>
      <c r="F180" s="309"/>
      <c r="G180" s="109"/>
      <c r="H180" s="109"/>
      <c r="I180" s="109"/>
      <c r="J180" s="109"/>
      <c r="K180" s="109"/>
      <c r="L180" s="109"/>
      <c r="M180" s="109"/>
      <c r="N180" s="109"/>
      <c r="O180" s="109"/>
      <c r="P180" s="109"/>
      <c r="Q180" s="109"/>
      <c r="R180" s="109"/>
      <c r="S180" s="328"/>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row>
    <row r="181" ht="12.0" customHeight="1">
      <c r="A181" s="45"/>
      <c r="B181" s="45"/>
      <c r="C181" s="45"/>
      <c r="D181" s="45"/>
      <c r="E181" s="45"/>
      <c r="F181" s="309"/>
      <c r="G181" s="109"/>
      <c r="H181" s="109"/>
      <c r="I181" s="109"/>
      <c r="J181" s="109"/>
      <c r="K181" s="109"/>
      <c r="L181" s="109"/>
      <c r="M181" s="109"/>
      <c r="N181" s="109"/>
      <c r="O181" s="109"/>
      <c r="P181" s="109"/>
      <c r="Q181" s="109"/>
      <c r="R181" s="109"/>
      <c r="S181" s="328"/>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row>
    <row r="182" ht="12.0" customHeight="1">
      <c r="A182" s="45"/>
      <c r="B182" s="45"/>
      <c r="C182" s="45"/>
      <c r="D182" s="45"/>
      <c r="E182" s="45"/>
      <c r="F182" s="309"/>
      <c r="G182" s="109"/>
      <c r="H182" s="109"/>
      <c r="I182" s="109"/>
      <c r="J182" s="109"/>
      <c r="K182" s="109"/>
      <c r="L182" s="109"/>
      <c r="M182" s="109"/>
      <c r="N182" s="109"/>
      <c r="O182" s="109"/>
      <c r="P182" s="109"/>
      <c r="Q182" s="109"/>
      <c r="R182" s="109"/>
      <c r="S182" s="328"/>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row>
    <row r="183" ht="12.0" customHeight="1">
      <c r="A183" s="45"/>
      <c r="B183" s="45"/>
      <c r="C183" s="45"/>
      <c r="D183" s="45"/>
      <c r="E183" s="45"/>
      <c r="F183" s="309"/>
      <c r="G183" s="109"/>
      <c r="H183" s="109"/>
      <c r="I183" s="109"/>
      <c r="J183" s="109"/>
      <c r="K183" s="109"/>
      <c r="L183" s="109"/>
      <c r="M183" s="109"/>
      <c r="N183" s="109"/>
      <c r="O183" s="109"/>
      <c r="P183" s="109"/>
      <c r="Q183" s="109"/>
      <c r="R183" s="109"/>
      <c r="S183" s="328"/>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row>
    <row r="184" ht="12.0" customHeight="1">
      <c r="A184" s="45"/>
      <c r="B184" s="45"/>
      <c r="C184" s="45"/>
      <c r="D184" s="45"/>
      <c r="E184" s="45"/>
      <c r="F184" s="309"/>
      <c r="G184" s="109"/>
      <c r="H184" s="109"/>
      <c r="I184" s="109"/>
      <c r="J184" s="109"/>
      <c r="K184" s="109"/>
      <c r="L184" s="109"/>
      <c r="M184" s="109"/>
      <c r="N184" s="109"/>
      <c r="O184" s="109"/>
      <c r="P184" s="109"/>
      <c r="Q184" s="109"/>
      <c r="R184" s="109"/>
      <c r="S184" s="328"/>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row>
    <row r="185" ht="12.0" customHeight="1">
      <c r="A185" s="45"/>
      <c r="B185" s="45"/>
      <c r="C185" s="45"/>
      <c r="D185" s="45"/>
      <c r="E185" s="45"/>
      <c r="F185" s="309"/>
      <c r="G185" s="109"/>
      <c r="H185" s="109"/>
      <c r="I185" s="109"/>
      <c r="J185" s="109"/>
      <c r="K185" s="109"/>
      <c r="L185" s="109"/>
      <c r="M185" s="109"/>
      <c r="N185" s="109"/>
      <c r="O185" s="109"/>
      <c r="P185" s="109"/>
      <c r="Q185" s="109"/>
      <c r="R185" s="109"/>
      <c r="S185" s="328"/>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row>
    <row r="186" ht="12.0" customHeight="1">
      <c r="A186" s="45"/>
      <c r="B186" s="45"/>
      <c r="C186" s="45"/>
      <c r="D186" s="45"/>
      <c r="E186" s="45"/>
      <c r="F186" s="309"/>
      <c r="G186" s="109"/>
      <c r="H186" s="109"/>
      <c r="I186" s="109"/>
      <c r="J186" s="109"/>
      <c r="K186" s="109"/>
      <c r="L186" s="109"/>
      <c r="M186" s="109"/>
      <c r="N186" s="109"/>
      <c r="O186" s="109"/>
      <c r="P186" s="109"/>
      <c r="Q186" s="109"/>
      <c r="R186" s="109"/>
      <c r="S186" s="328"/>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row>
    <row r="187" ht="12.0" customHeight="1">
      <c r="A187" s="45"/>
      <c r="B187" s="45"/>
      <c r="C187" s="45"/>
      <c r="D187" s="45"/>
      <c r="E187" s="45"/>
      <c r="F187" s="309"/>
      <c r="G187" s="109"/>
      <c r="H187" s="109"/>
      <c r="I187" s="109"/>
      <c r="J187" s="109"/>
      <c r="K187" s="109"/>
      <c r="L187" s="109"/>
      <c r="M187" s="109"/>
      <c r="N187" s="109"/>
      <c r="O187" s="109"/>
      <c r="P187" s="109"/>
      <c r="Q187" s="109"/>
      <c r="R187" s="109"/>
      <c r="S187" s="328"/>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row>
    <row r="188" ht="12.0" customHeight="1">
      <c r="A188" s="45"/>
      <c r="B188" s="45"/>
      <c r="C188" s="45"/>
      <c r="D188" s="45"/>
      <c r="E188" s="45"/>
      <c r="F188" s="309"/>
      <c r="G188" s="109"/>
      <c r="H188" s="109"/>
      <c r="I188" s="109"/>
      <c r="J188" s="109"/>
      <c r="K188" s="109"/>
      <c r="L188" s="109"/>
      <c r="M188" s="109"/>
      <c r="N188" s="109"/>
      <c r="O188" s="109"/>
      <c r="P188" s="109"/>
      <c r="Q188" s="109"/>
      <c r="R188" s="109"/>
      <c r="S188" s="328"/>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row>
    <row r="189" ht="12.0" customHeight="1">
      <c r="A189" s="45"/>
      <c r="B189" s="45"/>
      <c r="C189" s="45"/>
      <c r="D189" s="45"/>
      <c r="E189" s="45"/>
      <c r="F189" s="309"/>
      <c r="G189" s="109"/>
      <c r="H189" s="109"/>
      <c r="I189" s="109"/>
      <c r="J189" s="109"/>
      <c r="K189" s="109"/>
      <c r="L189" s="109"/>
      <c r="M189" s="109"/>
      <c r="N189" s="109"/>
      <c r="O189" s="109"/>
      <c r="P189" s="109"/>
      <c r="Q189" s="109"/>
      <c r="R189" s="109"/>
      <c r="S189" s="328"/>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row>
    <row r="190" ht="12.0" customHeight="1">
      <c r="A190" s="45"/>
      <c r="B190" s="45"/>
      <c r="C190" s="45"/>
      <c r="D190" s="45"/>
      <c r="E190" s="45"/>
      <c r="F190" s="309"/>
      <c r="G190" s="109"/>
      <c r="H190" s="109"/>
      <c r="I190" s="109"/>
      <c r="J190" s="109"/>
      <c r="K190" s="109"/>
      <c r="L190" s="109"/>
      <c r="M190" s="109"/>
      <c r="N190" s="109"/>
      <c r="O190" s="109"/>
      <c r="P190" s="109"/>
      <c r="Q190" s="109"/>
      <c r="R190" s="109"/>
      <c r="S190" s="328"/>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row>
    <row r="191" ht="12.0" customHeight="1">
      <c r="A191" s="45"/>
      <c r="B191" s="45"/>
      <c r="C191" s="45"/>
      <c r="D191" s="45"/>
      <c r="E191" s="45"/>
      <c r="F191" s="309"/>
      <c r="G191" s="109"/>
      <c r="H191" s="109"/>
      <c r="I191" s="109"/>
      <c r="J191" s="109"/>
      <c r="K191" s="109"/>
      <c r="L191" s="109"/>
      <c r="M191" s="109"/>
      <c r="N191" s="109"/>
      <c r="O191" s="109"/>
      <c r="P191" s="109"/>
      <c r="Q191" s="109"/>
      <c r="R191" s="109"/>
      <c r="S191" s="328"/>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row>
    <row r="192" ht="12.0" customHeight="1">
      <c r="A192" s="45"/>
      <c r="B192" s="45"/>
      <c r="C192" s="45"/>
      <c r="D192" s="45"/>
      <c r="E192" s="45"/>
      <c r="F192" s="309"/>
      <c r="G192" s="109"/>
      <c r="H192" s="109"/>
      <c r="I192" s="109"/>
      <c r="J192" s="109"/>
      <c r="K192" s="109"/>
      <c r="L192" s="109"/>
      <c r="M192" s="109"/>
      <c r="N192" s="109"/>
      <c r="O192" s="109"/>
      <c r="P192" s="109"/>
      <c r="Q192" s="109"/>
      <c r="R192" s="109"/>
      <c r="S192" s="328"/>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row>
    <row r="193" ht="12.0" customHeight="1">
      <c r="A193" s="45"/>
      <c r="B193" s="45"/>
      <c r="C193" s="45"/>
      <c r="D193" s="45"/>
      <c r="E193" s="45"/>
      <c r="F193" s="309"/>
      <c r="G193" s="109"/>
      <c r="H193" s="109"/>
      <c r="I193" s="109"/>
      <c r="J193" s="109"/>
      <c r="K193" s="109"/>
      <c r="L193" s="109"/>
      <c r="M193" s="109"/>
      <c r="N193" s="109"/>
      <c r="O193" s="109"/>
      <c r="P193" s="109"/>
      <c r="Q193" s="109"/>
      <c r="R193" s="109"/>
      <c r="S193" s="328"/>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row>
    <row r="194" ht="12.0" customHeight="1">
      <c r="A194" s="45"/>
      <c r="B194" s="45"/>
      <c r="C194" s="45"/>
      <c r="D194" s="45"/>
      <c r="E194" s="45"/>
      <c r="F194" s="309"/>
      <c r="G194" s="109"/>
      <c r="H194" s="109"/>
      <c r="I194" s="109"/>
      <c r="J194" s="109"/>
      <c r="K194" s="109"/>
      <c r="L194" s="109"/>
      <c r="M194" s="109"/>
      <c r="N194" s="109"/>
      <c r="O194" s="109"/>
      <c r="P194" s="109"/>
      <c r="Q194" s="109"/>
      <c r="R194" s="109"/>
      <c r="S194" s="328"/>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row>
    <row r="195" ht="12.0" customHeight="1">
      <c r="A195" s="45"/>
      <c r="B195" s="45"/>
      <c r="C195" s="45"/>
      <c r="D195" s="45"/>
      <c r="E195" s="45"/>
      <c r="F195" s="309"/>
      <c r="G195" s="109"/>
      <c r="H195" s="109"/>
      <c r="I195" s="109"/>
      <c r="J195" s="109"/>
      <c r="K195" s="109"/>
      <c r="L195" s="109"/>
      <c r="M195" s="109"/>
      <c r="N195" s="109"/>
      <c r="O195" s="109"/>
      <c r="P195" s="109"/>
      <c r="Q195" s="109"/>
      <c r="R195" s="109"/>
      <c r="S195" s="328"/>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row>
    <row r="196" ht="12.0" customHeight="1">
      <c r="A196" s="45"/>
      <c r="B196" s="45"/>
      <c r="C196" s="45"/>
      <c r="D196" s="45"/>
      <c r="E196" s="45"/>
      <c r="F196" s="309"/>
      <c r="G196" s="109"/>
      <c r="H196" s="109"/>
      <c r="I196" s="109"/>
      <c r="J196" s="109"/>
      <c r="K196" s="109"/>
      <c r="L196" s="109"/>
      <c r="M196" s="109"/>
      <c r="N196" s="109"/>
      <c r="O196" s="109"/>
      <c r="P196" s="109"/>
      <c r="Q196" s="109"/>
      <c r="R196" s="109"/>
      <c r="S196" s="328"/>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row>
    <row r="197" ht="12.0" customHeight="1">
      <c r="A197" s="45"/>
      <c r="B197" s="45"/>
      <c r="C197" s="45"/>
      <c r="D197" s="45"/>
      <c r="E197" s="45"/>
      <c r="F197" s="309"/>
      <c r="G197" s="109"/>
      <c r="H197" s="109"/>
      <c r="I197" s="109"/>
      <c r="J197" s="109"/>
      <c r="K197" s="109"/>
      <c r="L197" s="109"/>
      <c r="M197" s="109"/>
      <c r="N197" s="109"/>
      <c r="O197" s="109"/>
      <c r="P197" s="109"/>
      <c r="Q197" s="109"/>
      <c r="R197" s="109"/>
      <c r="S197" s="328"/>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row>
    <row r="198" ht="12.0" customHeight="1">
      <c r="A198" s="45"/>
      <c r="B198" s="45"/>
      <c r="C198" s="45"/>
      <c r="D198" s="45"/>
      <c r="E198" s="45"/>
      <c r="F198" s="309"/>
      <c r="G198" s="109"/>
      <c r="H198" s="109"/>
      <c r="I198" s="109"/>
      <c r="J198" s="109"/>
      <c r="K198" s="109"/>
      <c r="L198" s="109"/>
      <c r="M198" s="109"/>
      <c r="N198" s="109"/>
      <c r="O198" s="109"/>
      <c r="P198" s="109"/>
      <c r="Q198" s="109"/>
      <c r="R198" s="109"/>
      <c r="S198" s="328"/>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row>
    <row r="199" ht="12.0" customHeight="1">
      <c r="A199" s="45"/>
      <c r="B199" s="45"/>
      <c r="C199" s="45"/>
      <c r="D199" s="45"/>
      <c r="E199" s="45"/>
      <c r="F199" s="309"/>
      <c r="G199" s="109"/>
      <c r="H199" s="109"/>
      <c r="I199" s="109"/>
      <c r="J199" s="109"/>
      <c r="K199" s="109"/>
      <c r="L199" s="109"/>
      <c r="M199" s="109"/>
      <c r="N199" s="109"/>
      <c r="O199" s="109"/>
      <c r="P199" s="109"/>
      <c r="Q199" s="109"/>
      <c r="R199" s="109"/>
      <c r="S199" s="328"/>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row>
    <row r="200" ht="12.0" customHeight="1">
      <c r="A200" s="45"/>
      <c r="B200" s="45"/>
      <c r="C200" s="45"/>
      <c r="D200" s="45"/>
      <c r="E200" s="45"/>
      <c r="F200" s="309"/>
      <c r="G200" s="109"/>
      <c r="H200" s="109"/>
      <c r="I200" s="109"/>
      <c r="J200" s="109"/>
      <c r="K200" s="109"/>
      <c r="L200" s="109"/>
      <c r="M200" s="109"/>
      <c r="N200" s="109"/>
      <c r="O200" s="109"/>
      <c r="P200" s="109"/>
      <c r="Q200" s="109"/>
      <c r="R200" s="109"/>
      <c r="S200" s="328"/>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row>
    <row r="201" ht="12.0" customHeight="1">
      <c r="A201" s="45"/>
      <c r="B201" s="45"/>
      <c r="C201" s="45"/>
      <c r="D201" s="45"/>
      <c r="E201" s="45"/>
      <c r="F201" s="309"/>
      <c r="G201" s="109"/>
      <c r="H201" s="109"/>
      <c r="I201" s="109"/>
      <c r="J201" s="109"/>
      <c r="K201" s="109"/>
      <c r="L201" s="109"/>
      <c r="M201" s="109"/>
      <c r="N201" s="109"/>
      <c r="O201" s="109"/>
      <c r="P201" s="109"/>
      <c r="Q201" s="109"/>
      <c r="R201" s="109"/>
      <c r="S201" s="328"/>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row>
    <row r="202" ht="12.0" customHeight="1">
      <c r="A202" s="45"/>
      <c r="B202" s="45"/>
      <c r="C202" s="45"/>
      <c r="D202" s="45"/>
      <c r="E202" s="45"/>
      <c r="F202" s="309"/>
      <c r="G202" s="109"/>
      <c r="H202" s="109"/>
      <c r="I202" s="109"/>
      <c r="J202" s="109"/>
      <c r="K202" s="109"/>
      <c r="L202" s="109"/>
      <c r="M202" s="109"/>
      <c r="N202" s="109"/>
      <c r="O202" s="109"/>
      <c r="P202" s="109"/>
      <c r="Q202" s="109"/>
      <c r="R202" s="109"/>
      <c r="S202" s="328"/>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row>
    <row r="203" ht="12.0" customHeight="1">
      <c r="A203" s="45"/>
      <c r="B203" s="45"/>
      <c r="C203" s="45"/>
      <c r="D203" s="45"/>
      <c r="E203" s="45"/>
      <c r="F203" s="309"/>
      <c r="G203" s="109"/>
      <c r="H203" s="109"/>
      <c r="I203" s="109"/>
      <c r="J203" s="109"/>
      <c r="K203" s="109"/>
      <c r="L203" s="109"/>
      <c r="M203" s="109"/>
      <c r="N203" s="109"/>
      <c r="O203" s="109"/>
      <c r="P203" s="109"/>
      <c r="Q203" s="109"/>
      <c r="R203" s="109"/>
      <c r="S203" s="328"/>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row>
    <row r="204" ht="12.0" customHeight="1">
      <c r="A204" s="45"/>
      <c r="B204" s="45"/>
      <c r="C204" s="45"/>
      <c r="D204" s="45"/>
      <c r="E204" s="45"/>
      <c r="F204" s="309"/>
      <c r="G204" s="109"/>
      <c r="H204" s="109"/>
      <c r="I204" s="109"/>
      <c r="J204" s="109"/>
      <c r="K204" s="109"/>
      <c r="L204" s="109"/>
      <c r="M204" s="109"/>
      <c r="N204" s="109"/>
      <c r="O204" s="109"/>
      <c r="P204" s="109"/>
      <c r="Q204" s="109"/>
      <c r="R204" s="109"/>
      <c r="S204" s="328"/>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row>
    <row r="205" ht="12.0" customHeight="1">
      <c r="A205" s="45"/>
      <c r="B205" s="45"/>
      <c r="C205" s="45"/>
      <c r="D205" s="45"/>
      <c r="E205" s="45"/>
      <c r="F205" s="309"/>
      <c r="G205" s="109"/>
      <c r="H205" s="109"/>
      <c r="I205" s="109"/>
      <c r="J205" s="109"/>
      <c r="K205" s="109"/>
      <c r="L205" s="109"/>
      <c r="M205" s="109"/>
      <c r="N205" s="109"/>
      <c r="O205" s="109"/>
      <c r="P205" s="109"/>
      <c r="Q205" s="109"/>
      <c r="R205" s="109"/>
      <c r="S205" s="328"/>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row>
    <row r="206" ht="12.0" customHeight="1">
      <c r="A206" s="45"/>
      <c r="B206" s="45"/>
      <c r="C206" s="45"/>
      <c r="D206" s="45"/>
      <c r="E206" s="45"/>
      <c r="F206" s="309"/>
      <c r="G206" s="109"/>
      <c r="H206" s="109"/>
      <c r="I206" s="109"/>
      <c r="J206" s="109"/>
      <c r="K206" s="109"/>
      <c r="L206" s="109"/>
      <c r="M206" s="109"/>
      <c r="N206" s="109"/>
      <c r="O206" s="109"/>
      <c r="P206" s="109"/>
      <c r="Q206" s="109"/>
      <c r="R206" s="109"/>
      <c r="S206" s="328"/>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row>
    <row r="207" ht="12.0" customHeight="1">
      <c r="A207" s="45"/>
      <c r="B207" s="45"/>
      <c r="C207" s="45"/>
      <c r="D207" s="45"/>
      <c r="E207" s="45"/>
      <c r="F207" s="309"/>
      <c r="G207" s="109"/>
      <c r="H207" s="109"/>
      <c r="I207" s="109"/>
      <c r="J207" s="109"/>
      <c r="K207" s="109"/>
      <c r="L207" s="109"/>
      <c r="M207" s="109"/>
      <c r="N207" s="109"/>
      <c r="O207" s="109"/>
      <c r="P207" s="109"/>
      <c r="Q207" s="109"/>
      <c r="R207" s="109"/>
      <c r="S207" s="328"/>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row>
    <row r="208" ht="12.0" customHeight="1">
      <c r="A208" s="45"/>
      <c r="B208" s="45"/>
      <c r="C208" s="45"/>
      <c r="D208" s="45"/>
      <c r="E208" s="45"/>
      <c r="F208" s="309"/>
      <c r="G208" s="109"/>
      <c r="H208" s="109"/>
      <c r="I208" s="109"/>
      <c r="J208" s="109"/>
      <c r="K208" s="109"/>
      <c r="L208" s="109"/>
      <c r="M208" s="109"/>
      <c r="N208" s="109"/>
      <c r="O208" s="109"/>
      <c r="P208" s="109"/>
      <c r="Q208" s="109"/>
      <c r="R208" s="109"/>
      <c r="S208" s="328"/>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row>
    <row r="209" ht="12.0" customHeight="1">
      <c r="A209" s="45"/>
      <c r="B209" s="45"/>
      <c r="C209" s="45"/>
      <c r="D209" s="45"/>
      <c r="E209" s="45"/>
      <c r="F209" s="309"/>
      <c r="G209" s="109"/>
      <c r="H209" s="109"/>
      <c r="I209" s="109"/>
      <c r="J209" s="109"/>
      <c r="K209" s="109"/>
      <c r="L209" s="109"/>
      <c r="M209" s="109"/>
      <c r="N209" s="109"/>
      <c r="O209" s="109"/>
      <c r="P209" s="109"/>
      <c r="Q209" s="109"/>
      <c r="R209" s="109"/>
      <c r="S209" s="328"/>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row>
    <row r="210" ht="12.0" customHeight="1">
      <c r="A210" s="45"/>
      <c r="B210" s="45"/>
      <c r="C210" s="45"/>
      <c r="D210" s="45"/>
      <c r="E210" s="45"/>
      <c r="F210" s="309"/>
      <c r="G210" s="109"/>
      <c r="H210" s="109"/>
      <c r="I210" s="109"/>
      <c r="J210" s="109"/>
      <c r="K210" s="109"/>
      <c r="L210" s="109"/>
      <c r="M210" s="109"/>
      <c r="N210" s="109"/>
      <c r="O210" s="109"/>
      <c r="P210" s="109"/>
      <c r="Q210" s="109"/>
      <c r="R210" s="109"/>
      <c r="S210" s="328"/>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row>
    <row r="211" ht="12.0" customHeight="1">
      <c r="A211" s="45"/>
      <c r="B211" s="45"/>
      <c r="C211" s="45"/>
      <c r="D211" s="45"/>
      <c r="E211" s="45"/>
      <c r="F211" s="309"/>
      <c r="G211" s="109"/>
      <c r="H211" s="109"/>
      <c r="I211" s="109"/>
      <c r="J211" s="109"/>
      <c r="K211" s="109"/>
      <c r="L211" s="109"/>
      <c r="M211" s="109"/>
      <c r="N211" s="109"/>
      <c r="O211" s="109"/>
      <c r="P211" s="109"/>
      <c r="Q211" s="109"/>
      <c r="R211" s="109"/>
      <c r="S211" s="328"/>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row>
    <row r="212" ht="12.0" customHeight="1">
      <c r="A212" s="45"/>
      <c r="B212" s="45"/>
      <c r="C212" s="45"/>
      <c r="D212" s="45"/>
      <c r="E212" s="45"/>
      <c r="F212" s="309"/>
      <c r="G212" s="109"/>
      <c r="H212" s="109"/>
      <c r="I212" s="109"/>
      <c r="J212" s="109"/>
      <c r="K212" s="109"/>
      <c r="L212" s="109"/>
      <c r="M212" s="109"/>
      <c r="N212" s="109"/>
      <c r="O212" s="109"/>
      <c r="P212" s="109"/>
      <c r="Q212" s="109"/>
      <c r="R212" s="109"/>
      <c r="S212" s="328"/>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row>
    <row r="213" ht="12.0" customHeight="1">
      <c r="A213" s="45"/>
      <c r="B213" s="45"/>
      <c r="C213" s="45"/>
      <c r="D213" s="45"/>
      <c r="E213" s="45"/>
      <c r="F213" s="309"/>
      <c r="G213" s="109"/>
      <c r="H213" s="109"/>
      <c r="I213" s="109"/>
      <c r="J213" s="109"/>
      <c r="K213" s="109"/>
      <c r="L213" s="109"/>
      <c r="M213" s="109"/>
      <c r="N213" s="109"/>
      <c r="O213" s="109"/>
      <c r="P213" s="109"/>
      <c r="Q213" s="109"/>
      <c r="R213" s="109"/>
      <c r="S213" s="328"/>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row>
    <row r="214" ht="12.0" customHeight="1">
      <c r="A214" s="45"/>
      <c r="B214" s="45"/>
      <c r="C214" s="45"/>
      <c r="D214" s="45"/>
      <c r="E214" s="45"/>
      <c r="F214" s="309"/>
      <c r="G214" s="109"/>
      <c r="H214" s="109"/>
      <c r="I214" s="109"/>
      <c r="J214" s="109"/>
      <c r="K214" s="109"/>
      <c r="L214" s="109"/>
      <c r="M214" s="109"/>
      <c r="N214" s="109"/>
      <c r="O214" s="109"/>
      <c r="P214" s="109"/>
      <c r="Q214" s="109"/>
      <c r="R214" s="109"/>
      <c r="S214" s="328"/>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row>
    <row r="215" ht="12.0" customHeight="1">
      <c r="A215" s="45"/>
      <c r="B215" s="45"/>
      <c r="C215" s="45"/>
      <c r="D215" s="45"/>
      <c r="E215" s="45"/>
      <c r="F215" s="309"/>
      <c r="G215" s="109"/>
      <c r="H215" s="109"/>
      <c r="I215" s="109"/>
      <c r="J215" s="109"/>
      <c r="K215" s="109"/>
      <c r="L215" s="109"/>
      <c r="M215" s="109"/>
      <c r="N215" s="109"/>
      <c r="O215" s="109"/>
      <c r="P215" s="109"/>
      <c r="Q215" s="109"/>
      <c r="R215" s="109"/>
      <c r="S215" s="328"/>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row>
    <row r="216" ht="12.0" customHeight="1">
      <c r="A216" s="45"/>
      <c r="B216" s="45"/>
      <c r="C216" s="45"/>
      <c r="D216" s="45"/>
      <c r="E216" s="45"/>
      <c r="F216" s="309"/>
      <c r="G216" s="109"/>
      <c r="H216" s="109"/>
      <c r="I216" s="109"/>
      <c r="J216" s="109"/>
      <c r="K216" s="109"/>
      <c r="L216" s="109"/>
      <c r="M216" s="109"/>
      <c r="N216" s="109"/>
      <c r="O216" s="109"/>
      <c r="P216" s="109"/>
      <c r="Q216" s="109"/>
      <c r="R216" s="109"/>
      <c r="S216" s="328"/>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row>
    <row r="217" ht="12.0" customHeight="1">
      <c r="A217" s="45"/>
      <c r="B217" s="45"/>
      <c r="C217" s="45"/>
      <c r="D217" s="45"/>
      <c r="E217" s="45"/>
      <c r="F217" s="309"/>
      <c r="G217" s="109"/>
      <c r="H217" s="109"/>
      <c r="I217" s="109"/>
      <c r="J217" s="109"/>
      <c r="K217" s="109"/>
      <c r="L217" s="109"/>
      <c r="M217" s="109"/>
      <c r="N217" s="109"/>
      <c r="O217" s="109"/>
      <c r="P217" s="109"/>
      <c r="Q217" s="109"/>
      <c r="R217" s="109"/>
      <c r="S217" s="328"/>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row>
    <row r="218" ht="12.0" customHeight="1">
      <c r="A218" s="45"/>
      <c r="B218" s="45"/>
      <c r="C218" s="45"/>
      <c r="D218" s="45"/>
      <c r="E218" s="45"/>
      <c r="F218" s="309"/>
      <c r="G218" s="109"/>
      <c r="H218" s="109"/>
      <c r="I218" s="109"/>
      <c r="J218" s="109"/>
      <c r="K218" s="109"/>
      <c r="L218" s="109"/>
      <c r="M218" s="109"/>
      <c r="N218" s="109"/>
      <c r="O218" s="109"/>
      <c r="P218" s="109"/>
      <c r="Q218" s="109"/>
      <c r="R218" s="109"/>
      <c r="S218" s="328"/>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row>
    <row r="219" ht="12.0" customHeight="1">
      <c r="A219" s="45"/>
      <c r="B219" s="45"/>
      <c r="C219" s="45"/>
      <c r="D219" s="45"/>
      <c r="E219" s="45"/>
      <c r="F219" s="309"/>
      <c r="G219" s="109"/>
      <c r="H219" s="109"/>
      <c r="I219" s="109"/>
      <c r="J219" s="109"/>
      <c r="K219" s="109"/>
      <c r="L219" s="109"/>
      <c r="M219" s="109"/>
      <c r="N219" s="109"/>
      <c r="O219" s="109"/>
      <c r="P219" s="109"/>
      <c r="Q219" s="109"/>
      <c r="R219" s="109"/>
      <c r="S219" s="328"/>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row>
    <row r="220" ht="12.0" customHeight="1">
      <c r="A220" s="45"/>
      <c r="B220" s="45"/>
      <c r="C220" s="45"/>
      <c r="D220" s="45"/>
      <c r="E220" s="45"/>
      <c r="F220" s="309"/>
      <c r="G220" s="109"/>
      <c r="H220" s="109"/>
      <c r="I220" s="109"/>
      <c r="J220" s="109"/>
      <c r="K220" s="109"/>
      <c r="L220" s="109"/>
      <c r="M220" s="109"/>
      <c r="N220" s="109"/>
      <c r="O220" s="109"/>
      <c r="P220" s="109"/>
      <c r="Q220" s="109"/>
      <c r="R220" s="109"/>
      <c r="S220" s="328"/>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row>
    <row r="221" ht="12.0" customHeight="1">
      <c r="A221" s="45"/>
      <c r="B221" s="45"/>
      <c r="C221" s="45"/>
      <c r="D221" s="45"/>
      <c r="E221" s="45"/>
      <c r="F221" s="309"/>
      <c r="G221" s="109"/>
      <c r="H221" s="109"/>
      <c r="I221" s="109"/>
      <c r="J221" s="109"/>
      <c r="K221" s="109"/>
      <c r="L221" s="109"/>
      <c r="M221" s="109"/>
      <c r="N221" s="109"/>
      <c r="O221" s="109"/>
      <c r="P221" s="109"/>
      <c r="Q221" s="109"/>
      <c r="R221" s="109"/>
      <c r="S221" s="328"/>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row>
    <row r="222" ht="12.0" customHeight="1">
      <c r="A222" s="45"/>
      <c r="B222" s="45"/>
      <c r="C222" s="45"/>
      <c r="D222" s="45"/>
      <c r="E222" s="45"/>
      <c r="F222" s="309"/>
      <c r="G222" s="109"/>
      <c r="H222" s="109"/>
      <c r="I222" s="109"/>
      <c r="J222" s="109"/>
      <c r="K222" s="109"/>
      <c r="L222" s="109"/>
      <c r="M222" s="109"/>
      <c r="N222" s="109"/>
      <c r="O222" s="109"/>
      <c r="P222" s="109"/>
      <c r="Q222" s="109"/>
      <c r="R222" s="109"/>
      <c r="S222" s="328"/>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row>
    <row r="223" ht="12.0" customHeight="1">
      <c r="A223" s="45"/>
      <c r="B223" s="45"/>
      <c r="C223" s="45"/>
      <c r="D223" s="45"/>
      <c r="E223" s="45"/>
      <c r="F223" s="309"/>
      <c r="G223" s="109"/>
      <c r="H223" s="109"/>
      <c r="I223" s="109"/>
      <c r="J223" s="109"/>
      <c r="K223" s="109"/>
      <c r="L223" s="109"/>
      <c r="M223" s="109"/>
      <c r="N223" s="109"/>
      <c r="O223" s="109"/>
      <c r="P223" s="109"/>
      <c r="Q223" s="109"/>
      <c r="R223" s="109"/>
      <c r="S223" s="328"/>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row>
    <row r="224" ht="12.0" customHeight="1">
      <c r="A224" s="45"/>
      <c r="B224" s="45"/>
      <c r="C224" s="45"/>
      <c r="D224" s="45"/>
      <c r="E224" s="45"/>
      <c r="F224" s="309"/>
      <c r="G224" s="109"/>
      <c r="H224" s="109"/>
      <c r="I224" s="109"/>
      <c r="J224" s="109"/>
      <c r="K224" s="109"/>
      <c r="L224" s="109"/>
      <c r="M224" s="109"/>
      <c r="N224" s="109"/>
      <c r="O224" s="109"/>
      <c r="P224" s="109"/>
      <c r="Q224" s="109"/>
      <c r="R224" s="109"/>
      <c r="S224" s="328"/>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row>
    <row r="225" ht="12.0" customHeight="1">
      <c r="A225" s="45"/>
      <c r="B225" s="45"/>
      <c r="C225" s="45"/>
      <c r="D225" s="45"/>
      <c r="E225" s="45"/>
      <c r="F225" s="309"/>
      <c r="G225" s="109"/>
      <c r="H225" s="109"/>
      <c r="I225" s="109"/>
      <c r="J225" s="109"/>
      <c r="K225" s="109"/>
      <c r="L225" s="109"/>
      <c r="M225" s="109"/>
      <c r="N225" s="109"/>
      <c r="O225" s="109"/>
      <c r="P225" s="109"/>
      <c r="Q225" s="109"/>
      <c r="R225" s="109"/>
      <c r="S225" s="328"/>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row>
    <row r="226" ht="12.0" customHeight="1">
      <c r="A226" s="45"/>
      <c r="B226" s="45"/>
      <c r="C226" s="45"/>
      <c r="D226" s="45"/>
      <c r="E226" s="45"/>
      <c r="F226" s="309"/>
      <c r="G226" s="109"/>
      <c r="H226" s="109"/>
      <c r="I226" s="109"/>
      <c r="J226" s="109"/>
      <c r="K226" s="109"/>
      <c r="L226" s="109"/>
      <c r="M226" s="109"/>
      <c r="N226" s="109"/>
      <c r="O226" s="109"/>
      <c r="P226" s="109"/>
      <c r="Q226" s="109"/>
      <c r="R226" s="109"/>
      <c r="S226" s="328"/>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row>
    <row r="227" ht="12.0" customHeight="1">
      <c r="A227" s="45"/>
      <c r="B227" s="45"/>
      <c r="C227" s="45"/>
      <c r="D227" s="45"/>
      <c r="E227" s="45"/>
      <c r="F227" s="309"/>
      <c r="G227" s="109"/>
      <c r="H227" s="109"/>
      <c r="I227" s="109"/>
      <c r="J227" s="109"/>
      <c r="K227" s="109"/>
      <c r="L227" s="109"/>
      <c r="M227" s="109"/>
      <c r="N227" s="109"/>
      <c r="O227" s="109"/>
      <c r="P227" s="109"/>
      <c r="Q227" s="109"/>
      <c r="R227" s="109"/>
      <c r="S227" s="328"/>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row>
    <row r="228" ht="12.0" customHeight="1">
      <c r="A228" s="45"/>
      <c r="B228" s="45"/>
      <c r="C228" s="45"/>
      <c r="D228" s="45"/>
      <c r="E228" s="45"/>
      <c r="F228" s="309"/>
      <c r="G228" s="109"/>
      <c r="H228" s="109"/>
      <c r="I228" s="109"/>
      <c r="J228" s="109"/>
      <c r="K228" s="109"/>
      <c r="L228" s="109"/>
      <c r="M228" s="109"/>
      <c r="N228" s="109"/>
      <c r="O228" s="109"/>
      <c r="P228" s="109"/>
      <c r="Q228" s="109"/>
      <c r="R228" s="109"/>
      <c r="S228" s="328"/>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row>
    <row r="229" ht="12.0" customHeight="1">
      <c r="A229" s="45"/>
      <c r="B229" s="45"/>
      <c r="C229" s="45"/>
      <c r="D229" s="45"/>
      <c r="E229" s="45"/>
      <c r="F229" s="309"/>
      <c r="G229" s="109"/>
      <c r="H229" s="109"/>
      <c r="I229" s="109"/>
      <c r="J229" s="109"/>
      <c r="K229" s="109"/>
      <c r="L229" s="109"/>
      <c r="M229" s="109"/>
      <c r="N229" s="109"/>
      <c r="O229" s="109"/>
      <c r="P229" s="109"/>
      <c r="Q229" s="109"/>
      <c r="R229" s="109"/>
      <c r="S229" s="328"/>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row>
    <row r="230" ht="12.0" customHeight="1">
      <c r="A230" s="45"/>
      <c r="B230" s="45"/>
      <c r="C230" s="45"/>
      <c r="D230" s="45"/>
      <c r="E230" s="45"/>
      <c r="F230" s="309"/>
      <c r="G230" s="109"/>
      <c r="H230" s="109"/>
      <c r="I230" s="109"/>
      <c r="J230" s="109"/>
      <c r="K230" s="109"/>
      <c r="L230" s="109"/>
      <c r="M230" s="109"/>
      <c r="N230" s="109"/>
      <c r="O230" s="109"/>
      <c r="P230" s="109"/>
      <c r="Q230" s="109"/>
      <c r="R230" s="109"/>
      <c r="S230" s="328"/>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row>
    <row r="231" ht="12.0" customHeight="1">
      <c r="A231" s="45"/>
      <c r="B231" s="45"/>
      <c r="C231" s="45"/>
      <c r="D231" s="45"/>
      <c r="E231" s="45"/>
      <c r="F231" s="309"/>
      <c r="G231" s="109"/>
      <c r="H231" s="109"/>
      <c r="I231" s="109"/>
      <c r="J231" s="109"/>
      <c r="K231" s="109"/>
      <c r="L231" s="109"/>
      <c r="M231" s="109"/>
      <c r="N231" s="109"/>
      <c r="O231" s="109"/>
      <c r="P231" s="109"/>
      <c r="Q231" s="109"/>
      <c r="R231" s="109"/>
      <c r="S231" s="328"/>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row>
    <row r="232" ht="12.0" customHeight="1">
      <c r="A232" s="45"/>
      <c r="B232" s="45"/>
      <c r="C232" s="45"/>
      <c r="D232" s="45"/>
      <c r="E232" s="45"/>
      <c r="F232" s="309"/>
      <c r="G232" s="109"/>
      <c r="H232" s="109"/>
      <c r="I232" s="109"/>
      <c r="J232" s="109"/>
      <c r="K232" s="109"/>
      <c r="L232" s="109"/>
      <c r="M232" s="109"/>
      <c r="N232" s="109"/>
      <c r="O232" s="109"/>
      <c r="P232" s="109"/>
      <c r="Q232" s="109"/>
      <c r="R232" s="109"/>
      <c r="S232" s="328"/>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row>
    <row r="233" ht="12.0" customHeight="1">
      <c r="A233" s="45"/>
      <c r="B233" s="45"/>
      <c r="C233" s="45"/>
      <c r="D233" s="45"/>
      <c r="E233" s="45"/>
      <c r="F233" s="309"/>
      <c r="G233" s="109"/>
      <c r="H233" s="109"/>
      <c r="I233" s="109"/>
      <c r="J233" s="109"/>
      <c r="K233" s="109"/>
      <c r="L233" s="109"/>
      <c r="M233" s="109"/>
      <c r="N233" s="109"/>
      <c r="O233" s="109"/>
      <c r="P233" s="109"/>
      <c r="Q233" s="109"/>
      <c r="R233" s="109"/>
      <c r="S233" s="328"/>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row>
    <row r="234" ht="12.0" customHeight="1">
      <c r="A234" s="45"/>
      <c r="B234" s="45"/>
      <c r="C234" s="45"/>
      <c r="D234" s="45"/>
      <c r="E234" s="45"/>
      <c r="F234" s="309"/>
      <c r="G234" s="109"/>
      <c r="H234" s="109"/>
      <c r="I234" s="109"/>
      <c r="J234" s="109"/>
      <c r="K234" s="109"/>
      <c r="L234" s="109"/>
      <c r="M234" s="109"/>
      <c r="N234" s="109"/>
      <c r="O234" s="109"/>
      <c r="P234" s="109"/>
      <c r="Q234" s="109"/>
      <c r="R234" s="109"/>
      <c r="S234" s="328"/>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row>
    <row r="235" ht="12.0" customHeight="1">
      <c r="A235" s="45"/>
      <c r="B235" s="45"/>
      <c r="C235" s="45"/>
      <c r="D235" s="45"/>
      <c r="E235" s="45"/>
      <c r="F235" s="309"/>
      <c r="G235" s="109"/>
      <c r="H235" s="109"/>
      <c r="I235" s="109"/>
      <c r="J235" s="109"/>
      <c r="K235" s="109"/>
      <c r="L235" s="109"/>
      <c r="M235" s="109"/>
      <c r="N235" s="109"/>
      <c r="O235" s="109"/>
      <c r="P235" s="109"/>
      <c r="Q235" s="109"/>
      <c r="R235" s="109"/>
      <c r="S235" s="328"/>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row>
    <row r="236" ht="12.0" customHeight="1">
      <c r="A236" s="45"/>
      <c r="B236" s="45"/>
      <c r="C236" s="45"/>
      <c r="D236" s="45"/>
      <c r="E236" s="45"/>
      <c r="F236" s="309"/>
      <c r="G236" s="109"/>
      <c r="H236" s="109"/>
      <c r="I236" s="109"/>
      <c r="J236" s="109"/>
      <c r="K236" s="109"/>
      <c r="L236" s="109"/>
      <c r="M236" s="109"/>
      <c r="N236" s="109"/>
      <c r="O236" s="109"/>
      <c r="P236" s="109"/>
      <c r="Q236" s="109"/>
      <c r="R236" s="109"/>
      <c r="S236" s="328"/>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row>
    <row r="237" ht="12.0" customHeight="1">
      <c r="A237" s="45"/>
      <c r="B237" s="45"/>
      <c r="C237" s="45"/>
      <c r="D237" s="45"/>
      <c r="E237" s="45"/>
      <c r="F237" s="309"/>
      <c r="G237" s="109"/>
      <c r="H237" s="109"/>
      <c r="I237" s="109"/>
      <c r="J237" s="109"/>
      <c r="K237" s="109"/>
      <c r="L237" s="109"/>
      <c r="M237" s="109"/>
      <c r="N237" s="109"/>
      <c r="O237" s="109"/>
      <c r="P237" s="109"/>
      <c r="Q237" s="109"/>
      <c r="R237" s="109"/>
      <c r="S237" s="328"/>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row>
    <row r="238" ht="12.0" customHeight="1">
      <c r="A238" s="45"/>
      <c r="B238" s="45"/>
      <c r="C238" s="45"/>
      <c r="D238" s="45"/>
      <c r="E238" s="45"/>
      <c r="F238" s="309"/>
      <c r="G238" s="109"/>
      <c r="H238" s="109"/>
      <c r="I238" s="109"/>
      <c r="J238" s="109"/>
      <c r="K238" s="109"/>
      <c r="L238" s="109"/>
      <c r="M238" s="109"/>
      <c r="N238" s="109"/>
      <c r="O238" s="109"/>
      <c r="P238" s="109"/>
      <c r="Q238" s="109"/>
      <c r="R238" s="109"/>
      <c r="S238" s="328"/>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row>
    <row r="239" ht="12.0" customHeight="1">
      <c r="A239" s="45"/>
      <c r="B239" s="45"/>
      <c r="C239" s="45"/>
      <c r="D239" s="45"/>
      <c r="E239" s="45"/>
      <c r="F239" s="309"/>
      <c r="G239" s="109"/>
      <c r="H239" s="109"/>
      <c r="I239" s="109"/>
      <c r="J239" s="109"/>
      <c r="K239" s="109"/>
      <c r="L239" s="109"/>
      <c r="M239" s="109"/>
      <c r="N239" s="109"/>
      <c r="O239" s="109"/>
      <c r="P239" s="109"/>
      <c r="Q239" s="109"/>
      <c r="R239" s="109"/>
      <c r="S239" s="328"/>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row>
    <row r="240" ht="12.0" customHeight="1">
      <c r="A240" s="45"/>
      <c r="B240" s="45"/>
      <c r="C240" s="45"/>
      <c r="D240" s="45"/>
      <c r="E240" s="45"/>
      <c r="F240" s="309"/>
      <c r="G240" s="109"/>
      <c r="H240" s="109"/>
      <c r="I240" s="109"/>
      <c r="J240" s="109"/>
      <c r="K240" s="109"/>
      <c r="L240" s="109"/>
      <c r="M240" s="109"/>
      <c r="N240" s="109"/>
      <c r="O240" s="109"/>
      <c r="P240" s="109"/>
      <c r="Q240" s="109"/>
      <c r="R240" s="109"/>
      <c r="S240" s="328"/>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row>
    <row r="241" ht="12.0" customHeight="1">
      <c r="A241" s="45"/>
      <c r="B241" s="45"/>
      <c r="C241" s="45"/>
      <c r="D241" s="45"/>
      <c r="E241" s="45"/>
      <c r="F241" s="309"/>
      <c r="G241" s="109"/>
      <c r="H241" s="109"/>
      <c r="I241" s="109"/>
      <c r="J241" s="109"/>
      <c r="K241" s="109"/>
      <c r="L241" s="109"/>
      <c r="M241" s="109"/>
      <c r="N241" s="109"/>
      <c r="O241" s="109"/>
      <c r="P241" s="109"/>
      <c r="Q241" s="109"/>
      <c r="R241" s="109"/>
      <c r="S241" s="328"/>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row>
    <row r="242" ht="12.0" customHeight="1">
      <c r="A242" s="45"/>
      <c r="B242" s="45"/>
      <c r="C242" s="45"/>
      <c r="D242" s="45"/>
      <c r="E242" s="45"/>
      <c r="F242" s="309"/>
      <c r="G242" s="109"/>
      <c r="H242" s="109"/>
      <c r="I242" s="109"/>
      <c r="J242" s="109"/>
      <c r="K242" s="109"/>
      <c r="L242" s="109"/>
      <c r="M242" s="109"/>
      <c r="N242" s="109"/>
      <c r="O242" s="109"/>
      <c r="P242" s="109"/>
      <c r="Q242" s="109"/>
      <c r="R242" s="109"/>
      <c r="S242" s="328"/>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row>
    <row r="243" ht="12.0" customHeight="1">
      <c r="A243" s="45"/>
      <c r="B243" s="45"/>
      <c r="C243" s="45"/>
      <c r="D243" s="45"/>
      <c r="E243" s="45"/>
      <c r="F243" s="309"/>
      <c r="G243" s="109"/>
      <c r="H243" s="109"/>
      <c r="I243" s="109"/>
      <c r="J243" s="109"/>
      <c r="K243" s="109"/>
      <c r="L243" s="109"/>
      <c r="M243" s="109"/>
      <c r="N243" s="109"/>
      <c r="O243" s="109"/>
      <c r="P243" s="109"/>
      <c r="Q243" s="109"/>
      <c r="R243" s="109"/>
      <c r="S243" s="328"/>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row>
    <row r="244" ht="12.0" customHeight="1">
      <c r="A244" s="45"/>
      <c r="B244" s="45"/>
      <c r="C244" s="45"/>
      <c r="D244" s="45"/>
      <c r="E244" s="45"/>
      <c r="F244" s="309"/>
      <c r="G244" s="109"/>
      <c r="H244" s="109"/>
      <c r="I244" s="109"/>
      <c r="J244" s="109"/>
      <c r="K244" s="109"/>
      <c r="L244" s="109"/>
      <c r="M244" s="109"/>
      <c r="N244" s="109"/>
      <c r="O244" s="109"/>
      <c r="P244" s="109"/>
      <c r="Q244" s="109"/>
      <c r="R244" s="109"/>
      <c r="S244" s="328"/>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row>
    <row r="245" ht="12.0" customHeight="1">
      <c r="A245" s="45"/>
      <c r="B245" s="45"/>
      <c r="C245" s="45"/>
      <c r="D245" s="45"/>
      <c r="E245" s="45"/>
      <c r="F245" s="309"/>
      <c r="G245" s="109"/>
      <c r="H245" s="109"/>
      <c r="I245" s="109"/>
      <c r="J245" s="109"/>
      <c r="K245" s="109"/>
      <c r="L245" s="109"/>
      <c r="M245" s="109"/>
      <c r="N245" s="109"/>
      <c r="O245" s="109"/>
      <c r="P245" s="109"/>
      <c r="Q245" s="109"/>
      <c r="R245" s="109"/>
      <c r="S245" s="328"/>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row>
    <row r="246" ht="12.0" customHeight="1">
      <c r="A246" s="45"/>
      <c r="B246" s="45"/>
      <c r="C246" s="45"/>
      <c r="D246" s="45"/>
      <c r="E246" s="45"/>
      <c r="F246" s="309"/>
      <c r="G246" s="109"/>
      <c r="H246" s="109"/>
      <c r="I246" s="109"/>
      <c r="J246" s="109"/>
      <c r="K246" s="109"/>
      <c r="L246" s="109"/>
      <c r="M246" s="109"/>
      <c r="N246" s="109"/>
      <c r="O246" s="109"/>
      <c r="P246" s="109"/>
      <c r="Q246" s="109"/>
      <c r="R246" s="109"/>
      <c r="S246" s="328"/>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row>
    <row r="247" ht="12.0" customHeight="1">
      <c r="A247" s="45"/>
      <c r="B247" s="45"/>
      <c r="C247" s="45"/>
      <c r="D247" s="45"/>
      <c r="E247" s="45"/>
      <c r="F247" s="309"/>
      <c r="G247" s="109"/>
      <c r="H247" s="109"/>
      <c r="I247" s="109"/>
      <c r="J247" s="109"/>
      <c r="K247" s="109"/>
      <c r="L247" s="109"/>
      <c r="M247" s="109"/>
      <c r="N247" s="109"/>
      <c r="O247" s="109"/>
      <c r="P247" s="109"/>
      <c r="Q247" s="109"/>
      <c r="R247" s="109"/>
      <c r="S247" s="328"/>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row>
    <row r="248" ht="12.0" customHeight="1">
      <c r="A248" s="45"/>
      <c r="B248" s="45"/>
      <c r="C248" s="45"/>
      <c r="D248" s="45"/>
      <c r="E248" s="45"/>
      <c r="F248" s="309"/>
      <c r="G248" s="109"/>
      <c r="H248" s="109"/>
      <c r="I248" s="109"/>
      <c r="J248" s="109"/>
      <c r="K248" s="109"/>
      <c r="L248" s="109"/>
      <c r="M248" s="109"/>
      <c r="N248" s="109"/>
      <c r="O248" s="109"/>
      <c r="P248" s="109"/>
      <c r="Q248" s="109"/>
      <c r="R248" s="109"/>
      <c r="S248" s="328"/>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row>
    <row r="249" ht="12.0" customHeight="1">
      <c r="A249" s="45"/>
      <c r="B249" s="45"/>
      <c r="C249" s="45"/>
      <c r="D249" s="45"/>
      <c r="E249" s="45"/>
      <c r="F249" s="309"/>
      <c r="G249" s="109"/>
      <c r="H249" s="109"/>
      <c r="I249" s="109"/>
      <c r="J249" s="109"/>
      <c r="K249" s="109"/>
      <c r="L249" s="109"/>
      <c r="M249" s="109"/>
      <c r="N249" s="109"/>
      <c r="O249" s="109"/>
      <c r="P249" s="109"/>
      <c r="Q249" s="109"/>
      <c r="R249" s="109"/>
      <c r="S249" s="328"/>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row>
    <row r="250" ht="12.0" customHeight="1">
      <c r="A250" s="45"/>
      <c r="B250" s="45"/>
      <c r="C250" s="45"/>
      <c r="D250" s="45"/>
      <c r="E250" s="45"/>
      <c r="F250" s="309"/>
      <c r="G250" s="109"/>
      <c r="H250" s="109"/>
      <c r="I250" s="109"/>
      <c r="J250" s="109"/>
      <c r="K250" s="109"/>
      <c r="L250" s="109"/>
      <c r="M250" s="109"/>
      <c r="N250" s="109"/>
      <c r="O250" s="109"/>
      <c r="P250" s="109"/>
      <c r="Q250" s="109"/>
      <c r="R250" s="109"/>
      <c r="S250" s="328"/>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row>
    <row r="251" ht="12.0" customHeight="1">
      <c r="A251" s="45"/>
      <c r="B251" s="45"/>
      <c r="C251" s="45"/>
      <c r="D251" s="45"/>
      <c r="E251" s="45"/>
      <c r="F251" s="309"/>
      <c r="G251" s="109"/>
      <c r="H251" s="109"/>
      <c r="I251" s="109"/>
      <c r="J251" s="109"/>
      <c r="K251" s="109"/>
      <c r="L251" s="109"/>
      <c r="M251" s="109"/>
      <c r="N251" s="109"/>
      <c r="O251" s="109"/>
      <c r="P251" s="109"/>
      <c r="Q251" s="109"/>
      <c r="R251" s="109"/>
      <c r="S251" s="328"/>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row>
    <row r="252" ht="12.0" customHeight="1">
      <c r="A252" s="45"/>
      <c r="B252" s="45"/>
      <c r="C252" s="45"/>
      <c r="D252" s="45"/>
      <c r="E252" s="45"/>
      <c r="F252" s="309"/>
      <c r="G252" s="109"/>
      <c r="H252" s="109"/>
      <c r="I252" s="109"/>
      <c r="J252" s="109"/>
      <c r="K252" s="109"/>
      <c r="L252" s="109"/>
      <c r="M252" s="109"/>
      <c r="N252" s="109"/>
      <c r="O252" s="109"/>
      <c r="P252" s="109"/>
      <c r="Q252" s="109"/>
      <c r="R252" s="109"/>
      <c r="S252" s="328"/>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row>
    <row r="253" ht="12.0" customHeight="1">
      <c r="A253" s="45"/>
      <c r="B253" s="45"/>
      <c r="C253" s="45"/>
      <c r="D253" s="45"/>
      <c r="E253" s="45"/>
      <c r="F253" s="309"/>
      <c r="G253" s="109"/>
      <c r="H253" s="109"/>
      <c r="I253" s="109"/>
      <c r="J253" s="109"/>
      <c r="K253" s="109"/>
      <c r="L253" s="109"/>
      <c r="M253" s="109"/>
      <c r="N253" s="109"/>
      <c r="O253" s="109"/>
      <c r="P253" s="109"/>
      <c r="Q253" s="109"/>
      <c r="R253" s="109"/>
      <c r="S253" s="328"/>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row>
    <row r="254" ht="12.0" customHeight="1">
      <c r="A254" s="45"/>
      <c r="B254" s="45"/>
      <c r="C254" s="45"/>
      <c r="D254" s="45"/>
      <c r="E254" s="45"/>
      <c r="F254" s="309"/>
      <c r="G254" s="109"/>
      <c r="H254" s="109"/>
      <c r="I254" s="109"/>
      <c r="J254" s="109"/>
      <c r="K254" s="109"/>
      <c r="L254" s="109"/>
      <c r="M254" s="109"/>
      <c r="N254" s="109"/>
      <c r="O254" s="109"/>
      <c r="P254" s="109"/>
      <c r="Q254" s="109"/>
      <c r="R254" s="109"/>
      <c r="S254" s="328"/>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row>
    <row r="255" ht="12.0" customHeight="1">
      <c r="A255" s="45"/>
      <c r="B255" s="45"/>
      <c r="C255" s="45"/>
      <c r="D255" s="45"/>
      <c r="E255" s="45"/>
      <c r="F255" s="309"/>
      <c r="G255" s="109"/>
      <c r="H255" s="109"/>
      <c r="I255" s="109"/>
      <c r="J255" s="109"/>
      <c r="K255" s="109"/>
      <c r="L255" s="109"/>
      <c r="M255" s="109"/>
      <c r="N255" s="109"/>
      <c r="O255" s="109"/>
      <c r="P255" s="109"/>
      <c r="Q255" s="109"/>
      <c r="R255" s="109"/>
      <c r="S255" s="328"/>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row>
    <row r="256" ht="12.0" customHeight="1">
      <c r="A256" s="45"/>
      <c r="B256" s="45"/>
      <c r="C256" s="45"/>
      <c r="D256" s="45"/>
      <c r="E256" s="45"/>
      <c r="F256" s="309"/>
      <c r="G256" s="109"/>
      <c r="H256" s="109"/>
      <c r="I256" s="109"/>
      <c r="J256" s="109"/>
      <c r="K256" s="109"/>
      <c r="L256" s="109"/>
      <c r="M256" s="109"/>
      <c r="N256" s="109"/>
      <c r="O256" s="109"/>
      <c r="P256" s="109"/>
      <c r="Q256" s="109"/>
      <c r="R256" s="109"/>
      <c r="S256" s="328"/>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row>
    <row r="257" ht="12.0" customHeight="1">
      <c r="A257" s="45"/>
      <c r="B257" s="45"/>
      <c r="C257" s="45"/>
      <c r="D257" s="45"/>
      <c r="E257" s="45"/>
      <c r="F257" s="309"/>
      <c r="G257" s="109"/>
      <c r="H257" s="109"/>
      <c r="I257" s="109"/>
      <c r="J257" s="109"/>
      <c r="K257" s="109"/>
      <c r="L257" s="109"/>
      <c r="M257" s="109"/>
      <c r="N257" s="109"/>
      <c r="O257" s="109"/>
      <c r="P257" s="109"/>
      <c r="Q257" s="109"/>
      <c r="R257" s="109"/>
      <c r="S257" s="328"/>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row>
    <row r="258" ht="12.0" customHeight="1">
      <c r="A258" s="45"/>
      <c r="B258" s="45"/>
      <c r="C258" s="45"/>
      <c r="D258" s="45"/>
      <c r="E258" s="45"/>
      <c r="F258" s="309"/>
      <c r="G258" s="109"/>
      <c r="H258" s="109"/>
      <c r="I258" s="109"/>
      <c r="J258" s="109"/>
      <c r="K258" s="109"/>
      <c r="L258" s="109"/>
      <c r="M258" s="109"/>
      <c r="N258" s="109"/>
      <c r="O258" s="109"/>
      <c r="P258" s="109"/>
      <c r="Q258" s="109"/>
      <c r="R258" s="109"/>
      <c r="S258" s="328"/>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c r="AV258" s="45"/>
      <c r="AW258" s="45"/>
    </row>
    <row r="259" ht="12.0" customHeight="1">
      <c r="A259" s="45"/>
      <c r="B259" s="45"/>
      <c r="C259" s="45"/>
      <c r="D259" s="45"/>
      <c r="E259" s="45"/>
      <c r="F259" s="309"/>
      <c r="G259" s="109"/>
      <c r="H259" s="109"/>
      <c r="I259" s="109"/>
      <c r="J259" s="109"/>
      <c r="K259" s="109"/>
      <c r="L259" s="109"/>
      <c r="M259" s="109"/>
      <c r="N259" s="109"/>
      <c r="O259" s="109"/>
      <c r="P259" s="109"/>
      <c r="Q259" s="109"/>
      <c r="R259" s="109"/>
      <c r="S259" s="328"/>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c r="AV259" s="45"/>
      <c r="AW259" s="45"/>
    </row>
    <row r="260" ht="12.0" customHeight="1">
      <c r="A260" s="45"/>
      <c r="B260" s="45"/>
      <c r="C260" s="45"/>
      <c r="D260" s="45"/>
      <c r="E260" s="45"/>
      <c r="F260" s="309"/>
      <c r="G260" s="109"/>
      <c r="H260" s="109"/>
      <c r="I260" s="109"/>
      <c r="J260" s="109"/>
      <c r="K260" s="109"/>
      <c r="L260" s="109"/>
      <c r="M260" s="109"/>
      <c r="N260" s="109"/>
      <c r="O260" s="109"/>
      <c r="P260" s="109"/>
      <c r="Q260" s="109"/>
      <c r="R260" s="109"/>
      <c r="S260" s="328"/>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c r="AV260" s="45"/>
      <c r="AW260" s="45"/>
    </row>
    <row r="261" ht="12.0" customHeight="1">
      <c r="A261" s="45"/>
      <c r="B261" s="45"/>
      <c r="C261" s="45"/>
      <c r="D261" s="45"/>
      <c r="E261" s="45"/>
      <c r="F261" s="309"/>
      <c r="G261" s="109"/>
      <c r="H261" s="109"/>
      <c r="I261" s="109"/>
      <c r="J261" s="109"/>
      <c r="K261" s="109"/>
      <c r="L261" s="109"/>
      <c r="M261" s="109"/>
      <c r="N261" s="109"/>
      <c r="O261" s="109"/>
      <c r="P261" s="109"/>
      <c r="Q261" s="109"/>
      <c r="R261" s="109"/>
      <c r="S261" s="328"/>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row>
    <row r="262" ht="12.0" customHeight="1">
      <c r="A262" s="45"/>
      <c r="B262" s="45"/>
      <c r="C262" s="45"/>
      <c r="D262" s="45"/>
      <c r="E262" s="45"/>
      <c r="F262" s="309"/>
      <c r="G262" s="109"/>
      <c r="H262" s="109"/>
      <c r="I262" s="109"/>
      <c r="J262" s="109"/>
      <c r="K262" s="109"/>
      <c r="L262" s="109"/>
      <c r="M262" s="109"/>
      <c r="N262" s="109"/>
      <c r="O262" s="109"/>
      <c r="P262" s="109"/>
      <c r="Q262" s="109"/>
      <c r="R262" s="109"/>
      <c r="S262" s="328"/>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row>
    <row r="263" ht="12.0" customHeight="1">
      <c r="A263" s="45"/>
      <c r="B263" s="45"/>
      <c r="C263" s="45"/>
      <c r="D263" s="45"/>
      <c r="E263" s="45"/>
      <c r="F263" s="309"/>
      <c r="G263" s="109"/>
      <c r="H263" s="109"/>
      <c r="I263" s="109"/>
      <c r="J263" s="109"/>
      <c r="K263" s="109"/>
      <c r="L263" s="109"/>
      <c r="M263" s="109"/>
      <c r="N263" s="109"/>
      <c r="O263" s="109"/>
      <c r="P263" s="109"/>
      <c r="Q263" s="109"/>
      <c r="R263" s="109"/>
      <c r="S263" s="328"/>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c r="AT263" s="45"/>
      <c r="AU263" s="45"/>
      <c r="AV263" s="45"/>
      <c r="AW263" s="45"/>
    </row>
    <row r="264" ht="12.0" customHeight="1">
      <c r="A264" s="45"/>
      <c r="B264" s="45"/>
      <c r="C264" s="45"/>
      <c r="D264" s="45"/>
      <c r="E264" s="45"/>
      <c r="F264" s="309"/>
      <c r="G264" s="109"/>
      <c r="H264" s="109"/>
      <c r="I264" s="109"/>
      <c r="J264" s="109"/>
      <c r="K264" s="109"/>
      <c r="L264" s="109"/>
      <c r="M264" s="109"/>
      <c r="N264" s="109"/>
      <c r="O264" s="109"/>
      <c r="P264" s="109"/>
      <c r="Q264" s="109"/>
      <c r="R264" s="109"/>
      <c r="S264" s="328"/>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c r="AT264" s="45"/>
      <c r="AU264" s="45"/>
      <c r="AV264" s="45"/>
      <c r="AW264" s="45"/>
    </row>
    <row r="265" ht="12.0" customHeight="1">
      <c r="A265" s="45"/>
      <c r="B265" s="45"/>
      <c r="C265" s="45"/>
      <c r="D265" s="45"/>
      <c r="E265" s="45"/>
      <c r="F265" s="309"/>
      <c r="G265" s="109"/>
      <c r="H265" s="109"/>
      <c r="I265" s="109"/>
      <c r="J265" s="109"/>
      <c r="K265" s="109"/>
      <c r="L265" s="109"/>
      <c r="M265" s="109"/>
      <c r="N265" s="109"/>
      <c r="O265" s="109"/>
      <c r="P265" s="109"/>
      <c r="Q265" s="109"/>
      <c r="R265" s="109"/>
      <c r="S265" s="328"/>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c r="AT265" s="45"/>
      <c r="AU265" s="45"/>
      <c r="AV265" s="45"/>
      <c r="AW265" s="45"/>
    </row>
    <row r="266" ht="12.0" customHeight="1">
      <c r="A266" s="45"/>
      <c r="B266" s="45"/>
      <c r="C266" s="45"/>
      <c r="D266" s="45"/>
      <c r="E266" s="45"/>
      <c r="F266" s="309"/>
      <c r="G266" s="109"/>
      <c r="H266" s="109"/>
      <c r="I266" s="109"/>
      <c r="J266" s="109"/>
      <c r="K266" s="109"/>
      <c r="L266" s="109"/>
      <c r="M266" s="109"/>
      <c r="N266" s="109"/>
      <c r="O266" s="109"/>
      <c r="P266" s="109"/>
      <c r="Q266" s="109"/>
      <c r="R266" s="109"/>
      <c r="S266" s="328"/>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c r="AT266" s="45"/>
      <c r="AU266" s="45"/>
      <c r="AV266" s="45"/>
      <c r="AW266" s="45"/>
    </row>
    <row r="267" ht="12.0" customHeight="1">
      <c r="A267" s="45"/>
      <c r="B267" s="45"/>
      <c r="C267" s="45"/>
      <c r="D267" s="45"/>
      <c r="E267" s="45"/>
      <c r="F267" s="309"/>
      <c r="G267" s="109"/>
      <c r="H267" s="109"/>
      <c r="I267" s="109"/>
      <c r="J267" s="109"/>
      <c r="K267" s="109"/>
      <c r="L267" s="109"/>
      <c r="M267" s="109"/>
      <c r="N267" s="109"/>
      <c r="O267" s="109"/>
      <c r="P267" s="109"/>
      <c r="Q267" s="109"/>
      <c r="R267" s="109"/>
      <c r="S267" s="328"/>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row>
    <row r="268" ht="12.0" customHeight="1">
      <c r="A268" s="45"/>
      <c r="B268" s="45"/>
      <c r="C268" s="45"/>
      <c r="D268" s="45"/>
      <c r="E268" s="45"/>
      <c r="F268" s="309"/>
      <c r="G268" s="109"/>
      <c r="H268" s="109"/>
      <c r="I268" s="109"/>
      <c r="J268" s="109"/>
      <c r="K268" s="109"/>
      <c r="L268" s="109"/>
      <c r="M268" s="109"/>
      <c r="N268" s="109"/>
      <c r="O268" s="109"/>
      <c r="P268" s="109"/>
      <c r="Q268" s="109"/>
      <c r="R268" s="109"/>
      <c r="S268" s="328"/>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row>
    <row r="269" ht="12.0" customHeight="1">
      <c r="A269" s="45"/>
      <c r="B269" s="45"/>
      <c r="C269" s="45"/>
      <c r="D269" s="45"/>
      <c r="E269" s="45"/>
      <c r="F269" s="309"/>
      <c r="G269" s="109"/>
      <c r="H269" s="109"/>
      <c r="I269" s="109"/>
      <c r="J269" s="109"/>
      <c r="K269" s="109"/>
      <c r="L269" s="109"/>
      <c r="M269" s="109"/>
      <c r="N269" s="109"/>
      <c r="O269" s="109"/>
      <c r="P269" s="109"/>
      <c r="Q269" s="109"/>
      <c r="R269" s="109"/>
      <c r="S269" s="328"/>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c r="AT269" s="45"/>
      <c r="AU269" s="45"/>
      <c r="AV269" s="45"/>
      <c r="AW269" s="45"/>
    </row>
    <row r="270" ht="12.0" customHeight="1">
      <c r="A270" s="45"/>
      <c r="B270" s="45"/>
      <c r="C270" s="45"/>
      <c r="D270" s="45"/>
      <c r="E270" s="45"/>
      <c r="F270" s="309"/>
      <c r="G270" s="109"/>
      <c r="H270" s="109"/>
      <c r="I270" s="109"/>
      <c r="J270" s="109"/>
      <c r="K270" s="109"/>
      <c r="L270" s="109"/>
      <c r="M270" s="109"/>
      <c r="N270" s="109"/>
      <c r="O270" s="109"/>
      <c r="P270" s="109"/>
      <c r="Q270" s="109"/>
      <c r="R270" s="109"/>
      <c r="S270" s="328"/>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row>
    <row r="271" ht="12.0" customHeight="1">
      <c r="A271" s="45"/>
      <c r="B271" s="45"/>
      <c r="C271" s="45"/>
      <c r="D271" s="45"/>
      <c r="E271" s="45"/>
      <c r="F271" s="309"/>
      <c r="G271" s="109"/>
      <c r="H271" s="109"/>
      <c r="I271" s="109"/>
      <c r="J271" s="109"/>
      <c r="K271" s="109"/>
      <c r="L271" s="109"/>
      <c r="M271" s="109"/>
      <c r="N271" s="109"/>
      <c r="O271" s="109"/>
      <c r="P271" s="109"/>
      <c r="Q271" s="109"/>
      <c r="R271" s="109"/>
      <c r="S271" s="328"/>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row>
    <row r="272" ht="12.0" customHeight="1">
      <c r="A272" s="45"/>
      <c r="B272" s="45"/>
      <c r="C272" s="45"/>
      <c r="D272" s="45"/>
      <c r="E272" s="45"/>
      <c r="F272" s="309"/>
      <c r="G272" s="109"/>
      <c r="H272" s="109"/>
      <c r="I272" s="109"/>
      <c r="J272" s="109"/>
      <c r="K272" s="109"/>
      <c r="L272" s="109"/>
      <c r="M272" s="109"/>
      <c r="N272" s="109"/>
      <c r="O272" s="109"/>
      <c r="P272" s="109"/>
      <c r="Q272" s="109"/>
      <c r="R272" s="109"/>
      <c r="S272" s="328"/>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c r="AT272" s="45"/>
      <c r="AU272" s="45"/>
      <c r="AV272" s="45"/>
      <c r="AW272" s="45"/>
    </row>
    <row r="273" ht="12.0" customHeight="1">
      <c r="A273" s="45"/>
      <c r="B273" s="45"/>
      <c r="C273" s="45"/>
      <c r="D273" s="45"/>
      <c r="E273" s="45"/>
      <c r="F273" s="309"/>
      <c r="G273" s="109"/>
      <c r="H273" s="109"/>
      <c r="I273" s="109"/>
      <c r="J273" s="109"/>
      <c r="K273" s="109"/>
      <c r="L273" s="109"/>
      <c r="M273" s="109"/>
      <c r="N273" s="109"/>
      <c r="O273" s="109"/>
      <c r="P273" s="109"/>
      <c r="Q273" s="109"/>
      <c r="R273" s="109"/>
      <c r="S273" s="328"/>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c r="AT273" s="45"/>
      <c r="AU273" s="45"/>
      <c r="AV273" s="45"/>
      <c r="AW273" s="45"/>
    </row>
    <row r="274" ht="12.0" customHeight="1">
      <c r="A274" s="45"/>
      <c r="B274" s="45"/>
      <c r="C274" s="45"/>
      <c r="D274" s="45"/>
      <c r="E274" s="45"/>
      <c r="F274" s="309"/>
      <c r="G274" s="109"/>
      <c r="H274" s="109"/>
      <c r="I274" s="109"/>
      <c r="J274" s="109"/>
      <c r="K274" s="109"/>
      <c r="L274" s="109"/>
      <c r="M274" s="109"/>
      <c r="N274" s="109"/>
      <c r="O274" s="109"/>
      <c r="P274" s="109"/>
      <c r="Q274" s="109"/>
      <c r="R274" s="109"/>
      <c r="S274" s="328"/>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row>
    <row r="275" ht="12.0" customHeight="1">
      <c r="A275" s="45"/>
      <c r="B275" s="45"/>
      <c r="C275" s="45"/>
      <c r="D275" s="45"/>
      <c r="E275" s="45"/>
      <c r="F275" s="309"/>
      <c r="G275" s="109"/>
      <c r="H275" s="109"/>
      <c r="I275" s="109"/>
      <c r="J275" s="109"/>
      <c r="K275" s="109"/>
      <c r="L275" s="109"/>
      <c r="M275" s="109"/>
      <c r="N275" s="109"/>
      <c r="O275" s="109"/>
      <c r="P275" s="109"/>
      <c r="Q275" s="109"/>
      <c r="R275" s="109"/>
      <c r="S275" s="328"/>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row>
    <row r="276" ht="12.0" customHeight="1">
      <c r="A276" s="45"/>
      <c r="B276" s="45"/>
      <c r="C276" s="45"/>
      <c r="D276" s="45"/>
      <c r="E276" s="45"/>
      <c r="F276" s="309"/>
      <c r="G276" s="109"/>
      <c r="H276" s="109"/>
      <c r="I276" s="109"/>
      <c r="J276" s="109"/>
      <c r="K276" s="109"/>
      <c r="L276" s="109"/>
      <c r="M276" s="109"/>
      <c r="N276" s="109"/>
      <c r="O276" s="109"/>
      <c r="P276" s="109"/>
      <c r="Q276" s="109"/>
      <c r="R276" s="109"/>
      <c r="S276" s="328"/>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c r="AT276" s="45"/>
      <c r="AU276" s="45"/>
      <c r="AV276" s="45"/>
      <c r="AW276" s="45"/>
    </row>
    <row r="277" ht="12.0" customHeight="1">
      <c r="A277" s="45"/>
      <c r="B277" s="45"/>
      <c r="C277" s="45"/>
      <c r="D277" s="45"/>
      <c r="E277" s="45"/>
      <c r="F277" s="309"/>
      <c r="G277" s="109"/>
      <c r="H277" s="109"/>
      <c r="I277" s="109"/>
      <c r="J277" s="109"/>
      <c r="K277" s="109"/>
      <c r="L277" s="109"/>
      <c r="M277" s="109"/>
      <c r="N277" s="109"/>
      <c r="O277" s="109"/>
      <c r="P277" s="109"/>
      <c r="Q277" s="109"/>
      <c r="R277" s="109"/>
      <c r="S277" s="328"/>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c r="AT277" s="45"/>
      <c r="AU277" s="45"/>
      <c r="AV277" s="45"/>
      <c r="AW277" s="45"/>
    </row>
    <row r="278" ht="12.0" customHeight="1">
      <c r="A278" s="45"/>
      <c r="B278" s="45"/>
      <c r="C278" s="45"/>
      <c r="D278" s="45"/>
      <c r="E278" s="45"/>
      <c r="F278" s="309"/>
      <c r="G278" s="109"/>
      <c r="H278" s="109"/>
      <c r="I278" s="109"/>
      <c r="J278" s="109"/>
      <c r="K278" s="109"/>
      <c r="L278" s="109"/>
      <c r="M278" s="109"/>
      <c r="N278" s="109"/>
      <c r="O278" s="109"/>
      <c r="P278" s="109"/>
      <c r="Q278" s="109"/>
      <c r="R278" s="109"/>
      <c r="S278" s="328"/>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row>
    <row r="279" ht="12.0" customHeight="1">
      <c r="A279" s="45"/>
      <c r="B279" s="45"/>
      <c r="C279" s="45"/>
      <c r="D279" s="45"/>
      <c r="E279" s="45"/>
      <c r="F279" s="309"/>
      <c r="G279" s="109"/>
      <c r="H279" s="109"/>
      <c r="I279" s="109"/>
      <c r="J279" s="109"/>
      <c r="K279" s="109"/>
      <c r="L279" s="109"/>
      <c r="M279" s="109"/>
      <c r="N279" s="109"/>
      <c r="O279" s="109"/>
      <c r="P279" s="109"/>
      <c r="Q279" s="109"/>
      <c r="R279" s="109"/>
      <c r="S279" s="328"/>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c r="AV279" s="45"/>
      <c r="AW279" s="45"/>
    </row>
    <row r="280" ht="12.0" customHeight="1">
      <c r="A280" s="45"/>
      <c r="B280" s="45"/>
      <c r="C280" s="45"/>
      <c r="D280" s="45"/>
      <c r="E280" s="45"/>
      <c r="F280" s="309"/>
      <c r="G280" s="109"/>
      <c r="H280" s="109"/>
      <c r="I280" s="109"/>
      <c r="J280" s="109"/>
      <c r="K280" s="109"/>
      <c r="L280" s="109"/>
      <c r="M280" s="109"/>
      <c r="N280" s="109"/>
      <c r="O280" s="109"/>
      <c r="P280" s="109"/>
      <c r="Q280" s="109"/>
      <c r="R280" s="109"/>
      <c r="S280" s="328"/>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c r="AT280" s="45"/>
      <c r="AU280" s="45"/>
      <c r="AV280" s="45"/>
      <c r="AW280" s="45"/>
    </row>
    <row r="281" ht="12.0" customHeight="1">
      <c r="A281" s="45"/>
      <c r="B281" s="45"/>
      <c r="C281" s="45"/>
      <c r="D281" s="45"/>
      <c r="E281" s="45"/>
      <c r="F281" s="309"/>
      <c r="G281" s="109"/>
      <c r="H281" s="109"/>
      <c r="I281" s="109"/>
      <c r="J281" s="109"/>
      <c r="K281" s="109"/>
      <c r="L281" s="109"/>
      <c r="M281" s="109"/>
      <c r="N281" s="109"/>
      <c r="O281" s="109"/>
      <c r="P281" s="109"/>
      <c r="Q281" s="109"/>
      <c r="R281" s="109"/>
      <c r="S281" s="328"/>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c r="AV281" s="45"/>
      <c r="AW281" s="45"/>
    </row>
    <row r="282" ht="12.0" customHeight="1">
      <c r="A282" s="45"/>
      <c r="B282" s="45"/>
      <c r="C282" s="45"/>
      <c r="D282" s="45"/>
      <c r="E282" s="45"/>
      <c r="F282" s="309"/>
      <c r="G282" s="109"/>
      <c r="H282" s="109"/>
      <c r="I282" s="109"/>
      <c r="J282" s="109"/>
      <c r="K282" s="109"/>
      <c r="L282" s="109"/>
      <c r="M282" s="109"/>
      <c r="N282" s="109"/>
      <c r="O282" s="109"/>
      <c r="P282" s="109"/>
      <c r="Q282" s="109"/>
      <c r="R282" s="109"/>
      <c r="S282" s="328"/>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c r="AT282" s="45"/>
      <c r="AU282" s="45"/>
      <c r="AV282" s="45"/>
      <c r="AW282" s="45"/>
    </row>
    <row r="283" ht="12.0" customHeight="1">
      <c r="A283" s="45"/>
      <c r="B283" s="45"/>
      <c r="C283" s="45"/>
      <c r="D283" s="45"/>
      <c r="E283" s="45"/>
      <c r="F283" s="309"/>
      <c r="G283" s="109"/>
      <c r="H283" s="109"/>
      <c r="I283" s="109"/>
      <c r="J283" s="109"/>
      <c r="K283" s="109"/>
      <c r="L283" s="109"/>
      <c r="M283" s="109"/>
      <c r="N283" s="109"/>
      <c r="O283" s="109"/>
      <c r="P283" s="109"/>
      <c r="Q283" s="109"/>
      <c r="R283" s="109"/>
      <c r="S283" s="328"/>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c r="AT283" s="45"/>
      <c r="AU283" s="45"/>
      <c r="AV283" s="45"/>
      <c r="AW283" s="45"/>
    </row>
    <row r="284" ht="12.0" customHeight="1">
      <c r="A284" s="45"/>
      <c r="B284" s="45"/>
      <c r="C284" s="45"/>
      <c r="D284" s="45"/>
      <c r="E284" s="45"/>
      <c r="F284" s="309"/>
      <c r="G284" s="109"/>
      <c r="H284" s="109"/>
      <c r="I284" s="109"/>
      <c r="J284" s="109"/>
      <c r="K284" s="109"/>
      <c r="L284" s="109"/>
      <c r="M284" s="109"/>
      <c r="N284" s="109"/>
      <c r="O284" s="109"/>
      <c r="P284" s="109"/>
      <c r="Q284" s="109"/>
      <c r="R284" s="109"/>
      <c r="S284" s="328"/>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c r="AT284" s="45"/>
      <c r="AU284" s="45"/>
      <c r="AV284" s="45"/>
      <c r="AW284" s="45"/>
    </row>
    <row r="285" ht="12.0" customHeight="1">
      <c r="A285" s="45"/>
      <c r="B285" s="45"/>
      <c r="C285" s="45"/>
      <c r="D285" s="45"/>
      <c r="E285" s="45"/>
      <c r="F285" s="309"/>
      <c r="G285" s="109"/>
      <c r="H285" s="109"/>
      <c r="I285" s="109"/>
      <c r="J285" s="109"/>
      <c r="K285" s="109"/>
      <c r="L285" s="109"/>
      <c r="M285" s="109"/>
      <c r="N285" s="109"/>
      <c r="O285" s="109"/>
      <c r="P285" s="109"/>
      <c r="Q285" s="109"/>
      <c r="R285" s="109"/>
      <c r="S285" s="328"/>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c r="AV285" s="45"/>
      <c r="AW285" s="45"/>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X64:AC64"/>
  </mergeCells>
  <printOptions/>
  <pageMargins bottom="0.75" footer="0.0" header="0.0" left="0.7" right="0.7" top="0.75"/>
  <pageSetup orientation="landscape"/>
  <headerFooter>
    <oddHeader>&amp;C&amp;D &amp;T&amp;R&amp;F</oddHeader>
    <oddFooter>&amp;CCONFIDENTIAL</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4.43" defaultRowHeight="15.0" outlineLevelCol="4" outlineLevelRow="5"/>
  <cols>
    <col customWidth="1" min="1" max="1" width="2.14"/>
    <col customWidth="1" min="2" max="2" width="9.86"/>
    <col customWidth="1" min="3" max="3" width="21.57" outlineLevel="4"/>
    <col customWidth="1" min="4" max="4" width="4.0" outlineLevel="1"/>
    <col customWidth="1" min="5" max="5" width="4.0" outlineLevel="3"/>
    <col customWidth="1" hidden="1" min="6" max="9" width="12.43" outlineLevel="3"/>
    <col customWidth="1" min="10" max="10" width="12.43" outlineLevel="3"/>
    <col customWidth="1" min="11" max="11" width="10.86" outlineLevel="3"/>
    <col customWidth="1" min="12" max="17" width="10.86" outlineLevel="1"/>
    <col customWidth="1" min="18" max="18" width="8.86"/>
    <col customWidth="1" min="19" max="19" width="12.14"/>
    <col customWidth="1" min="20" max="20" width="16.86"/>
    <col customWidth="1" min="21" max="21" width="5.14"/>
    <col customWidth="1" min="22" max="22" width="6.86"/>
    <col customWidth="1" min="23" max="39" width="8.86"/>
  </cols>
  <sheetData>
    <row r="1" ht="11.25" hidden="1" customHeight="1" outlineLevel="5">
      <c r="A1" s="329"/>
      <c r="B1" s="329" t="s">
        <v>59</v>
      </c>
      <c r="C1" s="329"/>
      <c r="D1" s="330"/>
      <c r="E1" s="331"/>
      <c r="F1" s="331"/>
      <c r="G1" s="331"/>
      <c r="H1" s="331"/>
      <c r="I1" s="331"/>
      <c r="J1" s="330"/>
      <c r="K1" s="330"/>
      <c r="L1" s="330" t="s">
        <v>60</v>
      </c>
      <c r="M1" s="330" t="s">
        <v>61</v>
      </c>
      <c r="N1" s="330" t="s">
        <v>62</v>
      </c>
      <c r="O1" s="330"/>
      <c r="P1" s="330"/>
      <c r="Q1" s="330"/>
      <c r="R1" s="330"/>
      <c r="S1" s="332"/>
      <c r="T1" s="329"/>
      <c r="U1" s="329"/>
      <c r="V1" s="329"/>
      <c r="W1" s="329"/>
      <c r="X1" s="329"/>
      <c r="Y1" s="329"/>
      <c r="Z1" s="329"/>
      <c r="AA1" s="329"/>
      <c r="AB1" s="329"/>
      <c r="AC1" s="329"/>
      <c r="AD1" s="329"/>
      <c r="AE1" s="329"/>
      <c r="AF1" s="329"/>
      <c r="AG1" s="329"/>
      <c r="AH1" s="329"/>
      <c r="AI1" s="329"/>
      <c r="AJ1" s="329"/>
      <c r="AK1" s="329"/>
      <c r="AL1" s="329"/>
      <c r="AM1" s="329"/>
    </row>
    <row r="2" ht="11.25" hidden="1" customHeight="1" outlineLevel="5">
      <c r="A2" s="329"/>
      <c r="B2" s="329"/>
      <c r="C2" s="329"/>
      <c r="D2" s="330"/>
      <c r="E2" s="331"/>
      <c r="F2" s="331"/>
      <c r="G2" s="331"/>
      <c r="H2" s="331"/>
      <c r="I2" s="331"/>
      <c r="J2" s="330"/>
      <c r="K2" s="330" t="s">
        <v>63</v>
      </c>
      <c r="L2" s="333">
        <v>20000.0</v>
      </c>
      <c r="M2" s="333">
        <v>60000.0</v>
      </c>
      <c r="N2" s="330"/>
      <c r="O2" s="330"/>
      <c r="P2" s="330"/>
      <c r="Q2" s="330"/>
      <c r="R2" s="330"/>
      <c r="S2" s="332"/>
      <c r="T2" s="329"/>
      <c r="U2" s="329"/>
      <c r="V2" s="329"/>
      <c r="W2" s="329"/>
      <c r="X2" s="329"/>
      <c r="Y2" s="329"/>
      <c r="Z2" s="329"/>
      <c r="AA2" s="329"/>
      <c r="AB2" s="329"/>
      <c r="AC2" s="329"/>
      <c r="AD2" s="329"/>
      <c r="AE2" s="329"/>
      <c r="AF2" s="329"/>
      <c r="AG2" s="329"/>
      <c r="AH2" s="329"/>
      <c r="AI2" s="329"/>
      <c r="AJ2" s="329"/>
      <c r="AK2" s="329"/>
      <c r="AL2" s="329"/>
      <c r="AM2" s="329"/>
    </row>
    <row r="3" ht="11.25" customHeight="1" collapsed="1">
      <c r="A3" s="334"/>
      <c r="B3" s="334"/>
      <c r="C3" s="334"/>
      <c r="D3" s="335"/>
      <c r="E3" s="331"/>
      <c r="F3" s="331"/>
      <c r="G3" s="331"/>
      <c r="H3" s="331"/>
      <c r="I3" s="331"/>
      <c r="J3" s="335"/>
      <c r="K3" s="335"/>
      <c r="L3" s="335"/>
      <c r="M3" s="335"/>
      <c r="N3" s="335"/>
      <c r="O3" s="335"/>
      <c r="P3" s="335"/>
      <c r="Q3" s="335"/>
      <c r="R3" s="335"/>
      <c r="S3" s="336"/>
      <c r="T3" s="334"/>
      <c r="U3" s="334"/>
      <c r="V3" s="334"/>
      <c r="W3" s="334"/>
      <c r="X3" s="334"/>
      <c r="Y3" s="334"/>
      <c r="Z3" s="334"/>
      <c r="AA3" s="334"/>
      <c r="AB3" s="334"/>
      <c r="AC3" s="334"/>
      <c r="AD3" s="334"/>
      <c r="AE3" s="334"/>
      <c r="AF3" s="334"/>
      <c r="AG3" s="334"/>
      <c r="AH3" s="334"/>
      <c r="AI3" s="334"/>
      <c r="AJ3" s="334"/>
      <c r="AK3" s="334"/>
      <c r="AL3" s="334"/>
      <c r="AM3" s="334"/>
    </row>
    <row r="4" ht="11.25" customHeight="1">
      <c r="A4" s="337" t="s">
        <v>64</v>
      </c>
      <c r="B4" s="337"/>
      <c r="C4" s="337"/>
      <c r="D4" s="337"/>
      <c r="E4" s="338"/>
      <c r="F4" s="338"/>
      <c r="G4" s="338"/>
      <c r="H4" s="338"/>
      <c r="I4" s="338"/>
      <c r="J4" s="338"/>
      <c r="K4" s="338"/>
      <c r="L4" s="338"/>
      <c r="M4" s="338"/>
      <c r="N4" s="338"/>
      <c r="O4" s="338"/>
      <c r="P4" s="338"/>
      <c r="Q4" s="338"/>
      <c r="R4" s="338"/>
      <c r="S4" s="339"/>
      <c r="T4" s="337"/>
      <c r="U4" s="337"/>
      <c r="V4" s="337"/>
      <c r="W4" s="337"/>
      <c r="X4" s="337"/>
      <c r="Y4" s="337"/>
      <c r="Z4" s="337"/>
      <c r="AA4" s="337"/>
      <c r="AB4" s="337"/>
      <c r="AC4" s="337"/>
      <c r="AD4" s="337"/>
      <c r="AE4" s="337"/>
      <c r="AF4" s="337"/>
      <c r="AG4" s="337"/>
      <c r="AH4" s="337"/>
      <c r="AI4" s="337"/>
      <c r="AJ4" s="337"/>
      <c r="AK4" s="337"/>
      <c r="AL4" s="337"/>
      <c r="AM4" s="337"/>
    </row>
    <row r="5" ht="11.25" customHeight="1">
      <c r="A5" s="340" t="s">
        <v>65</v>
      </c>
      <c r="B5" s="341"/>
      <c r="C5" s="341"/>
      <c r="D5" s="341"/>
      <c r="E5" s="342"/>
      <c r="F5" s="342"/>
      <c r="G5" s="342"/>
      <c r="H5" s="342"/>
      <c r="I5" s="342"/>
      <c r="J5" s="342"/>
      <c r="K5" s="342"/>
      <c r="L5" s="342"/>
      <c r="M5" s="342"/>
      <c r="N5" s="342"/>
      <c r="O5" s="342"/>
      <c r="P5" s="342"/>
      <c r="Q5" s="342"/>
      <c r="R5" s="342"/>
      <c r="S5" s="343"/>
      <c r="T5" s="341"/>
      <c r="U5" s="341"/>
      <c r="V5" s="341"/>
      <c r="W5" s="341"/>
      <c r="X5" s="341"/>
      <c r="Y5" s="341"/>
      <c r="Z5" s="341"/>
      <c r="AA5" s="341"/>
      <c r="AB5" s="341"/>
      <c r="AC5" s="341"/>
      <c r="AD5" s="341"/>
      <c r="AE5" s="341"/>
      <c r="AF5" s="341"/>
      <c r="AG5" s="341"/>
      <c r="AH5" s="341"/>
      <c r="AI5" s="341"/>
      <c r="AJ5" s="341"/>
      <c r="AK5" s="341"/>
      <c r="AL5" s="341"/>
      <c r="AM5" s="341"/>
    </row>
    <row r="6" ht="11.25" customHeight="1">
      <c r="A6" s="337"/>
      <c r="B6" s="337"/>
      <c r="C6" s="337"/>
      <c r="D6" s="337"/>
      <c r="E6" s="338"/>
      <c r="F6" s="338"/>
      <c r="G6" s="338"/>
      <c r="H6" s="338"/>
      <c r="I6" s="338"/>
      <c r="J6" s="344"/>
      <c r="K6" s="344"/>
      <c r="L6" s="344"/>
      <c r="M6" s="344"/>
      <c r="N6" s="344"/>
      <c r="O6" s="344"/>
      <c r="P6" s="344"/>
      <c r="Q6" s="344"/>
      <c r="R6" s="338"/>
      <c r="S6" s="345" t="s">
        <v>66</v>
      </c>
      <c r="T6" s="345"/>
      <c r="U6" s="337"/>
      <c r="V6" s="337"/>
      <c r="W6" s="337"/>
      <c r="X6" s="337"/>
      <c r="Y6" s="337"/>
      <c r="Z6" s="337"/>
      <c r="AA6" s="337"/>
      <c r="AB6" s="337"/>
      <c r="AC6" s="337"/>
      <c r="AD6" s="337"/>
      <c r="AE6" s="337"/>
      <c r="AF6" s="337"/>
      <c r="AG6" s="337"/>
      <c r="AH6" s="337"/>
      <c r="AI6" s="337"/>
      <c r="AJ6" s="337"/>
      <c r="AK6" s="337"/>
      <c r="AL6" s="337"/>
      <c r="AM6" s="337"/>
    </row>
    <row r="7" ht="11.25" customHeight="1">
      <c r="A7" s="346"/>
      <c r="B7" s="347"/>
      <c r="C7" s="348"/>
      <c r="D7" s="338"/>
      <c r="E7" s="338"/>
      <c r="F7" s="338"/>
      <c r="G7" s="338"/>
      <c r="H7" s="338"/>
      <c r="I7" s="338"/>
      <c r="J7" s="349">
        <f t="shared" ref="J7:P7" si="1">K7-1</f>
        <v>2011</v>
      </c>
      <c r="K7" s="349">
        <f t="shared" si="1"/>
        <v>2012</v>
      </c>
      <c r="L7" s="349">
        <f t="shared" si="1"/>
        <v>2013</v>
      </c>
      <c r="M7" s="349">
        <f t="shared" si="1"/>
        <v>2014</v>
      </c>
      <c r="N7" s="349">
        <f t="shared" si="1"/>
        <v>2015</v>
      </c>
      <c r="O7" s="349">
        <f t="shared" si="1"/>
        <v>2016</v>
      </c>
      <c r="P7" s="349">
        <f t="shared" si="1"/>
        <v>2017</v>
      </c>
      <c r="Q7" s="349">
        <v>2018.0</v>
      </c>
      <c r="R7" s="338"/>
      <c r="S7" s="350" t="s">
        <v>67</v>
      </c>
      <c r="T7" s="348"/>
      <c r="U7" s="348"/>
      <c r="V7" s="348"/>
      <c r="W7" s="348"/>
      <c r="X7" s="348"/>
      <c r="Y7" s="348"/>
      <c r="Z7" s="348"/>
      <c r="AA7" s="348"/>
      <c r="AB7" s="348"/>
      <c r="AC7" s="348"/>
      <c r="AD7" s="348"/>
      <c r="AE7" s="348"/>
      <c r="AF7" s="348"/>
      <c r="AG7" s="348"/>
      <c r="AH7" s="348"/>
      <c r="AI7" s="348"/>
      <c r="AJ7" s="348"/>
      <c r="AK7" s="348"/>
      <c r="AL7" s="348"/>
      <c r="AM7" s="348"/>
    </row>
    <row r="8" ht="11.25" customHeight="1">
      <c r="A8" s="351" t="s">
        <v>68</v>
      </c>
      <c r="B8" s="352"/>
      <c r="C8" s="351"/>
      <c r="D8" s="353"/>
      <c r="E8" s="353"/>
      <c r="F8" s="353"/>
      <c r="G8" s="353"/>
      <c r="H8" s="353"/>
      <c r="I8" s="353"/>
      <c r="J8" s="353"/>
      <c r="K8" s="353"/>
      <c r="L8" s="353"/>
      <c r="M8" s="353"/>
      <c r="N8" s="353"/>
      <c r="O8" s="353"/>
      <c r="P8" s="353"/>
      <c r="Q8" s="353"/>
      <c r="R8" s="353"/>
      <c r="S8" s="354"/>
      <c r="T8" s="351"/>
      <c r="U8" s="351"/>
      <c r="V8" s="351"/>
      <c r="W8" s="351"/>
      <c r="X8" s="351"/>
      <c r="Y8" s="351"/>
      <c r="Z8" s="351"/>
      <c r="AA8" s="351"/>
      <c r="AB8" s="351"/>
      <c r="AC8" s="351"/>
      <c r="AD8" s="351"/>
      <c r="AE8" s="351"/>
      <c r="AF8" s="351"/>
      <c r="AG8" s="351"/>
      <c r="AH8" s="351"/>
      <c r="AI8" s="351"/>
      <c r="AJ8" s="351"/>
      <c r="AK8" s="351"/>
      <c r="AL8" s="351"/>
      <c r="AM8" s="351"/>
    </row>
    <row r="9" ht="11.25" customHeight="1" outlineLevel="2">
      <c r="A9" s="348"/>
      <c r="B9" s="355" t="s">
        <v>69</v>
      </c>
      <c r="C9" s="356"/>
      <c r="D9" s="357"/>
      <c r="E9" s="357"/>
      <c r="F9" s="357"/>
      <c r="G9" s="357"/>
      <c r="H9" s="357"/>
      <c r="I9" s="357"/>
      <c r="J9" s="357"/>
      <c r="K9" s="358"/>
      <c r="L9" s="358"/>
      <c r="M9" s="358"/>
      <c r="N9" s="358"/>
      <c r="O9" s="358"/>
      <c r="P9" s="358"/>
      <c r="Q9" s="358"/>
      <c r="R9" s="331"/>
      <c r="S9" s="359"/>
      <c r="T9" s="348"/>
      <c r="U9" s="348"/>
      <c r="V9" s="348"/>
      <c r="W9" s="348"/>
      <c r="X9" s="348"/>
      <c r="Y9" s="348"/>
      <c r="Z9" s="348"/>
      <c r="AA9" s="348"/>
      <c r="AB9" s="348"/>
      <c r="AC9" s="348"/>
      <c r="AD9" s="348"/>
      <c r="AE9" s="348"/>
      <c r="AF9" s="348"/>
      <c r="AG9" s="348"/>
      <c r="AH9" s="348"/>
      <c r="AI9" s="348"/>
      <c r="AJ9" s="348"/>
      <c r="AK9" s="348"/>
      <c r="AL9" s="348"/>
      <c r="AM9" s="348"/>
    </row>
    <row r="10" ht="11.25" customHeight="1" outlineLevel="2">
      <c r="A10" s="348"/>
      <c r="B10" s="360" t="s">
        <v>70</v>
      </c>
      <c r="C10" s="356"/>
      <c r="D10" s="361"/>
      <c r="E10" s="361"/>
      <c r="F10" s="362"/>
      <c r="G10" s="362"/>
      <c r="H10" s="362"/>
      <c r="I10" s="362"/>
      <c r="J10" s="363">
        <f>'BIO - Income Statement (2)'!U12</f>
        <v>119022</v>
      </c>
      <c r="K10" s="363">
        <f>'BIO - Income Statement (2)'!V12</f>
        <v>111494</v>
      </c>
      <c r="L10" s="363">
        <f>'BIO - Income Statement (2)'!W12</f>
        <v>129501</v>
      </c>
      <c r="M10" s="363">
        <f>'BIO - Income Statement (2)'!X12</f>
        <v>166578</v>
      </c>
      <c r="N10" s="363">
        <f>'BIO - Income Statement (2)'!Y12</f>
        <v>178513</v>
      </c>
      <c r="O10" s="363">
        <f>'BIO - Income Statement (2)'!Z12</f>
        <v>198229</v>
      </c>
      <c r="P10" s="363">
        <f>'BIO - Income Statement (2)'!AA12</f>
        <v>273175</v>
      </c>
      <c r="Q10" s="363">
        <f>'BIO - Income Statement (2)'!AB12</f>
        <v>389373</v>
      </c>
      <c r="R10" s="364"/>
      <c r="S10" s="365">
        <f t="shared" ref="S10:S12" si="2">(Q10/N10)^(1/3)-1</f>
        <v>0.296876622</v>
      </c>
      <c r="T10" s="348"/>
      <c r="U10" s="348"/>
      <c r="V10" s="348"/>
      <c r="W10" s="348"/>
      <c r="X10" s="348"/>
      <c r="Y10" s="348"/>
      <c r="Z10" s="348"/>
      <c r="AA10" s="348"/>
      <c r="AB10" s="348"/>
      <c r="AC10" s="348"/>
      <c r="AD10" s="348"/>
      <c r="AE10" s="348"/>
      <c r="AF10" s="348"/>
      <c r="AG10" s="348"/>
      <c r="AH10" s="348"/>
      <c r="AI10" s="348"/>
      <c r="AJ10" s="348"/>
      <c r="AK10" s="348"/>
      <c r="AL10" s="348"/>
      <c r="AM10" s="348"/>
    </row>
    <row r="11" ht="11.25" customHeight="1" outlineLevel="1">
      <c r="A11" s="366"/>
      <c r="B11" s="360" t="s">
        <v>71</v>
      </c>
      <c r="C11" s="367"/>
      <c r="D11" s="361"/>
      <c r="E11" s="361"/>
      <c r="F11" s="361"/>
      <c r="G11" s="361"/>
      <c r="H11" s="362"/>
      <c r="I11" s="362"/>
      <c r="J11" s="363">
        <f>'inogen P&amp;L'!M12</f>
        <v>30099</v>
      </c>
      <c r="K11" s="363">
        <f>'inogen P&amp;L'!N12</f>
        <v>48576</v>
      </c>
      <c r="L11" s="363">
        <f>'inogen P&amp;L'!O12</f>
        <v>75443</v>
      </c>
      <c r="M11" s="363">
        <f>'inogen P&amp;L'!P12</f>
        <v>112537</v>
      </c>
      <c r="N11" s="363">
        <f>'inogen P&amp;L'!Q12</f>
        <v>159005</v>
      </c>
      <c r="O11" s="363">
        <f>'inogen P&amp;L'!R12</f>
        <v>202829</v>
      </c>
      <c r="P11" s="363">
        <f>'inogen P&amp;L'!S12</f>
        <v>249438</v>
      </c>
      <c r="Q11" s="363">
        <f>'inogen P&amp;L'!T12</f>
        <v>358111</v>
      </c>
      <c r="R11" s="364"/>
      <c r="S11" s="365">
        <f t="shared" si="2"/>
        <v>0.3107975673</v>
      </c>
      <c r="T11" s="366"/>
      <c r="U11" s="366"/>
      <c r="V11" s="366"/>
      <c r="W11" s="366"/>
      <c r="X11" s="366"/>
      <c r="Y11" s="366"/>
      <c r="Z11" s="366"/>
      <c r="AA11" s="366"/>
      <c r="AB11" s="366"/>
      <c r="AC11" s="366"/>
      <c r="AD11" s="366"/>
      <c r="AE11" s="366"/>
      <c r="AF11" s="366"/>
      <c r="AG11" s="366"/>
      <c r="AH11" s="366"/>
      <c r="AI11" s="366"/>
      <c r="AJ11" s="366"/>
      <c r="AK11" s="366"/>
      <c r="AL11" s="366"/>
      <c r="AM11" s="366"/>
    </row>
    <row r="12" ht="11.25" customHeight="1" outlineLevel="1">
      <c r="A12" s="366"/>
      <c r="B12" s="360" t="s">
        <v>72</v>
      </c>
      <c r="C12" s="367"/>
      <c r="D12" s="361"/>
      <c r="E12" s="361"/>
      <c r="F12" s="361"/>
      <c r="G12" s="361"/>
      <c r="H12" s="361"/>
      <c r="I12" s="361"/>
      <c r="J12" s="363"/>
      <c r="K12" s="363"/>
      <c r="L12" s="363"/>
      <c r="M12" s="363">
        <f>'irhy - P&amp;L'!M12</f>
        <v>21749</v>
      </c>
      <c r="N12" s="363">
        <f>'irhy - P&amp;L'!N12</f>
        <v>36140</v>
      </c>
      <c r="O12" s="363">
        <f>'irhy - P&amp;L'!O12</f>
        <v>64072</v>
      </c>
      <c r="P12" s="363">
        <f>'irhy - P&amp;L'!P12</f>
        <v>98509</v>
      </c>
      <c r="Q12" s="363">
        <f>'irhy - P&amp;L'!Q12</f>
        <v>147293</v>
      </c>
      <c r="R12" s="364"/>
      <c r="S12" s="365">
        <f t="shared" si="2"/>
        <v>0.5973422777</v>
      </c>
      <c r="T12" s="366"/>
      <c r="U12" s="366"/>
      <c r="V12" s="366"/>
      <c r="W12" s="366"/>
      <c r="X12" s="366"/>
      <c r="Y12" s="366"/>
      <c r="Z12" s="366"/>
      <c r="AA12" s="366"/>
      <c r="AB12" s="366"/>
      <c r="AC12" s="366"/>
      <c r="AD12" s="366"/>
      <c r="AE12" s="366"/>
      <c r="AF12" s="366"/>
      <c r="AG12" s="366"/>
      <c r="AH12" s="366"/>
      <c r="AI12" s="366"/>
      <c r="AJ12" s="366"/>
      <c r="AK12" s="366"/>
      <c r="AL12" s="366"/>
      <c r="AM12" s="366"/>
    </row>
    <row r="13" ht="11.25" customHeight="1" outlineLevel="1">
      <c r="A13" s="366"/>
      <c r="B13" s="366"/>
      <c r="C13" s="368"/>
      <c r="D13" s="369"/>
      <c r="E13" s="369"/>
      <c r="F13" s="369"/>
      <c r="G13" s="369"/>
      <c r="H13" s="369"/>
      <c r="I13" s="369"/>
      <c r="J13" s="369"/>
      <c r="K13" s="369"/>
      <c r="L13" s="369"/>
      <c r="M13" s="369"/>
      <c r="N13" s="369"/>
      <c r="O13" s="369"/>
      <c r="P13" s="369"/>
      <c r="Q13" s="369"/>
      <c r="R13" s="331"/>
      <c r="S13" s="370"/>
      <c r="T13" s="366"/>
      <c r="U13" s="366"/>
      <c r="V13" s="366"/>
      <c r="W13" s="366"/>
      <c r="X13" s="366"/>
      <c r="Y13" s="366"/>
      <c r="Z13" s="366"/>
      <c r="AA13" s="366"/>
      <c r="AB13" s="366"/>
      <c r="AC13" s="366"/>
      <c r="AD13" s="366"/>
      <c r="AE13" s="366"/>
      <c r="AF13" s="366"/>
      <c r="AG13" s="366"/>
      <c r="AH13" s="366"/>
      <c r="AI13" s="366"/>
      <c r="AJ13" s="366"/>
      <c r="AK13" s="366"/>
      <c r="AL13" s="366"/>
      <c r="AM13" s="366"/>
    </row>
    <row r="14" ht="11.25" customHeight="1" outlineLevel="1">
      <c r="A14" s="366"/>
      <c r="B14" s="371" t="s">
        <v>73</v>
      </c>
      <c r="C14" s="371"/>
      <c r="D14" s="372"/>
      <c r="E14" s="372"/>
      <c r="F14" s="372"/>
      <c r="G14" s="372"/>
      <c r="H14" s="372"/>
      <c r="I14" s="372"/>
      <c r="J14" s="372"/>
      <c r="K14" s="372"/>
      <c r="L14" s="372"/>
      <c r="M14" s="372"/>
      <c r="N14" s="372"/>
      <c r="O14" s="372"/>
      <c r="P14" s="372"/>
      <c r="Q14" s="372"/>
      <c r="R14" s="331"/>
      <c r="S14" s="373"/>
      <c r="T14" s="346"/>
      <c r="U14" s="346"/>
      <c r="V14" s="346"/>
      <c r="W14" s="346"/>
      <c r="X14" s="346"/>
      <c r="Y14" s="346"/>
      <c r="Z14" s="346"/>
      <c r="AA14" s="346"/>
      <c r="AB14" s="346"/>
      <c r="AC14" s="346"/>
      <c r="AD14" s="346"/>
      <c r="AE14" s="346"/>
      <c r="AF14" s="346"/>
      <c r="AG14" s="346"/>
      <c r="AH14" s="346"/>
      <c r="AI14" s="346"/>
      <c r="AJ14" s="346"/>
      <c r="AK14" s="346"/>
      <c r="AL14" s="346"/>
      <c r="AM14" s="346"/>
    </row>
    <row r="15" ht="11.25" customHeight="1" outlineLevel="1">
      <c r="A15" s="366"/>
      <c r="B15" s="374" t="s">
        <v>70</v>
      </c>
      <c r="C15" s="374"/>
      <c r="D15" s="375"/>
      <c r="E15" s="376"/>
      <c r="F15" s="376"/>
      <c r="G15" s="376"/>
      <c r="H15" s="376"/>
      <c r="I15" s="376"/>
      <c r="J15" s="376"/>
      <c r="K15" s="376">
        <f t="shared" ref="K15:Q15" si="3">K10/J10-1</f>
        <v>-0.06324881114</v>
      </c>
      <c r="L15" s="376">
        <f t="shared" si="3"/>
        <v>0.1615064488</v>
      </c>
      <c r="M15" s="376">
        <f t="shared" si="3"/>
        <v>0.2863066694</v>
      </c>
      <c r="N15" s="376">
        <f t="shared" si="3"/>
        <v>0.0716481168</v>
      </c>
      <c r="O15" s="376">
        <f t="shared" si="3"/>
        <v>0.1104457378</v>
      </c>
      <c r="P15" s="376">
        <f t="shared" si="3"/>
        <v>0.3780778796</v>
      </c>
      <c r="Q15" s="376">
        <f t="shared" si="3"/>
        <v>0.4253610323</v>
      </c>
      <c r="R15" s="331"/>
      <c r="S15" s="373"/>
      <c r="T15" s="346"/>
      <c r="U15" s="346"/>
      <c r="V15" s="346"/>
      <c r="W15" s="346"/>
      <c r="X15" s="346"/>
      <c r="Y15" s="346"/>
      <c r="Z15" s="346"/>
      <c r="AA15" s="346"/>
      <c r="AB15" s="346"/>
      <c r="AC15" s="346"/>
      <c r="AD15" s="346"/>
      <c r="AE15" s="346"/>
      <c r="AF15" s="346"/>
      <c r="AG15" s="346"/>
      <c r="AH15" s="346"/>
      <c r="AI15" s="346"/>
      <c r="AJ15" s="346"/>
      <c r="AK15" s="346"/>
      <c r="AL15" s="346"/>
      <c r="AM15" s="346"/>
    </row>
    <row r="16" ht="11.25" customHeight="1" outlineLevel="1">
      <c r="A16" s="366"/>
      <c r="B16" s="374" t="s">
        <v>71</v>
      </c>
      <c r="C16" s="374"/>
      <c r="D16" s="372"/>
      <c r="E16" s="372"/>
      <c r="F16" s="372"/>
      <c r="G16" s="372"/>
      <c r="H16" s="372"/>
      <c r="I16" s="372"/>
      <c r="J16" s="375"/>
      <c r="K16" s="376">
        <f t="shared" ref="K16:Q16" si="4">K11/J11-1</f>
        <v>0.6138742151</v>
      </c>
      <c r="L16" s="376">
        <f t="shared" si="4"/>
        <v>0.5530920619</v>
      </c>
      <c r="M16" s="376">
        <f t="shared" si="4"/>
        <v>0.4916824623</v>
      </c>
      <c r="N16" s="376">
        <f t="shared" si="4"/>
        <v>0.4129130864</v>
      </c>
      <c r="O16" s="376">
        <f t="shared" si="4"/>
        <v>0.2756139744</v>
      </c>
      <c r="P16" s="376">
        <f t="shared" si="4"/>
        <v>0.229794556</v>
      </c>
      <c r="Q16" s="376">
        <f t="shared" si="4"/>
        <v>0.4356713893</v>
      </c>
      <c r="R16" s="331"/>
      <c r="S16" s="373"/>
      <c r="T16" s="346"/>
      <c r="U16" s="346"/>
      <c r="V16" s="346"/>
      <c r="W16" s="346"/>
      <c r="X16" s="346"/>
      <c r="Y16" s="346"/>
      <c r="Z16" s="346"/>
      <c r="AA16" s="346"/>
      <c r="AB16" s="346"/>
      <c r="AC16" s="346"/>
      <c r="AD16" s="346"/>
      <c r="AE16" s="346"/>
      <c r="AF16" s="346"/>
      <c r="AG16" s="346"/>
      <c r="AH16" s="346"/>
      <c r="AI16" s="346"/>
      <c r="AJ16" s="346"/>
      <c r="AK16" s="346"/>
      <c r="AL16" s="346"/>
      <c r="AM16" s="346"/>
    </row>
    <row r="17" ht="11.25" customHeight="1" outlineLevel="4">
      <c r="A17" s="366"/>
      <c r="B17" s="374" t="s">
        <v>72</v>
      </c>
      <c r="C17" s="374"/>
      <c r="D17" s="377"/>
      <c r="E17" s="378"/>
      <c r="F17" s="378"/>
      <c r="G17" s="378"/>
      <c r="H17" s="378"/>
      <c r="I17" s="378"/>
      <c r="J17" s="376"/>
      <c r="K17" s="376" t="s">
        <v>74</v>
      </c>
      <c r="L17" s="376" t="s">
        <v>74</v>
      </c>
      <c r="M17" s="376" t="s">
        <v>74</v>
      </c>
      <c r="N17" s="376">
        <f t="shared" ref="N17:Q17" si="5">N12/M12-1</f>
        <v>0.6616855947</v>
      </c>
      <c r="O17" s="376">
        <f t="shared" si="5"/>
        <v>0.7728832319</v>
      </c>
      <c r="P17" s="376">
        <f t="shared" si="5"/>
        <v>0.5374734673</v>
      </c>
      <c r="Q17" s="376">
        <f t="shared" si="5"/>
        <v>0.4952237867</v>
      </c>
      <c r="R17" s="331"/>
      <c r="S17" s="373"/>
      <c r="T17" s="346"/>
      <c r="U17" s="346"/>
      <c r="V17" s="346"/>
      <c r="W17" s="346"/>
      <c r="X17" s="346"/>
      <c r="Y17" s="346"/>
      <c r="Z17" s="346"/>
      <c r="AA17" s="346"/>
      <c r="AB17" s="346"/>
      <c r="AC17" s="346"/>
      <c r="AD17" s="346"/>
      <c r="AE17" s="346"/>
      <c r="AF17" s="346"/>
      <c r="AG17" s="346"/>
      <c r="AH17" s="346"/>
      <c r="AI17" s="346"/>
      <c r="AJ17" s="346"/>
      <c r="AK17" s="346"/>
      <c r="AL17" s="346"/>
      <c r="AM17" s="346"/>
    </row>
    <row r="18" ht="11.25" customHeight="1" outlineLevel="4">
      <c r="A18" s="366"/>
      <c r="B18" s="346"/>
      <c r="C18" s="379"/>
      <c r="D18" s="377"/>
      <c r="E18" s="378"/>
      <c r="F18" s="378"/>
      <c r="G18" s="378"/>
      <c r="H18" s="378"/>
      <c r="I18" s="378"/>
      <c r="J18" s="376"/>
      <c r="K18" s="376"/>
      <c r="L18" s="376"/>
      <c r="M18" s="376"/>
      <c r="N18" s="376"/>
      <c r="O18" s="376"/>
      <c r="P18" s="376"/>
      <c r="Q18" s="376"/>
      <c r="R18" s="331"/>
      <c r="S18" s="373"/>
      <c r="T18" s="346"/>
      <c r="U18" s="346"/>
      <c r="V18" s="346"/>
      <c r="W18" s="346"/>
      <c r="X18" s="346"/>
      <c r="Y18" s="346"/>
      <c r="Z18" s="346"/>
      <c r="AA18" s="346"/>
      <c r="AB18" s="346"/>
      <c r="AC18" s="346"/>
      <c r="AD18" s="346"/>
      <c r="AE18" s="346"/>
      <c r="AF18" s="346"/>
      <c r="AG18" s="346"/>
      <c r="AH18" s="346"/>
      <c r="AI18" s="346"/>
      <c r="AJ18" s="346"/>
      <c r="AK18" s="346"/>
      <c r="AL18" s="346"/>
      <c r="AM18" s="346"/>
    </row>
    <row r="19" ht="11.25" customHeight="1" outlineLevel="4">
      <c r="A19" s="366"/>
      <c r="B19" s="356"/>
      <c r="C19" s="380" t="s">
        <v>75</v>
      </c>
      <c r="D19" s="381"/>
      <c r="E19" s="382"/>
      <c r="F19" s="382"/>
      <c r="G19" s="382"/>
      <c r="H19" s="382"/>
      <c r="I19" s="382"/>
      <c r="J19" s="383"/>
      <c r="K19" s="383"/>
      <c r="L19" s="383"/>
      <c r="M19" s="383"/>
      <c r="N19" s="383"/>
      <c r="O19" s="383"/>
      <c r="P19" s="383"/>
      <c r="Q19" s="383"/>
      <c r="R19" s="384"/>
      <c r="S19" s="385"/>
      <c r="T19" s="346"/>
      <c r="U19" s="346"/>
      <c r="V19" s="346"/>
      <c r="W19" s="346"/>
      <c r="X19" s="346"/>
      <c r="Y19" s="346"/>
      <c r="Z19" s="346"/>
      <c r="AA19" s="346"/>
      <c r="AB19" s="346"/>
      <c r="AC19" s="346"/>
      <c r="AD19" s="346"/>
      <c r="AE19" s="346"/>
      <c r="AF19" s="346"/>
      <c r="AG19" s="346"/>
      <c r="AH19" s="346"/>
      <c r="AI19" s="346"/>
      <c r="AJ19" s="346"/>
      <c r="AK19" s="346"/>
      <c r="AL19" s="346"/>
      <c r="AM19" s="346"/>
    </row>
    <row r="20" ht="11.25" customHeight="1" outlineLevel="4">
      <c r="A20" s="366"/>
      <c r="B20" s="386"/>
      <c r="C20" s="387" t="s">
        <v>76</v>
      </c>
      <c r="D20" s="346"/>
      <c r="E20" s="388"/>
      <c r="F20" s="388"/>
      <c r="G20" s="388"/>
      <c r="H20" s="378"/>
      <c r="I20" s="378"/>
      <c r="J20" s="376"/>
      <c r="K20" s="388">
        <f t="shared" ref="K20:Q20" si="6">PERCENTILE(K15:K17, 0.75)</f>
        <v>0.4445934585</v>
      </c>
      <c r="L20" s="388">
        <f t="shared" si="6"/>
        <v>0.4551956586</v>
      </c>
      <c r="M20" s="388">
        <f t="shared" si="6"/>
        <v>0.4403385141</v>
      </c>
      <c r="N20" s="388">
        <f t="shared" si="6"/>
        <v>0.5372993406</v>
      </c>
      <c r="O20" s="388">
        <f t="shared" si="6"/>
        <v>0.5242486031</v>
      </c>
      <c r="P20" s="388">
        <f t="shared" si="6"/>
        <v>0.4577756735</v>
      </c>
      <c r="Q20" s="388">
        <f t="shared" si="6"/>
        <v>0.465447588</v>
      </c>
      <c r="R20" s="331"/>
      <c r="S20" s="389">
        <f>PERCENTILE(S10:S12, 0.75)</f>
        <v>0.4540699225</v>
      </c>
      <c r="T20" s="346"/>
      <c r="U20" s="346"/>
      <c r="V20" s="346"/>
      <c r="W20" s="346"/>
      <c r="X20" s="346"/>
      <c r="Y20" s="346"/>
      <c r="Z20" s="346"/>
      <c r="AA20" s="346"/>
      <c r="AB20" s="346"/>
      <c r="AC20" s="346"/>
      <c r="AD20" s="346"/>
      <c r="AE20" s="346"/>
      <c r="AF20" s="346"/>
      <c r="AG20" s="346"/>
      <c r="AH20" s="346"/>
      <c r="AI20" s="346"/>
      <c r="AJ20" s="346"/>
      <c r="AK20" s="346"/>
      <c r="AL20" s="346"/>
      <c r="AM20" s="346"/>
    </row>
    <row r="21" ht="11.25" customHeight="1" outlineLevel="4">
      <c r="A21" s="366"/>
      <c r="B21" s="390"/>
      <c r="C21" s="391" t="s">
        <v>77</v>
      </c>
      <c r="D21" s="346"/>
      <c r="E21" s="388"/>
      <c r="F21" s="388"/>
      <c r="G21" s="388"/>
      <c r="H21" s="378"/>
      <c r="I21" s="378"/>
      <c r="J21" s="376"/>
      <c r="K21" s="388">
        <f t="shared" ref="K21:Q21" si="7">MEDIAN(K15:K17)</f>
        <v>0.275312702</v>
      </c>
      <c r="L21" s="388">
        <f t="shared" si="7"/>
        <v>0.3572992554</v>
      </c>
      <c r="M21" s="388">
        <f t="shared" si="7"/>
        <v>0.3889945659</v>
      </c>
      <c r="N21" s="388">
        <f t="shared" si="7"/>
        <v>0.4129130864</v>
      </c>
      <c r="O21" s="388">
        <f t="shared" si="7"/>
        <v>0.2756139744</v>
      </c>
      <c r="P21" s="388">
        <f t="shared" si="7"/>
        <v>0.3780778796</v>
      </c>
      <c r="Q21" s="388">
        <f t="shared" si="7"/>
        <v>0.4356713893</v>
      </c>
      <c r="R21" s="331"/>
      <c r="S21" s="389">
        <f>MEDIAN(S10:S12)</f>
        <v>0.3107975673</v>
      </c>
      <c r="T21" s="346"/>
      <c r="U21" s="346"/>
      <c r="V21" s="346"/>
      <c r="W21" s="346"/>
      <c r="X21" s="346"/>
      <c r="Y21" s="346"/>
      <c r="Z21" s="346"/>
      <c r="AA21" s="346"/>
      <c r="AB21" s="346"/>
      <c r="AC21" s="346"/>
      <c r="AD21" s="346"/>
      <c r="AE21" s="346"/>
      <c r="AF21" s="346"/>
      <c r="AG21" s="346"/>
      <c r="AH21" s="346"/>
      <c r="AI21" s="346"/>
      <c r="AJ21" s="346"/>
      <c r="AK21" s="346"/>
      <c r="AL21" s="346"/>
      <c r="AM21" s="346"/>
    </row>
    <row r="22" ht="11.25" customHeight="1" outlineLevel="4">
      <c r="A22" s="366"/>
      <c r="B22" s="392"/>
      <c r="C22" s="393" t="s">
        <v>78</v>
      </c>
      <c r="D22" s="394"/>
      <c r="E22" s="395"/>
      <c r="F22" s="395"/>
      <c r="G22" s="395"/>
      <c r="H22" s="396"/>
      <c r="I22" s="396"/>
      <c r="J22" s="397"/>
      <c r="K22" s="395">
        <f t="shared" ref="K22:Q22" si="8">PERCENTILE(K15:K17, 0.25)</f>
        <v>0.1060319454</v>
      </c>
      <c r="L22" s="395">
        <f t="shared" si="8"/>
        <v>0.2594028521</v>
      </c>
      <c r="M22" s="395">
        <f t="shared" si="8"/>
        <v>0.3376506176</v>
      </c>
      <c r="N22" s="395">
        <f t="shared" si="8"/>
        <v>0.2422806016</v>
      </c>
      <c r="O22" s="395">
        <f t="shared" si="8"/>
        <v>0.1930298561</v>
      </c>
      <c r="P22" s="395">
        <f t="shared" si="8"/>
        <v>0.3039362178</v>
      </c>
      <c r="Q22" s="395">
        <f t="shared" si="8"/>
        <v>0.4305162108</v>
      </c>
      <c r="R22" s="398"/>
      <c r="S22" s="399">
        <f>PERCENTILE(S10:S12, 0.25)</f>
        <v>0.3038370947</v>
      </c>
      <c r="T22" s="346"/>
      <c r="U22" s="346"/>
      <c r="V22" s="346"/>
      <c r="W22" s="346"/>
      <c r="X22" s="346"/>
      <c r="Y22" s="346"/>
      <c r="Z22" s="346"/>
      <c r="AA22" s="346"/>
      <c r="AB22" s="346"/>
      <c r="AC22" s="346"/>
      <c r="AD22" s="346"/>
      <c r="AE22" s="346"/>
      <c r="AF22" s="346"/>
      <c r="AG22" s="346"/>
      <c r="AH22" s="346"/>
      <c r="AI22" s="346"/>
      <c r="AJ22" s="346"/>
      <c r="AK22" s="346"/>
      <c r="AL22" s="346"/>
      <c r="AM22" s="346"/>
    </row>
    <row r="23" ht="11.25" customHeight="1" outlineLevel="4">
      <c r="A23" s="366"/>
      <c r="B23" s="400"/>
      <c r="C23" s="379"/>
      <c r="D23" s="377"/>
      <c r="E23" s="378"/>
      <c r="F23" s="378"/>
      <c r="G23" s="378"/>
      <c r="H23" s="378"/>
      <c r="I23" s="378"/>
      <c r="J23" s="376"/>
      <c r="K23" s="376"/>
      <c r="L23" s="376"/>
      <c r="M23" s="376"/>
      <c r="N23" s="376"/>
      <c r="O23" s="376"/>
      <c r="P23" s="376"/>
      <c r="Q23" s="376"/>
      <c r="R23" s="331"/>
      <c r="S23" s="373"/>
      <c r="T23" s="346"/>
      <c r="U23" s="346"/>
      <c r="V23" s="346"/>
      <c r="W23" s="346"/>
      <c r="X23" s="346"/>
      <c r="Y23" s="346"/>
      <c r="Z23" s="346"/>
      <c r="AA23" s="346"/>
      <c r="AB23" s="346"/>
      <c r="AC23" s="346"/>
      <c r="AD23" s="346"/>
      <c r="AE23" s="346"/>
      <c r="AF23" s="346"/>
      <c r="AG23" s="346"/>
      <c r="AH23" s="346"/>
      <c r="AI23" s="346"/>
      <c r="AJ23" s="346"/>
      <c r="AK23" s="346"/>
      <c r="AL23" s="346"/>
      <c r="AM23" s="346"/>
    </row>
    <row r="24" ht="11.25" customHeight="1" outlineLevel="4">
      <c r="A24" s="366"/>
      <c r="B24" s="401" t="s">
        <v>79</v>
      </c>
      <c r="C24" s="379"/>
      <c r="D24" s="402"/>
      <c r="E24" s="403"/>
      <c r="F24" s="403"/>
      <c r="G24" s="403"/>
      <c r="H24" s="403"/>
      <c r="I24" s="403"/>
      <c r="J24" s="376"/>
      <c r="K24" s="376"/>
      <c r="L24" s="376"/>
      <c r="M24" s="376"/>
      <c r="N24" s="376"/>
      <c r="O24" s="376"/>
      <c r="P24" s="376"/>
      <c r="Q24" s="376"/>
      <c r="R24" s="404"/>
      <c r="S24" s="405"/>
      <c r="T24" s="406"/>
      <c r="U24" s="406"/>
      <c r="V24" s="406"/>
      <c r="W24" s="406"/>
      <c r="X24" s="406"/>
      <c r="Y24" s="406"/>
      <c r="Z24" s="406"/>
      <c r="AA24" s="406"/>
      <c r="AB24" s="406"/>
      <c r="AC24" s="406"/>
      <c r="AD24" s="406"/>
      <c r="AE24" s="406"/>
      <c r="AF24" s="406"/>
      <c r="AG24" s="406"/>
      <c r="AH24" s="406"/>
      <c r="AI24" s="406"/>
      <c r="AJ24" s="406"/>
      <c r="AK24" s="406"/>
      <c r="AL24" s="406"/>
      <c r="AM24" s="406"/>
    </row>
    <row r="25" ht="11.25" customHeight="1" outlineLevel="4">
      <c r="A25" s="366"/>
      <c r="B25" s="407" t="s">
        <v>70</v>
      </c>
      <c r="C25" s="379"/>
      <c r="D25" s="402"/>
      <c r="E25" s="403"/>
      <c r="F25" s="403"/>
      <c r="G25" s="403"/>
      <c r="H25" s="403"/>
      <c r="I25" s="403"/>
      <c r="J25" s="376"/>
      <c r="K25" s="376"/>
      <c r="L25" s="376">
        <f t="shared" ref="L25:Q25" si="9">L15-K15</f>
        <v>0.2247552599</v>
      </c>
      <c r="M25" s="376">
        <f t="shared" si="9"/>
        <v>0.1248002207</v>
      </c>
      <c r="N25" s="376">
        <f t="shared" si="9"/>
        <v>-0.2146585526</v>
      </c>
      <c r="O25" s="376">
        <f t="shared" si="9"/>
        <v>0.03879762105</v>
      </c>
      <c r="P25" s="376">
        <f t="shared" si="9"/>
        <v>0.2676321418</v>
      </c>
      <c r="Q25" s="376">
        <f t="shared" si="9"/>
        <v>0.04728315268</v>
      </c>
      <c r="R25" s="404"/>
      <c r="S25" s="405"/>
      <c r="T25" s="406"/>
      <c r="U25" s="406"/>
      <c r="V25" s="406"/>
      <c r="W25" s="406"/>
      <c r="X25" s="406"/>
      <c r="Y25" s="406"/>
      <c r="Z25" s="406"/>
      <c r="AA25" s="406"/>
      <c r="AB25" s="406"/>
      <c r="AC25" s="406"/>
      <c r="AD25" s="406"/>
      <c r="AE25" s="406"/>
      <c r="AF25" s="406"/>
      <c r="AG25" s="406"/>
      <c r="AH25" s="406"/>
      <c r="AI25" s="406"/>
      <c r="AJ25" s="406"/>
      <c r="AK25" s="406"/>
      <c r="AL25" s="406"/>
      <c r="AM25" s="406"/>
    </row>
    <row r="26" ht="11.25" customHeight="1" outlineLevel="4">
      <c r="A26" s="366"/>
      <c r="B26" s="407" t="s">
        <v>71</v>
      </c>
      <c r="C26" s="379"/>
      <c r="D26" s="402"/>
      <c r="E26" s="403"/>
      <c r="F26" s="403"/>
      <c r="G26" s="403"/>
      <c r="H26" s="403"/>
      <c r="I26" s="403"/>
      <c r="J26" s="376"/>
      <c r="K26" s="376"/>
      <c r="L26" s="376">
        <f t="shared" ref="L26:Q26" si="10">L16-K16</f>
        <v>-0.06078215317</v>
      </c>
      <c r="M26" s="376">
        <f t="shared" si="10"/>
        <v>-0.06140959967</v>
      </c>
      <c r="N26" s="376">
        <f t="shared" si="10"/>
        <v>-0.07876937589</v>
      </c>
      <c r="O26" s="376">
        <f t="shared" si="10"/>
        <v>-0.137299112</v>
      </c>
      <c r="P26" s="376">
        <f t="shared" si="10"/>
        <v>-0.0458194184</v>
      </c>
      <c r="Q26" s="376">
        <f t="shared" si="10"/>
        <v>0.2058768333</v>
      </c>
      <c r="R26" s="404"/>
      <c r="S26" s="405"/>
      <c r="T26" s="406"/>
      <c r="U26" s="406"/>
      <c r="V26" s="406"/>
      <c r="W26" s="406"/>
      <c r="X26" s="406"/>
      <c r="Y26" s="406"/>
      <c r="Z26" s="406"/>
      <c r="AA26" s="406"/>
      <c r="AB26" s="406"/>
      <c r="AC26" s="406"/>
      <c r="AD26" s="406"/>
      <c r="AE26" s="406"/>
      <c r="AF26" s="406"/>
      <c r="AG26" s="406"/>
      <c r="AH26" s="406"/>
      <c r="AI26" s="406"/>
      <c r="AJ26" s="406"/>
      <c r="AK26" s="406"/>
      <c r="AL26" s="406"/>
      <c r="AM26" s="406"/>
    </row>
    <row r="27" ht="18.0" customHeight="1" outlineLevel="4">
      <c r="A27" s="366"/>
      <c r="B27" s="407" t="s">
        <v>72</v>
      </c>
      <c r="C27" s="379"/>
      <c r="D27" s="402"/>
      <c r="E27" s="403"/>
      <c r="F27" s="403"/>
      <c r="G27" s="403"/>
      <c r="H27" s="403"/>
      <c r="I27" s="403"/>
      <c r="J27" s="376"/>
      <c r="K27" s="376"/>
      <c r="L27" s="376"/>
      <c r="M27" s="376" t="s">
        <v>74</v>
      </c>
      <c r="N27" s="376" t="s">
        <v>80</v>
      </c>
      <c r="O27" s="376">
        <f t="shared" ref="O27:Q27" si="11">O17-N17</f>
        <v>0.1111976371</v>
      </c>
      <c r="P27" s="376">
        <f t="shared" si="11"/>
        <v>-0.2354097645</v>
      </c>
      <c r="Q27" s="376">
        <f t="shared" si="11"/>
        <v>-0.04224968069</v>
      </c>
      <c r="R27" s="404"/>
      <c r="S27" s="405"/>
      <c r="T27" s="406"/>
      <c r="U27" s="406"/>
      <c r="V27" s="406"/>
      <c r="W27" s="406"/>
      <c r="X27" s="406"/>
      <c r="Y27" s="406"/>
      <c r="Z27" s="406"/>
      <c r="AA27" s="406"/>
      <c r="AB27" s="406"/>
      <c r="AC27" s="406"/>
      <c r="AD27" s="406"/>
      <c r="AE27" s="406"/>
      <c r="AF27" s="406"/>
      <c r="AG27" s="406"/>
      <c r="AH27" s="406"/>
      <c r="AI27" s="406"/>
      <c r="AJ27" s="406"/>
      <c r="AK27" s="406"/>
      <c r="AL27" s="406"/>
      <c r="AM27" s="406"/>
    </row>
    <row r="28" ht="11.25" customHeight="1" outlineLevel="4">
      <c r="A28" s="408"/>
      <c r="B28" s="408"/>
      <c r="C28" s="409"/>
      <c r="D28" s="410"/>
      <c r="E28" s="411"/>
      <c r="F28" s="411"/>
      <c r="G28" s="411"/>
      <c r="H28" s="411"/>
      <c r="I28" s="411"/>
      <c r="J28" s="412"/>
      <c r="K28" s="412"/>
      <c r="L28" s="412"/>
      <c r="M28" s="412"/>
      <c r="N28" s="412"/>
      <c r="O28" s="412"/>
      <c r="P28" s="412"/>
      <c r="Q28" s="412"/>
      <c r="R28" s="413"/>
      <c r="S28" s="414"/>
      <c r="T28" s="415"/>
      <c r="U28" s="415"/>
      <c r="V28" s="415"/>
      <c r="W28" s="415"/>
      <c r="X28" s="415"/>
      <c r="Y28" s="415"/>
      <c r="Z28" s="415"/>
      <c r="AA28" s="415"/>
      <c r="AB28" s="415"/>
      <c r="AC28" s="415"/>
      <c r="AD28" s="415"/>
      <c r="AE28" s="415"/>
      <c r="AF28" s="415"/>
      <c r="AG28" s="415"/>
      <c r="AH28" s="415"/>
      <c r="AI28" s="415"/>
      <c r="AJ28" s="415"/>
      <c r="AK28" s="415"/>
      <c r="AL28" s="415"/>
      <c r="AM28" s="415"/>
    </row>
    <row r="29" ht="11.25" customHeight="1" outlineLevel="2">
      <c r="A29" s="348"/>
      <c r="B29" s="355" t="s">
        <v>81</v>
      </c>
      <c r="C29" s="356"/>
      <c r="D29" s="362"/>
      <c r="E29" s="362"/>
      <c r="F29" s="362"/>
      <c r="G29" s="362"/>
      <c r="H29" s="362"/>
      <c r="I29" s="362"/>
      <c r="J29" s="362"/>
      <c r="K29" s="362"/>
      <c r="L29" s="362"/>
      <c r="M29" s="362"/>
      <c r="N29" s="362"/>
      <c r="O29" s="362"/>
      <c r="P29" s="362"/>
      <c r="Q29" s="362"/>
      <c r="R29" s="364"/>
      <c r="S29" s="416"/>
      <c r="T29" s="348"/>
      <c r="U29" s="348"/>
      <c r="V29" s="348"/>
      <c r="W29" s="348"/>
      <c r="X29" s="348"/>
      <c r="Y29" s="348"/>
      <c r="Z29" s="348"/>
      <c r="AA29" s="348"/>
      <c r="AB29" s="348"/>
      <c r="AC29" s="348"/>
      <c r="AD29" s="348"/>
      <c r="AE29" s="348"/>
      <c r="AF29" s="348"/>
      <c r="AG29" s="348"/>
      <c r="AH29" s="348"/>
      <c r="AI29" s="348"/>
      <c r="AJ29" s="348"/>
      <c r="AK29" s="348"/>
      <c r="AL29" s="348"/>
      <c r="AM29" s="348"/>
    </row>
    <row r="30" ht="11.25" customHeight="1" outlineLevel="1">
      <c r="A30" s="366"/>
      <c r="B30" s="360" t="s">
        <v>70</v>
      </c>
      <c r="C30" s="367"/>
      <c r="D30" s="362"/>
      <c r="E30" s="362"/>
      <c r="F30" s="362"/>
      <c r="G30" s="362"/>
      <c r="H30" s="362"/>
      <c r="I30" s="362"/>
      <c r="J30" s="362">
        <f>'BIO - Income Statement (2)'!U15</f>
        <v>49076</v>
      </c>
      <c r="K30" s="362">
        <f>'BIO - Income Statement (2)'!V15</f>
        <v>45593</v>
      </c>
      <c r="L30" s="362">
        <f>'BIO - Income Statement (2)'!W15</f>
        <v>50431</v>
      </c>
      <c r="M30" s="362">
        <f>'BIO - Income Statement (2)'!X15</f>
        <v>73114</v>
      </c>
      <c r="N30" s="362">
        <f>'BIO - Income Statement (2)'!Y15</f>
        <v>71956</v>
      </c>
      <c r="O30" s="362">
        <f>'BIO - Income Statement (2)'!Z15</f>
        <v>78882</v>
      </c>
      <c r="P30" s="362">
        <f>'BIO - Income Statement (2)'!AA15</f>
        <v>114406</v>
      </c>
      <c r="Q30" s="362">
        <f>'BIO - Income Statement (2)'!AB15</f>
        <v>148986</v>
      </c>
      <c r="R30" s="364"/>
      <c r="S30" s="416">
        <f t="shared" ref="S30:S32" si="12">(Q30/M30)^(1/3)-1</f>
        <v>0.2677928709</v>
      </c>
      <c r="T30" s="366"/>
      <c r="U30" s="366"/>
      <c r="V30" s="366"/>
      <c r="W30" s="366"/>
      <c r="X30" s="366"/>
      <c r="Y30" s="366"/>
      <c r="Z30" s="366"/>
      <c r="AA30" s="366"/>
      <c r="AB30" s="366"/>
      <c r="AC30" s="366"/>
      <c r="AD30" s="366"/>
      <c r="AE30" s="366"/>
      <c r="AF30" s="366"/>
      <c r="AG30" s="366"/>
      <c r="AH30" s="366"/>
      <c r="AI30" s="366"/>
      <c r="AJ30" s="366"/>
      <c r="AK30" s="366"/>
      <c r="AL30" s="366"/>
      <c r="AM30" s="366"/>
    </row>
    <row r="31" ht="11.25" customHeight="1" outlineLevel="1">
      <c r="A31" s="366"/>
      <c r="B31" s="360" t="s">
        <v>71</v>
      </c>
      <c r="C31" s="367"/>
      <c r="D31" s="362"/>
      <c r="E31" s="362"/>
      <c r="F31" s="362"/>
      <c r="G31" s="362"/>
      <c r="H31" s="362"/>
      <c r="I31" s="362"/>
      <c r="J31" s="362"/>
      <c r="K31" s="362">
        <f>'inogen P&amp;L'!N18</f>
        <v>24627</v>
      </c>
      <c r="L31" s="362">
        <f>'inogen P&amp;L'!O18</f>
        <v>36452</v>
      </c>
      <c r="M31" s="362">
        <f>'inogen P&amp;L'!P18</f>
        <v>57020</v>
      </c>
      <c r="N31" s="362">
        <f>'inogen P&amp;L'!Q18</f>
        <v>82747</v>
      </c>
      <c r="O31" s="362">
        <f>'inogen P&amp;L'!R18</f>
        <v>105519</v>
      </c>
      <c r="P31" s="362">
        <f>'inogen P&amp;L'!S18</f>
        <v>128201</v>
      </c>
      <c r="Q31" s="362">
        <f>'inogen P&amp;L'!T18</f>
        <v>179531</v>
      </c>
      <c r="R31" s="364"/>
      <c r="S31" s="416">
        <f t="shared" si="12"/>
        <v>0.4656740961</v>
      </c>
      <c r="T31" s="366"/>
      <c r="U31" s="366"/>
      <c r="V31" s="366"/>
      <c r="W31" s="366"/>
      <c r="X31" s="366"/>
      <c r="Y31" s="366"/>
      <c r="Z31" s="366"/>
      <c r="AA31" s="366"/>
      <c r="AB31" s="366"/>
      <c r="AC31" s="366"/>
      <c r="AD31" s="366"/>
      <c r="AE31" s="366"/>
      <c r="AF31" s="366"/>
      <c r="AG31" s="366"/>
      <c r="AH31" s="366"/>
      <c r="AI31" s="366"/>
      <c r="AJ31" s="366"/>
      <c r="AK31" s="366"/>
      <c r="AL31" s="366"/>
      <c r="AM31" s="366"/>
    </row>
    <row r="32" ht="11.25" customHeight="1" outlineLevel="1">
      <c r="A32" s="366"/>
      <c r="B32" s="360" t="s">
        <v>72</v>
      </c>
      <c r="C32" s="367"/>
      <c r="D32" s="362"/>
      <c r="E32" s="362"/>
      <c r="F32" s="362"/>
      <c r="G32" s="362"/>
      <c r="H32" s="362"/>
      <c r="I32" s="362"/>
      <c r="J32" s="362"/>
      <c r="K32" s="362"/>
      <c r="L32" s="362"/>
      <c r="M32" s="362">
        <f>'irhy - P&amp;L'!M14</f>
        <v>10591</v>
      </c>
      <c r="N32" s="362">
        <f>'irhy - P&amp;L'!N14</f>
        <v>14700</v>
      </c>
      <c r="O32" s="362">
        <f>'irhy - P&amp;L'!O14</f>
        <v>20883</v>
      </c>
      <c r="P32" s="362">
        <f>'irhy - P&amp;L'!P14</f>
        <v>27708</v>
      </c>
      <c r="Q32" s="362">
        <f>'irhy - P&amp;L'!Q14</f>
        <v>38579</v>
      </c>
      <c r="R32" s="364"/>
      <c r="S32" s="416">
        <f t="shared" si="12"/>
        <v>0.5386434748</v>
      </c>
      <c r="T32" s="366"/>
      <c r="U32" s="366"/>
      <c r="V32" s="366"/>
      <c r="W32" s="366"/>
      <c r="X32" s="366"/>
      <c r="Y32" s="366"/>
      <c r="Z32" s="366"/>
      <c r="AA32" s="366"/>
      <c r="AB32" s="366"/>
      <c r="AC32" s="366"/>
      <c r="AD32" s="366"/>
      <c r="AE32" s="366"/>
      <c r="AF32" s="366"/>
      <c r="AG32" s="366"/>
      <c r="AH32" s="366"/>
      <c r="AI32" s="366"/>
      <c r="AJ32" s="366"/>
      <c r="AK32" s="366"/>
      <c r="AL32" s="366"/>
      <c r="AM32" s="366"/>
    </row>
    <row r="33" ht="11.25" customHeight="1" outlineLevel="1">
      <c r="A33" s="346"/>
      <c r="B33" s="346"/>
      <c r="C33" s="346"/>
      <c r="D33" s="346"/>
      <c r="E33" s="346"/>
      <c r="F33" s="346"/>
      <c r="G33" s="346"/>
      <c r="H33" s="346"/>
      <c r="I33" s="346"/>
      <c r="J33" s="346"/>
      <c r="K33" s="346"/>
      <c r="L33" s="346"/>
      <c r="M33" s="346"/>
      <c r="N33" s="346"/>
      <c r="O33" s="346"/>
      <c r="P33" s="346"/>
      <c r="Q33" s="346"/>
      <c r="R33" s="346"/>
      <c r="S33" s="346"/>
      <c r="T33" s="346"/>
      <c r="U33" s="346"/>
      <c r="V33" s="346"/>
      <c r="W33" s="346"/>
      <c r="X33" s="346"/>
      <c r="Y33" s="346"/>
      <c r="Z33" s="346"/>
      <c r="AA33" s="346"/>
      <c r="AB33" s="346"/>
      <c r="AC33" s="346"/>
      <c r="AD33" s="346"/>
      <c r="AE33" s="346"/>
      <c r="AF33" s="346"/>
      <c r="AG33" s="346"/>
      <c r="AH33" s="346"/>
      <c r="AI33" s="346"/>
      <c r="AJ33" s="346"/>
      <c r="AK33" s="346"/>
      <c r="AL33" s="346"/>
      <c r="AM33" s="346"/>
    </row>
    <row r="34" ht="11.25" customHeight="1" outlineLevel="4">
      <c r="A34" s="346"/>
      <c r="B34" s="355" t="s">
        <v>82</v>
      </c>
      <c r="C34" s="367"/>
      <c r="D34" s="417"/>
      <c r="E34" s="362"/>
      <c r="F34" s="362"/>
      <c r="G34" s="362"/>
      <c r="H34" s="362"/>
      <c r="I34" s="362"/>
      <c r="J34" s="388"/>
      <c r="K34" s="388"/>
      <c r="L34" s="388"/>
      <c r="M34" s="388"/>
      <c r="N34" s="388"/>
      <c r="O34" s="388"/>
      <c r="P34" s="388"/>
      <c r="Q34" s="388"/>
      <c r="R34" s="331"/>
      <c r="S34" s="370"/>
      <c r="T34" s="366"/>
      <c r="U34" s="366"/>
      <c r="V34" s="366"/>
      <c r="W34" s="366"/>
      <c r="X34" s="366"/>
      <c r="Y34" s="366"/>
      <c r="Z34" s="366"/>
      <c r="AA34" s="366"/>
      <c r="AB34" s="366"/>
      <c r="AC34" s="366"/>
      <c r="AD34" s="366"/>
      <c r="AE34" s="366"/>
      <c r="AF34" s="366"/>
      <c r="AG34" s="366"/>
      <c r="AH34" s="366"/>
      <c r="AI34" s="366"/>
      <c r="AJ34" s="366"/>
      <c r="AK34" s="366"/>
      <c r="AL34" s="366"/>
      <c r="AM34" s="366"/>
    </row>
    <row r="35" ht="11.25" customHeight="1" outlineLevel="2">
      <c r="A35" s="346"/>
      <c r="B35" s="360" t="s">
        <v>70</v>
      </c>
      <c r="C35" s="356"/>
      <c r="D35" s="362"/>
      <c r="E35" s="362"/>
      <c r="F35" s="362"/>
      <c r="G35" s="362"/>
      <c r="H35" s="362"/>
      <c r="I35" s="362"/>
      <c r="J35" s="362">
        <f t="shared" ref="J35:Q35" si="13">J10-J30</f>
        <v>69946</v>
      </c>
      <c r="K35" s="362">
        <f t="shared" si="13"/>
        <v>65901</v>
      </c>
      <c r="L35" s="362">
        <f t="shared" si="13"/>
        <v>79070</v>
      </c>
      <c r="M35" s="362">
        <f t="shared" si="13"/>
        <v>93464</v>
      </c>
      <c r="N35" s="362">
        <f t="shared" si="13"/>
        <v>106557</v>
      </c>
      <c r="O35" s="362">
        <f t="shared" si="13"/>
        <v>119347</v>
      </c>
      <c r="P35" s="362">
        <f t="shared" si="13"/>
        <v>158769</v>
      </c>
      <c r="Q35" s="362">
        <f t="shared" si="13"/>
        <v>240387</v>
      </c>
      <c r="R35" s="364"/>
      <c r="S35" s="359"/>
      <c r="T35" s="348"/>
      <c r="U35" s="348"/>
      <c r="V35" s="348"/>
      <c r="W35" s="348"/>
      <c r="X35" s="348"/>
      <c r="Y35" s="348"/>
      <c r="Z35" s="348"/>
      <c r="AA35" s="348"/>
      <c r="AB35" s="348"/>
      <c r="AC35" s="348"/>
      <c r="AD35" s="348"/>
      <c r="AE35" s="348"/>
      <c r="AF35" s="348"/>
      <c r="AG35" s="348"/>
      <c r="AH35" s="348"/>
      <c r="AI35" s="348"/>
      <c r="AJ35" s="348"/>
      <c r="AK35" s="348"/>
      <c r="AL35" s="348"/>
      <c r="AM35" s="348"/>
    </row>
    <row r="36" ht="11.25" customHeight="1" outlineLevel="1">
      <c r="A36" s="346"/>
      <c r="B36" s="360" t="s">
        <v>71</v>
      </c>
      <c r="C36" s="367"/>
      <c r="D36" s="361"/>
      <c r="E36" s="361"/>
      <c r="F36" s="361"/>
      <c r="G36" s="361"/>
      <c r="H36" s="362"/>
      <c r="I36" s="362"/>
      <c r="J36" s="362" t="str">
        <f>'Inogen - Key Metrics'!L12</f>
        <v/>
      </c>
      <c r="K36" s="362">
        <f t="shared" ref="K36:Q36" si="14">K11-K31</f>
        <v>23949</v>
      </c>
      <c r="L36" s="362">
        <f t="shared" si="14"/>
        <v>38991</v>
      </c>
      <c r="M36" s="362">
        <f t="shared" si="14"/>
        <v>55517</v>
      </c>
      <c r="N36" s="362">
        <f t="shared" si="14"/>
        <v>76258</v>
      </c>
      <c r="O36" s="362">
        <f t="shared" si="14"/>
        <v>97310</v>
      </c>
      <c r="P36" s="362">
        <f t="shared" si="14"/>
        <v>121237</v>
      </c>
      <c r="Q36" s="362">
        <f t="shared" si="14"/>
        <v>178580</v>
      </c>
      <c r="R36" s="364"/>
      <c r="S36" s="370"/>
      <c r="T36" s="366"/>
      <c r="U36" s="366"/>
      <c r="V36" s="366"/>
      <c r="W36" s="366"/>
      <c r="X36" s="366"/>
      <c r="Y36" s="366"/>
      <c r="Z36" s="366"/>
      <c r="AA36" s="366"/>
      <c r="AB36" s="366"/>
      <c r="AC36" s="366"/>
      <c r="AD36" s="366"/>
      <c r="AE36" s="366"/>
      <c r="AF36" s="366"/>
      <c r="AG36" s="366"/>
      <c r="AH36" s="366"/>
      <c r="AI36" s="366"/>
      <c r="AJ36" s="366"/>
      <c r="AK36" s="366"/>
      <c r="AL36" s="366"/>
      <c r="AM36" s="366"/>
    </row>
    <row r="37" ht="11.25" customHeight="1" outlineLevel="1">
      <c r="A37" s="346"/>
      <c r="B37" s="360" t="s">
        <v>72</v>
      </c>
      <c r="C37" s="367"/>
      <c r="D37" s="361"/>
      <c r="E37" s="361"/>
      <c r="F37" s="361"/>
      <c r="G37" s="361"/>
      <c r="H37" s="361"/>
      <c r="I37" s="361"/>
      <c r="J37" s="361"/>
      <c r="K37" s="362"/>
      <c r="L37" s="362"/>
      <c r="M37" s="362">
        <f t="shared" ref="M37:Q37" si="15">M12-M32</f>
        <v>11158</v>
      </c>
      <c r="N37" s="362">
        <f t="shared" si="15"/>
        <v>21440</v>
      </c>
      <c r="O37" s="362">
        <f t="shared" si="15"/>
        <v>43189</v>
      </c>
      <c r="P37" s="362">
        <f t="shared" si="15"/>
        <v>70801</v>
      </c>
      <c r="Q37" s="362">
        <f t="shared" si="15"/>
        <v>108714</v>
      </c>
      <c r="R37" s="364"/>
      <c r="S37" s="370"/>
      <c r="T37" s="366"/>
      <c r="U37" s="366"/>
      <c r="V37" s="366"/>
      <c r="W37" s="366"/>
      <c r="X37" s="366"/>
      <c r="Y37" s="366"/>
      <c r="Z37" s="366"/>
      <c r="AA37" s="366"/>
      <c r="AB37" s="366"/>
      <c r="AC37" s="366"/>
      <c r="AD37" s="366"/>
      <c r="AE37" s="366"/>
      <c r="AF37" s="366"/>
      <c r="AG37" s="366"/>
      <c r="AH37" s="366"/>
      <c r="AI37" s="366"/>
      <c r="AJ37" s="366"/>
      <c r="AK37" s="366"/>
      <c r="AL37" s="366"/>
      <c r="AM37" s="366"/>
    </row>
    <row r="38" ht="11.25" customHeight="1" outlineLevel="1">
      <c r="A38" s="346"/>
      <c r="B38" s="374"/>
      <c r="C38" s="379"/>
      <c r="D38" s="378"/>
      <c r="E38" s="378"/>
      <c r="F38" s="378"/>
      <c r="G38" s="378"/>
      <c r="H38" s="378"/>
      <c r="I38" s="378"/>
      <c r="J38" s="378"/>
      <c r="K38" s="378"/>
      <c r="L38" s="378"/>
      <c r="M38" s="378"/>
      <c r="N38" s="378"/>
      <c r="O38" s="378"/>
      <c r="P38" s="378"/>
      <c r="Q38" s="378"/>
      <c r="R38" s="364"/>
      <c r="S38" s="373"/>
      <c r="T38" s="346"/>
      <c r="U38" s="346"/>
      <c r="V38" s="346"/>
      <c r="W38" s="346"/>
      <c r="X38" s="346"/>
      <c r="Y38" s="346"/>
      <c r="Z38" s="346"/>
      <c r="AA38" s="346"/>
      <c r="AB38" s="346"/>
      <c r="AC38" s="346"/>
      <c r="AD38" s="346"/>
      <c r="AE38" s="346"/>
      <c r="AF38" s="346"/>
      <c r="AG38" s="346"/>
      <c r="AH38" s="346"/>
      <c r="AI38" s="346"/>
      <c r="AJ38" s="346"/>
      <c r="AK38" s="346"/>
      <c r="AL38" s="346"/>
      <c r="AM38" s="346"/>
    </row>
    <row r="39" ht="11.25" customHeight="1" outlineLevel="1">
      <c r="A39" s="346"/>
      <c r="B39" s="418" t="s">
        <v>83</v>
      </c>
      <c r="C39" s="419"/>
      <c r="D39" s="383"/>
      <c r="E39" s="383"/>
      <c r="F39" s="383"/>
      <c r="G39" s="383"/>
      <c r="H39" s="383"/>
      <c r="I39" s="383"/>
      <c r="J39" s="383"/>
      <c r="K39" s="383"/>
      <c r="L39" s="383"/>
      <c r="M39" s="383"/>
      <c r="N39" s="383"/>
      <c r="O39" s="383"/>
      <c r="P39" s="383"/>
      <c r="Q39" s="420"/>
      <c r="R39" s="346"/>
      <c r="S39" s="373"/>
      <c r="T39" s="346"/>
      <c r="U39" s="346"/>
      <c r="V39" s="346"/>
      <c r="W39" s="346"/>
      <c r="X39" s="346"/>
      <c r="Y39" s="346"/>
      <c r="Z39" s="346"/>
      <c r="AA39" s="346"/>
      <c r="AB39" s="346"/>
      <c r="AC39" s="346"/>
      <c r="AD39" s="346"/>
      <c r="AE39" s="346"/>
      <c r="AF39" s="346"/>
      <c r="AG39" s="346"/>
      <c r="AH39" s="346"/>
      <c r="AI39" s="346"/>
      <c r="AJ39" s="346"/>
      <c r="AK39" s="346"/>
      <c r="AL39" s="346"/>
      <c r="AM39" s="346"/>
    </row>
    <row r="40" ht="11.25" customHeight="1" outlineLevel="1">
      <c r="A40" s="346"/>
      <c r="B40" s="421" t="s">
        <v>70</v>
      </c>
      <c r="C40" s="400"/>
      <c r="D40" s="376"/>
      <c r="E40" s="376"/>
      <c r="F40" s="376"/>
      <c r="G40" s="376"/>
      <c r="H40" s="376"/>
      <c r="I40" s="376"/>
      <c r="J40" s="376">
        <f t="shared" ref="J40:Q40" si="16">J35/J10</f>
        <v>0.5876728672</v>
      </c>
      <c r="K40" s="376">
        <f t="shared" si="16"/>
        <v>0.5910721653</v>
      </c>
      <c r="L40" s="376">
        <f t="shared" si="16"/>
        <v>0.6105744357</v>
      </c>
      <c r="M40" s="376">
        <f t="shared" si="16"/>
        <v>0.5610824959</v>
      </c>
      <c r="N40" s="376">
        <f t="shared" si="16"/>
        <v>0.5969145104</v>
      </c>
      <c r="O40" s="376">
        <f t="shared" si="16"/>
        <v>0.6020662971</v>
      </c>
      <c r="P40" s="376">
        <f t="shared" si="16"/>
        <v>0.5811988652</v>
      </c>
      <c r="Q40" s="422">
        <f t="shared" si="16"/>
        <v>0.6173694632</v>
      </c>
      <c r="R40" s="346"/>
      <c r="S40" s="373"/>
      <c r="T40" s="346"/>
      <c r="U40" s="346"/>
      <c r="V40" s="346"/>
      <c r="W40" s="346"/>
      <c r="X40" s="346"/>
      <c r="Y40" s="346"/>
      <c r="Z40" s="346"/>
      <c r="AA40" s="346"/>
      <c r="AB40" s="346"/>
      <c r="AC40" s="346"/>
      <c r="AD40" s="346"/>
      <c r="AE40" s="346"/>
      <c r="AF40" s="346"/>
      <c r="AG40" s="346"/>
      <c r="AH40" s="346"/>
      <c r="AI40" s="346"/>
      <c r="AJ40" s="346"/>
      <c r="AK40" s="346"/>
      <c r="AL40" s="346"/>
      <c r="AM40" s="346"/>
    </row>
    <row r="41" ht="11.25" customHeight="1" outlineLevel="1">
      <c r="A41" s="346"/>
      <c r="B41" s="421" t="s">
        <v>71</v>
      </c>
      <c r="C41" s="400"/>
      <c r="D41" s="376"/>
      <c r="E41" s="376"/>
      <c r="F41" s="376"/>
      <c r="G41" s="376"/>
      <c r="H41" s="376"/>
      <c r="I41" s="376"/>
      <c r="J41" s="376"/>
      <c r="K41" s="376">
        <f t="shared" ref="K41:Q41" si="17">K36/K11</f>
        <v>0.4930212451</v>
      </c>
      <c r="L41" s="376">
        <f t="shared" si="17"/>
        <v>0.5168272736</v>
      </c>
      <c r="M41" s="376">
        <f t="shared" si="17"/>
        <v>0.4933221963</v>
      </c>
      <c r="N41" s="376">
        <f t="shared" si="17"/>
        <v>0.4795949813</v>
      </c>
      <c r="O41" s="376">
        <f t="shared" si="17"/>
        <v>0.4797637419</v>
      </c>
      <c r="P41" s="376">
        <f t="shared" si="17"/>
        <v>0.4860406193</v>
      </c>
      <c r="Q41" s="422">
        <f t="shared" si="17"/>
        <v>0.4986721994</v>
      </c>
      <c r="R41" s="346"/>
      <c r="S41" s="373"/>
      <c r="T41" s="346"/>
      <c r="U41" s="346"/>
      <c r="V41" s="346"/>
      <c r="W41" s="346"/>
      <c r="X41" s="346"/>
      <c r="Y41" s="346"/>
      <c r="Z41" s="346"/>
      <c r="AA41" s="346"/>
      <c r="AB41" s="346"/>
      <c r="AC41" s="346"/>
      <c r="AD41" s="346"/>
      <c r="AE41" s="346"/>
      <c r="AF41" s="346"/>
      <c r="AG41" s="346"/>
      <c r="AH41" s="346"/>
      <c r="AI41" s="346"/>
      <c r="AJ41" s="346"/>
      <c r="AK41" s="346"/>
      <c r="AL41" s="346"/>
      <c r="AM41" s="346"/>
    </row>
    <row r="42" ht="11.25" customHeight="1" outlineLevel="1">
      <c r="A42" s="346"/>
      <c r="B42" s="421" t="s">
        <v>72</v>
      </c>
      <c r="C42" s="400"/>
      <c r="D42" s="376"/>
      <c r="E42" s="376"/>
      <c r="F42" s="376"/>
      <c r="G42" s="376"/>
      <c r="H42" s="376"/>
      <c r="I42" s="376"/>
      <c r="J42" s="376"/>
      <c r="K42" s="376"/>
      <c r="L42" s="376"/>
      <c r="M42" s="376">
        <f t="shared" ref="M42:Q42" si="18">M37/M12</f>
        <v>0.5130350821</v>
      </c>
      <c r="N42" s="376">
        <f t="shared" si="18"/>
        <v>0.5932484781</v>
      </c>
      <c r="O42" s="376">
        <f t="shared" si="18"/>
        <v>0.6740697965</v>
      </c>
      <c r="P42" s="376">
        <f t="shared" si="18"/>
        <v>0.7187262078</v>
      </c>
      <c r="Q42" s="422">
        <f t="shared" si="18"/>
        <v>0.7380798816</v>
      </c>
      <c r="R42" s="346"/>
      <c r="S42" s="373"/>
      <c r="T42" s="346"/>
      <c r="U42" s="346"/>
      <c r="V42" s="346"/>
      <c r="W42" s="346"/>
      <c r="X42" s="346"/>
      <c r="Y42" s="346"/>
      <c r="Z42" s="346"/>
      <c r="AA42" s="346"/>
      <c r="AB42" s="346"/>
      <c r="AC42" s="346"/>
      <c r="AD42" s="346"/>
      <c r="AE42" s="346"/>
      <c r="AF42" s="346"/>
      <c r="AG42" s="346"/>
      <c r="AH42" s="346"/>
      <c r="AI42" s="346"/>
      <c r="AJ42" s="346"/>
      <c r="AK42" s="346"/>
      <c r="AL42" s="346"/>
      <c r="AM42" s="346"/>
    </row>
    <row r="43" ht="11.25" customHeight="1" outlineLevel="4">
      <c r="A43" s="346"/>
      <c r="B43" s="423"/>
      <c r="C43" s="379"/>
      <c r="D43" s="377"/>
      <c r="E43" s="378"/>
      <c r="F43" s="378"/>
      <c r="G43" s="378"/>
      <c r="H43" s="378"/>
      <c r="I43" s="378"/>
      <c r="J43" s="376"/>
      <c r="K43" s="376"/>
      <c r="L43" s="376"/>
      <c r="M43" s="376"/>
      <c r="N43" s="376"/>
      <c r="O43" s="376"/>
      <c r="P43" s="376"/>
      <c r="Q43" s="422"/>
      <c r="R43" s="331"/>
      <c r="S43" s="373"/>
      <c r="T43" s="346"/>
      <c r="U43" s="346"/>
      <c r="V43" s="346"/>
      <c r="W43" s="346"/>
      <c r="X43" s="346"/>
      <c r="Y43" s="346"/>
      <c r="Z43" s="346"/>
      <c r="AA43" s="346"/>
      <c r="AB43" s="346"/>
      <c r="AC43" s="346"/>
      <c r="AD43" s="346"/>
      <c r="AE43" s="346"/>
      <c r="AF43" s="346"/>
      <c r="AG43" s="346"/>
      <c r="AH43" s="346"/>
      <c r="AI43" s="346"/>
      <c r="AJ43" s="346"/>
      <c r="AK43" s="346"/>
      <c r="AL43" s="346"/>
      <c r="AM43" s="346"/>
    </row>
    <row r="44" ht="11.25" customHeight="1" outlineLevel="4">
      <c r="A44" s="346"/>
      <c r="B44" s="424" t="s">
        <v>76</v>
      </c>
      <c r="C44" s="425"/>
      <c r="D44" s="388"/>
      <c r="E44" s="388"/>
      <c r="F44" s="388"/>
      <c r="G44" s="388"/>
      <c r="H44" s="378"/>
      <c r="I44" s="378"/>
      <c r="J44" s="376"/>
      <c r="K44" s="388">
        <f t="shared" ref="K44:Q44" si="19">PERCENTILE(K40:K42, 0.75)</f>
        <v>0.5665594353</v>
      </c>
      <c r="L44" s="388">
        <f t="shared" si="19"/>
        <v>0.5871376452</v>
      </c>
      <c r="M44" s="388">
        <f t="shared" si="19"/>
        <v>0.537058789</v>
      </c>
      <c r="N44" s="388">
        <f t="shared" si="19"/>
        <v>0.5950814943</v>
      </c>
      <c r="O44" s="388">
        <f t="shared" si="19"/>
        <v>0.6380680468</v>
      </c>
      <c r="P44" s="388">
        <f t="shared" si="19"/>
        <v>0.6499625365</v>
      </c>
      <c r="Q44" s="389">
        <f t="shared" si="19"/>
        <v>0.6777246724</v>
      </c>
      <c r="R44" s="331"/>
      <c r="S44" s="373"/>
      <c r="T44" s="346"/>
      <c r="U44" s="346"/>
      <c r="V44" s="346"/>
      <c r="W44" s="346"/>
      <c r="X44" s="346"/>
      <c r="Y44" s="346"/>
      <c r="Z44" s="346"/>
      <c r="AA44" s="346"/>
      <c r="AB44" s="346"/>
      <c r="AC44" s="346"/>
      <c r="AD44" s="346"/>
      <c r="AE44" s="346"/>
      <c r="AF44" s="346"/>
      <c r="AG44" s="346"/>
      <c r="AH44" s="346"/>
      <c r="AI44" s="346"/>
      <c r="AJ44" s="346"/>
      <c r="AK44" s="346"/>
      <c r="AL44" s="346"/>
      <c r="AM44" s="346"/>
    </row>
    <row r="45" ht="11.25" customHeight="1" outlineLevel="4">
      <c r="A45" s="346"/>
      <c r="B45" s="426" t="s">
        <v>77</v>
      </c>
      <c r="C45" s="425"/>
      <c r="D45" s="388"/>
      <c r="E45" s="388"/>
      <c r="F45" s="388"/>
      <c r="G45" s="388"/>
      <c r="H45" s="378"/>
      <c r="I45" s="378"/>
      <c r="J45" s="376"/>
      <c r="K45" s="388">
        <f t="shared" ref="K45:Q45" si="20">MEDIAN(K40:K42)</f>
        <v>0.5420467052</v>
      </c>
      <c r="L45" s="388">
        <f t="shared" si="20"/>
        <v>0.5637008546</v>
      </c>
      <c r="M45" s="388">
        <f t="shared" si="20"/>
        <v>0.5130350821</v>
      </c>
      <c r="N45" s="388">
        <f t="shared" si="20"/>
        <v>0.5932484781</v>
      </c>
      <c r="O45" s="388">
        <f t="shared" si="20"/>
        <v>0.6020662971</v>
      </c>
      <c r="P45" s="388">
        <f t="shared" si="20"/>
        <v>0.5811988652</v>
      </c>
      <c r="Q45" s="389">
        <f t="shared" si="20"/>
        <v>0.6173694632</v>
      </c>
      <c r="R45" s="331"/>
      <c r="S45" s="373"/>
      <c r="T45" s="346"/>
      <c r="U45" s="346"/>
      <c r="V45" s="346"/>
      <c r="W45" s="346"/>
      <c r="X45" s="346"/>
      <c r="Y45" s="346"/>
      <c r="Z45" s="346"/>
      <c r="AA45" s="346"/>
      <c r="AB45" s="346"/>
      <c r="AC45" s="346"/>
      <c r="AD45" s="346"/>
      <c r="AE45" s="346"/>
      <c r="AF45" s="346"/>
      <c r="AG45" s="346"/>
      <c r="AH45" s="346"/>
      <c r="AI45" s="346"/>
      <c r="AJ45" s="346"/>
      <c r="AK45" s="346"/>
      <c r="AL45" s="346"/>
      <c r="AM45" s="346"/>
    </row>
    <row r="46" ht="11.25" customHeight="1" outlineLevel="4">
      <c r="A46" s="346"/>
      <c r="B46" s="427" t="s">
        <v>78</v>
      </c>
      <c r="C46" s="428"/>
      <c r="D46" s="395"/>
      <c r="E46" s="395"/>
      <c r="F46" s="395"/>
      <c r="G46" s="395"/>
      <c r="H46" s="396"/>
      <c r="I46" s="396"/>
      <c r="J46" s="397"/>
      <c r="K46" s="395">
        <f t="shared" ref="K46:Q46" si="21">PERCENTILE(K40:K42, 0.25)</f>
        <v>0.5175339751</v>
      </c>
      <c r="L46" s="395">
        <f t="shared" si="21"/>
        <v>0.5402640641</v>
      </c>
      <c r="M46" s="395">
        <f t="shared" si="21"/>
        <v>0.5031786392</v>
      </c>
      <c r="N46" s="395">
        <f t="shared" si="21"/>
        <v>0.5364217297</v>
      </c>
      <c r="O46" s="395">
        <f t="shared" si="21"/>
        <v>0.5409150195</v>
      </c>
      <c r="P46" s="395">
        <f t="shared" si="21"/>
        <v>0.5336197423</v>
      </c>
      <c r="Q46" s="399">
        <f t="shared" si="21"/>
        <v>0.5580208313</v>
      </c>
      <c r="R46" s="331"/>
      <c r="S46" s="373"/>
      <c r="T46" s="346"/>
      <c r="U46" s="346"/>
      <c r="V46" s="346"/>
      <c r="W46" s="346"/>
      <c r="X46" s="346"/>
      <c r="Y46" s="346"/>
      <c r="Z46" s="346"/>
      <c r="AA46" s="346"/>
      <c r="AB46" s="346"/>
      <c r="AC46" s="346"/>
      <c r="AD46" s="346"/>
      <c r="AE46" s="346"/>
      <c r="AF46" s="346"/>
      <c r="AG46" s="346"/>
      <c r="AH46" s="346"/>
      <c r="AI46" s="346"/>
      <c r="AJ46" s="346"/>
      <c r="AK46" s="346"/>
      <c r="AL46" s="346"/>
      <c r="AM46" s="346"/>
    </row>
    <row r="47" ht="11.25" customHeight="1">
      <c r="A47" s="346"/>
      <c r="B47" s="346"/>
      <c r="C47" s="346"/>
      <c r="D47" s="331"/>
      <c r="E47" s="331"/>
      <c r="F47" s="331"/>
      <c r="G47" s="331"/>
      <c r="H47" s="331"/>
      <c r="I47" s="331"/>
      <c r="J47" s="331"/>
      <c r="K47" s="331"/>
      <c r="L47" s="331"/>
      <c r="M47" s="331"/>
      <c r="N47" s="331"/>
      <c r="O47" s="331"/>
      <c r="P47" s="331"/>
      <c r="Q47" s="331"/>
      <c r="R47" s="331"/>
      <c r="S47" s="373"/>
      <c r="T47" s="346"/>
      <c r="U47" s="346"/>
      <c r="V47" s="346"/>
      <c r="W47" s="346"/>
      <c r="X47" s="346"/>
      <c r="Y47" s="346"/>
      <c r="Z47" s="346"/>
      <c r="AA47" s="346"/>
      <c r="AB47" s="346"/>
      <c r="AC47" s="346"/>
      <c r="AD47" s="346"/>
      <c r="AE47" s="346"/>
      <c r="AF47" s="346"/>
      <c r="AG47" s="346"/>
      <c r="AH47" s="346"/>
      <c r="AI47" s="346"/>
      <c r="AJ47" s="346"/>
      <c r="AK47" s="346"/>
      <c r="AL47" s="346"/>
      <c r="AM47" s="346"/>
    </row>
    <row r="48" ht="11.25" customHeight="1" outlineLevel="2">
      <c r="A48" s="348"/>
      <c r="B48" s="355" t="s">
        <v>84</v>
      </c>
      <c r="C48" s="356"/>
      <c r="D48" s="362"/>
      <c r="E48" s="362"/>
      <c r="F48" s="362"/>
      <c r="G48" s="362"/>
      <c r="H48" s="362"/>
      <c r="I48" s="362"/>
      <c r="J48" s="362"/>
      <c r="K48" s="362"/>
      <c r="L48" s="362"/>
      <c r="M48" s="362"/>
      <c r="N48" s="362"/>
      <c r="O48" s="362"/>
      <c r="P48" s="362"/>
      <c r="Q48" s="362"/>
      <c r="R48" s="364"/>
      <c r="S48" s="359"/>
      <c r="T48" s="348"/>
      <c r="U48" s="348"/>
      <c r="V48" s="348"/>
      <c r="W48" s="348"/>
      <c r="X48" s="348"/>
      <c r="Y48" s="348"/>
      <c r="Z48" s="348"/>
      <c r="AA48" s="348"/>
      <c r="AB48" s="348"/>
      <c r="AC48" s="348"/>
      <c r="AD48" s="348"/>
      <c r="AE48" s="348"/>
      <c r="AF48" s="348"/>
      <c r="AG48" s="348"/>
      <c r="AH48" s="348"/>
      <c r="AI48" s="348"/>
      <c r="AJ48" s="348"/>
      <c r="AK48" s="348"/>
      <c r="AL48" s="348"/>
      <c r="AM48" s="348"/>
    </row>
    <row r="49" ht="11.25" customHeight="1" outlineLevel="2">
      <c r="A49" s="348"/>
      <c r="B49" s="355"/>
      <c r="C49" s="356"/>
      <c r="D49" s="362"/>
      <c r="E49" s="362"/>
      <c r="F49" s="362"/>
      <c r="G49" s="362"/>
      <c r="H49" s="362"/>
      <c r="I49" s="362"/>
      <c r="J49" s="362"/>
      <c r="K49" s="362"/>
      <c r="L49" s="362"/>
      <c r="M49" s="362"/>
      <c r="N49" s="362"/>
      <c r="O49" s="362"/>
      <c r="P49" s="362"/>
      <c r="Q49" s="362"/>
      <c r="R49" s="364"/>
      <c r="S49" s="359"/>
      <c r="T49" s="348"/>
      <c r="U49" s="348"/>
      <c r="V49" s="348"/>
      <c r="W49" s="348"/>
      <c r="X49" s="348"/>
      <c r="Y49" s="348"/>
      <c r="Z49" s="348"/>
      <c r="AA49" s="348"/>
      <c r="AB49" s="348"/>
      <c r="AC49" s="348"/>
      <c r="AD49" s="348"/>
      <c r="AE49" s="348"/>
      <c r="AF49" s="348"/>
      <c r="AG49" s="348"/>
      <c r="AH49" s="348"/>
      <c r="AI49" s="348"/>
      <c r="AJ49" s="348"/>
      <c r="AK49" s="348"/>
      <c r="AL49" s="348"/>
      <c r="AM49" s="348"/>
    </row>
    <row r="50" ht="11.25" customHeight="1" outlineLevel="2">
      <c r="A50" s="348"/>
      <c r="B50" s="355" t="s">
        <v>85</v>
      </c>
      <c r="C50" s="356"/>
      <c r="D50" s="362"/>
      <c r="E50" s="362"/>
      <c r="F50" s="362"/>
      <c r="G50" s="362"/>
      <c r="H50" s="362"/>
      <c r="I50" s="362"/>
      <c r="J50" s="362"/>
      <c r="K50" s="362"/>
      <c r="L50" s="362"/>
      <c r="M50" s="362"/>
      <c r="N50" s="362"/>
      <c r="O50" s="362"/>
      <c r="P50" s="362"/>
      <c r="Q50" s="362"/>
      <c r="R50" s="364"/>
      <c r="S50" s="416"/>
      <c r="T50" s="348"/>
      <c r="U50" s="348"/>
      <c r="V50" s="348"/>
      <c r="W50" s="348"/>
      <c r="X50" s="348"/>
      <c r="Y50" s="348"/>
      <c r="Z50" s="348"/>
      <c r="AA50" s="348"/>
      <c r="AB50" s="348"/>
      <c r="AC50" s="348"/>
      <c r="AD50" s="348"/>
      <c r="AE50" s="348"/>
      <c r="AF50" s="348"/>
      <c r="AG50" s="348"/>
      <c r="AH50" s="348"/>
      <c r="AI50" s="348"/>
      <c r="AJ50" s="348"/>
      <c r="AK50" s="348"/>
      <c r="AL50" s="348"/>
      <c r="AM50" s="348"/>
    </row>
    <row r="51" ht="11.25" customHeight="1" outlineLevel="1">
      <c r="A51" s="366"/>
      <c r="B51" s="360" t="s">
        <v>70</v>
      </c>
      <c r="C51" s="367"/>
      <c r="D51" s="362"/>
      <c r="E51" s="362"/>
      <c r="F51" s="362"/>
      <c r="G51" s="362"/>
      <c r="H51" s="362"/>
      <c r="I51" s="362"/>
      <c r="J51" s="362"/>
      <c r="K51" s="362">
        <f>'BIO - Income Statement (2)'!V22</f>
        <v>25604</v>
      </c>
      <c r="L51" s="362">
        <f>'BIO - Income Statement (2)'!W22</f>
        <v>26275</v>
      </c>
      <c r="M51" s="362">
        <f>'BIO - Income Statement (2)'!X22</f>
        <v>28805</v>
      </c>
      <c r="N51" s="362">
        <f>'BIO - Income Statement (2)'!Y22</f>
        <v>27936</v>
      </c>
      <c r="O51" s="362">
        <f>'BIO - Income Statement (2)'!Z22</f>
        <v>28636</v>
      </c>
      <c r="P51" s="362">
        <f>'BIO - Income Statement (2)'!AA22</f>
        <v>35322</v>
      </c>
      <c r="Q51" s="362">
        <f>'BIO - Income Statement (2)'!AB22</f>
        <v>42849</v>
      </c>
      <c r="R51" s="364"/>
      <c r="S51" s="416">
        <f t="shared" ref="S51:S53" si="22">(Q51/M51)^(1/3)-1</f>
        <v>0.1415394827</v>
      </c>
      <c r="T51" s="366"/>
      <c r="U51" s="366"/>
      <c r="V51" s="366"/>
      <c r="W51" s="366"/>
      <c r="X51" s="366"/>
      <c r="Y51" s="366"/>
      <c r="Z51" s="366"/>
      <c r="AA51" s="366"/>
      <c r="AB51" s="366"/>
      <c r="AC51" s="366"/>
      <c r="AD51" s="366"/>
      <c r="AE51" s="366"/>
      <c r="AF51" s="366"/>
      <c r="AG51" s="366"/>
      <c r="AH51" s="366"/>
      <c r="AI51" s="366"/>
      <c r="AJ51" s="366"/>
      <c r="AK51" s="366"/>
      <c r="AL51" s="366"/>
      <c r="AM51" s="366"/>
    </row>
    <row r="52" ht="11.25" customHeight="1" outlineLevel="1">
      <c r="A52" s="366"/>
      <c r="B52" s="360" t="s">
        <v>71</v>
      </c>
      <c r="C52" s="367"/>
      <c r="D52" s="362"/>
      <c r="E52" s="362"/>
      <c r="F52" s="362"/>
      <c r="G52" s="362"/>
      <c r="H52" s="362"/>
      <c r="I52" s="362"/>
      <c r="J52" s="362"/>
      <c r="K52" s="362">
        <f>'inogen P&amp;L'!N23</f>
        <v>12569</v>
      </c>
      <c r="L52" s="362">
        <f>'inogen P&amp;L'!O23</f>
        <v>18375</v>
      </c>
      <c r="M52" s="362">
        <f>'inogen P&amp;L'!P23</f>
        <v>24087</v>
      </c>
      <c r="N52" s="362">
        <f>'inogen P&amp;L'!Q23</f>
        <v>31369</v>
      </c>
      <c r="O52" s="362">
        <f>'inogen P&amp;L'!R23</f>
        <v>37540</v>
      </c>
      <c r="P52" s="362">
        <f>'inogen P&amp;L'!S23</f>
        <v>50758</v>
      </c>
      <c r="Q52" s="362">
        <f>'inogen P&amp;L'!T23</f>
        <v>95641</v>
      </c>
      <c r="R52" s="364"/>
      <c r="S52" s="416">
        <f t="shared" si="22"/>
        <v>0.5835087418</v>
      </c>
      <c r="T52" s="366"/>
      <c r="U52" s="366"/>
      <c r="V52" s="366"/>
      <c r="W52" s="366"/>
      <c r="X52" s="366"/>
      <c r="Y52" s="366"/>
      <c r="Z52" s="366"/>
      <c r="AA52" s="366"/>
      <c r="AB52" s="366"/>
      <c r="AC52" s="366"/>
      <c r="AD52" s="366"/>
      <c r="AE52" s="366"/>
      <c r="AF52" s="366"/>
      <c r="AG52" s="366"/>
      <c r="AH52" s="366"/>
      <c r="AI52" s="366"/>
      <c r="AJ52" s="366"/>
      <c r="AK52" s="366"/>
      <c r="AL52" s="366"/>
      <c r="AM52" s="366"/>
    </row>
    <row r="53" ht="11.25" customHeight="1" outlineLevel="1">
      <c r="A53" s="366"/>
      <c r="B53" s="360" t="s">
        <v>72</v>
      </c>
      <c r="C53" s="367"/>
      <c r="D53" s="362"/>
      <c r="E53" s="362"/>
      <c r="F53" s="362"/>
      <c r="G53" s="362"/>
      <c r="H53" s="362"/>
      <c r="I53" s="362"/>
      <c r="J53" s="362"/>
      <c r="K53" s="362"/>
      <c r="L53" s="362"/>
      <c r="M53" s="362"/>
      <c r="N53" s="362"/>
      <c r="O53" s="362"/>
      <c r="P53" s="362"/>
      <c r="Q53" s="362"/>
      <c r="R53" s="364"/>
      <c r="S53" s="416" t="str">
        <f t="shared" si="22"/>
        <v>#DIV/0!</v>
      </c>
      <c r="T53" s="366"/>
      <c r="U53" s="366"/>
      <c r="V53" s="366"/>
      <c r="W53" s="366"/>
      <c r="X53" s="366"/>
      <c r="Y53" s="366"/>
      <c r="Z53" s="366"/>
      <c r="AA53" s="366"/>
      <c r="AB53" s="366"/>
      <c r="AC53" s="366"/>
      <c r="AD53" s="366"/>
      <c r="AE53" s="366"/>
      <c r="AF53" s="366"/>
      <c r="AG53" s="366"/>
      <c r="AH53" s="366"/>
      <c r="AI53" s="366"/>
      <c r="AJ53" s="366"/>
      <c r="AK53" s="366"/>
      <c r="AL53" s="366"/>
      <c r="AM53" s="366"/>
    </row>
    <row r="54" ht="11.25" customHeight="1" outlineLevel="1">
      <c r="A54" s="366"/>
      <c r="B54" s="360"/>
      <c r="C54" s="367"/>
      <c r="D54" s="362"/>
      <c r="E54" s="362"/>
      <c r="F54" s="362"/>
      <c r="G54" s="362"/>
      <c r="H54" s="362"/>
      <c r="I54" s="362"/>
      <c r="J54" s="362"/>
      <c r="K54" s="362"/>
      <c r="L54" s="362"/>
      <c r="M54" s="362"/>
      <c r="N54" s="362"/>
      <c r="O54" s="362"/>
      <c r="P54" s="362"/>
      <c r="Q54" s="362"/>
      <c r="R54" s="364"/>
      <c r="S54" s="370"/>
      <c r="T54" s="366"/>
      <c r="U54" s="366"/>
      <c r="V54" s="366"/>
      <c r="W54" s="366"/>
      <c r="X54" s="366"/>
      <c r="Y54" s="366"/>
      <c r="Z54" s="366"/>
      <c r="AA54" s="366"/>
      <c r="AB54" s="366"/>
      <c r="AC54" s="366"/>
      <c r="AD54" s="366"/>
      <c r="AE54" s="366"/>
      <c r="AF54" s="366"/>
      <c r="AG54" s="366"/>
      <c r="AH54" s="366"/>
      <c r="AI54" s="366"/>
      <c r="AJ54" s="366"/>
      <c r="AK54" s="366"/>
      <c r="AL54" s="366"/>
      <c r="AM54" s="366"/>
    </row>
    <row r="55" ht="11.25" customHeight="1" outlineLevel="2">
      <c r="A55" s="348"/>
      <c r="B55" s="355" t="s">
        <v>86</v>
      </c>
      <c r="C55" s="356"/>
      <c r="D55" s="362"/>
      <c r="E55" s="362"/>
      <c r="F55" s="362"/>
      <c r="G55" s="362"/>
      <c r="H55" s="362"/>
      <c r="I55" s="362"/>
      <c r="J55" s="362"/>
      <c r="K55" s="362"/>
      <c r="L55" s="362"/>
      <c r="M55" s="362"/>
      <c r="N55" s="362"/>
      <c r="O55" s="362"/>
      <c r="P55" s="362"/>
      <c r="Q55" s="362"/>
      <c r="R55" s="364"/>
      <c r="S55" s="416" t="str">
        <f t="shared" ref="S55:S57" si="23">(Q55/M55)^(1/3)-1</f>
        <v>#DIV/0!</v>
      </c>
      <c r="T55" s="348"/>
      <c r="U55" s="348"/>
      <c r="V55" s="348"/>
      <c r="W55" s="348"/>
      <c r="X55" s="348"/>
      <c r="Y55" s="348"/>
      <c r="Z55" s="348"/>
      <c r="AA55" s="348"/>
      <c r="AB55" s="348"/>
      <c r="AC55" s="348"/>
      <c r="AD55" s="348"/>
      <c r="AE55" s="348"/>
      <c r="AF55" s="348"/>
      <c r="AG55" s="348"/>
      <c r="AH55" s="348"/>
      <c r="AI55" s="348"/>
      <c r="AJ55" s="348"/>
      <c r="AK55" s="348"/>
      <c r="AL55" s="348"/>
      <c r="AM55" s="348"/>
    </row>
    <row r="56" ht="11.25" customHeight="1" outlineLevel="1">
      <c r="A56" s="366"/>
      <c r="B56" s="360" t="s">
        <v>70</v>
      </c>
      <c r="C56" s="367"/>
      <c r="D56" s="362"/>
      <c r="E56" s="362"/>
      <c r="F56" s="362"/>
      <c r="G56" s="362"/>
      <c r="H56" s="362"/>
      <c r="I56" s="362"/>
      <c r="J56" s="362"/>
      <c r="K56" s="362">
        <f>'BIO - Income Statement (2)'!V19+'BIO - Income Statement (2)'!V20+'BIO - Income Statement (2)'!V21</f>
        <v>36692</v>
      </c>
      <c r="L56" s="362">
        <f>'BIO - Income Statement (2)'!W19+'BIO - Income Statement (2)'!W20+'BIO - Income Statement (2)'!W21</f>
        <v>44551</v>
      </c>
      <c r="M56" s="362">
        <f>'BIO - Income Statement (2)'!X19+'BIO - Income Statement (2)'!X20+'BIO - Income Statement (2)'!X21</f>
        <v>52229</v>
      </c>
      <c r="N56" s="362">
        <f>'BIO - Income Statement (2)'!Y20</f>
        <v>47882</v>
      </c>
      <c r="O56" s="362">
        <f>'BIO - Income Statement (2)'!Z20</f>
        <v>55877</v>
      </c>
      <c r="P56" s="362">
        <f>'BIO - Income Statement (2)'!AA20</f>
        <v>82983</v>
      </c>
      <c r="Q56" s="362">
        <f>'BIO - Income Statement (2)'!AB20</f>
        <v>109736</v>
      </c>
      <c r="R56" s="364"/>
      <c r="S56" s="416">
        <f t="shared" si="23"/>
        <v>0.2807935691</v>
      </c>
      <c r="T56" s="366"/>
      <c r="U56" s="366"/>
      <c r="V56" s="366"/>
      <c r="W56" s="366"/>
      <c r="X56" s="366"/>
      <c r="Y56" s="366"/>
      <c r="Z56" s="366"/>
      <c r="AA56" s="366"/>
      <c r="AB56" s="366"/>
      <c r="AC56" s="366"/>
      <c r="AD56" s="366"/>
      <c r="AE56" s="366"/>
      <c r="AF56" s="366"/>
      <c r="AG56" s="366"/>
      <c r="AH56" s="366"/>
      <c r="AI56" s="366"/>
      <c r="AJ56" s="366"/>
      <c r="AK56" s="366"/>
      <c r="AL56" s="366"/>
      <c r="AM56" s="366"/>
    </row>
    <row r="57" ht="11.25" customHeight="1" outlineLevel="1">
      <c r="A57" s="366"/>
      <c r="B57" s="360" t="s">
        <v>71</v>
      </c>
      <c r="C57" s="367"/>
      <c r="D57" s="362"/>
      <c r="E57" s="362"/>
      <c r="F57" s="362"/>
      <c r="G57" s="362"/>
      <c r="H57" s="362"/>
      <c r="I57" s="362"/>
      <c r="J57" s="362"/>
      <c r="K57" s="362">
        <f>'inogen P&amp;L'!N22</f>
        <v>8289</v>
      </c>
      <c r="L57" s="362">
        <f>'inogen P&amp;L'!O22</f>
        <v>13754</v>
      </c>
      <c r="M57" s="362">
        <f>'inogen P&amp;L'!P22</f>
        <v>17942</v>
      </c>
      <c r="N57" s="362">
        <f>'inogen P&amp;L'!Q22</f>
        <v>25658</v>
      </c>
      <c r="O57" s="362">
        <f>'inogen P&amp;L'!R22</f>
        <v>31793</v>
      </c>
      <c r="P57" s="362">
        <f>'inogen P&amp;L'!S22</f>
        <v>37576</v>
      </c>
      <c r="Q57" s="362">
        <f>'inogen P&amp;L'!T22</f>
        <v>38018</v>
      </c>
      <c r="R57" s="364"/>
      <c r="S57" s="416">
        <f t="shared" si="23"/>
        <v>0.2844172748</v>
      </c>
      <c r="T57" s="366"/>
      <c r="U57" s="366"/>
      <c r="V57" s="366"/>
      <c r="W57" s="366"/>
      <c r="X57" s="366"/>
      <c r="Y57" s="366"/>
      <c r="Z57" s="366"/>
      <c r="AA57" s="366"/>
      <c r="AB57" s="366"/>
      <c r="AC57" s="366"/>
      <c r="AD57" s="366"/>
      <c r="AE57" s="366"/>
      <c r="AF57" s="366"/>
      <c r="AG57" s="366"/>
      <c r="AH57" s="366"/>
      <c r="AI57" s="366"/>
      <c r="AJ57" s="366"/>
      <c r="AK57" s="366"/>
      <c r="AL57" s="366"/>
      <c r="AM57" s="366"/>
    </row>
    <row r="58" ht="11.25" customHeight="1" outlineLevel="1">
      <c r="A58" s="366"/>
      <c r="B58" s="360" t="s">
        <v>72</v>
      </c>
      <c r="C58" s="367"/>
      <c r="D58" s="362"/>
      <c r="E58" s="362"/>
      <c r="F58" s="362"/>
      <c r="G58" s="362"/>
      <c r="H58" s="362"/>
      <c r="I58" s="362"/>
      <c r="J58" s="362"/>
      <c r="K58" s="362"/>
      <c r="L58" s="362"/>
      <c r="M58" s="362"/>
      <c r="N58" s="362"/>
      <c r="O58" s="362"/>
      <c r="P58" s="362"/>
      <c r="Q58" s="362"/>
      <c r="R58" s="364"/>
      <c r="S58" s="370"/>
      <c r="T58" s="366"/>
      <c r="U58" s="366"/>
      <c r="V58" s="366"/>
      <c r="W58" s="366"/>
      <c r="X58" s="366"/>
      <c r="Y58" s="366"/>
      <c r="Z58" s="366"/>
      <c r="AA58" s="366"/>
      <c r="AB58" s="366"/>
      <c r="AC58" s="366"/>
      <c r="AD58" s="366"/>
      <c r="AE58" s="366"/>
      <c r="AF58" s="366"/>
      <c r="AG58" s="366"/>
      <c r="AH58" s="366"/>
      <c r="AI58" s="366"/>
      <c r="AJ58" s="366"/>
      <c r="AK58" s="366"/>
      <c r="AL58" s="366"/>
      <c r="AM58" s="366"/>
    </row>
    <row r="59" ht="11.25" customHeight="1">
      <c r="A59" s="346"/>
      <c r="B59" s="400"/>
      <c r="C59" s="346"/>
      <c r="D59" s="331"/>
      <c r="E59" s="331"/>
      <c r="F59" s="331"/>
      <c r="G59" s="331"/>
      <c r="H59" s="331"/>
      <c r="I59" s="331"/>
      <c r="J59" s="331"/>
      <c r="K59" s="331"/>
      <c r="L59" s="331"/>
      <c r="M59" s="331"/>
      <c r="N59" s="331"/>
      <c r="O59" s="331"/>
      <c r="P59" s="331"/>
      <c r="Q59" s="331"/>
      <c r="R59" s="331"/>
      <c r="S59" s="373"/>
      <c r="T59" s="346"/>
      <c r="U59" s="346"/>
      <c r="V59" s="346"/>
      <c r="W59" s="346"/>
      <c r="X59" s="346"/>
      <c r="Y59" s="346"/>
      <c r="Z59" s="346"/>
      <c r="AA59" s="346"/>
      <c r="AB59" s="346"/>
      <c r="AC59" s="346"/>
      <c r="AD59" s="346"/>
      <c r="AE59" s="346"/>
      <c r="AF59" s="346"/>
      <c r="AG59" s="346"/>
      <c r="AH59" s="346"/>
      <c r="AI59" s="346"/>
      <c r="AJ59" s="346"/>
      <c r="AK59" s="346"/>
      <c r="AL59" s="346"/>
      <c r="AM59" s="346"/>
    </row>
    <row r="60" ht="11.25" customHeight="1" outlineLevel="2">
      <c r="A60" s="348"/>
      <c r="B60" s="355" t="s">
        <v>87</v>
      </c>
      <c r="C60" s="356"/>
      <c r="D60" s="362"/>
      <c r="E60" s="362"/>
      <c r="F60" s="362"/>
      <c r="G60" s="362"/>
      <c r="H60" s="362"/>
      <c r="I60" s="362"/>
      <c r="J60" s="362"/>
      <c r="K60" s="362"/>
      <c r="L60" s="362"/>
      <c r="M60" s="362"/>
      <c r="N60" s="362"/>
      <c r="O60" s="362"/>
      <c r="P60" s="362"/>
      <c r="Q60" s="362"/>
      <c r="R60" s="364"/>
      <c r="S60" s="359"/>
      <c r="T60" s="348"/>
      <c r="U60" s="348"/>
      <c r="V60" s="348"/>
      <c r="W60" s="348"/>
      <c r="X60" s="348"/>
      <c r="Y60" s="348"/>
      <c r="Z60" s="348"/>
      <c r="AA60" s="348"/>
      <c r="AB60" s="348"/>
      <c r="AC60" s="348"/>
      <c r="AD60" s="348"/>
      <c r="AE60" s="348"/>
      <c r="AF60" s="348"/>
      <c r="AG60" s="348"/>
      <c r="AH60" s="348"/>
      <c r="AI60" s="348"/>
      <c r="AJ60" s="348"/>
      <c r="AK60" s="348"/>
      <c r="AL60" s="348"/>
      <c r="AM60" s="348"/>
    </row>
    <row r="61" ht="11.25" customHeight="1" outlineLevel="1">
      <c r="A61" s="366"/>
      <c r="B61" s="360" t="s">
        <v>70</v>
      </c>
      <c r="C61" s="367"/>
      <c r="D61" s="362"/>
      <c r="E61" s="362"/>
      <c r="F61" s="362"/>
      <c r="G61" s="362"/>
      <c r="H61" s="362"/>
      <c r="I61" s="362"/>
      <c r="J61" s="362"/>
      <c r="K61" s="362">
        <f>'BIO - Income Statement (2)'!V24</f>
        <v>4664</v>
      </c>
      <c r="L61" s="362">
        <f>'BIO - Income Statement (2)'!W24</f>
        <v>7338</v>
      </c>
      <c r="M61" s="362">
        <f>'BIO - Income Statement (2)'!X24</f>
        <v>7396</v>
      </c>
      <c r="N61" s="362">
        <f>'BIO - Income Statement (2)'!Y24</f>
        <v>7111</v>
      </c>
      <c r="O61" s="362">
        <f>'BIO - Income Statement (2)'!Z24</f>
        <v>8355</v>
      </c>
      <c r="P61" s="362">
        <f>'BIO - Income Statement (2)'!AA24</f>
        <v>11101</v>
      </c>
      <c r="Q61" s="362">
        <f>'BIO - Income Statement (2)'!AB24</f>
        <v>11206</v>
      </c>
      <c r="R61" s="364"/>
      <c r="S61" s="416">
        <f t="shared" ref="S61:S63" si="24">(Q61/M61)^(1/3)-1</f>
        <v>0.1485535237</v>
      </c>
      <c r="T61" s="366"/>
      <c r="U61" s="366"/>
      <c r="V61" s="366"/>
      <c r="W61" s="366"/>
      <c r="X61" s="366"/>
      <c r="Y61" s="366"/>
      <c r="Z61" s="366"/>
      <c r="AA61" s="366"/>
      <c r="AB61" s="366"/>
      <c r="AC61" s="366"/>
      <c r="AD61" s="366"/>
      <c r="AE61" s="366"/>
      <c r="AF61" s="366"/>
      <c r="AG61" s="366"/>
      <c r="AH61" s="366"/>
      <c r="AI61" s="366"/>
      <c r="AJ61" s="366"/>
      <c r="AK61" s="366"/>
      <c r="AL61" s="366"/>
      <c r="AM61" s="366"/>
    </row>
    <row r="62" ht="11.25" customHeight="1" outlineLevel="1">
      <c r="A62" s="366"/>
      <c r="B62" s="360" t="s">
        <v>71</v>
      </c>
      <c r="C62" s="367"/>
      <c r="D62" s="362"/>
      <c r="E62" s="362"/>
      <c r="F62" s="362"/>
      <c r="G62" s="362"/>
      <c r="H62" s="362"/>
      <c r="I62" s="362"/>
      <c r="J62" s="362"/>
      <c r="K62" s="362">
        <f>'inogen P&amp;L'!N25</f>
        <v>2262</v>
      </c>
      <c r="L62" s="362">
        <f>'inogen P&amp;L'!O25</f>
        <v>2398</v>
      </c>
      <c r="M62" s="362">
        <f>'inogen P&amp;L'!P25</f>
        <v>2977</v>
      </c>
      <c r="N62" s="362">
        <f>'inogen P&amp;L'!Q25</f>
        <v>4180</v>
      </c>
      <c r="O62" s="362">
        <f>'inogen P&amp;L'!R25</f>
        <v>5113</v>
      </c>
      <c r="P62" s="362">
        <f>'inogen P&amp;L'!S25</f>
        <v>5313</v>
      </c>
      <c r="Q62" s="362">
        <f>'inogen P&amp;L'!T25</f>
        <v>7029</v>
      </c>
      <c r="R62" s="364"/>
      <c r="S62" s="416">
        <f t="shared" si="24"/>
        <v>0.3315932026</v>
      </c>
      <c r="T62" s="366"/>
      <c r="U62" s="366"/>
      <c r="V62" s="366"/>
      <c r="W62" s="366"/>
      <c r="X62" s="366"/>
      <c r="Y62" s="366"/>
      <c r="Z62" s="366"/>
      <c r="AA62" s="366"/>
      <c r="AB62" s="366"/>
      <c r="AC62" s="366"/>
      <c r="AD62" s="366"/>
      <c r="AE62" s="366"/>
      <c r="AF62" s="366"/>
      <c r="AG62" s="366"/>
      <c r="AH62" s="366"/>
      <c r="AI62" s="366"/>
      <c r="AJ62" s="366"/>
      <c r="AK62" s="366"/>
      <c r="AL62" s="366"/>
      <c r="AM62" s="366"/>
    </row>
    <row r="63" ht="11.25" customHeight="1" outlineLevel="1">
      <c r="A63" s="366"/>
      <c r="B63" s="360" t="s">
        <v>72</v>
      </c>
      <c r="C63" s="367"/>
      <c r="D63" s="362"/>
      <c r="E63" s="362"/>
      <c r="F63" s="362"/>
      <c r="G63" s="362"/>
      <c r="H63" s="362"/>
      <c r="I63" s="362"/>
      <c r="J63" s="362"/>
      <c r="K63" s="362"/>
      <c r="L63" s="362"/>
      <c r="M63" s="362">
        <f>'irhy - P&amp;L'!M18</f>
        <v>5698</v>
      </c>
      <c r="N63" s="362">
        <f>'irhy - P&amp;L'!N18</f>
        <v>6349</v>
      </c>
      <c r="O63" s="362">
        <f>'irhy - P&amp;L'!O18</f>
        <v>7150</v>
      </c>
      <c r="P63" s="362">
        <f>'irhy - P&amp;L'!P18</f>
        <v>13335</v>
      </c>
      <c r="Q63" s="362">
        <f>'irhy - P&amp;L'!Q18</f>
        <v>20750</v>
      </c>
      <c r="R63" s="364"/>
      <c r="S63" s="416">
        <f t="shared" si="24"/>
        <v>0.5385037248</v>
      </c>
      <c r="T63" s="366"/>
      <c r="U63" s="366"/>
      <c r="V63" s="366"/>
      <c r="W63" s="366"/>
      <c r="X63" s="366"/>
      <c r="Y63" s="366"/>
      <c r="Z63" s="366"/>
      <c r="AA63" s="366"/>
      <c r="AB63" s="366"/>
      <c r="AC63" s="366"/>
      <c r="AD63" s="366"/>
      <c r="AE63" s="366"/>
      <c r="AF63" s="366"/>
      <c r="AG63" s="366"/>
      <c r="AH63" s="366"/>
      <c r="AI63" s="366"/>
      <c r="AJ63" s="366"/>
      <c r="AK63" s="366"/>
      <c r="AL63" s="366"/>
      <c r="AM63" s="366"/>
    </row>
    <row r="64" ht="11.25" customHeight="1" outlineLevel="1">
      <c r="A64" s="346"/>
      <c r="B64" s="346"/>
      <c r="C64" s="346"/>
      <c r="D64" s="346"/>
      <c r="E64" s="346"/>
      <c r="F64" s="346"/>
      <c r="G64" s="346"/>
      <c r="H64" s="346"/>
      <c r="I64" s="346"/>
      <c r="J64" s="346"/>
      <c r="K64" s="346"/>
      <c r="L64" s="346"/>
      <c r="M64" s="346"/>
      <c r="N64" s="346"/>
      <c r="O64" s="346"/>
      <c r="P64" s="346"/>
      <c r="Q64" s="346"/>
      <c r="R64" s="364"/>
      <c r="S64" s="370"/>
      <c r="T64" s="366"/>
      <c r="U64" s="366"/>
      <c r="V64" s="366"/>
      <c r="W64" s="366"/>
      <c r="X64" s="366"/>
      <c r="Y64" s="366"/>
      <c r="Z64" s="366"/>
      <c r="AA64" s="366"/>
      <c r="AB64" s="366"/>
      <c r="AC64" s="366"/>
      <c r="AD64" s="366"/>
      <c r="AE64" s="366"/>
      <c r="AF64" s="366"/>
      <c r="AG64" s="366"/>
      <c r="AH64" s="366"/>
      <c r="AI64" s="366"/>
      <c r="AJ64" s="366"/>
      <c r="AK64" s="366"/>
      <c r="AL64" s="366"/>
      <c r="AM64" s="366"/>
    </row>
    <row r="65" ht="11.25" customHeight="1" outlineLevel="1">
      <c r="A65" s="346"/>
      <c r="B65" s="429" t="s">
        <v>88</v>
      </c>
      <c r="C65" s="419"/>
      <c r="D65" s="383"/>
      <c r="E65" s="383"/>
      <c r="F65" s="383"/>
      <c r="G65" s="383"/>
      <c r="H65" s="383"/>
      <c r="I65" s="383"/>
      <c r="J65" s="383"/>
      <c r="K65" s="383"/>
      <c r="L65" s="383"/>
      <c r="M65" s="383"/>
      <c r="N65" s="383"/>
      <c r="O65" s="383"/>
      <c r="P65" s="383"/>
      <c r="Q65" s="420"/>
      <c r="R65" s="346"/>
      <c r="S65" s="373"/>
      <c r="T65" s="346"/>
      <c r="U65" s="346"/>
      <c r="V65" s="346"/>
      <c r="W65" s="346"/>
      <c r="X65" s="346"/>
      <c r="Y65" s="346"/>
      <c r="Z65" s="346"/>
      <c r="AA65" s="346"/>
      <c r="AB65" s="346"/>
      <c r="AC65" s="346"/>
      <c r="AD65" s="346"/>
      <c r="AE65" s="346"/>
      <c r="AF65" s="346"/>
      <c r="AG65" s="346"/>
      <c r="AH65" s="346"/>
      <c r="AI65" s="346"/>
      <c r="AJ65" s="346"/>
      <c r="AK65" s="346"/>
      <c r="AL65" s="346"/>
      <c r="AM65" s="346"/>
    </row>
    <row r="66" ht="11.25" customHeight="1" outlineLevel="1">
      <c r="A66" s="346"/>
      <c r="B66" s="430" t="s">
        <v>70</v>
      </c>
      <c r="C66" s="400"/>
      <c r="D66" s="376"/>
      <c r="E66" s="376"/>
      <c r="F66" s="376"/>
      <c r="G66" s="376"/>
      <c r="H66" s="376"/>
      <c r="I66" s="376"/>
      <c r="J66" s="376"/>
      <c r="K66" s="376">
        <f t="shared" ref="K66:Q66" si="25">K51/K10</f>
        <v>0.2296446446</v>
      </c>
      <c r="L66" s="376">
        <f t="shared" si="25"/>
        <v>0.2028941861</v>
      </c>
      <c r="M66" s="376">
        <f t="shared" si="25"/>
        <v>0.1729219945</v>
      </c>
      <c r="N66" s="376">
        <f t="shared" si="25"/>
        <v>0.1564928044</v>
      </c>
      <c r="O66" s="376">
        <f t="shared" si="25"/>
        <v>0.1444591861</v>
      </c>
      <c r="P66" s="376">
        <f t="shared" si="25"/>
        <v>0.1293017297</v>
      </c>
      <c r="Q66" s="422">
        <f t="shared" si="25"/>
        <v>0.1100461511</v>
      </c>
      <c r="R66" s="346"/>
      <c r="S66" s="373"/>
      <c r="T66" s="346"/>
      <c r="U66" s="346"/>
      <c r="V66" s="346"/>
      <c r="W66" s="346"/>
      <c r="X66" s="346"/>
      <c r="Y66" s="346"/>
      <c r="Z66" s="346"/>
      <c r="AA66" s="346"/>
      <c r="AB66" s="346"/>
      <c r="AC66" s="346"/>
      <c r="AD66" s="346"/>
      <c r="AE66" s="346"/>
      <c r="AF66" s="346"/>
      <c r="AG66" s="346"/>
      <c r="AH66" s="346"/>
      <c r="AI66" s="346"/>
      <c r="AJ66" s="346"/>
      <c r="AK66" s="346"/>
      <c r="AL66" s="346"/>
      <c r="AM66" s="346"/>
    </row>
    <row r="67" ht="11.25" customHeight="1" outlineLevel="1">
      <c r="A67" s="346"/>
      <c r="B67" s="430" t="s">
        <v>71</v>
      </c>
      <c r="C67" s="400"/>
      <c r="D67" s="376"/>
      <c r="E67" s="376"/>
      <c r="F67" s="376"/>
      <c r="G67" s="376"/>
      <c r="H67" s="376"/>
      <c r="I67" s="376"/>
      <c r="J67" s="376"/>
      <c r="K67" s="376" t="s">
        <v>80</v>
      </c>
      <c r="L67" s="376">
        <f t="shared" ref="L67:Q67" si="26">L52/L11</f>
        <v>0.2435613642</v>
      </c>
      <c r="M67" s="376">
        <f t="shared" si="26"/>
        <v>0.2140362725</v>
      </c>
      <c r="N67" s="376">
        <f t="shared" si="26"/>
        <v>0.1972831043</v>
      </c>
      <c r="O67" s="376">
        <f t="shared" si="26"/>
        <v>0.1850820149</v>
      </c>
      <c r="P67" s="376">
        <f t="shared" si="26"/>
        <v>0.2034894443</v>
      </c>
      <c r="Q67" s="422">
        <f t="shared" si="26"/>
        <v>0.2670708244</v>
      </c>
      <c r="R67" s="346"/>
      <c r="S67" s="373"/>
      <c r="T67" s="346"/>
      <c r="U67" s="346"/>
      <c r="V67" s="346"/>
      <c r="W67" s="346"/>
      <c r="X67" s="346"/>
      <c r="Y67" s="346"/>
      <c r="Z67" s="346"/>
      <c r="AA67" s="346"/>
      <c r="AB67" s="346"/>
      <c r="AC67" s="346"/>
      <c r="AD67" s="346"/>
      <c r="AE67" s="346"/>
      <c r="AF67" s="346"/>
      <c r="AG67" s="346"/>
      <c r="AH67" s="346"/>
      <c r="AI67" s="346"/>
      <c r="AJ67" s="346"/>
      <c r="AK67" s="346"/>
      <c r="AL67" s="346"/>
      <c r="AM67" s="346"/>
    </row>
    <row r="68" ht="11.25" customHeight="1" outlineLevel="1">
      <c r="A68" s="346"/>
      <c r="B68" s="430" t="s">
        <v>72</v>
      </c>
      <c r="C68" s="400"/>
      <c r="D68" s="376"/>
      <c r="E68" s="376"/>
      <c r="F68" s="376"/>
      <c r="G68" s="376"/>
      <c r="H68" s="376"/>
      <c r="I68" s="376"/>
      <c r="J68" s="376"/>
      <c r="K68" s="376" t="s">
        <v>74</v>
      </c>
      <c r="L68" s="376" t="str">
        <f t="shared" ref="L68:Q68" si="27">K68</f>
        <v>NA</v>
      </c>
      <c r="M68" s="376" t="str">
        <f t="shared" si="27"/>
        <v>NA</v>
      </c>
      <c r="N68" s="376" t="str">
        <f t="shared" si="27"/>
        <v>NA</v>
      </c>
      <c r="O68" s="376" t="str">
        <f t="shared" si="27"/>
        <v>NA</v>
      </c>
      <c r="P68" s="376" t="str">
        <f t="shared" si="27"/>
        <v>NA</v>
      </c>
      <c r="Q68" s="422" t="str">
        <f t="shared" si="27"/>
        <v>NA</v>
      </c>
      <c r="R68" s="346"/>
      <c r="S68" s="373"/>
      <c r="T68" s="346"/>
      <c r="U68" s="346"/>
      <c r="V68" s="346"/>
      <c r="W68" s="346"/>
      <c r="X68" s="346"/>
      <c r="Y68" s="346"/>
      <c r="Z68" s="346"/>
      <c r="AA68" s="346"/>
      <c r="AB68" s="346"/>
      <c r="AC68" s="346"/>
      <c r="AD68" s="346"/>
      <c r="AE68" s="346"/>
      <c r="AF68" s="346"/>
      <c r="AG68" s="346"/>
      <c r="AH68" s="346"/>
      <c r="AI68" s="346"/>
      <c r="AJ68" s="346"/>
      <c r="AK68" s="346"/>
      <c r="AL68" s="346"/>
      <c r="AM68" s="346"/>
    </row>
    <row r="69" ht="11.25" customHeight="1" outlineLevel="4">
      <c r="A69" s="346"/>
      <c r="B69" s="423"/>
      <c r="C69" s="379"/>
      <c r="D69" s="377"/>
      <c r="E69" s="378"/>
      <c r="F69" s="378"/>
      <c r="G69" s="378"/>
      <c r="H69" s="378"/>
      <c r="I69" s="378"/>
      <c r="J69" s="376"/>
      <c r="K69" s="376"/>
      <c r="L69" s="376"/>
      <c r="M69" s="376"/>
      <c r="N69" s="376"/>
      <c r="O69" s="376"/>
      <c r="P69" s="376"/>
      <c r="Q69" s="422"/>
      <c r="R69" s="331"/>
      <c r="S69" s="373"/>
      <c r="T69" s="346"/>
      <c r="U69" s="346"/>
      <c r="V69" s="346"/>
      <c r="W69" s="346"/>
      <c r="X69" s="346"/>
      <c r="Y69" s="346"/>
      <c r="Z69" s="346"/>
      <c r="AA69" s="346"/>
      <c r="AB69" s="346"/>
      <c r="AC69" s="346"/>
      <c r="AD69" s="346"/>
      <c r="AE69" s="346"/>
      <c r="AF69" s="346"/>
      <c r="AG69" s="346"/>
      <c r="AH69" s="346"/>
      <c r="AI69" s="346"/>
      <c r="AJ69" s="346"/>
      <c r="AK69" s="346"/>
      <c r="AL69" s="346"/>
      <c r="AM69" s="346"/>
    </row>
    <row r="70" ht="11.25" customHeight="1" outlineLevel="4">
      <c r="A70" s="346"/>
      <c r="B70" s="387" t="s">
        <v>76</v>
      </c>
      <c r="C70" s="425"/>
      <c r="D70" s="388"/>
      <c r="E70" s="388"/>
      <c r="F70" s="388"/>
      <c r="G70" s="388"/>
      <c r="H70" s="378"/>
      <c r="I70" s="378"/>
      <c r="J70" s="376"/>
      <c r="K70" s="388">
        <f t="shared" ref="K70:Q70" si="28">PERCENTILE(K66:K68, 0.75)</f>
        <v>0.2296446446</v>
      </c>
      <c r="L70" s="388">
        <f t="shared" si="28"/>
        <v>0.2333945697</v>
      </c>
      <c r="M70" s="388">
        <f t="shared" si="28"/>
        <v>0.203757703</v>
      </c>
      <c r="N70" s="388">
        <f t="shared" si="28"/>
        <v>0.1870855293</v>
      </c>
      <c r="O70" s="388">
        <f t="shared" si="28"/>
        <v>0.1749263077</v>
      </c>
      <c r="P70" s="388">
        <f t="shared" si="28"/>
        <v>0.1849425156</v>
      </c>
      <c r="Q70" s="389">
        <f t="shared" si="28"/>
        <v>0.2278146561</v>
      </c>
      <c r="R70" s="331"/>
      <c r="S70" s="373"/>
      <c r="T70" s="346"/>
      <c r="U70" s="346"/>
      <c r="V70" s="346"/>
      <c r="W70" s="346"/>
      <c r="X70" s="346"/>
      <c r="Y70" s="346"/>
      <c r="Z70" s="346"/>
      <c r="AA70" s="346"/>
      <c r="AB70" s="346"/>
      <c r="AC70" s="346"/>
      <c r="AD70" s="346"/>
      <c r="AE70" s="346"/>
      <c r="AF70" s="346"/>
      <c r="AG70" s="346"/>
      <c r="AH70" s="346"/>
      <c r="AI70" s="346"/>
      <c r="AJ70" s="346"/>
      <c r="AK70" s="346"/>
      <c r="AL70" s="346"/>
      <c r="AM70" s="346"/>
    </row>
    <row r="71" ht="11.25" customHeight="1" outlineLevel="4">
      <c r="A71" s="346"/>
      <c r="B71" s="391" t="s">
        <v>77</v>
      </c>
      <c r="C71" s="425"/>
      <c r="D71" s="388"/>
      <c r="E71" s="388"/>
      <c r="F71" s="388"/>
      <c r="G71" s="388"/>
      <c r="H71" s="378"/>
      <c r="I71" s="378"/>
      <c r="J71" s="376"/>
      <c r="K71" s="388">
        <f t="shared" ref="K71:Q71" si="29">MEDIAN(K66:K68)</f>
        <v>0.2296446446</v>
      </c>
      <c r="L71" s="388">
        <f t="shared" si="29"/>
        <v>0.2232277752</v>
      </c>
      <c r="M71" s="388">
        <f t="shared" si="29"/>
        <v>0.1934791335</v>
      </c>
      <c r="N71" s="388">
        <f t="shared" si="29"/>
        <v>0.1768879544</v>
      </c>
      <c r="O71" s="388">
        <f t="shared" si="29"/>
        <v>0.1647706005</v>
      </c>
      <c r="P71" s="388">
        <f t="shared" si="29"/>
        <v>0.166395587</v>
      </c>
      <c r="Q71" s="389">
        <f t="shared" si="29"/>
        <v>0.1885584878</v>
      </c>
      <c r="R71" s="331"/>
      <c r="S71" s="373"/>
      <c r="T71" s="346"/>
      <c r="U71" s="346"/>
      <c r="V71" s="346"/>
      <c r="W71" s="346"/>
      <c r="X71" s="346"/>
      <c r="Y71" s="346"/>
      <c r="Z71" s="346"/>
      <c r="AA71" s="346"/>
      <c r="AB71" s="346"/>
      <c r="AC71" s="346"/>
      <c r="AD71" s="346"/>
      <c r="AE71" s="346"/>
      <c r="AF71" s="346"/>
      <c r="AG71" s="346"/>
      <c r="AH71" s="346"/>
      <c r="AI71" s="346"/>
      <c r="AJ71" s="346"/>
      <c r="AK71" s="346"/>
      <c r="AL71" s="346"/>
      <c r="AM71" s="346"/>
    </row>
    <row r="72" ht="16.5" customHeight="1" outlineLevel="4">
      <c r="A72" s="346"/>
      <c r="B72" s="393" t="s">
        <v>78</v>
      </c>
      <c r="C72" s="428"/>
      <c r="D72" s="395"/>
      <c r="E72" s="395"/>
      <c r="F72" s="395"/>
      <c r="G72" s="395"/>
      <c r="H72" s="396"/>
      <c r="I72" s="396"/>
      <c r="J72" s="397"/>
      <c r="K72" s="395">
        <f t="shared" ref="K72:Q72" si="30">PERCENTILE(K66:K68, 0.25)</f>
        <v>0.2296446446</v>
      </c>
      <c r="L72" s="395">
        <f t="shared" si="30"/>
        <v>0.2130609807</v>
      </c>
      <c r="M72" s="395">
        <f t="shared" si="30"/>
        <v>0.183200564</v>
      </c>
      <c r="N72" s="395">
        <f t="shared" si="30"/>
        <v>0.1666903794</v>
      </c>
      <c r="O72" s="395">
        <f t="shared" si="30"/>
        <v>0.1546148933</v>
      </c>
      <c r="P72" s="395">
        <f t="shared" si="30"/>
        <v>0.1478486583</v>
      </c>
      <c r="Q72" s="399">
        <f t="shared" si="30"/>
        <v>0.1493023194</v>
      </c>
      <c r="R72" s="331"/>
      <c r="S72" s="373"/>
      <c r="T72" s="346"/>
      <c r="U72" s="346"/>
      <c r="V72" s="346"/>
      <c r="W72" s="346"/>
      <c r="X72" s="346"/>
      <c r="Y72" s="346"/>
      <c r="Z72" s="346"/>
      <c r="AA72" s="346"/>
      <c r="AB72" s="346"/>
      <c r="AC72" s="346"/>
      <c r="AD72" s="346"/>
      <c r="AE72" s="346"/>
      <c r="AF72" s="346"/>
      <c r="AG72" s="346"/>
      <c r="AH72" s="346"/>
      <c r="AI72" s="346"/>
      <c r="AJ72" s="346"/>
      <c r="AK72" s="346"/>
      <c r="AL72" s="346"/>
      <c r="AM72" s="346"/>
    </row>
    <row r="73" ht="11.25" customHeight="1">
      <c r="A73" s="346"/>
      <c r="B73" s="401"/>
      <c r="C73" s="346"/>
      <c r="D73" s="331"/>
      <c r="E73" s="331"/>
      <c r="F73" s="331"/>
      <c r="G73" s="331"/>
      <c r="H73" s="331"/>
      <c r="I73" s="331"/>
      <c r="J73" s="331"/>
      <c r="K73" s="376"/>
      <c r="L73" s="376"/>
      <c r="M73" s="376"/>
      <c r="N73" s="376"/>
      <c r="O73" s="376"/>
      <c r="P73" s="376"/>
      <c r="Q73" s="376"/>
      <c r="R73" s="404"/>
      <c r="S73" s="373"/>
      <c r="T73" s="346"/>
      <c r="U73" s="346"/>
      <c r="V73" s="346"/>
      <c r="W73" s="346"/>
      <c r="X73" s="346"/>
      <c r="Y73" s="346"/>
      <c r="Z73" s="346"/>
      <c r="AA73" s="346"/>
      <c r="AB73" s="346"/>
      <c r="AC73" s="346"/>
      <c r="AD73" s="346"/>
      <c r="AE73" s="346"/>
      <c r="AF73" s="346"/>
      <c r="AG73" s="346"/>
      <c r="AH73" s="346"/>
      <c r="AI73" s="346"/>
      <c r="AJ73" s="346"/>
      <c r="AK73" s="346"/>
      <c r="AL73" s="346"/>
      <c r="AM73" s="346"/>
    </row>
    <row r="74" ht="11.25" customHeight="1" outlineLevel="1">
      <c r="A74" s="346"/>
      <c r="B74" s="429" t="s">
        <v>89</v>
      </c>
      <c r="C74" s="419"/>
      <c r="D74" s="383"/>
      <c r="E74" s="383"/>
      <c r="F74" s="383"/>
      <c r="G74" s="383"/>
      <c r="H74" s="383"/>
      <c r="I74" s="383"/>
      <c r="J74" s="383"/>
      <c r="K74" s="383"/>
      <c r="L74" s="383"/>
      <c r="M74" s="383"/>
      <c r="N74" s="383"/>
      <c r="O74" s="383"/>
      <c r="P74" s="383"/>
      <c r="Q74" s="420"/>
      <c r="R74" s="346"/>
      <c r="S74" s="373"/>
      <c r="T74" s="346"/>
      <c r="U74" s="346"/>
      <c r="V74" s="346"/>
      <c r="W74" s="346"/>
      <c r="X74" s="346"/>
      <c r="Y74" s="346"/>
      <c r="Z74" s="346"/>
      <c r="AA74" s="346"/>
      <c r="AB74" s="346"/>
      <c r="AC74" s="346"/>
      <c r="AD74" s="346"/>
      <c r="AE74" s="346"/>
      <c r="AF74" s="346"/>
      <c r="AG74" s="346"/>
      <c r="AH74" s="346"/>
      <c r="AI74" s="346"/>
      <c r="AJ74" s="346"/>
      <c r="AK74" s="346"/>
      <c r="AL74" s="346"/>
      <c r="AM74" s="346"/>
    </row>
    <row r="75" ht="11.25" customHeight="1" outlineLevel="1">
      <c r="A75" s="346"/>
      <c r="B75" s="430" t="s">
        <v>70</v>
      </c>
      <c r="C75" s="400"/>
      <c r="D75" s="376"/>
      <c r="E75" s="376"/>
      <c r="F75" s="376"/>
      <c r="G75" s="376"/>
      <c r="H75" s="376"/>
      <c r="I75" s="376"/>
      <c r="J75" s="376" t="str">
        <f>J56/J38</f>
        <v>#DIV/0!</v>
      </c>
      <c r="K75" s="376">
        <f t="shared" ref="K75:Q75" si="31">K56/K10</f>
        <v>0.3290939423</v>
      </c>
      <c r="L75" s="376">
        <f t="shared" si="31"/>
        <v>0.3440205095</v>
      </c>
      <c r="M75" s="376">
        <f t="shared" si="31"/>
        <v>0.3135408037</v>
      </c>
      <c r="N75" s="376">
        <f t="shared" si="31"/>
        <v>0.2682269639</v>
      </c>
      <c r="O75" s="376">
        <f t="shared" si="31"/>
        <v>0.2818810568</v>
      </c>
      <c r="P75" s="376">
        <f t="shared" si="31"/>
        <v>0.3037723071</v>
      </c>
      <c r="Q75" s="422">
        <f t="shared" si="31"/>
        <v>0.2818274508</v>
      </c>
      <c r="R75" s="346"/>
      <c r="S75" s="416"/>
      <c r="T75" s="346"/>
      <c r="U75" s="346"/>
      <c r="V75" s="346"/>
      <c r="W75" s="346"/>
      <c r="X75" s="346"/>
      <c r="Y75" s="346"/>
      <c r="Z75" s="346"/>
      <c r="AA75" s="346"/>
      <c r="AB75" s="346"/>
      <c r="AC75" s="346"/>
      <c r="AD75" s="346"/>
      <c r="AE75" s="346"/>
      <c r="AF75" s="346"/>
      <c r="AG75" s="346"/>
      <c r="AH75" s="346"/>
      <c r="AI75" s="346"/>
      <c r="AJ75" s="346"/>
      <c r="AK75" s="346"/>
      <c r="AL75" s="346"/>
      <c r="AM75" s="346"/>
    </row>
    <row r="76" ht="11.25" customHeight="1" outlineLevel="1">
      <c r="A76" s="346"/>
      <c r="B76" s="430" t="s">
        <v>71</v>
      </c>
      <c r="C76" s="400"/>
      <c r="D76" s="376"/>
      <c r="E76" s="376"/>
      <c r="F76" s="376"/>
      <c r="G76" s="376"/>
      <c r="H76" s="376"/>
      <c r="I76" s="376"/>
      <c r="J76" s="376"/>
      <c r="K76" s="376">
        <f t="shared" ref="K76:Q76" si="32">K57/K11</f>
        <v>0.1706398221</v>
      </c>
      <c r="L76" s="376">
        <f t="shared" si="32"/>
        <v>0.1823098233</v>
      </c>
      <c r="M76" s="376">
        <f t="shared" si="32"/>
        <v>0.159432009</v>
      </c>
      <c r="N76" s="376">
        <f t="shared" si="32"/>
        <v>0.1613659948</v>
      </c>
      <c r="O76" s="376">
        <f t="shared" si="32"/>
        <v>0.1567478023</v>
      </c>
      <c r="P76" s="376">
        <f t="shared" si="32"/>
        <v>0.1506426447</v>
      </c>
      <c r="Q76" s="422">
        <f t="shared" si="32"/>
        <v>0.1061626144</v>
      </c>
      <c r="R76" s="346"/>
      <c r="S76" s="416"/>
      <c r="T76" s="346"/>
      <c r="U76" s="346"/>
      <c r="V76" s="346"/>
      <c r="W76" s="346"/>
      <c r="X76" s="346"/>
      <c r="Y76" s="346"/>
      <c r="Z76" s="346"/>
      <c r="AA76" s="346"/>
      <c r="AB76" s="346"/>
      <c r="AC76" s="346"/>
      <c r="AD76" s="346"/>
      <c r="AE76" s="346"/>
      <c r="AF76" s="346"/>
      <c r="AG76" s="346"/>
      <c r="AH76" s="346"/>
      <c r="AI76" s="346"/>
      <c r="AJ76" s="346"/>
      <c r="AK76" s="346"/>
      <c r="AL76" s="346"/>
      <c r="AM76" s="346"/>
    </row>
    <row r="77" ht="11.25" customHeight="1" outlineLevel="1">
      <c r="A77" s="346"/>
      <c r="B77" s="430" t="s">
        <v>72</v>
      </c>
      <c r="C77" s="400"/>
      <c r="D77" s="376"/>
      <c r="E77" s="376"/>
      <c r="F77" s="376"/>
      <c r="G77" s="376"/>
      <c r="H77" s="376"/>
      <c r="I77" s="376"/>
      <c r="J77" s="376"/>
      <c r="K77" s="376" t="s">
        <v>74</v>
      </c>
      <c r="L77" s="376" t="str">
        <f t="shared" ref="L77:Q77" si="33">K77</f>
        <v>NA</v>
      </c>
      <c r="M77" s="376" t="str">
        <f t="shared" si="33"/>
        <v>NA</v>
      </c>
      <c r="N77" s="376" t="str">
        <f t="shared" si="33"/>
        <v>NA</v>
      </c>
      <c r="O77" s="376" t="str">
        <f t="shared" si="33"/>
        <v>NA</v>
      </c>
      <c r="P77" s="376" t="str">
        <f t="shared" si="33"/>
        <v>NA</v>
      </c>
      <c r="Q77" s="422" t="str">
        <f t="shared" si="33"/>
        <v>NA</v>
      </c>
      <c r="R77" s="346"/>
      <c r="S77" s="416"/>
      <c r="T77" s="346"/>
      <c r="U77" s="346"/>
      <c r="V77" s="346"/>
      <c r="W77" s="346"/>
      <c r="X77" s="346"/>
      <c r="Y77" s="346"/>
      <c r="Z77" s="346"/>
      <c r="AA77" s="346"/>
      <c r="AB77" s="346"/>
      <c r="AC77" s="346"/>
      <c r="AD77" s="346"/>
      <c r="AE77" s="346"/>
      <c r="AF77" s="346"/>
      <c r="AG77" s="346"/>
      <c r="AH77" s="346"/>
      <c r="AI77" s="346"/>
      <c r="AJ77" s="346"/>
      <c r="AK77" s="346"/>
      <c r="AL77" s="346"/>
      <c r="AM77" s="346"/>
    </row>
    <row r="78" ht="11.25" customHeight="1" outlineLevel="4">
      <c r="A78" s="346"/>
      <c r="B78" s="423"/>
      <c r="C78" s="379"/>
      <c r="D78" s="377"/>
      <c r="E78" s="378"/>
      <c r="F78" s="378"/>
      <c r="G78" s="378"/>
      <c r="H78" s="378"/>
      <c r="I78" s="378"/>
      <c r="J78" s="376"/>
      <c r="K78" s="376"/>
      <c r="L78" s="376"/>
      <c r="M78" s="376"/>
      <c r="N78" s="376"/>
      <c r="O78" s="376"/>
      <c r="P78" s="376"/>
      <c r="Q78" s="422"/>
      <c r="R78" s="331"/>
      <c r="S78" s="373"/>
      <c r="T78" s="346"/>
      <c r="U78" s="346"/>
      <c r="V78" s="346"/>
      <c r="W78" s="346"/>
      <c r="X78" s="346"/>
      <c r="Y78" s="346"/>
      <c r="Z78" s="346"/>
      <c r="AA78" s="346"/>
      <c r="AB78" s="346"/>
      <c r="AC78" s="346"/>
      <c r="AD78" s="346"/>
      <c r="AE78" s="346"/>
      <c r="AF78" s="346"/>
      <c r="AG78" s="346"/>
      <c r="AH78" s="346"/>
      <c r="AI78" s="346"/>
      <c r="AJ78" s="346"/>
      <c r="AK78" s="346"/>
      <c r="AL78" s="346"/>
      <c r="AM78" s="346"/>
    </row>
    <row r="79" ht="11.25" customHeight="1" outlineLevel="4">
      <c r="A79" s="346"/>
      <c r="B79" s="387" t="s">
        <v>76</v>
      </c>
      <c r="C79" s="425"/>
      <c r="D79" s="388"/>
      <c r="E79" s="388"/>
      <c r="F79" s="388"/>
      <c r="G79" s="388"/>
      <c r="H79" s="378"/>
      <c r="I79" s="378"/>
      <c r="J79" s="376"/>
      <c r="K79" s="388">
        <f t="shared" ref="K79:Q79" si="34">PERCENTILE(K75:K77, 0.75)</f>
        <v>0.2894804122</v>
      </c>
      <c r="L79" s="388">
        <f t="shared" si="34"/>
        <v>0.3035928379</v>
      </c>
      <c r="M79" s="388">
        <f t="shared" si="34"/>
        <v>0.275013605</v>
      </c>
      <c r="N79" s="388">
        <f t="shared" si="34"/>
        <v>0.2415117216</v>
      </c>
      <c r="O79" s="388">
        <f t="shared" si="34"/>
        <v>0.2505977432</v>
      </c>
      <c r="P79" s="388">
        <f t="shared" si="34"/>
        <v>0.2654898915</v>
      </c>
      <c r="Q79" s="389">
        <f t="shared" si="34"/>
        <v>0.2379112417</v>
      </c>
      <c r="R79" s="331"/>
      <c r="S79" s="373"/>
      <c r="T79" s="346"/>
      <c r="U79" s="346"/>
      <c r="V79" s="346"/>
      <c r="W79" s="346"/>
      <c r="X79" s="346"/>
      <c r="Y79" s="346"/>
      <c r="Z79" s="346"/>
      <c r="AA79" s="346"/>
      <c r="AB79" s="346"/>
      <c r="AC79" s="346"/>
      <c r="AD79" s="346"/>
      <c r="AE79" s="346"/>
      <c r="AF79" s="346"/>
      <c r="AG79" s="346"/>
      <c r="AH79" s="346"/>
      <c r="AI79" s="346"/>
      <c r="AJ79" s="346"/>
      <c r="AK79" s="346"/>
      <c r="AL79" s="346"/>
      <c r="AM79" s="346"/>
    </row>
    <row r="80" ht="11.25" customHeight="1" outlineLevel="4">
      <c r="A80" s="346"/>
      <c r="B80" s="391" t="s">
        <v>77</v>
      </c>
      <c r="C80" s="425"/>
      <c r="D80" s="388"/>
      <c r="E80" s="388"/>
      <c r="F80" s="388"/>
      <c r="G80" s="388"/>
      <c r="H80" s="378"/>
      <c r="I80" s="378"/>
      <c r="J80" s="376"/>
      <c r="K80" s="388">
        <f t="shared" ref="K80:Q80" si="35">MEDIAN(K75:K77)</f>
        <v>0.2498668822</v>
      </c>
      <c r="L80" s="388">
        <f t="shared" si="35"/>
        <v>0.2631651664</v>
      </c>
      <c r="M80" s="388">
        <f t="shared" si="35"/>
        <v>0.2364864064</v>
      </c>
      <c r="N80" s="388">
        <f t="shared" si="35"/>
        <v>0.2147964793</v>
      </c>
      <c r="O80" s="388">
        <f t="shared" si="35"/>
        <v>0.2193144295</v>
      </c>
      <c r="P80" s="388">
        <f t="shared" si="35"/>
        <v>0.2272074759</v>
      </c>
      <c r="Q80" s="389">
        <f t="shared" si="35"/>
        <v>0.1939950326</v>
      </c>
      <c r="R80" s="331"/>
      <c r="S80" s="373"/>
      <c r="T80" s="346"/>
      <c r="U80" s="346"/>
      <c r="V80" s="346"/>
      <c r="W80" s="346"/>
      <c r="X80" s="346"/>
      <c r="Y80" s="346"/>
      <c r="Z80" s="346"/>
      <c r="AA80" s="346"/>
      <c r="AB80" s="346"/>
      <c r="AC80" s="346"/>
      <c r="AD80" s="346"/>
      <c r="AE80" s="346"/>
      <c r="AF80" s="346"/>
      <c r="AG80" s="346"/>
      <c r="AH80" s="346"/>
      <c r="AI80" s="346"/>
      <c r="AJ80" s="346"/>
      <c r="AK80" s="346"/>
      <c r="AL80" s="346"/>
      <c r="AM80" s="346"/>
    </row>
    <row r="81" ht="11.25" customHeight="1" outlineLevel="4">
      <c r="A81" s="346"/>
      <c r="B81" s="393" t="s">
        <v>78</v>
      </c>
      <c r="C81" s="428"/>
      <c r="D81" s="395"/>
      <c r="E81" s="395"/>
      <c r="F81" s="395"/>
      <c r="G81" s="395"/>
      <c r="H81" s="396"/>
      <c r="I81" s="396"/>
      <c r="J81" s="397"/>
      <c r="K81" s="395">
        <f t="shared" ref="K81:Q81" si="36">PERCENTILE(K75:K77, 0.25)</f>
        <v>0.2102533522</v>
      </c>
      <c r="L81" s="395">
        <f t="shared" si="36"/>
        <v>0.2227374949</v>
      </c>
      <c r="M81" s="395">
        <f t="shared" si="36"/>
        <v>0.1979592077</v>
      </c>
      <c r="N81" s="395">
        <f t="shared" si="36"/>
        <v>0.1880812371</v>
      </c>
      <c r="O81" s="395">
        <f t="shared" si="36"/>
        <v>0.1880311159</v>
      </c>
      <c r="P81" s="395">
        <f t="shared" si="36"/>
        <v>0.1889250603</v>
      </c>
      <c r="Q81" s="399">
        <f t="shared" si="36"/>
        <v>0.1500788235</v>
      </c>
      <c r="R81" s="331"/>
      <c r="S81" s="373"/>
      <c r="T81" s="346"/>
      <c r="U81" s="346"/>
      <c r="V81" s="346"/>
      <c r="W81" s="346"/>
      <c r="X81" s="346"/>
      <c r="Y81" s="346"/>
      <c r="Z81" s="346"/>
      <c r="AA81" s="346"/>
      <c r="AB81" s="346"/>
      <c r="AC81" s="346"/>
      <c r="AD81" s="346"/>
      <c r="AE81" s="346"/>
      <c r="AF81" s="346"/>
      <c r="AG81" s="346"/>
      <c r="AH81" s="346"/>
      <c r="AI81" s="346"/>
      <c r="AJ81" s="346"/>
      <c r="AK81" s="346"/>
      <c r="AL81" s="346"/>
      <c r="AM81" s="346"/>
    </row>
    <row r="82" ht="11.25" customHeight="1">
      <c r="A82" s="346"/>
      <c r="B82" s="346"/>
      <c r="C82" s="346"/>
      <c r="D82" s="331"/>
      <c r="E82" s="331"/>
      <c r="F82" s="331"/>
      <c r="G82" s="331"/>
      <c r="H82" s="331"/>
      <c r="I82" s="331"/>
      <c r="J82" s="331"/>
      <c r="K82" s="376"/>
      <c r="L82" s="376"/>
      <c r="M82" s="376"/>
      <c r="N82" s="376"/>
      <c r="O82" s="376"/>
      <c r="P82" s="376"/>
      <c r="Q82" s="376"/>
      <c r="R82" s="331"/>
      <c r="S82" s="373"/>
      <c r="T82" s="346"/>
      <c r="U82" s="346"/>
      <c r="V82" s="346"/>
      <c r="W82" s="346"/>
      <c r="X82" s="346"/>
      <c r="Y82" s="346"/>
      <c r="Z82" s="346"/>
      <c r="AA82" s="346"/>
      <c r="AB82" s="346"/>
      <c r="AC82" s="346"/>
      <c r="AD82" s="346"/>
      <c r="AE82" s="346"/>
      <c r="AF82" s="346"/>
      <c r="AG82" s="346"/>
      <c r="AH82" s="346"/>
      <c r="AI82" s="346"/>
      <c r="AJ82" s="346"/>
      <c r="AK82" s="346"/>
      <c r="AL82" s="346"/>
      <c r="AM82" s="346"/>
    </row>
    <row r="83" ht="11.25" customHeight="1" outlineLevel="1">
      <c r="A83" s="346"/>
      <c r="B83" s="429" t="s">
        <v>90</v>
      </c>
      <c r="C83" s="419"/>
      <c r="D83" s="383"/>
      <c r="E83" s="383"/>
      <c r="F83" s="383"/>
      <c r="G83" s="383"/>
      <c r="H83" s="383"/>
      <c r="I83" s="383"/>
      <c r="J83" s="383"/>
      <c r="K83" s="383"/>
      <c r="L83" s="383"/>
      <c r="M83" s="383"/>
      <c r="N83" s="383"/>
      <c r="O83" s="383"/>
      <c r="P83" s="383"/>
      <c r="Q83" s="420"/>
      <c r="R83" s="346"/>
      <c r="S83" s="373"/>
      <c r="T83" s="346"/>
      <c r="U83" s="346"/>
      <c r="V83" s="346"/>
      <c r="W83" s="346"/>
      <c r="X83" s="346"/>
      <c r="Y83" s="346"/>
      <c r="Z83" s="346"/>
      <c r="AA83" s="346"/>
      <c r="AB83" s="346"/>
      <c r="AC83" s="346"/>
      <c r="AD83" s="346"/>
      <c r="AE83" s="346"/>
      <c r="AF83" s="346"/>
      <c r="AG83" s="346"/>
      <c r="AH83" s="346"/>
      <c r="AI83" s="346"/>
      <c r="AJ83" s="346"/>
      <c r="AK83" s="346"/>
      <c r="AL83" s="346"/>
      <c r="AM83" s="346"/>
    </row>
    <row r="84" ht="11.25" customHeight="1" outlineLevel="1">
      <c r="A84" s="346"/>
      <c r="B84" s="430" t="s">
        <v>70</v>
      </c>
      <c r="C84" s="400"/>
      <c r="D84" s="376"/>
      <c r="E84" s="376"/>
      <c r="F84" s="376"/>
      <c r="G84" s="376"/>
      <c r="H84" s="376"/>
      <c r="I84" s="376"/>
      <c r="J84" s="376" t="str">
        <f>J61/J47</f>
        <v>#DIV/0!</v>
      </c>
      <c r="K84" s="376">
        <f t="shared" ref="K84:Q84" si="37">K61/K10</f>
        <v>0.04183184745</v>
      </c>
      <c r="L84" s="376">
        <f t="shared" si="37"/>
        <v>0.05666365511</v>
      </c>
      <c r="M84" s="376">
        <f t="shared" si="37"/>
        <v>0.0443996206</v>
      </c>
      <c r="N84" s="376">
        <f t="shared" si="37"/>
        <v>0.03983463389</v>
      </c>
      <c r="O84" s="376">
        <f t="shared" si="37"/>
        <v>0.04214822251</v>
      </c>
      <c r="P84" s="376">
        <f t="shared" si="37"/>
        <v>0.04063695433</v>
      </c>
      <c r="Q84" s="422">
        <f t="shared" si="37"/>
        <v>0.02877960208</v>
      </c>
      <c r="R84" s="346"/>
      <c r="S84" s="373"/>
      <c r="T84" s="346"/>
      <c r="U84" s="346"/>
      <c r="V84" s="346"/>
      <c r="W84" s="346"/>
      <c r="X84" s="346"/>
      <c r="Y84" s="346"/>
      <c r="Z84" s="346"/>
      <c r="AA84" s="346"/>
      <c r="AB84" s="346"/>
      <c r="AC84" s="346"/>
      <c r="AD84" s="346"/>
      <c r="AE84" s="346"/>
      <c r="AF84" s="346"/>
      <c r="AG84" s="346"/>
      <c r="AH84" s="346"/>
      <c r="AI84" s="346"/>
      <c r="AJ84" s="346"/>
      <c r="AK84" s="346"/>
      <c r="AL84" s="346"/>
      <c r="AM84" s="346"/>
    </row>
    <row r="85" ht="11.25" customHeight="1" outlineLevel="1">
      <c r="A85" s="346"/>
      <c r="B85" s="430" t="s">
        <v>71</v>
      </c>
      <c r="C85" s="400"/>
      <c r="D85" s="376"/>
      <c r="E85" s="376"/>
      <c r="F85" s="376"/>
      <c r="G85" s="376"/>
      <c r="H85" s="376"/>
      <c r="I85" s="376"/>
      <c r="J85" s="376"/>
      <c r="K85" s="376">
        <f t="shared" ref="K85:Q85" si="38">K62/K11</f>
        <v>0.04656620553</v>
      </c>
      <c r="L85" s="376">
        <f t="shared" si="38"/>
        <v>0.03178558647</v>
      </c>
      <c r="M85" s="376">
        <f t="shared" si="38"/>
        <v>0.02645352195</v>
      </c>
      <c r="N85" s="376">
        <f t="shared" si="38"/>
        <v>0.02628848149</v>
      </c>
      <c r="O85" s="376">
        <f t="shared" si="38"/>
        <v>0.0252084268</v>
      </c>
      <c r="P85" s="376">
        <f t="shared" si="38"/>
        <v>0.02129988214</v>
      </c>
      <c r="Q85" s="422">
        <f t="shared" si="38"/>
        <v>0.01962799244</v>
      </c>
      <c r="R85" s="346"/>
      <c r="S85" s="373"/>
      <c r="T85" s="346"/>
      <c r="U85" s="346"/>
      <c r="V85" s="346"/>
      <c r="W85" s="346"/>
      <c r="X85" s="346"/>
      <c r="Y85" s="346"/>
      <c r="Z85" s="346"/>
      <c r="AA85" s="346"/>
      <c r="AB85" s="346"/>
      <c r="AC85" s="346"/>
      <c r="AD85" s="346"/>
      <c r="AE85" s="346"/>
      <c r="AF85" s="346"/>
      <c r="AG85" s="346"/>
      <c r="AH85" s="346"/>
      <c r="AI85" s="346"/>
      <c r="AJ85" s="346"/>
      <c r="AK85" s="346"/>
      <c r="AL85" s="346"/>
      <c r="AM85" s="346"/>
    </row>
    <row r="86" ht="11.25" customHeight="1" outlineLevel="1">
      <c r="A86" s="346"/>
      <c r="B86" s="430" t="s">
        <v>72</v>
      </c>
      <c r="C86" s="400"/>
      <c r="D86" s="376"/>
      <c r="E86" s="376"/>
      <c r="F86" s="376"/>
      <c r="G86" s="376"/>
      <c r="H86" s="376"/>
      <c r="I86" s="376"/>
      <c r="J86" s="376"/>
      <c r="K86" s="376" t="s">
        <v>74</v>
      </c>
      <c r="L86" s="376" t="str">
        <f t="shared" ref="L86:Q86" si="39">K86</f>
        <v>NA</v>
      </c>
      <c r="M86" s="376" t="str">
        <f t="shared" si="39"/>
        <v>NA</v>
      </c>
      <c r="N86" s="376" t="str">
        <f t="shared" si="39"/>
        <v>NA</v>
      </c>
      <c r="O86" s="376" t="str">
        <f t="shared" si="39"/>
        <v>NA</v>
      </c>
      <c r="P86" s="376" t="str">
        <f t="shared" si="39"/>
        <v>NA</v>
      </c>
      <c r="Q86" s="422" t="str">
        <f t="shared" si="39"/>
        <v>NA</v>
      </c>
      <c r="R86" s="346"/>
      <c r="S86" s="373"/>
      <c r="T86" s="346"/>
      <c r="U86" s="346"/>
      <c r="V86" s="346"/>
      <c r="W86" s="346"/>
      <c r="X86" s="346"/>
      <c r="Y86" s="346"/>
      <c r="Z86" s="346"/>
      <c r="AA86" s="346"/>
      <c r="AB86" s="346"/>
      <c r="AC86" s="346"/>
      <c r="AD86" s="346"/>
      <c r="AE86" s="346"/>
      <c r="AF86" s="346"/>
      <c r="AG86" s="346"/>
      <c r="AH86" s="346"/>
      <c r="AI86" s="346"/>
      <c r="AJ86" s="346"/>
      <c r="AK86" s="346"/>
      <c r="AL86" s="346"/>
      <c r="AM86" s="346"/>
    </row>
    <row r="87" ht="11.25" customHeight="1" outlineLevel="4">
      <c r="A87" s="346"/>
      <c r="B87" s="423"/>
      <c r="C87" s="379"/>
      <c r="D87" s="377"/>
      <c r="E87" s="378"/>
      <c r="F87" s="378"/>
      <c r="G87" s="378"/>
      <c r="H87" s="378"/>
      <c r="I87" s="378"/>
      <c r="J87" s="376"/>
      <c r="K87" s="376"/>
      <c r="L87" s="376"/>
      <c r="M87" s="376"/>
      <c r="N87" s="376"/>
      <c r="O87" s="376"/>
      <c r="P87" s="376"/>
      <c r="Q87" s="422"/>
      <c r="R87" s="331"/>
      <c r="S87" s="373"/>
      <c r="T87" s="346"/>
      <c r="U87" s="346"/>
      <c r="V87" s="346"/>
      <c r="W87" s="346"/>
      <c r="X87" s="346"/>
      <c r="Y87" s="346"/>
      <c r="Z87" s="346"/>
      <c r="AA87" s="346"/>
      <c r="AB87" s="346"/>
      <c r="AC87" s="346"/>
      <c r="AD87" s="346"/>
      <c r="AE87" s="346"/>
      <c r="AF87" s="346"/>
      <c r="AG87" s="346"/>
      <c r="AH87" s="346"/>
      <c r="AI87" s="346"/>
      <c r="AJ87" s="346"/>
      <c r="AK87" s="346"/>
      <c r="AL87" s="346"/>
      <c r="AM87" s="346"/>
    </row>
    <row r="88" ht="11.25" customHeight="1" outlineLevel="4">
      <c r="A88" s="346"/>
      <c r="B88" s="387" t="s">
        <v>76</v>
      </c>
      <c r="C88" s="425"/>
      <c r="D88" s="388"/>
      <c r="E88" s="388"/>
      <c r="F88" s="388"/>
      <c r="G88" s="388"/>
      <c r="H88" s="378"/>
      <c r="I88" s="378"/>
      <c r="J88" s="376"/>
      <c r="K88" s="388">
        <f t="shared" ref="K88:Q88" si="40">PERCENTILE(K84:K86, 0.75)</f>
        <v>0.04538261601</v>
      </c>
      <c r="L88" s="388">
        <f t="shared" si="40"/>
        <v>0.05044413795</v>
      </c>
      <c r="M88" s="388">
        <f t="shared" si="40"/>
        <v>0.03991309594</v>
      </c>
      <c r="N88" s="388">
        <f t="shared" si="40"/>
        <v>0.03644809579</v>
      </c>
      <c r="O88" s="388">
        <f t="shared" si="40"/>
        <v>0.03791327358</v>
      </c>
      <c r="P88" s="388">
        <f t="shared" si="40"/>
        <v>0.03580268628</v>
      </c>
      <c r="Q88" s="389">
        <f t="shared" si="40"/>
        <v>0.02649169967</v>
      </c>
      <c r="R88" s="331"/>
      <c r="S88" s="373"/>
      <c r="T88" s="346"/>
      <c r="U88" s="346"/>
      <c r="V88" s="346"/>
      <c r="W88" s="346"/>
      <c r="X88" s="346"/>
      <c r="Y88" s="346"/>
      <c r="Z88" s="346"/>
      <c r="AA88" s="346"/>
      <c r="AB88" s="346"/>
      <c r="AC88" s="346"/>
      <c r="AD88" s="346"/>
      <c r="AE88" s="346"/>
      <c r="AF88" s="346"/>
      <c r="AG88" s="346"/>
      <c r="AH88" s="346"/>
      <c r="AI88" s="346"/>
      <c r="AJ88" s="346"/>
      <c r="AK88" s="346"/>
      <c r="AL88" s="346"/>
      <c r="AM88" s="346"/>
    </row>
    <row r="89" ht="11.25" customHeight="1" outlineLevel="4">
      <c r="A89" s="346"/>
      <c r="B89" s="391" t="s">
        <v>77</v>
      </c>
      <c r="C89" s="425"/>
      <c r="D89" s="388"/>
      <c r="E89" s="388"/>
      <c r="F89" s="388"/>
      <c r="G89" s="388"/>
      <c r="H89" s="378"/>
      <c r="I89" s="378"/>
      <c r="J89" s="376"/>
      <c r="K89" s="388">
        <f t="shared" ref="K89:Q89" si="41">MEDIAN(K84:K86)</f>
        <v>0.04419902649</v>
      </c>
      <c r="L89" s="388">
        <f t="shared" si="41"/>
        <v>0.04422462079</v>
      </c>
      <c r="M89" s="388">
        <f t="shared" si="41"/>
        <v>0.03542657128</v>
      </c>
      <c r="N89" s="388">
        <f t="shared" si="41"/>
        <v>0.03306155769</v>
      </c>
      <c r="O89" s="388">
        <f t="shared" si="41"/>
        <v>0.03367832466</v>
      </c>
      <c r="P89" s="388">
        <f t="shared" si="41"/>
        <v>0.03096841823</v>
      </c>
      <c r="Q89" s="389">
        <f t="shared" si="41"/>
        <v>0.02420379726</v>
      </c>
      <c r="R89" s="331"/>
      <c r="S89" s="373"/>
      <c r="T89" s="346"/>
      <c r="U89" s="346"/>
      <c r="V89" s="346"/>
      <c r="W89" s="346"/>
      <c r="X89" s="346"/>
      <c r="Y89" s="346"/>
      <c r="Z89" s="346"/>
      <c r="AA89" s="346"/>
      <c r="AB89" s="346"/>
      <c r="AC89" s="346"/>
      <c r="AD89" s="346"/>
      <c r="AE89" s="346"/>
      <c r="AF89" s="346"/>
      <c r="AG89" s="346"/>
      <c r="AH89" s="346"/>
      <c r="AI89" s="346"/>
      <c r="AJ89" s="346"/>
      <c r="AK89" s="346"/>
      <c r="AL89" s="346"/>
      <c r="AM89" s="346"/>
    </row>
    <row r="90" ht="11.25" customHeight="1" outlineLevel="4">
      <c r="A90" s="346"/>
      <c r="B90" s="393" t="s">
        <v>78</v>
      </c>
      <c r="C90" s="428"/>
      <c r="D90" s="395"/>
      <c r="E90" s="395"/>
      <c r="F90" s="395"/>
      <c r="G90" s="395"/>
      <c r="H90" s="396"/>
      <c r="I90" s="396"/>
      <c r="J90" s="397"/>
      <c r="K90" s="395">
        <f t="shared" ref="K90:Q90" si="42">PERCENTILE(K84:K86, 0.25)</f>
        <v>0.04301543697</v>
      </c>
      <c r="L90" s="395">
        <f t="shared" si="42"/>
        <v>0.03800510363</v>
      </c>
      <c r="M90" s="395">
        <f t="shared" si="42"/>
        <v>0.03094004661</v>
      </c>
      <c r="N90" s="395">
        <f t="shared" si="42"/>
        <v>0.02967501959</v>
      </c>
      <c r="O90" s="395">
        <f t="shared" si="42"/>
        <v>0.02944337573</v>
      </c>
      <c r="P90" s="395">
        <f t="shared" si="42"/>
        <v>0.02613415018</v>
      </c>
      <c r="Q90" s="399">
        <f t="shared" si="42"/>
        <v>0.02191589485</v>
      </c>
      <c r="R90" s="331"/>
      <c r="S90" s="373"/>
      <c r="T90" s="346"/>
      <c r="U90" s="346"/>
      <c r="V90" s="346"/>
      <c r="W90" s="346"/>
      <c r="X90" s="346"/>
      <c r="Y90" s="346"/>
      <c r="Z90" s="346"/>
      <c r="AA90" s="346"/>
      <c r="AB90" s="346"/>
      <c r="AC90" s="346"/>
      <c r="AD90" s="346"/>
      <c r="AE90" s="346"/>
      <c r="AF90" s="346"/>
      <c r="AG90" s="346"/>
      <c r="AH90" s="346"/>
      <c r="AI90" s="346"/>
      <c r="AJ90" s="346"/>
      <c r="AK90" s="346"/>
      <c r="AL90" s="346"/>
      <c r="AM90" s="346"/>
    </row>
    <row r="91" ht="11.25" customHeight="1">
      <c r="A91" s="346"/>
      <c r="B91" s="346"/>
      <c r="C91" s="346"/>
      <c r="D91" s="331"/>
      <c r="E91" s="331"/>
      <c r="F91" s="331"/>
      <c r="G91" s="331"/>
      <c r="H91" s="331"/>
      <c r="I91" s="331"/>
      <c r="J91" s="331"/>
      <c r="K91" s="376"/>
      <c r="L91" s="376"/>
      <c r="M91" s="376"/>
      <c r="N91" s="376"/>
      <c r="O91" s="376"/>
      <c r="P91" s="376"/>
      <c r="Q91" s="376"/>
      <c r="R91" s="331"/>
      <c r="S91" s="373"/>
      <c r="T91" s="346"/>
      <c r="U91" s="346"/>
      <c r="V91" s="346"/>
      <c r="W91" s="346"/>
      <c r="X91" s="346"/>
      <c r="Y91" s="346"/>
      <c r="Z91" s="346"/>
      <c r="AA91" s="346"/>
      <c r="AB91" s="346"/>
      <c r="AC91" s="346"/>
      <c r="AD91" s="346"/>
      <c r="AE91" s="346"/>
      <c r="AF91" s="346"/>
      <c r="AG91" s="346"/>
      <c r="AH91" s="346"/>
      <c r="AI91" s="346"/>
      <c r="AJ91" s="346"/>
      <c r="AK91" s="346"/>
      <c r="AL91" s="346"/>
      <c r="AM91" s="346"/>
    </row>
    <row r="92" ht="11.25" customHeight="1" outlineLevel="1">
      <c r="A92" s="346"/>
      <c r="B92" s="429" t="s">
        <v>91</v>
      </c>
      <c r="C92" s="419"/>
      <c r="D92" s="383"/>
      <c r="E92" s="383"/>
      <c r="F92" s="383"/>
      <c r="G92" s="383"/>
      <c r="H92" s="383"/>
      <c r="I92" s="383"/>
      <c r="J92" s="383"/>
      <c r="K92" s="383"/>
      <c r="L92" s="383"/>
      <c r="M92" s="383"/>
      <c r="N92" s="383"/>
      <c r="O92" s="383"/>
      <c r="P92" s="383"/>
      <c r="Q92" s="420"/>
      <c r="R92" s="346"/>
      <c r="S92" s="373"/>
      <c r="T92" s="346"/>
      <c r="U92" s="346"/>
      <c r="V92" s="346"/>
      <c r="W92" s="346"/>
      <c r="X92" s="346"/>
      <c r="Y92" s="346"/>
      <c r="Z92" s="346"/>
      <c r="AA92" s="346"/>
      <c r="AB92" s="346"/>
      <c r="AC92" s="346"/>
      <c r="AD92" s="346"/>
      <c r="AE92" s="346"/>
      <c r="AF92" s="346"/>
      <c r="AG92" s="346"/>
      <c r="AH92" s="346"/>
      <c r="AI92" s="346"/>
      <c r="AJ92" s="346"/>
      <c r="AK92" s="346"/>
      <c r="AL92" s="346"/>
      <c r="AM92" s="346"/>
    </row>
    <row r="93" ht="11.25" customHeight="1" outlineLevel="1">
      <c r="A93" s="346"/>
      <c r="B93" s="430" t="s">
        <v>70</v>
      </c>
      <c r="C93" s="400"/>
      <c r="D93" s="376"/>
      <c r="E93" s="376"/>
      <c r="F93" s="376"/>
      <c r="G93" s="376"/>
      <c r="H93" s="376"/>
      <c r="I93" s="376"/>
      <c r="J93" s="376" t="str">
        <f>J66/J51</f>
        <v>#DIV/0!</v>
      </c>
      <c r="K93" s="376">
        <f t="shared" ref="K93:Q93" si="43">K66+K75+K84</f>
        <v>0.6005704343</v>
      </c>
      <c r="L93" s="376">
        <f t="shared" si="43"/>
        <v>0.6035783507</v>
      </c>
      <c r="M93" s="376">
        <f t="shared" si="43"/>
        <v>0.5308624188</v>
      </c>
      <c r="N93" s="376">
        <f t="shared" si="43"/>
        <v>0.4645544022</v>
      </c>
      <c r="O93" s="376">
        <f t="shared" si="43"/>
        <v>0.4684884654</v>
      </c>
      <c r="P93" s="376">
        <f t="shared" si="43"/>
        <v>0.4737109911</v>
      </c>
      <c r="Q93" s="422">
        <f t="shared" si="43"/>
        <v>0.420653204</v>
      </c>
      <c r="R93" s="346"/>
      <c r="S93" s="373"/>
      <c r="T93" s="346"/>
      <c r="U93" s="346"/>
      <c r="V93" s="346"/>
      <c r="W93" s="346"/>
      <c r="X93" s="346"/>
      <c r="Y93" s="346"/>
      <c r="Z93" s="346"/>
      <c r="AA93" s="346"/>
      <c r="AB93" s="346"/>
      <c r="AC93" s="346"/>
      <c r="AD93" s="346"/>
      <c r="AE93" s="346"/>
      <c r="AF93" s="346"/>
      <c r="AG93" s="346"/>
      <c r="AH93" s="346"/>
      <c r="AI93" s="346"/>
      <c r="AJ93" s="346"/>
      <c r="AK93" s="346"/>
      <c r="AL93" s="346"/>
      <c r="AM93" s="346"/>
    </row>
    <row r="94" ht="11.25" customHeight="1" outlineLevel="1">
      <c r="A94" s="346"/>
      <c r="B94" s="430" t="s">
        <v>71</v>
      </c>
      <c r="C94" s="400"/>
      <c r="D94" s="376"/>
      <c r="E94" s="376"/>
      <c r="F94" s="376"/>
      <c r="G94" s="376"/>
      <c r="H94" s="376"/>
      <c r="I94" s="376"/>
      <c r="J94" s="376"/>
      <c r="K94" s="376" t="str">
        <f>K95</f>
        <v>NA</v>
      </c>
      <c r="L94" s="376">
        <f t="shared" ref="L94:Q94" si="44">L67+L76+L85</f>
        <v>0.457656774</v>
      </c>
      <c r="M94" s="376">
        <f t="shared" si="44"/>
        <v>0.3999218035</v>
      </c>
      <c r="N94" s="376">
        <f t="shared" si="44"/>
        <v>0.3849375806</v>
      </c>
      <c r="O94" s="376">
        <f t="shared" si="44"/>
        <v>0.367038244</v>
      </c>
      <c r="P94" s="376">
        <f t="shared" si="44"/>
        <v>0.3754319711</v>
      </c>
      <c r="Q94" s="422">
        <f t="shared" si="44"/>
        <v>0.3928614312</v>
      </c>
      <c r="R94" s="346"/>
      <c r="S94" s="373"/>
      <c r="T94" s="346"/>
      <c r="U94" s="346"/>
      <c r="V94" s="346"/>
      <c r="W94" s="346"/>
      <c r="X94" s="346"/>
      <c r="Y94" s="346"/>
      <c r="Z94" s="346"/>
      <c r="AA94" s="346"/>
      <c r="AB94" s="346"/>
      <c r="AC94" s="346"/>
      <c r="AD94" s="346"/>
      <c r="AE94" s="346"/>
      <c r="AF94" s="346"/>
      <c r="AG94" s="346"/>
      <c r="AH94" s="346"/>
      <c r="AI94" s="346"/>
      <c r="AJ94" s="346"/>
      <c r="AK94" s="346"/>
      <c r="AL94" s="346"/>
      <c r="AM94" s="346"/>
    </row>
    <row r="95" ht="11.25" customHeight="1" outlineLevel="1">
      <c r="A95" s="346"/>
      <c r="B95" s="430" t="s">
        <v>72</v>
      </c>
      <c r="C95" s="400"/>
      <c r="D95" s="376"/>
      <c r="E95" s="376"/>
      <c r="F95" s="376"/>
      <c r="G95" s="376"/>
      <c r="H95" s="376"/>
      <c r="I95" s="376"/>
      <c r="J95" s="376"/>
      <c r="K95" s="376" t="s">
        <v>74</v>
      </c>
      <c r="L95" s="376" t="s">
        <v>74</v>
      </c>
      <c r="M95" s="376" t="s">
        <v>74</v>
      </c>
      <c r="N95" s="376" t="str">
        <f t="shared" ref="N95:Q95" si="45">M95</f>
        <v>NA</v>
      </c>
      <c r="O95" s="376" t="str">
        <f t="shared" si="45"/>
        <v>NA</v>
      </c>
      <c r="P95" s="376" t="str">
        <f t="shared" si="45"/>
        <v>NA</v>
      </c>
      <c r="Q95" s="422" t="str">
        <f t="shared" si="45"/>
        <v>NA</v>
      </c>
      <c r="R95" s="346"/>
      <c r="S95" s="373"/>
      <c r="T95" s="346"/>
      <c r="U95" s="346"/>
      <c r="V95" s="346"/>
      <c r="W95" s="346"/>
      <c r="X95" s="346"/>
      <c r="Y95" s="346"/>
      <c r="Z95" s="346"/>
      <c r="AA95" s="346"/>
      <c r="AB95" s="346"/>
      <c r="AC95" s="346"/>
      <c r="AD95" s="346"/>
      <c r="AE95" s="346"/>
      <c r="AF95" s="346"/>
      <c r="AG95" s="346"/>
      <c r="AH95" s="346"/>
      <c r="AI95" s="346"/>
      <c r="AJ95" s="346"/>
      <c r="AK95" s="346"/>
      <c r="AL95" s="346"/>
      <c r="AM95" s="346"/>
    </row>
    <row r="96" ht="11.25" customHeight="1" outlineLevel="4">
      <c r="A96" s="346"/>
      <c r="B96" s="423"/>
      <c r="C96" s="379"/>
      <c r="D96" s="377"/>
      <c r="E96" s="378"/>
      <c r="F96" s="378"/>
      <c r="G96" s="378"/>
      <c r="H96" s="378"/>
      <c r="I96" s="378"/>
      <c r="J96" s="376"/>
      <c r="K96" s="376"/>
      <c r="L96" s="376"/>
      <c r="M96" s="376"/>
      <c r="N96" s="376"/>
      <c r="O96" s="376"/>
      <c r="P96" s="376"/>
      <c r="Q96" s="422"/>
      <c r="R96" s="331"/>
      <c r="S96" s="373"/>
      <c r="T96" s="346"/>
      <c r="U96" s="346"/>
      <c r="V96" s="346"/>
      <c r="W96" s="346"/>
      <c r="X96" s="346"/>
      <c r="Y96" s="346"/>
      <c r="Z96" s="346"/>
      <c r="AA96" s="346"/>
      <c r="AB96" s="346"/>
      <c r="AC96" s="346"/>
      <c r="AD96" s="346"/>
      <c r="AE96" s="346"/>
      <c r="AF96" s="346"/>
      <c r="AG96" s="346"/>
      <c r="AH96" s="346"/>
      <c r="AI96" s="346"/>
      <c r="AJ96" s="346"/>
      <c r="AK96" s="346"/>
      <c r="AL96" s="346"/>
      <c r="AM96" s="346"/>
    </row>
    <row r="97" ht="11.25" customHeight="1" outlineLevel="4">
      <c r="A97" s="346"/>
      <c r="B97" s="387" t="s">
        <v>76</v>
      </c>
      <c r="C97" s="425"/>
      <c r="D97" s="388"/>
      <c r="E97" s="388"/>
      <c r="F97" s="388"/>
      <c r="G97" s="388"/>
      <c r="H97" s="378"/>
      <c r="I97" s="378"/>
      <c r="J97" s="376"/>
      <c r="K97" s="388" t="s">
        <v>80</v>
      </c>
      <c r="L97" s="388">
        <f t="shared" ref="L97:Q97" si="46">PERCENTILE(L93:L95, 0.75)</f>
        <v>0.5670979566</v>
      </c>
      <c r="M97" s="388">
        <f t="shared" si="46"/>
        <v>0.498127265</v>
      </c>
      <c r="N97" s="388">
        <f t="shared" si="46"/>
        <v>0.4446501968</v>
      </c>
      <c r="O97" s="388">
        <f t="shared" si="46"/>
        <v>0.44312591</v>
      </c>
      <c r="P97" s="388">
        <f t="shared" si="46"/>
        <v>0.4491412361</v>
      </c>
      <c r="Q97" s="389">
        <f t="shared" si="46"/>
        <v>0.4137052608</v>
      </c>
      <c r="R97" s="331"/>
      <c r="S97" s="373"/>
      <c r="T97" s="346"/>
      <c r="U97" s="346"/>
      <c r="V97" s="346"/>
      <c r="W97" s="346"/>
      <c r="X97" s="346"/>
      <c r="Y97" s="346"/>
      <c r="Z97" s="346"/>
      <c r="AA97" s="346"/>
      <c r="AB97" s="346"/>
      <c r="AC97" s="346"/>
      <c r="AD97" s="346"/>
      <c r="AE97" s="346"/>
      <c r="AF97" s="346"/>
      <c r="AG97" s="346"/>
      <c r="AH97" s="346"/>
      <c r="AI97" s="346"/>
      <c r="AJ97" s="346"/>
      <c r="AK97" s="346"/>
      <c r="AL97" s="346"/>
      <c r="AM97" s="346"/>
    </row>
    <row r="98" ht="11.25" customHeight="1" outlineLevel="4">
      <c r="A98" s="346"/>
      <c r="B98" s="391" t="s">
        <v>77</v>
      </c>
      <c r="C98" s="425"/>
      <c r="D98" s="388"/>
      <c r="E98" s="388"/>
      <c r="F98" s="388"/>
      <c r="G98" s="388"/>
      <c r="H98" s="378"/>
      <c r="I98" s="378"/>
      <c r="J98" s="376"/>
      <c r="K98" s="388" t="str">
        <f t="shared" ref="K98:K99" si="48">K97</f>
        <v>NM</v>
      </c>
      <c r="L98" s="388">
        <f t="shared" ref="L98:Q98" si="47">MEDIAN(L93:L95)</f>
        <v>0.5306175624</v>
      </c>
      <c r="M98" s="388">
        <f t="shared" si="47"/>
        <v>0.4653921112</v>
      </c>
      <c r="N98" s="388">
        <f t="shared" si="47"/>
        <v>0.4247459914</v>
      </c>
      <c r="O98" s="388">
        <f t="shared" si="47"/>
        <v>0.4177633547</v>
      </c>
      <c r="P98" s="388">
        <f t="shared" si="47"/>
        <v>0.4245714811</v>
      </c>
      <c r="Q98" s="389">
        <f t="shared" si="47"/>
        <v>0.4067573176</v>
      </c>
      <c r="R98" s="331"/>
      <c r="S98" s="373"/>
      <c r="T98" s="346"/>
      <c r="U98" s="346"/>
      <c r="V98" s="346"/>
      <c r="W98" s="346"/>
      <c r="X98" s="346"/>
      <c r="Y98" s="346"/>
      <c r="Z98" s="346"/>
      <c r="AA98" s="346"/>
      <c r="AB98" s="346"/>
      <c r="AC98" s="346"/>
      <c r="AD98" s="346"/>
      <c r="AE98" s="346"/>
      <c r="AF98" s="346"/>
      <c r="AG98" s="346"/>
      <c r="AH98" s="346"/>
      <c r="AI98" s="346"/>
      <c r="AJ98" s="346"/>
      <c r="AK98" s="346"/>
      <c r="AL98" s="346"/>
      <c r="AM98" s="346"/>
    </row>
    <row r="99" ht="11.25" customHeight="1" outlineLevel="4">
      <c r="A99" s="346"/>
      <c r="B99" s="393" t="s">
        <v>78</v>
      </c>
      <c r="C99" s="428"/>
      <c r="D99" s="395"/>
      <c r="E99" s="395"/>
      <c r="F99" s="395"/>
      <c r="G99" s="395"/>
      <c r="H99" s="396"/>
      <c r="I99" s="396"/>
      <c r="J99" s="397"/>
      <c r="K99" s="395" t="str">
        <f t="shared" si="48"/>
        <v>NM</v>
      </c>
      <c r="L99" s="395">
        <f t="shared" ref="L99:Q99" si="49">PERCENTILE(L93:L95, 0.25)</f>
        <v>0.4941371682</v>
      </c>
      <c r="M99" s="395">
        <f t="shared" si="49"/>
        <v>0.4326569573</v>
      </c>
      <c r="N99" s="395">
        <f t="shared" si="49"/>
        <v>0.404841786</v>
      </c>
      <c r="O99" s="395">
        <f t="shared" si="49"/>
        <v>0.3924007994</v>
      </c>
      <c r="P99" s="395">
        <f t="shared" si="49"/>
        <v>0.4000017261</v>
      </c>
      <c r="Q99" s="399">
        <f t="shared" si="49"/>
        <v>0.3998093744</v>
      </c>
      <c r="R99" s="331"/>
      <c r="S99" s="373"/>
      <c r="T99" s="346"/>
      <c r="U99" s="346"/>
      <c r="V99" s="346"/>
      <c r="W99" s="346"/>
      <c r="X99" s="346"/>
      <c r="Y99" s="346"/>
      <c r="Z99" s="346"/>
      <c r="AA99" s="346"/>
      <c r="AB99" s="346"/>
      <c r="AC99" s="346"/>
      <c r="AD99" s="346"/>
      <c r="AE99" s="346"/>
      <c r="AF99" s="346"/>
      <c r="AG99" s="346"/>
      <c r="AH99" s="346"/>
      <c r="AI99" s="346"/>
      <c r="AJ99" s="346"/>
      <c r="AK99" s="346"/>
      <c r="AL99" s="346"/>
      <c r="AM99" s="346"/>
    </row>
    <row r="100" ht="11.25" customHeight="1">
      <c r="A100" s="346"/>
      <c r="B100" s="346"/>
      <c r="C100" s="346"/>
      <c r="D100" s="331"/>
      <c r="E100" s="331"/>
      <c r="F100" s="331"/>
      <c r="G100" s="331"/>
      <c r="H100" s="331"/>
      <c r="I100" s="331"/>
      <c r="J100" s="331"/>
      <c r="K100" s="376"/>
      <c r="L100" s="376"/>
      <c r="M100" s="376"/>
      <c r="N100" s="376"/>
      <c r="O100" s="376"/>
      <c r="P100" s="376"/>
      <c r="Q100" s="376"/>
      <c r="R100" s="331"/>
      <c r="S100" s="373"/>
      <c r="T100" s="346"/>
      <c r="U100" s="346"/>
      <c r="V100" s="346"/>
      <c r="W100" s="346"/>
      <c r="X100" s="346"/>
      <c r="Y100" s="346"/>
      <c r="Z100" s="346"/>
      <c r="AA100" s="346"/>
      <c r="AB100" s="346"/>
      <c r="AC100" s="346"/>
      <c r="AD100" s="346"/>
      <c r="AE100" s="346"/>
      <c r="AF100" s="346"/>
      <c r="AG100" s="346"/>
      <c r="AH100" s="346"/>
      <c r="AI100" s="346"/>
      <c r="AJ100" s="346"/>
      <c r="AK100" s="346"/>
      <c r="AL100" s="346"/>
      <c r="AM100" s="346"/>
    </row>
    <row r="101" ht="11.25" customHeight="1">
      <c r="A101" s="431"/>
      <c r="B101" s="431"/>
      <c r="C101" s="431"/>
      <c r="D101" s="432"/>
      <c r="E101" s="433"/>
      <c r="F101" s="433"/>
      <c r="G101" s="433"/>
      <c r="H101" s="433"/>
      <c r="I101" s="433"/>
      <c r="J101" s="432"/>
      <c r="K101" s="432"/>
      <c r="L101" s="432"/>
      <c r="M101" s="432"/>
      <c r="N101" s="432"/>
      <c r="O101" s="432"/>
      <c r="P101" s="432"/>
      <c r="Q101" s="432"/>
      <c r="R101" s="432"/>
      <c r="S101" s="434"/>
      <c r="T101" s="431"/>
      <c r="U101" s="431"/>
      <c r="V101" s="431"/>
      <c r="W101" s="431"/>
      <c r="X101" s="431"/>
      <c r="Y101" s="431"/>
      <c r="Z101" s="431"/>
      <c r="AA101" s="431"/>
      <c r="AB101" s="431"/>
      <c r="AC101" s="431"/>
      <c r="AD101" s="431"/>
      <c r="AE101" s="431"/>
      <c r="AF101" s="431"/>
      <c r="AG101" s="431"/>
      <c r="AH101" s="431"/>
      <c r="AI101" s="431"/>
      <c r="AJ101" s="431"/>
      <c r="AK101" s="431"/>
      <c r="AL101" s="431"/>
      <c r="AM101" s="431"/>
    </row>
    <row r="102" ht="11.25" customHeight="1">
      <c r="A102" s="431"/>
      <c r="B102" s="435" t="s">
        <v>92</v>
      </c>
      <c r="C102" s="431"/>
      <c r="D102" s="432"/>
      <c r="E102" s="433"/>
      <c r="F102" s="433"/>
      <c r="G102" s="433"/>
      <c r="H102" s="433"/>
      <c r="I102" s="433"/>
      <c r="J102" s="432"/>
      <c r="K102" s="432"/>
      <c r="L102" s="432"/>
      <c r="M102" s="432"/>
      <c r="N102" s="432"/>
      <c r="O102" s="432"/>
      <c r="P102" s="432"/>
      <c r="Q102" s="432"/>
      <c r="R102" s="432"/>
      <c r="S102" s="434"/>
      <c r="T102" s="431"/>
      <c r="U102" s="431"/>
      <c r="V102" s="431"/>
      <c r="W102" s="431"/>
      <c r="X102" s="431"/>
      <c r="Y102" s="431"/>
      <c r="Z102" s="431"/>
      <c r="AA102" s="431"/>
      <c r="AB102" s="431"/>
      <c r="AC102" s="431"/>
      <c r="AD102" s="431"/>
      <c r="AE102" s="431"/>
      <c r="AF102" s="431"/>
      <c r="AG102" s="431"/>
      <c r="AH102" s="431"/>
      <c r="AI102" s="431"/>
      <c r="AJ102" s="431"/>
      <c r="AK102" s="431"/>
      <c r="AL102" s="431"/>
      <c r="AM102" s="431"/>
    </row>
    <row r="103" ht="11.25" customHeight="1" outlineLevel="1">
      <c r="A103" s="431"/>
      <c r="B103" s="436" t="s">
        <v>70</v>
      </c>
      <c r="C103" s="437"/>
      <c r="D103" s="438"/>
      <c r="E103" s="439"/>
      <c r="F103" s="439"/>
      <c r="G103" s="439"/>
      <c r="H103" s="439"/>
      <c r="I103" s="439"/>
      <c r="J103" s="438"/>
      <c r="K103" s="438">
        <f t="shared" ref="K103:Q103" si="50">K51+K56+K61</f>
        <v>66960</v>
      </c>
      <c r="L103" s="438">
        <f t="shared" si="50"/>
        <v>78164</v>
      </c>
      <c r="M103" s="438">
        <f t="shared" si="50"/>
        <v>88430</v>
      </c>
      <c r="N103" s="438">
        <f t="shared" si="50"/>
        <v>82929</v>
      </c>
      <c r="O103" s="438">
        <f t="shared" si="50"/>
        <v>92868</v>
      </c>
      <c r="P103" s="438">
        <f t="shared" si="50"/>
        <v>129406</v>
      </c>
      <c r="Q103" s="438">
        <f t="shared" si="50"/>
        <v>163791</v>
      </c>
      <c r="R103" s="440"/>
      <c r="S103" s="434"/>
      <c r="T103" s="431"/>
      <c r="U103" s="431"/>
      <c r="V103" s="431"/>
      <c r="W103" s="431"/>
      <c r="X103" s="431"/>
      <c r="Y103" s="431"/>
      <c r="Z103" s="431"/>
      <c r="AA103" s="431"/>
      <c r="AB103" s="431"/>
      <c r="AC103" s="431"/>
      <c r="AD103" s="431"/>
      <c r="AE103" s="431"/>
      <c r="AF103" s="431"/>
      <c r="AG103" s="431"/>
      <c r="AH103" s="431"/>
      <c r="AI103" s="431"/>
      <c r="AJ103" s="431"/>
      <c r="AK103" s="431"/>
      <c r="AL103" s="431"/>
      <c r="AM103" s="431"/>
    </row>
    <row r="104" ht="11.25" customHeight="1" outlineLevel="1">
      <c r="A104" s="431"/>
      <c r="B104" s="436" t="s">
        <v>71</v>
      </c>
      <c r="C104" s="437"/>
      <c r="D104" s="438"/>
      <c r="E104" s="439"/>
      <c r="F104" s="439"/>
      <c r="G104" s="439"/>
      <c r="H104" s="439"/>
      <c r="I104" s="439"/>
      <c r="J104" s="438"/>
      <c r="K104" s="438">
        <f t="shared" ref="K104:Q104" si="51">K52+K57+K62</f>
        <v>23120</v>
      </c>
      <c r="L104" s="438">
        <f t="shared" si="51"/>
        <v>34527</v>
      </c>
      <c r="M104" s="438">
        <f t="shared" si="51"/>
        <v>45006</v>
      </c>
      <c r="N104" s="438">
        <f t="shared" si="51"/>
        <v>61207</v>
      </c>
      <c r="O104" s="438">
        <f t="shared" si="51"/>
        <v>74446</v>
      </c>
      <c r="P104" s="438">
        <f t="shared" si="51"/>
        <v>93647</v>
      </c>
      <c r="Q104" s="438">
        <f t="shared" si="51"/>
        <v>140688</v>
      </c>
      <c r="R104" s="440"/>
      <c r="S104" s="434"/>
      <c r="T104" s="431"/>
      <c r="U104" s="431"/>
      <c r="V104" s="431"/>
      <c r="W104" s="431"/>
      <c r="X104" s="431"/>
      <c r="Y104" s="431"/>
      <c r="Z104" s="431"/>
      <c r="AA104" s="431"/>
      <c r="AB104" s="431"/>
      <c r="AC104" s="431"/>
      <c r="AD104" s="431"/>
      <c r="AE104" s="431"/>
      <c r="AF104" s="431"/>
      <c r="AG104" s="431"/>
      <c r="AH104" s="431"/>
      <c r="AI104" s="431"/>
      <c r="AJ104" s="431"/>
      <c r="AK104" s="431"/>
      <c r="AL104" s="431"/>
      <c r="AM104" s="431"/>
    </row>
    <row r="105" ht="11.25" customHeight="1" outlineLevel="1">
      <c r="A105" s="431"/>
      <c r="B105" s="436" t="s">
        <v>72</v>
      </c>
      <c r="C105" s="437"/>
      <c r="D105" s="438"/>
      <c r="E105" s="439"/>
      <c r="F105" s="439"/>
      <c r="G105" s="439"/>
      <c r="H105" s="439"/>
      <c r="I105" s="439"/>
      <c r="J105" s="438"/>
      <c r="K105" s="438">
        <f t="shared" ref="K105:Q105" si="52">K53+K58+K63</f>
        <v>0</v>
      </c>
      <c r="L105" s="438">
        <f t="shared" si="52"/>
        <v>0</v>
      </c>
      <c r="M105" s="438">
        <f t="shared" si="52"/>
        <v>5698</v>
      </c>
      <c r="N105" s="438">
        <f t="shared" si="52"/>
        <v>6349</v>
      </c>
      <c r="O105" s="438">
        <f t="shared" si="52"/>
        <v>7150</v>
      </c>
      <c r="P105" s="438">
        <f t="shared" si="52"/>
        <v>13335</v>
      </c>
      <c r="Q105" s="438">
        <f t="shared" si="52"/>
        <v>20750</v>
      </c>
      <c r="R105" s="440"/>
      <c r="S105" s="434"/>
      <c r="T105" s="431"/>
      <c r="U105" s="431"/>
      <c r="V105" s="431"/>
      <c r="W105" s="431"/>
      <c r="X105" s="431"/>
      <c r="Y105" s="431"/>
      <c r="Z105" s="431"/>
      <c r="AA105" s="431"/>
      <c r="AB105" s="431"/>
      <c r="AC105" s="431"/>
      <c r="AD105" s="431"/>
      <c r="AE105" s="431"/>
      <c r="AF105" s="431"/>
      <c r="AG105" s="431"/>
      <c r="AH105" s="431"/>
      <c r="AI105" s="431"/>
      <c r="AJ105" s="431"/>
      <c r="AK105" s="431"/>
      <c r="AL105" s="431"/>
      <c r="AM105" s="431"/>
    </row>
    <row r="106" ht="11.25" customHeight="1">
      <c r="A106" s="431"/>
      <c r="B106" s="431"/>
      <c r="C106" s="431"/>
      <c r="D106" s="432"/>
      <c r="E106" s="433"/>
      <c r="F106" s="433"/>
      <c r="G106" s="433"/>
      <c r="H106" s="433"/>
      <c r="I106" s="433"/>
      <c r="J106" s="432"/>
      <c r="K106" s="432"/>
      <c r="L106" s="432"/>
      <c r="M106" s="432"/>
      <c r="N106" s="432"/>
      <c r="O106" s="432"/>
      <c r="P106" s="432"/>
      <c r="Q106" s="432"/>
      <c r="R106" s="432"/>
      <c r="S106" s="434"/>
      <c r="T106" s="431"/>
      <c r="U106" s="431"/>
      <c r="V106" s="431"/>
      <c r="W106" s="431"/>
      <c r="X106" s="431"/>
      <c r="Y106" s="431"/>
      <c r="Z106" s="431"/>
      <c r="AA106" s="431"/>
      <c r="AB106" s="431"/>
      <c r="AC106" s="431"/>
      <c r="AD106" s="431"/>
      <c r="AE106" s="431"/>
      <c r="AF106" s="431"/>
      <c r="AG106" s="431"/>
      <c r="AH106" s="431"/>
      <c r="AI106" s="431"/>
      <c r="AJ106" s="431"/>
      <c r="AK106" s="431"/>
      <c r="AL106" s="431"/>
      <c r="AM106" s="431"/>
    </row>
    <row r="107" ht="11.25" customHeight="1">
      <c r="A107" s="441"/>
      <c r="B107" s="441"/>
      <c r="C107" s="441"/>
      <c r="D107" s="442"/>
      <c r="E107" s="331"/>
      <c r="F107" s="331"/>
      <c r="G107" s="331"/>
      <c r="H107" s="331"/>
      <c r="I107" s="331"/>
      <c r="J107" s="442"/>
      <c r="K107" s="442"/>
      <c r="L107" s="442"/>
      <c r="M107" s="442"/>
      <c r="N107" s="442"/>
      <c r="O107" s="442"/>
      <c r="P107" s="442"/>
      <c r="Q107" s="442"/>
      <c r="R107" s="442"/>
      <c r="S107" s="443"/>
      <c r="T107" s="441"/>
      <c r="U107" s="441"/>
      <c r="V107" s="441"/>
      <c r="W107" s="441"/>
      <c r="X107" s="441"/>
      <c r="Y107" s="441"/>
      <c r="Z107" s="441"/>
      <c r="AA107" s="441"/>
      <c r="AB107" s="441"/>
      <c r="AC107" s="441"/>
      <c r="AD107" s="441"/>
      <c r="AE107" s="441"/>
      <c r="AF107" s="441"/>
      <c r="AG107" s="441"/>
      <c r="AH107" s="441"/>
      <c r="AI107" s="441"/>
      <c r="AJ107" s="441"/>
      <c r="AK107" s="441"/>
      <c r="AL107" s="441"/>
      <c r="AM107" s="441"/>
    </row>
    <row r="108" ht="11.25" customHeight="1">
      <c r="A108" s="441"/>
      <c r="B108" s="441"/>
      <c r="C108" s="441"/>
      <c r="D108" s="442"/>
      <c r="E108" s="331"/>
      <c r="F108" s="331"/>
      <c r="G108" s="331"/>
      <c r="H108" s="331"/>
      <c r="I108" s="331"/>
      <c r="J108" s="442"/>
      <c r="K108" s="442"/>
      <c r="L108" s="442"/>
      <c r="M108" s="442"/>
      <c r="N108" s="442"/>
      <c r="O108" s="442"/>
      <c r="P108" s="442"/>
      <c r="Q108" s="442"/>
      <c r="R108" s="442"/>
      <c r="S108" s="443"/>
      <c r="T108" s="441"/>
      <c r="U108" s="441"/>
      <c r="V108" s="441"/>
      <c r="W108" s="441"/>
      <c r="X108" s="441"/>
      <c r="Y108" s="441"/>
      <c r="Z108" s="441"/>
      <c r="AA108" s="441"/>
      <c r="AB108" s="441"/>
      <c r="AC108" s="441"/>
      <c r="AD108" s="441"/>
      <c r="AE108" s="441"/>
      <c r="AF108" s="441"/>
      <c r="AG108" s="441"/>
      <c r="AH108" s="441"/>
      <c r="AI108" s="441"/>
      <c r="AJ108" s="441"/>
      <c r="AK108" s="441"/>
      <c r="AL108" s="441"/>
      <c r="AM108" s="441"/>
    </row>
    <row r="109" ht="11.25" customHeight="1">
      <c r="A109" s="441"/>
      <c r="B109" s="444" t="s">
        <v>93</v>
      </c>
      <c r="C109" s="445"/>
      <c r="D109" s="446"/>
      <c r="E109" s="447"/>
      <c r="F109" s="447"/>
      <c r="G109" s="447"/>
      <c r="H109" s="447"/>
      <c r="I109" s="447"/>
      <c r="J109" s="446"/>
      <c r="K109" s="446"/>
      <c r="L109" s="446"/>
      <c r="M109" s="446"/>
      <c r="N109" s="446"/>
      <c r="O109" s="446"/>
      <c r="P109" s="446"/>
      <c r="Q109" s="446"/>
      <c r="R109" s="442"/>
      <c r="S109" s="443"/>
      <c r="T109" s="441"/>
      <c r="U109" s="441"/>
      <c r="V109" s="441"/>
      <c r="W109" s="441"/>
      <c r="X109" s="441"/>
      <c r="Y109" s="441"/>
      <c r="Z109" s="441"/>
      <c r="AA109" s="441"/>
      <c r="AB109" s="441"/>
      <c r="AC109" s="441"/>
      <c r="AD109" s="441"/>
      <c r="AE109" s="441"/>
      <c r="AF109" s="441"/>
      <c r="AG109" s="441"/>
      <c r="AH109" s="441"/>
      <c r="AI109" s="441"/>
      <c r="AJ109" s="441"/>
      <c r="AK109" s="441"/>
      <c r="AL109" s="441"/>
      <c r="AM109" s="441"/>
    </row>
    <row r="110" ht="11.25" customHeight="1" outlineLevel="1">
      <c r="A110" s="448"/>
      <c r="B110" s="449" t="s">
        <v>70</v>
      </c>
      <c r="C110" s="450"/>
      <c r="D110" s="451"/>
      <c r="E110" s="452"/>
      <c r="F110" s="452"/>
      <c r="G110" s="452"/>
      <c r="H110" s="452"/>
      <c r="I110" s="452"/>
      <c r="J110" s="451"/>
      <c r="K110" s="451">
        <f>'BIO - Income Statement (2)'!V85</f>
        <v>-13107</v>
      </c>
      <c r="L110" s="451">
        <f>'BIO - Income Statement (2)'!W85</f>
        <v>-6881</v>
      </c>
      <c r="M110" s="451">
        <f>'BIO - Income Statement (2)'!X85</f>
        <v>-4110</v>
      </c>
      <c r="N110" s="451">
        <f>'BIO - Income Statement (2)'!Y85</f>
        <v>9430</v>
      </c>
      <c r="O110" s="451">
        <f>'BIO - Income Statement (2)'!Z85</f>
        <v>27818</v>
      </c>
      <c r="P110" s="451">
        <f>'BIO - Income Statement (2)'!AA85</f>
        <v>22086</v>
      </c>
      <c r="Q110" s="451">
        <f>'BIO - Income Statement (2)'!AB85</f>
        <v>73401</v>
      </c>
      <c r="R110" s="453"/>
      <c r="S110" s="454"/>
      <c r="T110" s="448"/>
      <c r="U110" s="448"/>
      <c r="V110" s="448"/>
      <c r="W110" s="448"/>
      <c r="X110" s="448"/>
      <c r="Y110" s="448"/>
      <c r="Z110" s="448"/>
      <c r="AA110" s="448"/>
      <c r="AB110" s="448"/>
      <c r="AC110" s="448"/>
      <c r="AD110" s="448"/>
      <c r="AE110" s="448"/>
      <c r="AF110" s="448"/>
      <c r="AG110" s="448"/>
      <c r="AH110" s="448"/>
      <c r="AI110" s="448"/>
      <c r="AJ110" s="448"/>
      <c r="AK110" s="448"/>
      <c r="AL110" s="448"/>
      <c r="AM110" s="448"/>
    </row>
    <row r="111" ht="11.25" customHeight="1" outlineLevel="1">
      <c r="A111" s="448"/>
      <c r="B111" s="449" t="s">
        <v>71</v>
      </c>
      <c r="C111" s="450"/>
      <c r="D111" s="451"/>
      <c r="E111" s="452"/>
      <c r="F111" s="452"/>
      <c r="G111" s="452"/>
      <c r="H111" s="452"/>
      <c r="I111" s="452"/>
      <c r="J111" s="451"/>
      <c r="K111" s="451">
        <f>'inogen P&amp;L'!N80</f>
        <v>1102</v>
      </c>
      <c r="L111" s="451">
        <f>'inogen P&amp;L'!O80</f>
        <v>4981</v>
      </c>
      <c r="M111" s="451">
        <f>'inogen P&amp;L'!P80</f>
        <v>12320</v>
      </c>
      <c r="N111" s="451">
        <f>'inogen P&amp;L'!Q80</f>
        <v>15861</v>
      </c>
      <c r="O111" s="451">
        <f>'inogen P&amp;L'!R80</f>
        <v>23465</v>
      </c>
      <c r="P111" s="451">
        <f>'inogen P&amp;L'!S80</f>
        <v>29963</v>
      </c>
      <c r="Q111" s="451">
        <f>'inogen P&amp;L'!T80</f>
        <v>37940</v>
      </c>
      <c r="R111" s="453"/>
      <c r="S111" s="454"/>
      <c r="T111" s="448"/>
      <c r="U111" s="448"/>
      <c r="V111" s="448"/>
      <c r="W111" s="448"/>
      <c r="X111" s="448"/>
      <c r="Y111" s="448"/>
      <c r="Z111" s="448"/>
      <c r="AA111" s="448"/>
      <c r="AB111" s="448"/>
      <c r="AC111" s="448"/>
      <c r="AD111" s="448"/>
      <c r="AE111" s="448"/>
      <c r="AF111" s="448"/>
      <c r="AG111" s="448"/>
      <c r="AH111" s="448"/>
      <c r="AI111" s="448"/>
      <c r="AJ111" s="448"/>
      <c r="AK111" s="448"/>
      <c r="AL111" s="448"/>
      <c r="AM111" s="448"/>
    </row>
    <row r="112" ht="11.25" customHeight="1" outlineLevel="1">
      <c r="A112" s="448"/>
      <c r="B112" s="449" t="s">
        <v>72</v>
      </c>
      <c r="C112" s="450"/>
      <c r="D112" s="451"/>
      <c r="E112" s="452"/>
      <c r="F112" s="452"/>
      <c r="G112" s="452"/>
      <c r="H112" s="452"/>
      <c r="I112" s="452"/>
      <c r="J112" s="451"/>
      <c r="K112" s="451"/>
      <c r="L112" s="451"/>
      <c r="M112" s="451"/>
      <c r="N112" s="451"/>
      <c r="O112" s="451"/>
      <c r="P112" s="451"/>
      <c r="Q112" s="451"/>
      <c r="R112" s="453"/>
      <c r="S112" s="454"/>
      <c r="T112" s="448"/>
      <c r="U112" s="448"/>
      <c r="V112" s="448"/>
      <c r="W112" s="448"/>
      <c r="X112" s="448"/>
      <c r="Y112" s="448"/>
      <c r="Z112" s="448"/>
      <c r="AA112" s="448"/>
      <c r="AB112" s="448"/>
      <c r="AC112" s="448"/>
      <c r="AD112" s="448"/>
      <c r="AE112" s="448"/>
      <c r="AF112" s="448"/>
      <c r="AG112" s="448"/>
      <c r="AH112" s="448"/>
      <c r="AI112" s="448"/>
      <c r="AJ112" s="448"/>
      <c r="AK112" s="448"/>
      <c r="AL112" s="448"/>
      <c r="AM112" s="448"/>
    </row>
    <row r="113" ht="11.25" customHeight="1" outlineLevel="1">
      <c r="A113" s="448"/>
      <c r="B113" s="449"/>
      <c r="C113" s="450"/>
      <c r="D113" s="451"/>
      <c r="E113" s="452"/>
      <c r="F113" s="452"/>
      <c r="G113" s="452"/>
      <c r="H113" s="452"/>
      <c r="I113" s="452"/>
      <c r="J113" s="451"/>
      <c r="K113" s="451"/>
      <c r="L113" s="451"/>
      <c r="M113" s="451"/>
      <c r="N113" s="451"/>
      <c r="O113" s="451"/>
      <c r="P113" s="451"/>
      <c r="Q113" s="451"/>
      <c r="R113" s="453"/>
      <c r="S113" s="454"/>
      <c r="T113" s="448"/>
      <c r="U113" s="448"/>
      <c r="V113" s="448"/>
      <c r="W113" s="448"/>
      <c r="X113" s="448"/>
      <c r="Y113" s="448"/>
      <c r="Z113" s="448"/>
      <c r="AA113" s="448"/>
      <c r="AB113" s="448"/>
      <c r="AC113" s="448"/>
      <c r="AD113" s="448"/>
      <c r="AE113" s="448"/>
      <c r="AF113" s="448"/>
      <c r="AG113" s="448"/>
      <c r="AH113" s="448"/>
      <c r="AI113" s="448"/>
      <c r="AJ113" s="448"/>
      <c r="AK113" s="448"/>
      <c r="AL113" s="448"/>
      <c r="AM113" s="448"/>
    </row>
    <row r="114" ht="11.25" customHeight="1" outlineLevel="1">
      <c r="A114" s="441"/>
      <c r="B114" s="455" t="s">
        <v>94</v>
      </c>
      <c r="C114" s="456"/>
      <c r="D114" s="457"/>
      <c r="E114" s="376"/>
      <c r="F114" s="376"/>
      <c r="G114" s="376"/>
      <c r="H114" s="376"/>
      <c r="I114" s="376"/>
      <c r="J114" s="457"/>
      <c r="K114" s="457"/>
      <c r="L114" s="457"/>
      <c r="M114" s="457"/>
      <c r="N114" s="457"/>
      <c r="O114" s="457"/>
      <c r="P114" s="457"/>
      <c r="Q114" s="457"/>
      <c r="R114" s="441"/>
      <c r="S114" s="443"/>
      <c r="T114" s="441"/>
      <c r="U114" s="441"/>
      <c r="V114" s="441"/>
      <c r="W114" s="441"/>
      <c r="X114" s="441"/>
      <c r="Y114" s="441"/>
      <c r="Z114" s="441"/>
      <c r="AA114" s="441"/>
      <c r="AB114" s="441"/>
      <c r="AC114" s="441"/>
      <c r="AD114" s="441"/>
      <c r="AE114" s="441"/>
      <c r="AF114" s="441"/>
      <c r="AG114" s="441"/>
      <c r="AH114" s="441"/>
      <c r="AI114" s="441"/>
      <c r="AJ114" s="441"/>
      <c r="AK114" s="441"/>
      <c r="AL114" s="441"/>
      <c r="AM114" s="441"/>
    </row>
    <row r="115" ht="11.25" customHeight="1" outlineLevel="1">
      <c r="A115" s="441"/>
      <c r="B115" s="458" t="s">
        <v>70</v>
      </c>
      <c r="C115" s="456"/>
      <c r="D115" s="457"/>
      <c r="E115" s="376"/>
      <c r="F115" s="376"/>
      <c r="G115" s="376"/>
      <c r="H115" s="376"/>
      <c r="I115" s="376"/>
      <c r="J115" s="457" t="str">
        <f>J95/J68</f>
        <v>#DIV/0!</v>
      </c>
      <c r="K115" s="457">
        <f t="shared" ref="K115:Q115" si="53">K110/K10</f>
        <v>-0.1175578955</v>
      </c>
      <c r="L115" s="457">
        <f t="shared" si="53"/>
        <v>-0.05313472483</v>
      </c>
      <c r="M115" s="457">
        <f t="shared" si="53"/>
        <v>-0.0246731261</v>
      </c>
      <c r="N115" s="457">
        <f t="shared" si="53"/>
        <v>0.05282528443</v>
      </c>
      <c r="O115" s="457">
        <f t="shared" si="53"/>
        <v>0.1403326456</v>
      </c>
      <c r="P115" s="457">
        <f t="shared" si="53"/>
        <v>0.08084927244</v>
      </c>
      <c r="Q115" s="457">
        <f t="shared" si="53"/>
        <v>0.1885107596</v>
      </c>
      <c r="R115" s="441"/>
      <c r="S115" s="443"/>
      <c r="T115" s="441"/>
      <c r="U115" s="441"/>
      <c r="V115" s="441"/>
      <c r="W115" s="441"/>
      <c r="X115" s="441"/>
      <c r="Y115" s="441"/>
      <c r="Z115" s="441"/>
      <c r="AA115" s="441"/>
      <c r="AB115" s="441"/>
      <c r="AC115" s="441"/>
      <c r="AD115" s="441"/>
      <c r="AE115" s="441"/>
      <c r="AF115" s="441"/>
      <c r="AG115" s="441"/>
      <c r="AH115" s="441"/>
      <c r="AI115" s="441"/>
      <c r="AJ115" s="441"/>
      <c r="AK115" s="441"/>
      <c r="AL115" s="441"/>
      <c r="AM115" s="441"/>
    </row>
    <row r="116" ht="11.25" customHeight="1" outlineLevel="1">
      <c r="A116" s="441"/>
      <c r="B116" s="458" t="s">
        <v>71</v>
      </c>
      <c r="C116" s="456"/>
      <c r="D116" s="457"/>
      <c r="E116" s="376"/>
      <c r="F116" s="376"/>
      <c r="G116" s="376"/>
      <c r="H116" s="376"/>
      <c r="I116" s="376"/>
      <c r="J116" s="457"/>
      <c r="K116" s="457">
        <f t="shared" ref="K116:Q116" si="54">K111/K11</f>
        <v>0.02268610013</v>
      </c>
      <c r="L116" s="457">
        <f t="shared" si="54"/>
        <v>0.06602335538</v>
      </c>
      <c r="M116" s="457">
        <f t="shared" si="54"/>
        <v>0.109475106</v>
      </c>
      <c r="N116" s="457">
        <f t="shared" si="54"/>
        <v>0.09975158014</v>
      </c>
      <c r="O116" s="457">
        <f t="shared" si="54"/>
        <v>0.115688585</v>
      </c>
      <c r="P116" s="457">
        <f t="shared" si="54"/>
        <v>0.1201220343</v>
      </c>
      <c r="Q116" s="457">
        <f t="shared" si="54"/>
        <v>0.1059448048</v>
      </c>
      <c r="R116" s="441"/>
      <c r="S116" s="443"/>
      <c r="T116" s="441"/>
      <c r="U116" s="441"/>
      <c r="V116" s="441"/>
      <c r="W116" s="441"/>
      <c r="X116" s="441"/>
      <c r="Y116" s="441"/>
      <c r="Z116" s="441"/>
      <c r="AA116" s="441"/>
      <c r="AB116" s="441"/>
      <c r="AC116" s="441"/>
      <c r="AD116" s="441"/>
      <c r="AE116" s="441"/>
      <c r="AF116" s="441"/>
      <c r="AG116" s="441"/>
      <c r="AH116" s="441"/>
      <c r="AI116" s="441"/>
      <c r="AJ116" s="441"/>
      <c r="AK116" s="441"/>
      <c r="AL116" s="441"/>
      <c r="AM116" s="441"/>
    </row>
    <row r="117" ht="11.25" customHeight="1" outlineLevel="1">
      <c r="A117" s="441"/>
      <c r="B117" s="458" t="s">
        <v>72</v>
      </c>
      <c r="C117" s="456"/>
      <c r="D117" s="457"/>
      <c r="E117" s="376"/>
      <c r="F117" s="376"/>
      <c r="G117" s="376"/>
      <c r="H117" s="376"/>
      <c r="I117" s="376"/>
      <c r="J117" s="457"/>
      <c r="K117" s="457"/>
      <c r="L117" s="457"/>
      <c r="M117" s="457">
        <f t="shared" ref="M117:Q117" si="55">M112/M12</f>
        <v>0</v>
      </c>
      <c r="N117" s="457">
        <f t="shared" si="55"/>
        <v>0</v>
      </c>
      <c r="O117" s="457">
        <f t="shared" si="55"/>
        <v>0</v>
      </c>
      <c r="P117" s="457">
        <f t="shared" si="55"/>
        <v>0</v>
      </c>
      <c r="Q117" s="457">
        <f t="shared" si="55"/>
        <v>0</v>
      </c>
      <c r="R117" s="441"/>
      <c r="S117" s="443"/>
      <c r="T117" s="441"/>
      <c r="U117" s="441"/>
      <c r="V117" s="441"/>
      <c r="W117" s="441"/>
      <c r="X117" s="441"/>
      <c r="Y117" s="441"/>
      <c r="Z117" s="441"/>
      <c r="AA117" s="441"/>
      <c r="AB117" s="441"/>
      <c r="AC117" s="441"/>
      <c r="AD117" s="441"/>
      <c r="AE117" s="441"/>
      <c r="AF117" s="441"/>
      <c r="AG117" s="441"/>
      <c r="AH117" s="441"/>
      <c r="AI117" s="441"/>
      <c r="AJ117" s="441"/>
      <c r="AK117" s="441"/>
      <c r="AL117" s="441"/>
      <c r="AM117" s="441"/>
    </row>
    <row r="118" ht="11.25" customHeight="1" outlineLevel="4">
      <c r="A118" s="441"/>
      <c r="B118" s="441"/>
      <c r="C118" s="459"/>
      <c r="D118" s="460"/>
      <c r="E118" s="378"/>
      <c r="F118" s="378"/>
      <c r="G118" s="378"/>
      <c r="H118" s="378"/>
      <c r="I118" s="378"/>
      <c r="J118" s="457"/>
      <c r="K118" s="457"/>
      <c r="L118" s="457"/>
      <c r="M118" s="457"/>
      <c r="N118" s="457"/>
      <c r="O118" s="457"/>
      <c r="P118" s="457"/>
      <c r="Q118" s="457"/>
      <c r="R118" s="442"/>
      <c r="S118" s="443"/>
      <c r="T118" s="441"/>
      <c r="U118" s="441"/>
      <c r="V118" s="441"/>
      <c r="W118" s="441"/>
      <c r="X118" s="441"/>
      <c r="Y118" s="441"/>
      <c r="Z118" s="441"/>
      <c r="AA118" s="441"/>
      <c r="AB118" s="441"/>
      <c r="AC118" s="441"/>
      <c r="AD118" s="441"/>
      <c r="AE118" s="441"/>
      <c r="AF118" s="441"/>
      <c r="AG118" s="441"/>
      <c r="AH118" s="441"/>
      <c r="AI118" s="441"/>
      <c r="AJ118" s="441"/>
      <c r="AK118" s="441"/>
      <c r="AL118" s="441"/>
      <c r="AM118" s="441"/>
    </row>
    <row r="119" ht="11.25" customHeight="1" outlineLevel="4">
      <c r="A119" s="441"/>
      <c r="B119" s="461" t="s">
        <v>76</v>
      </c>
      <c r="C119" s="462"/>
      <c r="D119" s="463"/>
      <c r="E119" s="464"/>
      <c r="F119" s="464"/>
      <c r="G119" s="464"/>
      <c r="H119" s="382"/>
      <c r="I119" s="382"/>
      <c r="J119" s="465"/>
      <c r="K119" s="463">
        <f t="shared" ref="K119:Q119" si="56">PERCENTILE(K115:K117, 0.75)</f>
        <v>-0.01237489877</v>
      </c>
      <c r="L119" s="463">
        <f t="shared" si="56"/>
        <v>0.03623383533</v>
      </c>
      <c r="M119" s="463">
        <f t="shared" si="56"/>
        <v>0.05473755298</v>
      </c>
      <c r="N119" s="463">
        <f t="shared" si="56"/>
        <v>0.07628843229</v>
      </c>
      <c r="O119" s="463">
        <f t="shared" si="56"/>
        <v>0.1280106153</v>
      </c>
      <c r="P119" s="463">
        <f t="shared" si="56"/>
        <v>0.1004856534</v>
      </c>
      <c r="Q119" s="466">
        <f t="shared" si="56"/>
        <v>0.1472277822</v>
      </c>
      <c r="R119" s="442"/>
      <c r="S119" s="443"/>
      <c r="T119" s="441"/>
      <c r="U119" s="441"/>
      <c r="V119" s="441"/>
      <c r="W119" s="441"/>
      <c r="X119" s="441"/>
      <c r="Y119" s="441"/>
      <c r="Z119" s="441"/>
      <c r="AA119" s="441"/>
      <c r="AB119" s="441"/>
      <c r="AC119" s="441"/>
      <c r="AD119" s="441"/>
      <c r="AE119" s="441"/>
      <c r="AF119" s="441"/>
      <c r="AG119" s="441"/>
      <c r="AH119" s="441"/>
      <c r="AI119" s="441"/>
      <c r="AJ119" s="441"/>
      <c r="AK119" s="441"/>
      <c r="AL119" s="441"/>
      <c r="AM119" s="441"/>
    </row>
    <row r="120" ht="11.25" customHeight="1" outlineLevel="4">
      <c r="A120" s="441"/>
      <c r="B120" s="467" t="s">
        <v>77</v>
      </c>
      <c r="C120" s="468"/>
      <c r="D120" s="469"/>
      <c r="E120" s="388"/>
      <c r="F120" s="388"/>
      <c r="G120" s="388"/>
      <c r="H120" s="378"/>
      <c r="I120" s="378"/>
      <c r="J120" s="457"/>
      <c r="K120" s="469">
        <f t="shared" ref="K120:Q120" si="57">MEDIAN(K115:K117)</f>
        <v>-0.04743589768</v>
      </c>
      <c r="L120" s="469">
        <f t="shared" si="57"/>
        <v>0.006444315276</v>
      </c>
      <c r="M120" s="469">
        <f t="shared" si="57"/>
        <v>0</v>
      </c>
      <c r="N120" s="469">
        <f t="shared" si="57"/>
        <v>0.05282528443</v>
      </c>
      <c r="O120" s="469">
        <f t="shared" si="57"/>
        <v>0.115688585</v>
      </c>
      <c r="P120" s="469">
        <f t="shared" si="57"/>
        <v>0.08084927244</v>
      </c>
      <c r="Q120" s="470">
        <f t="shared" si="57"/>
        <v>0.1059448048</v>
      </c>
      <c r="R120" s="442"/>
      <c r="S120" s="443"/>
      <c r="T120" s="441"/>
      <c r="U120" s="441"/>
      <c r="V120" s="441"/>
      <c r="W120" s="441"/>
      <c r="X120" s="441"/>
      <c r="Y120" s="441"/>
      <c r="Z120" s="441"/>
      <c r="AA120" s="441"/>
      <c r="AB120" s="441"/>
      <c r="AC120" s="441"/>
      <c r="AD120" s="441"/>
      <c r="AE120" s="441"/>
      <c r="AF120" s="441"/>
      <c r="AG120" s="441"/>
      <c r="AH120" s="441"/>
      <c r="AI120" s="441"/>
      <c r="AJ120" s="441"/>
      <c r="AK120" s="441"/>
      <c r="AL120" s="441"/>
      <c r="AM120" s="441"/>
    </row>
    <row r="121" ht="11.25" customHeight="1" outlineLevel="4">
      <c r="A121" s="441"/>
      <c r="B121" s="471" t="s">
        <v>78</v>
      </c>
      <c r="C121" s="472"/>
      <c r="D121" s="473"/>
      <c r="E121" s="395"/>
      <c r="F121" s="395"/>
      <c r="G121" s="395"/>
      <c r="H121" s="396"/>
      <c r="I121" s="396"/>
      <c r="J121" s="474"/>
      <c r="K121" s="473">
        <f t="shared" ref="K121:Q121" si="58">PERCENTILE(K115:K117, 0.25)</f>
        <v>-0.08249689659</v>
      </c>
      <c r="L121" s="473">
        <f t="shared" si="58"/>
        <v>-0.02334520478</v>
      </c>
      <c r="M121" s="473">
        <f t="shared" si="58"/>
        <v>-0.01233656305</v>
      </c>
      <c r="N121" s="473">
        <f t="shared" si="58"/>
        <v>0.02641264222</v>
      </c>
      <c r="O121" s="473">
        <f t="shared" si="58"/>
        <v>0.05784429248</v>
      </c>
      <c r="P121" s="473">
        <f t="shared" si="58"/>
        <v>0.04042463622</v>
      </c>
      <c r="Q121" s="475">
        <f t="shared" si="58"/>
        <v>0.05297240241</v>
      </c>
      <c r="R121" s="442"/>
      <c r="S121" s="443"/>
      <c r="T121" s="441"/>
      <c r="U121" s="441"/>
      <c r="V121" s="441"/>
      <c r="W121" s="441"/>
      <c r="X121" s="441"/>
      <c r="Y121" s="441"/>
      <c r="Z121" s="441"/>
      <c r="AA121" s="441"/>
      <c r="AB121" s="441"/>
      <c r="AC121" s="441"/>
      <c r="AD121" s="441"/>
      <c r="AE121" s="441"/>
      <c r="AF121" s="441"/>
      <c r="AG121" s="441"/>
      <c r="AH121" s="441"/>
      <c r="AI121" s="441"/>
      <c r="AJ121" s="441"/>
      <c r="AK121" s="441"/>
      <c r="AL121" s="441"/>
      <c r="AM121" s="441"/>
    </row>
    <row r="122" ht="11.25" customHeight="1">
      <c r="A122" s="441"/>
      <c r="B122" s="441"/>
      <c r="C122" s="441"/>
      <c r="D122" s="442"/>
      <c r="E122" s="331"/>
      <c r="F122" s="331"/>
      <c r="G122" s="331"/>
      <c r="H122" s="331"/>
      <c r="I122" s="331"/>
      <c r="J122" s="442"/>
      <c r="K122" s="457"/>
      <c r="L122" s="457"/>
      <c r="M122" s="457"/>
      <c r="N122" s="457"/>
      <c r="O122" s="457"/>
      <c r="P122" s="457"/>
      <c r="Q122" s="457"/>
      <c r="R122" s="442"/>
      <c r="S122" s="443"/>
      <c r="T122" s="441"/>
      <c r="U122" s="441"/>
      <c r="V122" s="441"/>
      <c r="W122" s="441"/>
      <c r="X122" s="441"/>
      <c r="Y122" s="441"/>
      <c r="Z122" s="441"/>
      <c r="AA122" s="441"/>
      <c r="AB122" s="441"/>
      <c r="AC122" s="441"/>
      <c r="AD122" s="441"/>
      <c r="AE122" s="441"/>
      <c r="AF122" s="441"/>
      <c r="AG122" s="441"/>
      <c r="AH122" s="441"/>
      <c r="AI122" s="441"/>
      <c r="AJ122" s="441"/>
      <c r="AK122" s="441"/>
      <c r="AL122" s="441"/>
      <c r="AM122" s="441"/>
    </row>
    <row r="123" ht="11.25" customHeight="1">
      <c r="A123" s="441"/>
      <c r="B123" s="445"/>
      <c r="C123" s="445"/>
      <c r="D123" s="446"/>
      <c r="E123" s="447"/>
      <c r="F123" s="447"/>
      <c r="G123" s="447"/>
      <c r="H123" s="447"/>
      <c r="I123" s="447"/>
      <c r="J123" s="446"/>
      <c r="K123" s="446"/>
      <c r="L123" s="446"/>
      <c r="M123" s="446"/>
      <c r="N123" s="446"/>
      <c r="O123" s="446"/>
      <c r="P123" s="446"/>
      <c r="Q123" s="446"/>
      <c r="R123" s="442"/>
      <c r="S123" s="443"/>
      <c r="T123" s="441"/>
      <c r="U123" s="441"/>
      <c r="V123" s="441"/>
      <c r="W123" s="441"/>
      <c r="X123" s="441"/>
      <c r="Y123" s="441"/>
      <c r="Z123" s="441"/>
      <c r="AA123" s="441"/>
      <c r="AB123" s="441"/>
      <c r="AC123" s="441"/>
      <c r="AD123" s="441"/>
      <c r="AE123" s="441"/>
      <c r="AF123" s="441"/>
      <c r="AG123" s="441"/>
      <c r="AH123" s="441"/>
      <c r="AI123" s="441"/>
      <c r="AJ123" s="441"/>
      <c r="AK123" s="441"/>
      <c r="AL123" s="441"/>
      <c r="AM123" s="441"/>
    </row>
    <row r="124" ht="11.25" customHeight="1">
      <c r="A124" s="476"/>
      <c r="B124" s="477" t="s">
        <v>95</v>
      </c>
      <c r="C124" s="476"/>
      <c r="D124" s="478"/>
      <c r="E124" s="479"/>
      <c r="F124" s="479"/>
      <c r="G124" s="479"/>
      <c r="H124" s="479"/>
      <c r="I124" s="479"/>
      <c r="J124" s="478"/>
      <c r="K124" s="478"/>
      <c r="L124" s="478"/>
      <c r="M124" s="478"/>
      <c r="N124" s="478"/>
      <c r="O124" s="478"/>
      <c r="P124" s="478"/>
      <c r="Q124" s="478"/>
      <c r="R124" s="478"/>
      <c r="S124" s="480"/>
      <c r="T124" s="476"/>
      <c r="U124" s="476"/>
      <c r="V124" s="476"/>
      <c r="W124" s="476"/>
      <c r="X124" s="476"/>
      <c r="Y124" s="476"/>
      <c r="Z124" s="476"/>
      <c r="AA124" s="476"/>
      <c r="AB124" s="476"/>
      <c r="AC124" s="476"/>
      <c r="AD124" s="476"/>
      <c r="AE124" s="476"/>
      <c r="AF124" s="476"/>
      <c r="AG124" s="476"/>
      <c r="AH124" s="476"/>
      <c r="AI124" s="476"/>
      <c r="AJ124" s="476"/>
      <c r="AK124" s="476"/>
      <c r="AL124" s="476"/>
      <c r="AM124" s="476"/>
    </row>
    <row r="125" ht="11.25" customHeight="1" outlineLevel="1">
      <c r="A125" s="476"/>
      <c r="B125" s="481" t="s">
        <v>70</v>
      </c>
      <c r="C125" s="482"/>
      <c r="D125" s="483"/>
      <c r="E125" s="484"/>
      <c r="F125" s="484"/>
      <c r="G125" s="484"/>
      <c r="H125" s="484"/>
      <c r="I125" s="484"/>
      <c r="J125" s="483"/>
      <c r="K125" s="483">
        <f t="shared" ref="K125:Q125" si="59">K35-K103</f>
        <v>-1059</v>
      </c>
      <c r="L125" s="483">
        <f t="shared" si="59"/>
        <v>906</v>
      </c>
      <c r="M125" s="483">
        <f t="shared" si="59"/>
        <v>5034</v>
      </c>
      <c r="N125" s="483">
        <f t="shared" si="59"/>
        <v>23628</v>
      </c>
      <c r="O125" s="483">
        <f t="shared" si="59"/>
        <v>26479</v>
      </c>
      <c r="P125" s="483">
        <f t="shared" si="59"/>
        <v>29363</v>
      </c>
      <c r="Q125" s="483">
        <f t="shared" si="59"/>
        <v>76596</v>
      </c>
      <c r="R125" s="485"/>
      <c r="S125" s="480"/>
      <c r="T125" s="476"/>
      <c r="U125" s="476"/>
      <c r="V125" s="476"/>
      <c r="W125" s="476"/>
      <c r="X125" s="476"/>
      <c r="Y125" s="476"/>
      <c r="Z125" s="476"/>
      <c r="AA125" s="476"/>
      <c r="AB125" s="476"/>
      <c r="AC125" s="476"/>
      <c r="AD125" s="476"/>
      <c r="AE125" s="476"/>
      <c r="AF125" s="476"/>
      <c r="AG125" s="476"/>
      <c r="AH125" s="476"/>
      <c r="AI125" s="476"/>
      <c r="AJ125" s="476"/>
      <c r="AK125" s="476"/>
      <c r="AL125" s="476"/>
      <c r="AM125" s="476"/>
    </row>
    <row r="126" ht="11.25" customHeight="1" outlineLevel="1">
      <c r="A126" s="476"/>
      <c r="B126" s="481" t="s">
        <v>71</v>
      </c>
      <c r="C126" s="482"/>
      <c r="D126" s="483"/>
      <c r="E126" s="484"/>
      <c r="F126" s="484"/>
      <c r="G126" s="484"/>
      <c r="H126" s="484"/>
      <c r="I126" s="484"/>
      <c r="J126" s="483"/>
      <c r="K126" s="483">
        <f t="shared" ref="K126:Q126" si="60">K36-K104</f>
        <v>829</v>
      </c>
      <c r="L126" s="483">
        <f t="shared" si="60"/>
        <v>4464</v>
      </c>
      <c r="M126" s="483">
        <f t="shared" si="60"/>
        <v>10511</v>
      </c>
      <c r="N126" s="483">
        <f t="shared" si="60"/>
        <v>15051</v>
      </c>
      <c r="O126" s="483">
        <f t="shared" si="60"/>
        <v>22864</v>
      </c>
      <c r="P126" s="483">
        <f t="shared" si="60"/>
        <v>27590</v>
      </c>
      <c r="Q126" s="483">
        <f t="shared" si="60"/>
        <v>37892</v>
      </c>
      <c r="R126" s="485"/>
      <c r="S126" s="480"/>
      <c r="T126" s="476"/>
      <c r="U126" s="476"/>
      <c r="V126" s="476"/>
      <c r="W126" s="476"/>
      <c r="X126" s="476"/>
      <c r="Y126" s="476"/>
      <c r="Z126" s="476"/>
      <c r="AA126" s="476"/>
      <c r="AB126" s="476"/>
      <c r="AC126" s="476"/>
      <c r="AD126" s="476"/>
      <c r="AE126" s="476"/>
      <c r="AF126" s="476"/>
      <c r="AG126" s="476"/>
      <c r="AH126" s="476"/>
      <c r="AI126" s="476"/>
      <c r="AJ126" s="476"/>
      <c r="AK126" s="476"/>
      <c r="AL126" s="476"/>
      <c r="AM126" s="476"/>
    </row>
    <row r="127" ht="11.25" customHeight="1" outlineLevel="1">
      <c r="A127" s="476"/>
      <c r="B127" s="481" t="s">
        <v>72</v>
      </c>
      <c r="C127" s="482"/>
      <c r="D127" s="483"/>
      <c r="E127" s="484"/>
      <c r="F127" s="484"/>
      <c r="G127" s="484"/>
      <c r="H127" s="484"/>
      <c r="I127" s="484"/>
      <c r="J127" s="483"/>
      <c r="K127" s="483">
        <f t="shared" ref="K127:Q127" si="61">K37-K105</f>
        <v>0</v>
      </c>
      <c r="L127" s="483">
        <f t="shared" si="61"/>
        <v>0</v>
      </c>
      <c r="M127" s="483">
        <f t="shared" si="61"/>
        <v>5460</v>
      </c>
      <c r="N127" s="483">
        <f t="shared" si="61"/>
        <v>15091</v>
      </c>
      <c r="O127" s="483">
        <f t="shared" si="61"/>
        <v>36039</v>
      </c>
      <c r="P127" s="483">
        <f t="shared" si="61"/>
        <v>57466</v>
      </c>
      <c r="Q127" s="483">
        <f t="shared" si="61"/>
        <v>87964</v>
      </c>
      <c r="R127" s="485"/>
      <c r="S127" s="480"/>
      <c r="T127" s="476"/>
      <c r="U127" s="476"/>
      <c r="V127" s="476"/>
      <c r="W127" s="476"/>
      <c r="X127" s="476"/>
      <c r="Y127" s="476"/>
      <c r="Z127" s="476"/>
      <c r="AA127" s="476"/>
      <c r="AB127" s="476"/>
      <c r="AC127" s="476"/>
      <c r="AD127" s="476"/>
      <c r="AE127" s="476"/>
      <c r="AF127" s="476"/>
      <c r="AG127" s="476"/>
      <c r="AH127" s="476"/>
      <c r="AI127" s="476"/>
      <c r="AJ127" s="476"/>
      <c r="AK127" s="476"/>
      <c r="AL127" s="476"/>
      <c r="AM127" s="476"/>
    </row>
    <row r="128" ht="11.25" customHeight="1" outlineLevel="1">
      <c r="A128" s="476"/>
      <c r="B128" s="481"/>
      <c r="C128" s="482"/>
      <c r="D128" s="483"/>
      <c r="E128" s="484"/>
      <c r="F128" s="484"/>
      <c r="G128" s="484"/>
      <c r="H128" s="484"/>
      <c r="I128" s="484"/>
      <c r="J128" s="483"/>
      <c r="K128" s="483"/>
      <c r="L128" s="483"/>
      <c r="M128" s="483"/>
      <c r="N128" s="483"/>
      <c r="O128" s="483"/>
      <c r="P128" s="483"/>
      <c r="Q128" s="483"/>
      <c r="R128" s="485"/>
      <c r="S128" s="480"/>
      <c r="T128" s="476"/>
      <c r="U128" s="476"/>
      <c r="V128" s="476"/>
      <c r="W128" s="476"/>
      <c r="X128" s="476"/>
      <c r="Y128" s="476"/>
      <c r="Z128" s="476"/>
      <c r="AA128" s="476"/>
      <c r="AB128" s="476"/>
      <c r="AC128" s="476"/>
      <c r="AD128" s="476"/>
      <c r="AE128" s="476"/>
      <c r="AF128" s="476"/>
      <c r="AG128" s="476"/>
      <c r="AH128" s="476"/>
      <c r="AI128" s="476"/>
      <c r="AJ128" s="476"/>
      <c r="AK128" s="476"/>
      <c r="AL128" s="476"/>
      <c r="AM128" s="476"/>
    </row>
    <row r="129" ht="11.25" customHeight="1" outlineLevel="1">
      <c r="A129" s="441"/>
      <c r="B129" s="455" t="s">
        <v>96</v>
      </c>
      <c r="C129" s="456"/>
      <c r="D129" s="457"/>
      <c r="E129" s="376"/>
      <c r="F129" s="376"/>
      <c r="G129" s="376"/>
      <c r="H129" s="376"/>
      <c r="I129" s="376"/>
      <c r="J129" s="457"/>
      <c r="K129" s="457"/>
      <c r="L129" s="457"/>
      <c r="M129" s="457"/>
      <c r="N129" s="457"/>
      <c r="O129" s="457"/>
      <c r="P129" s="457"/>
      <c r="Q129" s="457"/>
      <c r="R129" s="441"/>
      <c r="S129" s="443"/>
      <c r="T129" s="441"/>
      <c r="U129" s="441"/>
      <c r="V129" s="441"/>
      <c r="W129" s="441"/>
      <c r="X129" s="441"/>
      <c r="Y129" s="441"/>
      <c r="Z129" s="441"/>
      <c r="AA129" s="441"/>
      <c r="AB129" s="441"/>
      <c r="AC129" s="441"/>
      <c r="AD129" s="441"/>
      <c r="AE129" s="441"/>
      <c r="AF129" s="441"/>
      <c r="AG129" s="441"/>
      <c r="AH129" s="441"/>
      <c r="AI129" s="441"/>
      <c r="AJ129" s="441"/>
      <c r="AK129" s="441"/>
      <c r="AL129" s="441"/>
      <c r="AM129" s="441"/>
    </row>
    <row r="130" ht="11.25" customHeight="1" outlineLevel="1">
      <c r="A130" s="441"/>
      <c r="B130" s="458" t="s">
        <v>70</v>
      </c>
      <c r="C130" s="456"/>
      <c r="D130" s="457"/>
      <c r="E130" s="376"/>
      <c r="F130" s="376"/>
      <c r="G130" s="376"/>
      <c r="H130" s="376"/>
      <c r="I130" s="376"/>
      <c r="J130" s="457" t="str">
        <f>J110/J91</f>
        <v>#DIV/0!</v>
      </c>
      <c r="K130" s="457">
        <f t="shared" ref="K130:Q130" si="62">K125/K10</f>
        <v>-0.009498268965</v>
      </c>
      <c r="L130" s="457">
        <f t="shared" si="62"/>
        <v>0.006996084972</v>
      </c>
      <c r="M130" s="457">
        <f t="shared" si="62"/>
        <v>0.03022007708</v>
      </c>
      <c r="N130" s="457">
        <f t="shared" si="62"/>
        <v>0.1323601082</v>
      </c>
      <c r="O130" s="457">
        <f t="shared" si="62"/>
        <v>0.1335778317</v>
      </c>
      <c r="P130" s="457">
        <f t="shared" si="62"/>
        <v>0.1074878741</v>
      </c>
      <c r="Q130" s="457">
        <f t="shared" si="62"/>
        <v>0.1967162592</v>
      </c>
      <c r="R130" s="441"/>
      <c r="S130" s="443"/>
      <c r="T130" s="441"/>
      <c r="U130" s="441"/>
      <c r="V130" s="441"/>
      <c r="W130" s="441"/>
      <c r="X130" s="441"/>
      <c r="Y130" s="441"/>
      <c r="Z130" s="441"/>
      <c r="AA130" s="441"/>
      <c r="AB130" s="441"/>
      <c r="AC130" s="441"/>
      <c r="AD130" s="441"/>
      <c r="AE130" s="441"/>
      <c r="AF130" s="441"/>
      <c r="AG130" s="441"/>
      <c r="AH130" s="441"/>
      <c r="AI130" s="441"/>
      <c r="AJ130" s="441"/>
      <c r="AK130" s="441"/>
      <c r="AL130" s="441"/>
      <c r="AM130" s="441"/>
    </row>
    <row r="131" ht="14.25" customHeight="1" outlineLevel="1">
      <c r="A131" s="441"/>
      <c r="B131" s="458" t="s">
        <v>71</v>
      </c>
      <c r="C131" s="456"/>
      <c r="D131" s="457"/>
      <c r="E131" s="376"/>
      <c r="F131" s="376"/>
      <c r="G131" s="376"/>
      <c r="H131" s="376"/>
      <c r="I131" s="376"/>
      <c r="J131" s="457"/>
      <c r="K131" s="457">
        <f t="shared" ref="K131:Q131" si="63">K126/K11</f>
        <v>0.01706604084</v>
      </c>
      <c r="L131" s="457">
        <f t="shared" si="63"/>
        <v>0.05917049958</v>
      </c>
      <c r="M131" s="457">
        <f t="shared" si="63"/>
        <v>0.09340039276</v>
      </c>
      <c r="N131" s="457">
        <f t="shared" si="63"/>
        <v>0.09465740071</v>
      </c>
      <c r="O131" s="457">
        <f t="shared" si="63"/>
        <v>0.1127254978</v>
      </c>
      <c r="P131" s="457">
        <f t="shared" si="63"/>
        <v>0.1106086482</v>
      </c>
      <c r="Q131" s="457">
        <f t="shared" si="63"/>
        <v>0.1058107682</v>
      </c>
      <c r="R131" s="441"/>
      <c r="S131" s="443"/>
      <c r="T131" s="441"/>
      <c r="U131" s="441"/>
      <c r="V131" s="441"/>
      <c r="W131" s="441"/>
      <c r="X131" s="441"/>
      <c r="Y131" s="441"/>
      <c r="Z131" s="441"/>
      <c r="AA131" s="441"/>
      <c r="AB131" s="441"/>
      <c r="AC131" s="441"/>
      <c r="AD131" s="441"/>
      <c r="AE131" s="441"/>
      <c r="AF131" s="441"/>
      <c r="AG131" s="441"/>
      <c r="AH131" s="441"/>
      <c r="AI131" s="441"/>
      <c r="AJ131" s="441"/>
      <c r="AK131" s="441"/>
      <c r="AL131" s="441"/>
      <c r="AM131" s="441"/>
    </row>
    <row r="132" ht="11.25" customHeight="1" outlineLevel="1">
      <c r="A132" s="441"/>
      <c r="B132" s="458" t="s">
        <v>72</v>
      </c>
      <c r="C132" s="456"/>
      <c r="D132" s="457"/>
      <c r="E132" s="376"/>
      <c r="F132" s="376"/>
      <c r="G132" s="376"/>
      <c r="H132" s="376"/>
      <c r="I132" s="376"/>
      <c r="J132" s="457"/>
      <c r="K132" s="457" t="str">
        <f t="shared" ref="K132:Q132" si="64">K127/K12</f>
        <v>#DIV/0!</v>
      </c>
      <c r="L132" s="457" t="str">
        <f t="shared" si="64"/>
        <v>#DIV/0!</v>
      </c>
      <c r="M132" s="457">
        <f t="shared" si="64"/>
        <v>0.2510460251</v>
      </c>
      <c r="N132" s="457">
        <f t="shared" si="64"/>
        <v>0.4175705589</v>
      </c>
      <c r="O132" s="457">
        <f t="shared" si="64"/>
        <v>0.5624765888</v>
      </c>
      <c r="P132" s="457">
        <f t="shared" si="64"/>
        <v>0.5833578658</v>
      </c>
      <c r="Q132" s="457">
        <f t="shared" si="64"/>
        <v>0.597204212</v>
      </c>
      <c r="R132" s="441"/>
      <c r="S132" s="443"/>
      <c r="T132" s="441"/>
      <c r="U132" s="441"/>
      <c r="V132" s="441"/>
      <c r="W132" s="441"/>
      <c r="X132" s="441"/>
      <c r="Y132" s="441"/>
      <c r="Z132" s="441"/>
      <c r="AA132" s="441"/>
      <c r="AB132" s="441"/>
      <c r="AC132" s="441"/>
      <c r="AD132" s="441"/>
      <c r="AE132" s="441"/>
      <c r="AF132" s="441"/>
      <c r="AG132" s="441"/>
      <c r="AH132" s="441"/>
      <c r="AI132" s="441"/>
      <c r="AJ132" s="441"/>
      <c r="AK132" s="441"/>
      <c r="AL132" s="441"/>
      <c r="AM132" s="441"/>
    </row>
    <row r="133" ht="11.25" customHeight="1">
      <c r="A133" s="441"/>
      <c r="B133" s="441"/>
      <c r="C133" s="441"/>
      <c r="D133" s="442"/>
      <c r="E133" s="331"/>
      <c r="F133" s="331"/>
      <c r="G133" s="331"/>
      <c r="H133" s="331"/>
      <c r="I133" s="331"/>
      <c r="J133" s="442"/>
      <c r="K133" s="457"/>
      <c r="L133" s="457"/>
      <c r="M133" s="457"/>
      <c r="N133" s="457"/>
      <c r="O133" s="457"/>
      <c r="P133" s="457"/>
      <c r="Q133" s="457"/>
      <c r="R133" s="442"/>
      <c r="S133" s="443"/>
      <c r="T133" s="441"/>
      <c r="U133" s="441"/>
      <c r="V133" s="441"/>
      <c r="W133" s="441"/>
      <c r="X133" s="441"/>
      <c r="Y133" s="441"/>
      <c r="Z133" s="441"/>
      <c r="AA133" s="441"/>
      <c r="AB133" s="441"/>
      <c r="AC133" s="441"/>
      <c r="AD133" s="441"/>
      <c r="AE133" s="441"/>
      <c r="AF133" s="441"/>
      <c r="AG133" s="441"/>
      <c r="AH133" s="441"/>
      <c r="AI133" s="441"/>
      <c r="AJ133" s="441"/>
      <c r="AK133" s="441"/>
      <c r="AL133" s="441"/>
      <c r="AM133" s="441"/>
    </row>
    <row r="134" ht="11.25" customHeight="1">
      <c r="A134" s="441"/>
      <c r="B134" s="445"/>
      <c r="C134" s="445"/>
      <c r="D134" s="446"/>
      <c r="E134" s="447"/>
      <c r="F134" s="447"/>
      <c r="G134" s="447"/>
      <c r="H134" s="447"/>
      <c r="I134" s="447"/>
      <c r="J134" s="446"/>
      <c r="K134" s="446"/>
      <c r="L134" s="446"/>
      <c r="M134" s="446"/>
      <c r="N134" s="446"/>
      <c r="O134" s="446"/>
      <c r="P134" s="446"/>
      <c r="Q134" s="446"/>
      <c r="R134" s="442"/>
      <c r="S134" s="443"/>
      <c r="T134" s="441"/>
      <c r="U134" s="441"/>
      <c r="V134" s="441"/>
      <c r="W134" s="441"/>
      <c r="X134" s="441"/>
      <c r="Y134" s="441"/>
      <c r="Z134" s="441"/>
      <c r="AA134" s="441"/>
      <c r="AB134" s="441"/>
      <c r="AC134" s="441"/>
      <c r="AD134" s="441"/>
      <c r="AE134" s="441"/>
      <c r="AF134" s="441"/>
      <c r="AG134" s="441"/>
      <c r="AH134" s="441"/>
      <c r="AI134" s="441"/>
      <c r="AJ134" s="441"/>
      <c r="AK134" s="441"/>
      <c r="AL134" s="441"/>
      <c r="AM134" s="441"/>
    </row>
    <row r="135" ht="11.25" customHeight="1" outlineLevel="1">
      <c r="A135" s="476"/>
      <c r="B135" s="481" t="s">
        <v>97</v>
      </c>
      <c r="C135" s="482"/>
      <c r="D135" s="483"/>
      <c r="E135" s="484"/>
      <c r="F135" s="484"/>
      <c r="G135" s="484"/>
      <c r="H135" s="484"/>
      <c r="I135" s="484"/>
      <c r="J135" s="483"/>
      <c r="K135" s="483"/>
      <c r="L135" s="483"/>
      <c r="M135" s="483"/>
      <c r="N135" s="483"/>
      <c r="O135" s="483"/>
      <c r="P135" s="483"/>
      <c r="Q135" s="483"/>
      <c r="R135" s="485"/>
      <c r="S135" s="480"/>
      <c r="T135" s="476"/>
      <c r="U135" s="476"/>
      <c r="V135" s="476"/>
      <c r="W135" s="476"/>
      <c r="X135" s="476"/>
      <c r="Y135" s="476"/>
      <c r="Z135" s="476"/>
      <c r="AA135" s="476"/>
      <c r="AB135" s="476"/>
      <c r="AC135" s="476"/>
      <c r="AD135" s="476"/>
      <c r="AE135" s="476"/>
      <c r="AF135" s="476"/>
      <c r="AG135" s="476"/>
      <c r="AH135" s="476"/>
      <c r="AI135" s="476"/>
      <c r="AJ135" s="476"/>
      <c r="AK135" s="476"/>
      <c r="AL135" s="476"/>
      <c r="AM135" s="476"/>
    </row>
    <row r="136" ht="11.25" customHeight="1" outlineLevel="1">
      <c r="A136" s="476"/>
      <c r="B136" s="458" t="s">
        <v>70</v>
      </c>
      <c r="C136" s="482"/>
      <c r="D136" s="483"/>
      <c r="E136" s="484"/>
      <c r="F136" s="484"/>
      <c r="G136" s="484"/>
      <c r="H136" s="484"/>
      <c r="I136" s="484"/>
      <c r="J136" s="483"/>
      <c r="K136" s="486">
        <f t="shared" ref="K136:Q136" si="65">K115-K130</f>
        <v>-0.1080596265</v>
      </c>
      <c r="L136" s="486">
        <f t="shared" si="65"/>
        <v>-0.0601308098</v>
      </c>
      <c r="M136" s="486">
        <f t="shared" si="65"/>
        <v>-0.05489320318</v>
      </c>
      <c r="N136" s="486">
        <f t="shared" si="65"/>
        <v>-0.07953482379</v>
      </c>
      <c r="O136" s="486">
        <f t="shared" si="65"/>
        <v>0.006754813877</v>
      </c>
      <c r="P136" s="486">
        <f t="shared" si="65"/>
        <v>-0.02663860163</v>
      </c>
      <c r="Q136" s="486">
        <f t="shared" si="65"/>
        <v>-0.008205499611</v>
      </c>
      <c r="R136" s="485"/>
      <c r="S136" s="480"/>
      <c r="T136" s="476"/>
      <c r="U136" s="476"/>
      <c r="V136" s="476"/>
      <c r="W136" s="476"/>
      <c r="X136" s="476"/>
      <c r="Y136" s="476"/>
      <c r="Z136" s="476"/>
      <c r="AA136" s="476"/>
      <c r="AB136" s="476"/>
      <c r="AC136" s="476"/>
      <c r="AD136" s="476"/>
      <c r="AE136" s="476"/>
      <c r="AF136" s="476"/>
      <c r="AG136" s="476"/>
      <c r="AH136" s="476"/>
      <c r="AI136" s="476"/>
      <c r="AJ136" s="476"/>
      <c r="AK136" s="476"/>
      <c r="AL136" s="476"/>
      <c r="AM136" s="476"/>
    </row>
    <row r="137" ht="11.25" customHeight="1" outlineLevel="1">
      <c r="A137" s="476"/>
      <c r="B137" s="458" t="s">
        <v>71</v>
      </c>
      <c r="C137" s="482"/>
      <c r="D137" s="483"/>
      <c r="E137" s="484"/>
      <c r="F137" s="484"/>
      <c r="G137" s="484"/>
      <c r="H137" s="484"/>
      <c r="I137" s="484"/>
      <c r="J137" s="483"/>
      <c r="K137" s="486">
        <f t="shared" ref="K137:Q137" si="66">K116-K131</f>
        <v>0.005620059289</v>
      </c>
      <c r="L137" s="486">
        <f t="shared" si="66"/>
        <v>0.006852855798</v>
      </c>
      <c r="M137" s="486">
        <f t="shared" si="66"/>
        <v>0.01607471321</v>
      </c>
      <c r="N137" s="486">
        <f t="shared" si="66"/>
        <v>0.005094179428</v>
      </c>
      <c r="O137" s="486">
        <f t="shared" si="66"/>
        <v>0.002963087133</v>
      </c>
      <c r="P137" s="486">
        <f t="shared" si="66"/>
        <v>0.009513386092</v>
      </c>
      <c r="Q137" s="486">
        <f t="shared" si="66"/>
        <v>0.0001340366534</v>
      </c>
      <c r="R137" s="485"/>
      <c r="S137" s="480"/>
      <c r="T137" s="476"/>
      <c r="U137" s="476"/>
      <c r="V137" s="476"/>
      <c r="W137" s="476"/>
      <c r="X137" s="476"/>
      <c r="Y137" s="476"/>
      <c r="Z137" s="476"/>
      <c r="AA137" s="476"/>
      <c r="AB137" s="476"/>
      <c r="AC137" s="476"/>
      <c r="AD137" s="476"/>
      <c r="AE137" s="476"/>
      <c r="AF137" s="476"/>
      <c r="AG137" s="476"/>
      <c r="AH137" s="476"/>
      <c r="AI137" s="476"/>
      <c r="AJ137" s="476"/>
      <c r="AK137" s="476"/>
      <c r="AL137" s="476"/>
      <c r="AM137" s="476"/>
    </row>
    <row r="138" ht="11.25" customHeight="1" outlineLevel="1">
      <c r="A138" s="476"/>
      <c r="B138" s="458" t="s">
        <v>72</v>
      </c>
      <c r="C138" s="482"/>
      <c r="D138" s="483"/>
      <c r="E138" s="484"/>
      <c r="F138" s="484"/>
      <c r="G138" s="484"/>
      <c r="H138" s="484"/>
      <c r="I138" s="484"/>
      <c r="J138" s="483"/>
      <c r="K138" s="486" t="str">
        <f t="shared" ref="K138:Q138" si="67">K117-K132</f>
        <v>#DIV/0!</v>
      </c>
      <c r="L138" s="486" t="str">
        <f t="shared" si="67"/>
        <v>#DIV/0!</v>
      </c>
      <c r="M138" s="486">
        <f t="shared" si="67"/>
        <v>-0.2510460251</v>
      </c>
      <c r="N138" s="486">
        <f t="shared" si="67"/>
        <v>-0.4175705589</v>
      </c>
      <c r="O138" s="486">
        <f t="shared" si="67"/>
        <v>-0.5624765888</v>
      </c>
      <c r="P138" s="486">
        <f t="shared" si="67"/>
        <v>-0.5833578658</v>
      </c>
      <c r="Q138" s="486">
        <f t="shared" si="67"/>
        <v>-0.597204212</v>
      </c>
      <c r="R138" s="485"/>
      <c r="S138" s="480"/>
      <c r="T138" s="476"/>
      <c r="U138" s="476"/>
      <c r="V138" s="476"/>
      <c r="W138" s="476"/>
      <c r="X138" s="476"/>
      <c r="Y138" s="476"/>
      <c r="Z138" s="476"/>
      <c r="AA138" s="476"/>
      <c r="AB138" s="476"/>
      <c r="AC138" s="476"/>
      <c r="AD138" s="476"/>
      <c r="AE138" s="476"/>
      <c r="AF138" s="476"/>
      <c r="AG138" s="476"/>
      <c r="AH138" s="476"/>
      <c r="AI138" s="476"/>
      <c r="AJ138" s="476"/>
      <c r="AK138" s="476"/>
      <c r="AL138" s="476"/>
      <c r="AM138" s="476"/>
    </row>
    <row r="139" ht="11.25" customHeight="1" outlineLevel="1">
      <c r="A139" s="476"/>
      <c r="B139" s="481"/>
      <c r="C139" s="482"/>
      <c r="D139" s="483"/>
      <c r="E139" s="484"/>
      <c r="F139" s="484"/>
      <c r="G139" s="484"/>
      <c r="H139" s="484"/>
      <c r="I139" s="484"/>
      <c r="J139" s="483"/>
      <c r="K139" s="483"/>
      <c r="L139" s="483"/>
      <c r="M139" s="483"/>
      <c r="N139" s="483"/>
      <c r="O139" s="483"/>
      <c r="P139" s="483"/>
      <c r="Q139" s="483"/>
      <c r="R139" s="485"/>
      <c r="S139" s="480"/>
      <c r="T139" s="476"/>
      <c r="U139" s="476"/>
      <c r="V139" s="476"/>
      <c r="W139" s="476"/>
      <c r="X139" s="476"/>
      <c r="Y139" s="476"/>
      <c r="Z139" s="476"/>
      <c r="AA139" s="476"/>
      <c r="AB139" s="476"/>
      <c r="AC139" s="476"/>
      <c r="AD139" s="476"/>
      <c r="AE139" s="476"/>
      <c r="AF139" s="476"/>
      <c r="AG139" s="476"/>
      <c r="AH139" s="476"/>
      <c r="AI139" s="476"/>
      <c r="AJ139" s="476"/>
      <c r="AK139" s="476"/>
      <c r="AL139" s="476"/>
      <c r="AM139" s="476"/>
    </row>
    <row r="140" ht="11.25" customHeight="1">
      <c r="A140" s="441"/>
      <c r="B140" s="441"/>
      <c r="C140" s="441"/>
      <c r="D140" s="442"/>
      <c r="E140" s="331"/>
      <c r="F140" s="331"/>
      <c r="G140" s="331"/>
      <c r="H140" s="331"/>
      <c r="I140" s="331"/>
      <c r="J140" s="442"/>
      <c r="K140" s="487"/>
      <c r="L140" s="487"/>
      <c r="M140" s="487"/>
      <c r="N140" s="487"/>
      <c r="O140" s="487"/>
      <c r="P140" s="487"/>
      <c r="Q140" s="487"/>
      <c r="R140" s="442"/>
      <c r="S140" s="443"/>
      <c r="T140" s="441"/>
      <c r="U140" s="441"/>
      <c r="V140" s="441"/>
      <c r="W140" s="441"/>
      <c r="X140" s="441"/>
      <c r="Y140" s="441"/>
      <c r="Z140" s="441"/>
      <c r="AA140" s="441"/>
      <c r="AB140" s="441"/>
      <c r="AC140" s="441"/>
      <c r="AD140" s="441"/>
      <c r="AE140" s="441"/>
      <c r="AF140" s="441"/>
      <c r="AG140" s="441"/>
      <c r="AH140" s="441"/>
      <c r="AI140" s="441"/>
      <c r="AJ140" s="441"/>
      <c r="AK140" s="441"/>
      <c r="AL140" s="441"/>
      <c r="AM140" s="441"/>
    </row>
    <row r="141" ht="11.25" customHeight="1">
      <c r="A141" s="441"/>
      <c r="B141" s="441"/>
      <c r="C141" s="441"/>
      <c r="D141" s="442"/>
      <c r="E141" s="331"/>
      <c r="F141" s="331"/>
      <c r="G141" s="331"/>
      <c r="H141" s="331"/>
      <c r="I141" s="331"/>
      <c r="J141" s="442"/>
      <c r="K141" s="487"/>
      <c r="L141" s="487"/>
      <c r="M141" s="487"/>
      <c r="N141" s="487"/>
      <c r="O141" s="487"/>
      <c r="P141" s="487"/>
      <c r="Q141" s="487"/>
      <c r="R141" s="442"/>
      <c r="S141" s="443"/>
      <c r="T141" s="441"/>
      <c r="U141" s="441"/>
      <c r="V141" s="441"/>
      <c r="W141" s="441"/>
      <c r="X141" s="441"/>
      <c r="Y141" s="441"/>
      <c r="Z141" s="441"/>
      <c r="AA141" s="441"/>
      <c r="AB141" s="441"/>
      <c r="AC141" s="441"/>
      <c r="AD141" s="441"/>
      <c r="AE141" s="441"/>
      <c r="AF141" s="441"/>
      <c r="AG141" s="441"/>
      <c r="AH141" s="441"/>
      <c r="AI141" s="441"/>
      <c r="AJ141" s="441"/>
      <c r="AK141" s="441"/>
      <c r="AL141" s="441"/>
      <c r="AM141" s="441"/>
    </row>
    <row r="142" ht="11.25" customHeight="1">
      <c r="A142" s="488"/>
      <c r="B142" s="489" t="s">
        <v>98</v>
      </c>
      <c r="C142" s="488"/>
      <c r="D142" s="490"/>
      <c r="E142" s="491"/>
      <c r="F142" s="491"/>
      <c r="G142" s="491"/>
      <c r="H142" s="491"/>
      <c r="I142" s="491"/>
      <c r="J142" s="490"/>
      <c r="K142" s="490"/>
      <c r="L142" s="490"/>
      <c r="M142" s="490"/>
      <c r="N142" s="490"/>
      <c r="O142" s="490"/>
      <c r="P142" s="490"/>
      <c r="Q142" s="490"/>
      <c r="R142" s="490"/>
      <c r="S142" s="492"/>
      <c r="T142" s="488"/>
      <c r="U142" s="488"/>
      <c r="V142" s="488"/>
      <c r="W142" s="488"/>
      <c r="X142" s="488"/>
      <c r="Y142" s="488"/>
      <c r="Z142" s="488"/>
      <c r="AA142" s="488"/>
      <c r="AB142" s="488"/>
      <c r="AC142" s="488"/>
      <c r="AD142" s="488"/>
      <c r="AE142" s="488"/>
      <c r="AF142" s="488"/>
      <c r="AG142" s="488"/>
      <c r="AH142" s="488"/>
      <c r="AI142" s="488"/>
      <c r="AJ142" s="488"/>
      <c r="AK142" s="488"/>
      <c r="AL142" s="488"/>
      <c r="AM142" s="488"/>
    </row>
    <row r="143" ht="11.25" customHeight="1" outlineLevel="1">
      <c r="A143" s="488"/>
      <c r="B143" s="493" t="s">
        <v>70</v>
      </c>
      <c r="C143" s="437"/>
      <c r="D143" s="494"/>
      <c r="E143" s="495"/>
      <c r="F143" s="495"/>
      <c r="G143" s="495"/>
      <c r="H143" s="495"/>
      <c r="I143" s="495"/>
      <c r="J143" s="494"/>
      <c r="K143" s="494">
        <f t="shared" ref="K143:Q143" si="68">K110-K125</f>
        <v>-12048</v>
      </c>
      <c r="L143" s="494">
        <f t="shared" si="68"/>
        <v>-7787</v>
      </c>
      <c r="M143" s="494">
        <f t="shared" si="68"/>
        <v>-9144</v>
      </c>
      <c r="N143" s="494">
        <f t="shared" si="68"/>
        <v>-14198</v>
      </c>
      <c r="O143" s="494">
        <f t="shared" si="68"/>
        <v>1339</v>
      </c>
      <c r="P143" s="494">
        <f t="shared" si="68"/>
        <v>-7277</v>
      </c>
      <c r="Q143" s="494">
        <f t="shared" si="68"/>
        <v>-3195</v>
      </c>
      <c r="R143" s="496"/>
      <c r="S143" s="492"/>
      <c r="T143" s="488"/>
      <c r="U143" s="488"/>
      <c r="V143" s="488"/>
      <c r="W143" s="488"/>
      <c r="X143" s="488"/>
      <c r="Y143" s="488"/>
      <c r="Z143" s="488"/>
      <c r="AA143" s="488"/>
      <c r="AB143" s="488"/>
      <c r="AC143" s="488"/>
      <c r="AD143" s="488"/>
      <c r="AE143" s="488"/>
      <c r="AF143" s="488"/>
      <c r="AG143" s="488"/>
      <c r="AH143" s="488"/>
      <c r="AI143" s="488"/>
      <c r="AJ143" s="488"/>
      <c r="AK143" s="488"/>
      <c r="AL143" s="488"/>
      <c r="AM143" s="488"/>
    </row>
    <row r="144" ht="11.25" customHeight="1" outlineLevel="1">
      <c r="A144" s="488"/>
      <c r="B144" s="493" t="s">
        <v>71</v>
      </c>
      <c r="C144" s="437"/>
      <c r="D144" s="494"/>
      <c r="E144" s="495"/>
      <c r="F144" s="495"/>
      <c r="G144" s="495"/>
      <c r="H144" s="495"/>
      <c r="I144" s="495"/>
      <c r="J144" s="494"/>
      <c r="K144" s="494">
        <f t="shared" ref="K144:Q144" si="69">K111-K126</f>
        <v>273</v>
      </c>
      <c r="L144" s="494">
        <f t="shared" si="69"/>
        <v>517</v>
      </c>
      <c r="M144" s="494">
        <f t="shared" si="69"/>
        <v>1809</v>
      </c>
      <c r="N144" s="494">
        <f t="shared" si="69"/>
        <v>810</v>
      </c>
      <c r="O144" s="494">
        <f t="shared" si="69"/>
        <v>601</v>
      </c>
      <c r="P144" s="494">
        <f t="shared" si="69"/>
        <v>2373</v>
      </c>
      <c r="Q144" s="494">
        <f t="shared" si="69"/>
        <v>48</v>
      </c>
      <c r="R144" s="496"/>
      <c r="S144" s="492"/>
      <c r="T144" s="488"/>
      <c r="U144" s="488"/>
      <c r="V144" s="488"/>
      <c r="W144" s="488"/>
      <c r="X144" s="488"/>
      <c r="Y144" s="488"/>
      <c r="Z144" s="488"/>
      <c r="AA144" s="488"/>
      <c r="AB144" s="488"/>
      <c r="AC144" s="488"/>
      <c r="AD144" s="488"/>
      <c r="AE144" s="488"/>
      <c r="AF144" s="488"/>
      <c r="AG144" s="488"/>
      <c r="AH144" s="488"/>
      <c r="AI144" s="488"/>
      <c r="AJ144" s="488"/>
      <c r="AK144" s="488"/>
      <c r="AL144" s="488"/>
      <c r="AM144" s="488"/>
    </row>
    <row r="145" ht="11.25" customHeight="1" outlineLevel="1">
      <c r="A145" s="488"/>
      <c r="B145" s="493" t="s">
        <v>72</v>
      </c>
      <c r="C145" s="437"/>
      <c r="D145" s="494"/>
      <c r="E145" s="495"/>
      <c r="F145" s="495"/>
      <c r="G145" s="495"/>
      <c r="H145" s="495"/>
      <c r="I145" s="495"/>
      <c r="J145" s="494"/>
      <c r="K145" s="494">
        <f t="shared" ref="K145:Q145" si="70">K112-K127</f>
        <v>0</v>
      </c>
      <c r="L145" s="494">
        <f t="shared" si="70"/>
        <v>0</v>
      </c>
      <c r="M145" s="494">
        <f t="shared" si="70"/>
        <v>-5460</v>
      </c>
      <c r="N145" s="494">
        <f t="shared" si="70"/>
        <v>-15091</v>
      </c>
      <c r="O145" s="494">
        <f t="shared" si="70"/>
        <v>-36039</v>
      </c>
      <c r="P145" s="494">
        <f t="shared" si="70"/>
        <v>-57466</v>
      </c>
      <c r="Q145" s="494">
        <f t="shared" si="70"/>
        <v>-87964</v>
      </c>
      <c r="R145" s="496"/>
      <c r="S145" s="492"/>
      <c r="T145" s="488"/>
      <c r="U145" s="488"/>
      <c r="V145" s="488"/>
      <c r="W145" s="488"/>
      <c r="X145" s="488"/>
      <c r="Y145" s="488"/>
      <c r="Z145" s="488"/>
      <c r="AA145" s="488"/>
      <c r="AB145" s="488"/>
      <c r="AC145" s="488"/>
      <c r="AD145" s="488"/>
      <c r="AE145" s="488"/>
      <c r="AF145" s="488"/>
      <c r="AG145" s="488"/>
      <c r="AH145" s="488"/>
      <c r="AI145" s="488"/>
      <c r="AJ145" s="488"/>
      <c r="AK145" s="488"/>
      <c r="AL145" s="488"/>
      <c r="AM145" s="488"/>
    </row>
    <row r="146" ht="11.25" customHeight="1" outlineLevel="1">
      <c r="A146" s="488"/>
      <c r="B146" s="493"/>
      <c r="C146" s="437"/>
      <c r="D146" s="494"/>
      <c r="E146" s="495"/>
      <c r="F146" s="495"/>
      <c r="G146" s="495"/>
      <c r="H146" s="495"/>
      <c r="I146" s="495"/>
      <c r="J146" s="494"/>
      <c r="K146" s="494"/>
      <c r="L146" s="494"/>
      <c r="M146" s="494"/>
      <c r="N146" s="494"/>
      <c r="O146" s="494"/>
      <c r="P146" s="494"/>
      <c r="Q146" s="494"/>
      <c r="R146" s="496"/>
      <c r="S146" s="492"/>
      <c r="T146" s="488"/>
      <c r="U146" s="488"/>
      <c r="V146" s="488"/>
      <c r="W146" s="488"/>
      <c r="X146" s="488"/>
      <c r="Y146" s="488"/>
      <c r="Z146" s="488"/>
      <c r="AA146" s="488"/>
      <c r="AB146" s="488"/>
      <c r="AC146" s="488"/>
      <c r="AD146" s="488"/>
      <c r="AE146" s="488"/>
      <c r="AF146" s="488"/>
      <c r="AG146" s="488"/>
      <c r="AH146" s="488"/>
      <c r="AI146" s="488"/>
      <c r="AJ146" s="488"/>
      <c r="AK146" s="488"/>
      <c r="AL146" s="488"/>
      <c r="AM146" s="488"/>
    </row>
    <row r="147" ht="11.25" customHeight="1">
      <c r="A147" s="497"/>
      <c r="B147" s="497"/>
      <c r="C147" s="497"/>
      <c r="D147" s="498"/>
      <c r="E147" s="499"/>
      <c r="F147" s="499"/>
      <c r="G147" s="499"/>
      <c r="H147" s="499"/>
      <c r="I147" s="499"/>
      <c r="J147" s="498"/>
      <c r="K147" s="498"/>
      <c r="L147" s="498"/>
      <c r="M147" s="498"/>
      <c r="N147" s="498"/>
      <c r="O147" s="498"/>
      <c r="P147" s="498"/>
      <c r="Q147" s="498"/>
      <c r="R147" s="498"/>
      <c r="S147" s="500"/>
      <c r="T147" s="497"/>
      <c r="U147" s="497"/>
      <c r="V147" s="497"/>
      <c r="W147" s="497"/>
      <c r="X147" s="497"/>
      <c r="Y147" s="497"/>
      <c r="Z147" s="497"/>
      <c r="AA147" s="497"/>
      <c r="AB147" s="497"/>
      <c r="AC147" s="497"/>
      <c r="AD147" s="497"/>
      <c r="AE147" s="497"/>
      <c r="AF147" s="497"/>
      <c r="AG147" s="497"/>
      <c r="AH147" s="497"/>
      <c r="AI147" s="497"/>
      <c r="AJ147" s="497"/>
      <c r="AK147" s="497"/>
      <c r="AL147" s="497"/>
      <c r="AM147" s="497"/>
    </row>
    <row r="148" ht="11.25" customHeight="1">
      <c r="A148" s="488"/>
      <c r="B148" s="489" t="s">
        <v>99</v>
      </c>
      <c r="C148" s="488"/>
      <c r="D148" s="490"/>
      <c r="E148" s="491"/>
      <c r="F148" s="491"/>
      <c r="G148" s="491"/>
      <c r="H148" s="491"/>
      <c r="I148" s="491"/>
      <c r="J148" s="490"/>
      <c r="K148" s="490"/>
      <c r="L148" s="490"/>
      <c r="M148" s="490"/>
      <c r="N148" s="490"/>
      <c r="O148" s="490"/>
      <c r="P148" s="490"/>
      <c r="Q148" s="490"/>
      <c r="R148" s="490"/>
      <c r="S148" s="492"/>
      <c r="T148" s="488"/>
      <c r="U148" s="488"/>
      <c r="V148" s="488"/>
      <c r="W148" s="488"/>
      <c r="X148" s="488"/>
      <c r="Y148" s="488"/>
      <c r="Z148" s="488"/>
      <c r="AA148" s="488"/>
      <c r="AB148" s="488"/>
      <c r="AC148" s="488"/>
      <c r="AD148" s="488"/>
      <c r="AE148" s="488"/>
      <c r="AF148" s="488"/>
      <c r="AG148" s="488"/>
      <c r="AH148" s="488"/>
      <c r="AI148" s="488"/>
      <c r="AJ148" s="488"/>
      <c r="AK148" s="488"/>
      <c r="AL148" s="488"/>
      <c r="AM148" s="488"/>
    </row>
    <row r="149" ht="11.25" customHeight="1" outlineLevel="1">
      <c r="A149" s="488"/>
      <c r="B149" s="493" t="s">
        <v>70</v>
      </c>
      <c r="C149" s="437"/>
      <c r="D149" s="494"/>
      <c r="E149" s="495"/>
      <c r="F149" s="495"/>
      <c r="G149" s="495"/>
      <c r="H149" s="495"/>
      <c r="I149" s="495"/>
      <c r="J149" s="494"/>
      <c r="K149" s="494">
        <f t="shared" ref="K149:Q149" si="71">-(K110-K166)</f>
        <v>9378</v>
      </c>
      <c r="L149" s="494">
        <f t="shared" si="71"/>
        <v>12318</v>
      </c>
      <c r="M149" s="494">
        <f t="shared" si="71"/>
        <v>12550</v>
      </c>
      <c r="N149" s="494">
        <f t="shared" si="71"/>
        <v>12488</v>
      </c>
      <c r="O149" s="494">
        <f t="shared" si="71"/>
        <v>14269</v>
      </c>
      <c r="P149" s="494">
        <f t="shared" si="71"/>
        <v>28561</v>
      </c>
      <c r="Q149" s="494">
        <f t="shared" si="71"/>
        <v>40168</v>
      </c>
      <c r="R149" s="496"/>
      <c r="S149" s="501">
        <f t="shared" ref="S149:S151" si="73">(Q149/M149)^(1/3)-1</f>
        <v>0.4737104424</v>
      </c>
      <c r="T149" s="488"/>
      <c r="U149" s="488"/>
      <c r="V149" s="488"/>
      <c r="W149" s="488"/>
      <c r="X149" s="488"/>
      <c r="Y149" s="488"/>
      <c r="Z149" s="488"/>
      <c r="AA149" s="488"/>
      <c r="AB149" s="488"/>
      <c r="AC149" s="488"/>
      <c r="AD149" s="488"/>
      <c r="AE149" s="488"/>
      <c r="AF149" s="488"/>
      <c r="AG149" s="488"/>
      <c r="AH149" s="488"/>
      <c r="AI149" s="488"/>
      <c r="AJ149" s="488"/>
      <c r="AK149" s="488"/>
      <c r="AL149" s="488"/>
      <c r="AM149" s="488"/>
    </row>
    <row r="150" ht="11.25" customHeight="1" outlineLevel="1">
      <c r="A150" s="488"/>
      <c r="B150" s="493" t="s">
        <v>71</v>
      </c>
      <c r="C150" s="437"/>
      <c r="D150" s="494"/>
      <c r="E150" s="495"/>
      <c r="F150" s="495"/>
      <c r="G150" s="495"/>
      <c r="H150" s="495"/>
      <c r="I150" s="495"/>
      <c r="J150" s="494"/>
      <c r="K150" s="494">
        <f t="shared" ref="K150:Q150" si="72">-(K111-K167)</f>
        <v>4869</v>
      </c>
      <c r="L150" s="494">
        <f t="shared" si="72"/>
        <v>7961</v>
      </c>
      <c r="M150" s="494">
        <f t="shared" si="72"/>
        <v>10219</v>
      </c>
      <c r="N150" s="494">
        <f t="shared" si="72"/>
        <v>12798</v>
      </c>
      <c r="O150" s="494">
        <f t="shared" si="72"/>
        <v>12628</v>
      </c>
      <c r="P150" s="494">
        <f t="shared" si="72"/>
        <v>11230</v>
      </c>
      <c r="Q150" s="494">
        <f t="shared" si="72"/>
        <v>10551</v>
      </c>
      <c r="R150" s="496"/>
      <c r="S150" s="501">
        <f t="shared" si="73"/>
        <v>0.01071429451</v>
      </c>
      <c r="T150" s="488"/>
      <c r="U150" s="488"/>
      <c r="V150" s="488"/>
      <c r="W150" s="488"/>
      <c r="X150" s="488"/>
      <c r="Y150" s="488"/>
      <c r="Z150" s="488"/>
      <c r="AA150" s="488"/>
      <c r="AB150" s="488"/>
      <c r="AC150" s="488"/>
      <c r="AD150" s="488"/>
      <c r="AE150" s="488"/>
      <c r="AF150" s="488"/>
      <c r="AG150" s="488"/>
      <c r="AH150" s="488"/>
      <c r="AI150" s="488"/>
      <c r="AJ150" s="488"/>
      <c r="AK150" s="488"/>
      <c r="AL150" s="488"/>
      <c r="AM150" s="488"/>
    </row>
    <row r="151" ht="11.25" customHeight="1" outlineLevel="1">
      <c r="A151" s="488"/>
      <c r="B151" s="493" t="s">
        <v>72</v>
      </c>
      <c r="C151" s="437"/>
      <c r="D151" s="494"/>
      <c r="E151" s="495"/>
      <c r="F151" s="495"/>
      <c r="G151" s="495"/>
      <c r="H151" s="495"/>
      <c r="I151" s="495"/>
      <c r="J151" s="494"/>
      <c r="K151" s="494">
        <f t="shared" ref="K151:Q151" si="74">-(K112-K168)</f>
        <v>0</v>
      </c>
      <c r="L151" s="494">
        <f t="shared" si="74"/>
        <v>0</v>
      </c>
      <c r="M151" s="494">
        <f t="shared" si="74"/>
        <v>-14809</v>
      </c>
      <c r="N151" s="494">
        <f t="shared" si="74"/>
        <v>-21238</v>
      </c>
      <c r="O151" s="494">
        <f t="shared" si="74"/>
        <v>-17087</v>
      </c>
      <c r="P151" s="494">
        <f t="shared" si="74"/>
        <v>-24428</v>
      </c>
      <c r="Q151" s="494">
        <f t="shared" si="74"/>
        <v>-39748</v>
      </c>
      <c r="R151" s="496"/>
      <c r="S151" s="501">
        <f t="shared" si="73"/>
        <v>0.3897281333</v>
      </c>
      <c r="T151" s="488"/>
      <c r="U151" s="488"/>
      <c r="V151" s="488"/>
      <c r="W151" s="488"/>
      <c r="X151" s="488"/>
      <c r="Y151" s="488"/>
      <c r="Z151" s="488"/>
      <c r="AA151" s="488"/>
      <c r="AB151" s="488"/>
      <c r="AC151" s="488"/>
      <c r="AD151" s="488"/>
      <c r="AE151" s="488"/>
      <c r="AF151" s="488"/>
      <c r="AG151" s="488"/>
      <c r="AH151" s="488"/>
      <c r="AI151" s="488"/>
      <c r="AJ151" s="488"/>
      <c r="AK151" s="488"/>
      <c r="AL151" s="488"/>
      <c r="AM151" s="488"/>
    </row>
    <row r="152" ht="11.25" customHeight="1" outlineLevel="1">
      <c r="A152" s="448"/>
      <c r="B152" s="449"/>
      <c r="C152" s="450"/>
      <c r="D152" s="451"/>
      <c r="E152" s="452"/>
      <c r="F152" s="452"/>
      <c r="G152" s="452"/>
      <c r="H152" s="452"/>
      <c r="I152" s="452"/>
      <c r="J152" s="451"/>
      <c r="K152" s="451"/>
      <c r="L152" s="451"/>
      <c r="M152" s="451"/>
      <c r="N152" s="451"/>
      <c r="O152" s="451"/>
      <c r="P152" s="451"/>
      <c r="Q152" s="451"/>
      <c r="R152" s="453"/>
      <c r="S152" s="454"/>
      <c r="T152" s="448"/>
      <c r="U152" s="448"/>
      <c r="V152" s="448"/>
      <c r="W152" s="448"/>
      <c r="X152" s="448"/>
      <c r="Y152" s="448"/>
      <c r="Z152" s="448"/>
      <c r="AA152" s="448"/>
      <c r="AB152" s="448"/>
      <c r="AC152" s="448"/>
      <c r="AD152" s="448"/>
      <c r="AE152" s="448"/>
      <c r="AF152" s="448"/>
      <c r="AG152" s="448"/>
      <c r="AH152" s="448"/>
      <c r="AI152" s="448"/>
      <c r="AJ152" s="448"/>
      <c r="AK152" s="448"/>
      <c r="AL152" s="448"/>
      <c r="AM152" s="448"/>
    </row>
    <row r="153" ht="11.25" customHeight="1" outlineLevel="1">
      <c r="A153" s="441"/>
      <c r="B153" s="455" t="s">
        <v>100</v>
      </c>
      <c r="C153" s="456"/>
      <c r="D153" s="457"/>
      <c r="E153" s="376"/>
      <c r="F153" s="376"/>
      <c r="G153" s="376"/>
      <c r="H153" s="376"/>
      <c r="I153" s="376"/>
      <c r="J153" s="457"/>
      <c r="K153" s="457"/>
      <c r="L153" s="457"/>
      <c r="M153" s="457"/>
      <c r="N153" s="457"/>
      <c r="O153" s="457"/>
      <c r="P153" s="457"/>
      <c r="Q153" s="457"/>
      <c r="R153" s="441"/>
      <c r="S153" s="443"/>
      <c r="T153" s="441"/>
      <c r="U153" s="441"/>
      <c r="V153" s="441"/>
      <c r="W153" s="441"/>
      <c r="X153" s="441"/>
      <c r="Y153" s="441"/>
      <c r="Z153" s="441"/>
      <c r="AA153" s="441"/>
      <c r="AB153" s="441"/>
      <c r="AC153" s="441"/>
      <c r="AD153" s="441"/>
      <c r="AE153" s="441"/>
      <c r="AF153" s="441"/>
      <c r="AG153" s="441"/>
      <c r="AH153" s="441"/>
      <c r="AI153" s="441"/>
      <c r="AJ153" s="441"/>
      <c r="AK153" s="441"/>
      <c r="AL153" s="441"/>
      <c r="AM153" s="441"/>
    </row>
    <row r="154" ht="11.25" customHeight="1" outlineLevel="1">
      <c r="A154" s="441"/>
      <c r="B154" s="458" t="s">
        <v>70</v>
      </c>
      <c r="C154" s="456"/>
      <c r="D154" s="457"/>
      <c r="E154" s="376"/>
      <c r="F154" s="376"/>
      <c r="G154" s="376"/>
      <c r="H154" s="376"/>
      <c r="I154" s="376"/>
      <c r="J154" s="457"/>
      <c r="K154" s="457">
        <f t="shared" ref="K154:Q154" si="75">K149/K10</f>
        <v>0.08411214953</v>
      </c>
      <c r="L154" s="457">
        <f t="shared" si="75"/>
        <v>0.09511895661</v>
      </c>
      <c r="M154" s="457">
        <f t="shared" si="75"/>
        <v>0.07534008092</v>
      </c>
      <c r="N154" s="457">
        <f t="shared" si="75"/>
        <v>0.0699556895</v>
      </c>
      <c r="O154" s="457">
        <f t="shared" si="75"/>
        <v>0.07198240419</v>
      </c>
      <c r="P154" s="457">
        <f t="shared" si="75"/>
        <v>0.1045520271</v>
      </c>
      <c r="Q154" s="457">
        <f t="shared" si="75"/>
        <v>0.1031607225</v>
      </c>
      <c r="R154" s="441"/>
      <c r="S154" s="443"/>
      <c r="T154" s="441"/>
      <c r="U154" s="441"/>
      <c r="V154" s="441"/>
      <c r="W154" s="441"/>
      <c r="X154" s="441"/>
      <c r="Y154" s="441"/>
      <c r="Z154" s="441"/>
      <c r="AA154" s="441"/>
      <c r="AB154" s="441"/>
      <c r="AC154" s="441"/>
      <c r="AD154" s="441"/>
      <c r="AE154" s="441"/>
      <c r="AF154" s="441"/>
      <c r="AG154" s="441"/>
      <c r="AH154" s="441"/>
      <c r="AI154" s="441"/>
      <c r="AJ154" s="441"/>
      <c r="AK154" s="441"/>
      <c r="AL154" s="441"/>
      <c r="AM154" s="441"/>
    </row>
    <row r="155" ht="11.25" customHeight="1" outlineLevel="1">
      <c r="A155" s="441"/>
      <c r="B155" s="458" t="s">
        <v>71</v>
      </c>
      <c r="C155" s="456"/>
      <c r="D155" s="457"/>
      <c r="E155" s="376"/>
      <c r="F155" s="376"/>
      <c r="G155" s="376"/>
      <c r="H155" s="376"/>
      <c r="I155" s="376"/>
      <c r="J155" s="457"/>
      <c r="K155" s="457">
        <f t="shared" ref="K155:Q155" si="76">K150/K11</f>
        <v>0.1002346838</v>
      </c>
      <c r="L155" s="457">
        <f t="shared" si="76"/>
        <v>0.1055233753</v>
      </c>
      <c r="M155" s="457">
        <f t="shared" si="76"/>
        <v>0.09080569057</v>
      </c>
      <c r="N155" s="457">
        <f t="shared" si="76"/>
        <v>0.08048803497</v>
      </c>
      <c r="O155" s="457">
        <f t="shared" si="76"/>
        <v>0.06225934161</v>
      </c>
      <c r="P155" s="457">
        <f t="shared" si="76"/>
        <v>0.04502120767</v>
      </c>
      <c r="Q155" s="457">
        <f t="shared" si="76"/>
        <v>0.02946293188</v>
      </c>
      <c r="R155" s="441"/>
      <c r="S155" s="443"/>
      <c r="T155" s="441"/>
      <c r="U155" s="441"/>
      <c r="V155" s="441"/>
      <c r="W155" s="441"/>
      <c r="X155" s="441"/>
      <c r="Y155" s="441"/>
      <c r="Z155" s="441"/>
      <c r="AA155" s="441"/>
      <c r="AB155" s="441"/>
      <c r="AC155" s="441"/>
      <c r="AD155" s="441"/>
      <c r="AE155" s="441"/>
      <c r="AF155" s="441"/>
      <c r="AG155" s="441"/>
      <c r="AH155" s="441"/>
      <c r="AI155" s="441"/>
      <c r="AJ155" s="441"/>
      <c r="AK155" s="441"/>
      <c r="AL155" s="441"/>
      <c r="AM155" s="441"/>
    </row>
    <row r="156" ht="11.25" customHeight="1" outlineLevel="1">
      <c r="A156" s="441"/>
      <c r="B156" s="458" t="s">
        <v>72</v>
      </c>
      <c r="C156" s="456"/>
      <c r="D156" s="457"/>
      <c r="E156" s="376"/>
      <c r="F156" s="376"/>
      <c r="G156" s="376"/>
      <c r="H156" s="376"/>
      <c r="I156" s="376"/>
      <c r="J156" s="457"/>
      <c r="K156" s="457"/>
      <c r="L156" s="457"/>
      <c r="M156" s="457">
        <f t="shared" ref="M156:Q156" si="77">M151/M12</f>
        <v>-0.6809048692</v>
      </c>
      <c r="N156" s="457">
        <f t="shared" si="77"/>
        <v>-0.5876591035</v>
      </c>
      <c r="O156" s="457">
        <f t="shared" si="77"/>
        <v>-0.2666843551</v>
      </c>
      <c r="P156" s="457">
        <f t="shared" si="77"/>
        <v>-0.2479773422</v>
      </c>
      <c r="Q156" s="457">
        <f t="shared" si="77"/>
        <v>-0.2698566802</v>
      </c>
      <c r="R156" s="441"/>
      <c r="S156" s="443"/>
      <c r="T156" s="441"/>
      <c r="U156" s="441"/>
      <c r="V156" s="441"/>
      <c r="W156" s="441"/>
      <c r="X156" s="441"/>
      <c r="Y156" s="441"/>
      <c r="Z156" s="441"/>
      <c r="AA156" s="441"/>
      <c r="AB156" s="441"/>
      <c r="AC156" s="441"/>
      <c r="AD156" s="441"/>
      <c r="AE156" s="441"/>
      <c r="AF156" s="441"/>
      <c r="AG156" s="441"/>
      <c r="AH156" s="441"/>
      <c r="AI156" s="441"/>
      <c r="AJ156" s="441"/>
      <c r="AK156" s="441"/>
      <c r="AL156" s="441"/>
      <c r="AM156" s="441"/>
    </row>
    <row r="157" ht="11.25" customHeight="1" outlineLevel="1">
      <c r="A157" s="488"/>
      <c r="B157" s="493"/>
      <c r="C157" s="437"/>
      <c r="D157" s="494"/>
      <c r="E157" s="495"/>
      <c r="F157" s="495"/>
      <c r="G157" s="495"/>
      <c r="H157" s="495"/>
      <c r="I157" s="495"/>
      <c r="J157" s="494"/>
      <c r="K157" s="494"/>
      <c r="L157" s="494"/>
      <c r="M157" s="494"/>
      <c r="N157" s="494"/>
      <c r="O157" s="494"/>
      <c r="P157" s="494"/>
      <c r="Q157" s="494"/>
      <c r="R157" s="496"/>
      <c r="S157" s="492"/>
      <c r="T157" s="488"/>
      <c r="U157" s="488"/>
      <c r="V157" s="488"/>
      <c r="W157" s="488"/>
      <c r="X157" s="488"/>
      <c r="Y157" s="488"/>
      <c r="Z157" s="488"/>
      <c r="AA157" s="488"/>
      <c r="AB157" s="488"/>
      <c r="AC157" s="488"/>
      <c r="AD157" s="488"/>
      <c r="AE157" s="488"/>
      <c r="AF157" s="488"/>
      <c r="AG157" s="488"/>
      <c r="AH157" s="488"/>
      <c r="AI157" s="488"/>
      <c r="AJ157" s="488"/>
      <c r="AK157" s="488"/>
      <c r="AL157" s="488"/>
      <c r="AM157" s="488"/>
    </row>
    <row r="158" ht="11.25" customHeight="1">
      <c r="A158" s="488"/>
      <c r="B158" s="489" t="s">
        <v>101</v>
      </c>
      <c r="C158" s="488"/>
      <c r="D158" s="490"/>
      <c r="E158" s="491"/>
      <c r="F158" s="491"/>
      <c r="G158" s="491"/>
      <c r="H158" s="491"/>
      <c r="I158" s="491"/>
      <c r="J158" s="490"/>
      <c r="K158" s="490"/>
      <c r="L158" s="490"/>
      <c r="M158" s="490"/>
      <c r="N158" s="490"/>
      <c r="O158" s="490"/>
      <c r="P158" s="490"/>
      <c r="Q158" s="490"/>
      <c r="R158" s="490"/>
      <c r="S158" s="492"/>
      <c r="T158" s="488"/>
      <c r="U158" s="488"/>
      <c r="V158" s="488"/>
      <c r="W158" s="488"/>
      <c r="X158" s="488"/>
      <c r="Y158" s="488"/>
      <c r="Z158" s="488"/>
      <c r="AA158" s="488"/>
      <c r="AB158" s="488"/>
      <c r="AC158" s="488"/>
      <c r="AD158" s="488"/>
      <c r="AE158" s="488"/>
      <c r="AF158" s="488"/>
      <c r="AG158" s="488"/>
      <c r="AH158" s="488"/>
      <c r="AI158" s="488"/>
      <c r="AJ158" s="488"/>
      <c r="AK158" s="488"/>
      <c r="AL158" s="488"/>
      <c r="AM158" s="488"/>
    </row>
    <row r="159" ht="11.25" customHeight="1" outlineLevel="1">
      <c r="A159" s="488"/>
      <c r="B159" s="493" t="s">
        <v>70</v>
      </c>
      <c r="C159" s="437"/>
      <c r="D159" s="494"/>
      <c r="E159" s="495"/>
      <c r="F159" s="495"/>
      <c r="G159" s="495"/>
      <c r="H159" s="495"/>
      <c r="I159" s="495"/>
      <c r="J159" s="494"/>
      <c r="K159" s="494">
        <f>'bio - Cash Flow'!M15</f>
        <v>9378</v>
      </c>
      <c r="L159" s="494">
        <f>'bio - Cash Flow'!N15</f>
        <v>12318</v>
      </c>
      <c r="M159" s="494">
        <f>'bio - Cash Flow'!O15</f>
        <v>12550</v>
      </c>
      <c r="N159" s="494">
        <f>'bio - Cash Flow'!P15</f>
        <v>12488</v>
      </c>
      <c r="O159" s="494">
        <f>'bio - Cash Flow'!Q15</f>
        <v>14269</v>
      </c>
      <c r="P159" s="494">
        <f>'bio - Cash Flow'!R15</f>
        <v>28561</v>
      </c>
      <c r="Q159" s="494">
        <f>'bio - Cash Flow'!S15</f>
        <v>40168</v>
      </c>
      <c r="R159" s="496"/>
      <c r="S159" s="492"/>
      <c r="T159" s="488"/>
      <c r="U159" s="488"/>
      <c r="V159" s="488"/>
      <c r="W159" s="488"/>
      <c r="X159" s="488"/>
      <c r="Y159" s="488"/>
      <c r="Z159" s="488"/>
      <c r="AA159" s="488"/>
      <c r="AB159" s="488"/>
      <c r="AC159" s="488"/>
      <c r="AD159" s="488"/>
      <c r="AE159" s="488"/>
      <c r="AF159" s="488"/>
      <c r="AG159" s="488"/>
      <c r="AH159" s="488"/>
      <c r="AI159" s="488"/>
      <c r="AJ159" s="488"/>
      <c r="AK159" s="488"/>
      <c r="AL159" s="488"/>
      <c r="AM159" s="488"/>
    </row>
    <row r="160" ht="11.25" customHeight="1" outlineLevel="1">
      <c r="A160" s="488"/>
      <c r="B160" s="458" t="s">
        <v>71</v>
      </c>
      <c r="C160" s="437"/>
      <c r="D160" s="494"/>
      <c r="E160" s="495"/>
      <c r="F160" s="495"/>
      <c r="G160" s="495"/>
      <c r="H160" s="495"/>
      <c r="I160" s="495"/>
      <c r="J160" s="494"/>
      <c r="K160" s="494"/>
      <c r="L160" s="494"/>
      <c r="M160" s="494"/>
      <c r="N160" s="494"/>
      <c r="O160" s="494"/>
      <c r="P160" s="494"/>
      <c r="Q160" s="494"/>
      <c r="R160" s="496"/>
      <c r="S160" s="492"/>
      <c r="T160" s="488"/>
      <c r="U160" s="488"/>
      <c r="V160" s="488"/>
      <c r="W160" s="488"/>
      <c r="X160" s="488"/>
      <c r="Y160" s="488"/>
      <c r="Z160" s="488"/>
      <c r="AA160" s="488"/>
      <c r="AB160" s="488"/>
      <c r="AC160" s="488"/>
      <c r="AD160" s="488"/>
      <c r="AE160" s="488"/>
      <c r="AF160" s="488"/>
      <c r="AG160" s="488"/>
      <c r="AH160" s="488"/>
      <c r="AI160" s="488"/>
      <c r="AJ160" s="488"/>
      <c r="AK160" s="488"/>
      <c r="AL160" s="488"/>
      <c r="AM160" s="488"/>
    </row>
    <row r="161" ht="11.25" customHeight="1" outlineLevel="1">
      <c r="A161" s="488"/>
      <c r="B161" s="458" t="s">
        <v>72</v>
      </c>
      <c r="C161" s="437"/>
      <c r="D161" s="494"/>
      <c r="E161" s="495"/>
      <c r="F161" s="495"/>
      <c r="G161" s="495"/>
      <c r="H161" s="495"/>
      <c r="I161" s="495"/>
      <c r="J161" s="494"/>
      <c r="K161" s="494"/>
      <c r="L161" s="494"/>
      <c r="M161" s="494"/>
      <c r="N161" s="494"/>
      <c r="O161" s="494"/>
      <c r="P161" s="494"/>
      <c r="Q161" s="494"/>
      <c r="R161" s="496"/>
      <c r="S161" s="492"/>
      <c r="T161" s="488"/>
      <c r="U161" s="488"/>
      <c r="V161" s="488"/>
      <c r="W161" s="488"/>
      <c r="X161" s="488"/>
      <c r="Y161" s="488"/>
      <c r="Z161" s="488"/>
      <c r="AA161" s="488"/>
      <c r="AB161" s="488"/>
      <c r="AC161" s="488"/>
      <c r="AD161" s="488"/>
      <c r="AE161" s="488"/>
      <c r="AF161" s="488"/>
      <c r="AG161" s="488"/>
      <c r="AH161" s="488"/>
      <c r="AI161" s="488"/>
      <c r="AJ161" s="488"/>
      <c r="AK161" s="488"/>
      <c r="AL161" s="488"/>
      <c r="AM161" s="488"/>
    </row>
    <row r="162" ht="11.25" customHeight="1" outlineLevel="1">
      <c r="A162" s="488"/>
      <c r="B162" s="493"/>
      <c r="C162" s="437"/>
      <c r="D162" s="494"/>
      <c r="E162" s="495"/>
      <c r="F162" s="495"/>
      <c r="G162" s="495"/>
      <c r="H162" s="495"/>
      <c r="I162" s="495"/>
      <c r="J162" s="494"/>
      <c r="K162" s="494"/>
      <c r="L162" s="494"/>
      <c r="M162" s="494"/>
      <c r="N162" s="494"/>
      <c r="O162" s="494"/>
      <c r="P162" s="494"/>
      <c r="Q162" s="494"/>
      <c r="R162" s="496"/>
      <c r="S162" s="492"/>
      <c r="T162" s="488"/>
      <c r="U162" s="488"/>
      <c r="V162" s="488"/>
      <c r="W162" s="488"/>
      <c r="X162" s="488"/>
      <c r="Y162" s="488"/>
      <c r="Z162" s="488"/>
      <c r="AA162" s="488"/>
      <c r="AB162" s="488"/>
      <c r="AC162" s="488"/>
      <c r="AD162" s="488"/>
      <c r="AE162" s="488"/>
      <c r="AF162" s="488"/>
      <c r="AG162" s="488"/>
      <c r="AH162" s="488"/>
      <c r="AI162" s="488"/>
      <c r="AJ162" s="488"/>
      <c r="AK162" s="488"/>
      <c r="AL162" s="488"/>
      <c r="AM162" s="488"/>
    </row>
    <row r="163" ht="11.25" customHeight="1" outlineLevel="1">
      <c r="A163" s="488"/>
      <c r="B163" s="493"/>
      <c r="C163" s="437"/>
      <c r="D163" s="494"/>
      <c r="E163" s="495"/>
      <c r="F163" s="495"/>
      <c r="G163" s="495"/>
      <c r="H163" s="495"/>
      <c r="I163" s="495"/>
      <c r="J163" s="494"/>
      <c r="K163" s="494"/>
      <c r="L163" s="494"/>
      <c r="M163" s="494"/>
      <c r="N163" s="494"/>
      <c r="O163" s="494"/>
      <c r="P163" s="494"/>
      <c r="Q163" s="494"/>
      <c r="R163" s="496"/>
      <c r="S163" s="492"/>
      <c r="T163" s="488"/>
      <c r="U163" s="488"/>
      <c r="V163" s="488"/>
      <c r="W163" s="488"/>
      <c r="X163" s="488"/>
      <c r="Y163" s="488"/>
      <c r="Z163" s="488"/>
      <c r="AA163" s="488"/>
      <c r="AB163" s="488"/>
      <c r="AC163" s="488"/>
      <c r="AD163" s="488"/>
      <c r="AE163" s="488"/>
      <c r="AF163" s="488"/>
      <c r="AG163" s="488"/>
      <c r="AH163" s="488"/>
      <c r="AI163" s="488"/>
      <c r="AJ163" s="488"/>
      <c r="AK163" s="488"/>
      <c r="AL163" s="488"/>
      <c r="AM163" s="488"/>
    </row>
    <row r="164" ht="11.25" customHeight="1">
      <c r="A164" s="441"/>
      <c r="B164" s="441"/>
      <c r="C164" s="441"/>
      <c r="D164" s="442"/>
      <c r="E164" s="331"/>
      <c r="F164" s="331"/>
      <c r="G164" s="331"/>
      <c r="H164" s="331"/>
      <c r="I164" s="331"/>
      <c r="J164" s="442"/>
      <c r="K164" s="442"/>
      <c r="L164" s="442"/>
      <c r="M164" s="442"/>
      <c r="N164" s="442"/>
      <c r="O164" s="442"/>
      <c r="P164" s="442"/>
      <c r="Q164" s="442"/>
      <c r="R164" s="442"/>
      <c r="S164" s="443"/>
      <c r="T164" s="441"/>
      <c r="U164" s="441"/>
      <c r="V164" s="441"/>
      <c r="W164" s="441"/>
      <c r="X164" s="441"/>
      <c r="Y164" s="441"/>
      <c r="Z164" s="441"/>
      <c r="AA164" s="441"/>
      <c r="AB164" s="441"/>
      <c r="AC164" s="441"/>
      <c r="AD164" s="441"/>
      <c r="AE164" s="441"/>
      <c r="AF164" s="441"/>
      <c r="AG164" s="441"/>
      <c r="AH164" s="441"/>
      <c r="AI164" s="441"/>
      <c r="AJ164" s="441"/>
      <c r="AK164" s="441"/>
      <c r="AL164" s="441"/>
      <c r="AM164" s="441"/>
    </row>
    <row r="165" ht="11.25" customHeight="1">
      <c r="A165" s="497"/>
      <c r="B165" s="502" t="s">
        <v>102</v>
      </c>
      <c r="C165" s="503"/>
      <c r="D165" s="504"/>
      <c r="E165" s="505"/>
      <c r="F165" s="505"/>
      <c r="G165" s="505"/>
      <c r="H165" s="505"/>
      <c r="I165" s="505"/>
      <c r="J165" s="504"/>
      <c r="K165" s="504"/>
      <c r="L165" s="504"/>
      <c r="M165" s="504"/>
      <c r="N165" s="504"/>
      <c r="O165" s="504"/>
      <c r="P165" s="504"/>
      <c r="Q165" s="506"/>
      <c r="R165" s="498"/>
      <c r="S165" s="500"/>
      <c r="T165" s="497"/>
      <c r="U165" s="497"/>
      <c r="V165" s="497"/>
      <c r="W165" s="497"/>
      <c r="X165" s="497"/>
      <c r="Y165" s="497"/>
      <c r="Z165" s="497"/>
      <c r="AA165" s="497"/>
      <c r="AB165" s="497"/>
      <c r="AC165" s="497"/>
      <c r="AD165" s="497"/>
      <c r="AE165" s="497"/>
      <c r="AF165" s="497"/>
      <c r="AG165" s="497"/>
      <c r="AH165" s="497"/>
      <c r="AI165" s="497"/>
      <c r="AJ165" s="497"/>
      <c r="AK165" s="497"/>
      <c r="AL165" s="497"/>
      <c r="AM165" s="497"/>
    </row>
    <row r="166" ht="11.25" customHeight="1" outlineLevel="1">
      <c r="A166" s="497"/>
      <c r="B166" s="507" t="s">
        <v>70</v>
      </c>
      <c r="C166" s="508"/>
      <c r="D166" s="509"/>
      <c r="E166" s="510"/>
      <c r="F166" s="510"/>
      <c r="G166" s="510"/>
      <c r="H166" s="510"/>
      <c r="I166" s="510"/>
      <c r="J166" s="509"/>
      <c r="K166" s="509">
        <f>'BIO - Income Statement (2)'!V82</f>
        <v>-3729</v>
      </c>
      <c r="L166" s="509">
        <f>'BIO - Income Statement (2)'!W82</f>
        <v>5437</v>
      </c>
      <c r="M166" s="509">
        <f>'BIO - Income Statement (2)'!X82</f>
        <v>8440</v>
      </c>
      <c r="N166" s="509">
        <f>'BIO - Income Statement (2)'!Y82</f>
        <v>21918</v>
      </c>
      <c r="O166" s="509">
        <f>'BIO - Income Statement (2)'!Z82</f>
        <v>42087</v>
      </c>
      <c r="P166" s="509">
        <f>'BIO - Income Statement (2)'!AA82</f>
        <v>50647</v>
      </c>
      <c r="Q166" s="511">
        <f>'BIO - Income Statement (2)'!AB82</f>
        <v>113569</v>
      </c>
      <c r="R166" s="512"/>
      <c r="S166" s="501">
        <f t="shared" ref="S166:S168" si="78">(Q166/M166)^(1/3)-1</f>
        <v>1.3785144</v>
      </c>
      <c r="T166" s="497"/>
      <c r="U166" s="497"/>
      <c r="V166" s="497"/>
      <c r="W166" s="497"/>
      <c r="X166" s="497"/>
      <c r="Y166" s="497"/>
      <c r="Z166" s="497"/>
      <c r="AA166" s="497"/>
      <c r="AB166" s="497"/>
      <c r="AC166" s="497"/>
      <c r="AD166" s="497"/>
      <c r="AE166" s="497"/>
      <c r="AF166" s="497"/>
      <c r="AG166" s="497"/>
      <c r="AH166" s="497"/>
      <c r="AI166" s="497"/>
      <c r="AJ166" s="497"/>
      <c r="AK166" s="497"/>
      <c r="AL166" s="497"/>
      <c r="AM166" s="497"/>
    </row>
    <row r="167" ht="11.25" customHeight="1" outlineLevel="1">
      <c r="A167" s="497"/>
      <c r="B167" s="507" t="s">
        <v>71</v>
      </c>
      <c r="C167" s="508"/>
      <c r="D167" s="509"/>
      <c r="E167" s="510"/>
      <c r="F167" s="510"/>
      <c r="G167" s="510"/>
      <c r="H167" s="510"/>
      <c r="I167" s="510"/>
      <c r="J167" s="509"/>
      <c r="K167" s="509">
        <f>'inogen P&amp;L'!N76</f>
        <v>5971</v>
      </c>
      <c r="L167" s="509">
        <f>'inogen P&amp;L'!O76</f>
        <v>12942</v>
      </c>
      <c r="M167" s="509">
        <f>'inogen P&amp;L'!P76</f>
        <v>22539</v>
      </c>
      <c r="N167" s="509">
        <f>'inogen P&amp;L'!Q76</f>
        <v>28659</v>
      </c>
      <c r="O167" s="509">
        <f>'inogen P&amp;L'!R76</f>
        <v>36093</v>
      </c>
      <c r="P167" s="509">
        <f>'inogen P&amp;L'!S76</f>
        <v>41193</v>
      </c>
      <c r="Q167" s="509">
        <f>'inogen P&amp;L'!T76</f>
        <v>48491</v>
      </c>
      <c r="R167" s="512"/>
      <c r="S167" s="501">
        <f t="shared" si="78"/>
        <v>0.2909482475</v>
      </c>
      <c r="T167" s="497"/>
      <c r="U167" s="497"/>
      <c r="V167" s="497"/>
      <c r="W167" s="497"/>
      <c r="X167" s="497"/>
      <c r="Y167" s="497"/>
      <c r="Z167" s="497"/>
      <c r="AA167" s="497"/>
      <c r="AB167" s="497"/>
      <c r="AC167" s="497"/>
      <c r="AD167" s="497"/>
      <c r="AE167" s="497"/>
      <c r="AF167" s="497"/>
      <c r="AG167" s="497"/>
      <c r="AH167" s="497"/>
      <c r="AI167" s="497"/>
      <c r="AJ167" s="497"/>
      <c r="AK167" s="497"/>
      <c r="AL167" s="497"/>
      <c r="AM167" s="497"/>
    </row>
    <row r="168" ht="11.25" customHeight="1" outlineLevel="1">
      <c r="A168" s="497"/>
      <c r="B168" s="507" t="s">
        <v>72</v>
      </c>
      <c r="C168" s="508"/>
      <c r="D168" s="509"/>
      <c r="E168" s="510"/>
      <c r="F168" s="510"/>
      <c r="G168" s="510"/>
      <c r="H168" s="510"/>
      <c r="I168" s="510"/>
      <c r="J168" s="509"/>
      <c r="K168" s="509"/>
      <c r="L168" s="509"/>
      <c r="M168" s="509">
        <f>'irhy - P&amp;L'!M56</f>
        <v>-14809</v>
      </c>
      <c r="N168" s="509">
        <f>'irhy - P&amp;L'!N56</f>
        <v>-21238</v>
      </c>
      <c r="O168" s="509">
        <f>'irhy - P&amp;L'!O56</f>
        <v>-17087</v>
      </c>
      <c r="P168" s="509">
        <f>'irhy - P&amp;L'!P56</f>
        <v>-24428</v>
      </c>
      <c r="Q168" s="509">
        <f>'irhy - P&amp;L'!Q56</f>
        <v>-39748</v>
      </c>
      <c r="R168" s="512"/>
      <c r="S168" s="501">
        <f t="shared" si="78"/>
        <v>0.3897281333</v>
      </c>
      <c r="T168" s="497"/>
      <c r="U168" s="497"/>
      <c r="V168" s="497"/>
      <c r="W168" s="497"/>
      <c r="X168" s="497"/>
      <c r="Y168" s="497"/>
      <c r="Z168" s="497"/>
      <c r="AA168" s="497"/>
      <c r="AB168" s="497"/>
      <c r="AC168" s="497"/>
      <c r="AD168" s="497"/>
      <c r="AE168" s="497"/>
      <c r="AF168" s="497"/>
      <c r="AG168" s="497"/>
      <c r="AH168" s="497"/>
      <c r="AI168" s="497"/>
      <c r="AJ168" s="497"/>
      <c r="AK168" s="497"/>
      <c r="AL168" s="497"/>
      <c r="AM168" s="497"/>
    </row>
    <row r="169" ht="11.25" customHeight="1" outlineLevel="1">
      <c r="A169" s="488"/>
      <c r="B169" s="513"/>
      <c r="C169" s="514"/>
      <c r="D169" s="515"/>
      <c r="E169" s="516"/>
      <c r="F169" s="516"/>
      <c r="G169" s="516"/>
      <c r="H169" s="516"/>
      <c r="I169" s="516"/>
      <c r="J169" s="515"/>
      <c r="K169" s="515"/>
      <c r="L169" s="515"/>
      <c r="M169" s="515"/>
      <c r="N169" s="515"/>
      <c r="O169" s="515"/>
      <c r="P169" s="515"/>
      <c r="Q169" s="517"/>
      <c r="R169" s="496"/>
      <c r="S169" s="492"/>
      <c r="T169" s="488"/>
      <c r="U169" s="488"/>
      <c r="V169" s="488"/>
      <c r="W169" s="488"/>
      <c r="X169" s="488"/>
      <c r="Y169" s="488"/>
      <c r="Z169" s="488"/>
      <c r="AA169" s="488"/>
      <c r="AB169" s="488"/>
      <c r="AC169" s="488"/>
      <c r="AD169" s="488"/>
      <c r="AE169" s="488"/>
      <c r="AF169" s="488"/>
      <c r="AG169" s="488"/>
      <c r="AH169" s="488"/>
      <c r="AI169" s="488"/>
      <c r="AJ169" s="488"/>
      <c r="AK169" s="488"/>
      <c r="AL169" s="488"/>
      <c r="AM169" s="488"/>
    </row>
    <row r="170" ht="11.25" hidden="1" customHeight="1" outlineLevel="1">
      <c r="A170" s="488"/>
      <c r="B170" s="493" t="s">
        <v>103</v>
      </c>
      <c r="C170" s="437"/>
      <c r="D170" s="494"/>
      <c r="E170" s="495"/>
      <c r="F170" s="495"/>
      <c r="G170" s="495"/>
      <c r="H170" s="495"/>
      <c r="I170" s="495"/>
      <c r="J170" s="494"/>
      <c r="K170" s="494"/>
      <c r="L170" s="494"/>
      <c r="M170" s="494"/>
      <c r="N170" s="494"/>
      <c r="O170" s="494"/>
      <c r="P170" s="494"/>
      <c r="Q170" s="494"/>
      <c r="R170" s="496"/>
      <c r="S170" s="492"/>
      <c r="T170" s="488"/>
      <c r="U170" s="488"/>
      <c r="V170" s="488"/>
      <c r="W170" s="488"/>
      <c r="X170" s="488"/>
      <c r="Y170" s="488"/>
      <c r="Z170" s="488"/>
      <c r="AA170" s="488"/>
      <c r="AB170" s="488"/>
      <c r="AC170" s="488"/>
      <c r="AD170" s="488"/>
      <c r="AE170" s="488"/>
      <c r="AF170" s="488"/>
      <c r="AG170" s="488"/>
      <c r="AH170" s="488"/>
      <c r="AI170" s="488"/>
      <c r="AJ170" s="488"/>
      <c r="AK170" s="488"/>
      <c r="AL170" s="488"/>
      <c r="AM170" s="488"/>
    </row>
    <row r="171" ht="11.25" hidden="1" customHeight="1">
      <c r="A171" s="497"/>
      <c r="B171" s="497" t="s">
        <v>104</v>
      </c>
      <c r="C171" s="497"/>
      <c r="D171" s="498"/>
      <c r="E171" s="499"/>
      <c r="F171" s="499"/>
      <c r="G171" s="499"/>
      <c r="H171" s="499"/>
      <c r="I171" s="499"/>
      <c r="J171" s="498"/>
      <c r="K171" s="509">
        <f>'BIO - Income Statement (2)'!V74</f>
        <v>-79060</v>
      </c>
      <c r="L171" s="509">
        <f>'BIO - Income Statement (2)'!W74</f>
        <v>-85951</v>
      </c>
      <c r="M171" s="509">
        <f>'BIO - Income Statement (2)'!X74</f>
        <v>-97777</v>
      </c>
      <c r="N171" s="509">
        <f>'BIO - Income Statement (2)'!Y74</f>
        <v>-97039</v>
      </c>
      <c r="O171" s="509">
        <f>'BIO - Income Statement (2)'!Z74</f>
        <v>-111438</v>
      </c>
      <c r="P171" s="509">
        <f>'BIO - Income Statement (2)'!AA74</f>
        <v>-174133</v>
      </c>
      <c r="Q171" s="509">
        <f>'BIO - Income Statement (2)'!AB74</f>
        <v>-200672</v>
      </c>
      <c r="R171" s="498"/>
      <c r="S171" s="500"/>
      <c r="T171" s="497"/>
      <c r="U171" s="497"/>
      <c r="V171" s="497"/>
      <c r="W171" s="497"/>
      <c r="X171" s="497"/>
      <c r="Y171" s="497"/>
      <c r="Z171" s="497"/>
      <c r="AA171" s="497"/>
      <c r="AB171" s="497"/>
      <c r="AC171" s="497"/>
      <c r="AD171" s="497"/>
      <c r="AE171" s="497"/>
      <c r="AF171" s="497"/>
      <c r="AG171" s="497"/>
      <c r="AH171" s="497"/>
      <c r="AI171" s="497"/>
      <c r="AJ171" s="497"/>
      <c r="AK171" s="497"/>
      <c r="AL171" s="497"/>
      <c r="AM171" s="497"/>
    </row>
    <row r="172" ht="11.25" hidden="1" customHeight="1">
      <c r="A172" s="497"/>
      <c r="B172" s="497" t="s">
        <v>105</v>
      </c>
      <c r="C172" s="497"/>
      <c r="D172" s="498"/>
      <c r="E172" s="499"/>
      <c r="F172" s="499"/>
      <c r="G172" s="499"/>
      <c r="H172" s="499"/>
      <c r="I172" s="499"/>
      <c r="J172" s="498"/>
      <c r="K172" s="518">
        <f t="shared" ref="K172:Q172" si="79">-K103+K143</f>
        <v>-79008</v>
      </c>
      <c r="L172" s="518">
        <f t="shared" si="79"/>
        <v>-85951</v>
      </c>
      <c r="M172" s="518">
        <f t="shared" si="79"/>
        <v>-97574</v>
      </c>
      <c r="N172" s="518">
        <f t="shared" si="79"/>
        <v>-97127</v>
      </c>
      <c r="O172" s="518">
        <f t="shared" si="79"/>
        <v>-91529</v>
      </c>
      <c r="P172" s="518">
        <f t="shared" si="79"/>
        <v>-136683</v>
      </c>
      <c r="Q172" s="518">
        <f t="shared" si="79"/>
        <v>-166986</v>
      </c>
      <c r="R172" s="498"/>
      <c r="S172" s="500"/>
      <c r="T172" s="497"/>
      <c r="U172" s="497"/>
      <c r="V172" s="497"/>
      <c r="W172" s="497"/>
      <c r="X172" s="497"/>
      <c r="Y172" s="497"/>
      <c r="Z172" s="497"/>
      <c r="AA172" s="497"/>
      <c r="AB172" s="497"/>
      <c r="AC172" s="497"/>
      <c r="AD172" s="497"/>
      <c r="AE172" s="497"/>
      <c r="AF172" s="497"/>
      <c r="AG172" s="497"/>
      <c r="AH172" s="497"/>
      <c r="AI172" s="497"/>
      <c r="AJ172" s="497"/>
      <c r="AK172" s="497"/>
      <c r="AL172" s="497"/>
      <c r="AM172" s="497"/>
    </row>
    <row r="173" ht="11.25" hidden="1" customHeight="1">
      <c r="A173" s="497"/>
      <c r="B173" s="497" t="s">
        <v>106</v>
      </c>
      <c r="C173" s="497"/>
      <c r="D173" s="498"/>
      <c r="E173" s="499"/>
      <c r="F173" s="499"/>
      <c r="G173" s="499"/>
      <c r="H173" s="499"/>
      <c r="I173" s="499"/>
      <c r="J173" s="498"/>
      <c r="K173" s="509">
        <f t="shared" ref="K173:Q173" si="80">K171-K172</f>
        <v>-52</v>
      </c>
      <c r="L173" s="509">
        <f t="shared" si="80"/>
        <v>0</v>
      </c>
      <c r="M173" s="509">
        <f t="shared" si="80"/>
        <v>-203</v>
      </c>
      <c r="N173" s="509">
        <f t="shared" si="80"/>
        <v>88</v>
      </c>
      <c r="O173" s="509">
        <f t="shared" si="80"/>
        <v>-19909</v>
      </c>
      <c r="P173" s="509">
        <f t="shared" si="80"/>
        <v>-37450</v>
      </c>
      <c r="Q173" s="509">
        <f t="shared" si="80"/>
        <v>-33686</v>
      </c>
      <c r="R173" s="498"/>
      <c r="S173" s="500"/>
      <c r="T173" s="497"/>
      <c r="U173" s="497"/>
      <c r="V173" s="497"/>
      <c r="W173" s="497"/>
      <c r="X173" s="497"/>
      <c r="Y173" s="497"/>
      <c r="Z173" s="497"/>
      <c r="AA173" s="497"/>
      <c r="AB173" s="497"/>
      <c r="AC173" s="497"/>
      <c r="AD173" s="497"/>
      <c r="AE173" s="497"/>
      <c r="AF173" s="497"/>
      <c r="AG173" s="497"/>
      <c r="AH173" s="497"/>
      <c r="AI173" s="497"/>
      <c r="AJ173" s="497"/>
      <c r="AK173" s="497"/>
      <c r="AL173" s="497"/>
      <c r="AM173" s="497"/>
    </row>
    <row r="174" ht="11.25" customHeight="1">
      <c r="A174" s="497"/>
      <c r="B174" s="497"/>
      <c r="C174" s="497"/>
      <c r="D174" s="498"/>
      <c r="E174" s="499"/>
      <c r="F174" s="499"/>
      <c r="G174" s="499"/>
      <c r="H174" s="499"/>
      <c r="I174" s="499"/>
      <c r="J174" s="498"/>
      <c r="K174" s="498"/>
      <c r="L174" s="498"/>
      <c r="M174" s="498"/>
      <c r="N174" s="498"/>
      <c r="O174" s="498"/>
      <c r="P174" s="498"/>
      <c r="Q174" s="498"/>
      <c r="R174" s="498"/>
      <c r="S174" s="500"/>
      <c r="T174" s="497"/>
      <c r="U174" s="497"/>
      <c r="V174" s="497"/>
      <c r="W174" s="497"/>
      <c r="X174" s="497"/>
      <c r="Y174" s="497"/>
      <c r="Z174" s="497"/>
      <c r="AA174" s="497"/>
      <c r="AB174" s="497"/>
      <c r="AC174" s="497"/>
      <c r="AD174" s="497"/>
      <c r="AE174" s="497"/>
      <c r="AF174" s="497"/>
      <c r="AG174" s="497"/>
      <c r="AH174" s="497"/>
      <c r="AI174" s="497"/>
      <c r="AJ174" s="497"/>
      <c r="AK174" s="497"/>
      <c r="AL174" s="497"/>
      <c r="AM174" s="497"/>
    </row>
    <row r="175" ht="11.25" customHeight="1" outlineLevel="1">
      <c r="A175" s="441"/>
      <c r="B175" s="455" t="s">
        <v>107</v>
      </c>
      <c r="C175" s="456"/>
      <c r="D175" s="457"/>
      <c r="E175" s="376"/>
      <c r="F175" s="376"/>
      <c r="G175" s="376"/>
      <c r="H175" s="376"/>
      <c r="I175" s="376"/>
      <c r="J175" s="457"/>
      <c r="K175" s="457"/>
      <c r="L175" s="457"/>
      <c r="M175" s="457"/>
      <c r="N175" s="457"/>
      <c r="O175" s="457"/>
      <c r="P175" s="457"/>
      <c r="Q175" s="457"/>
      <c r="R175" s="441"/>
      <c r="S175" s="443"/>
      <c r="T175" s="441"/>
      <c r="U175" s="441"/>
      <c r="V175" s="441"/>
      <c r="W175" s="441"/>
      <c r="X175" s="441"/>
      <c r="Y175" s="441"/>
      <c r="Z175" s="441"/>
      <c r="AA175" s="441"/>
      <c r="AB175" s="441"/>
      <c r="AC175" s="441"/>
      <c r="AD175" s="441"/>
      <c r="AE175" s="441"/>
      <c r="AF175" s="441"/>
      <c r="AG175" s="441"/>
      <c r="AH175" s="441"/>
      <c r="AI175" s="441"/>
      <c r="AJ175" s="441"/>
      <c r="AK175" s="441"/>
      <c r="AL175" s="441"/>
      <c r="AM175" s="441"/>
    </row>
    <row r="176" ht="11.25" customHeight="1" outlineLevel="1">
      <c r="A176" s="441"/>
      <c r="B176" s="458" t="s">
        <v>70</v>
      </c>
      <c r="C176" s="456"/>
      <c r="D176" s="457"/>
      <c r="E176" s="376"/>
      <c r="F176" s="376"/>
      <c r="G176" s="376"/>
      <c r="H176" s="376"/>
      <c r="I176" s="376"/>
      <c r="J176" s="457"/>
      <c r="K176" s="457">
        <f t="shared" ref="K176:Q176" si="81">K166/K10</f>
        <v>-0.03344574596</v>
      </c>
      <c r="L176" s="457">
        <f t="shared" si="81"/>
        <v>0.04198423178</v>
      </c>
      <c r="M176" s="457">
        <f t="shared" si="81"/>
        <v>0.05066695482</v>
      </c>
      <c r="N176" s="457">
        <f t="shared" si="81"/>
        <v>0.1227809739</v>
      </c>
      <c r="O176" s="457">
        <f t="shared" si="81"/>
        <v>0.2123150498</v>
      </c>
      <c r="P176" s="457">
        <f t="shared" si="81"/>
        <v>0.1854012995</v>
      </c>
      <c r="Q176" s="457">
        <f t="shared" si="81"/>
        <v>0.2916714821</v>
      </c>
      <c r="R176" s="441"/>
      <c r="S176" s="443"/>
      <c r="T176" s="441"/>
      <c r="U176" s="441"/>
      <c r="V176" s="441"/>
      <c r="W176" s="441"/>
      <c r="X176" s="441"/>
      <c r="Y176" s="441"/>
      <c r="Z176" s="441"/>
      <c r="AA176" s="441"/>
      <c r="AB176" s="441"/>
      <c r="AC176" s="441"/>
      <c r="AD176" s="441"/>
      <c r="AE176" s="441"/>
      <c r="AF176" s="441"/>
      <c r="AG176" s="441"/>
      <c r="AH176" s="441"/>
      <c r="AI176" s="441"/>
      <c r="AJ176" s="441"/>
      <c r="AK176" s="441"/>
      <c r="AL176" s="441"/>
      <c r="AM176" s="441"/>
    </row>
    <row r="177" ht="11.25" customHeight="1" outlineLevel="1">
      <c r="A177" s="441"/>
      <c r="B177" s="458" t="s">
        <v>71</v>
      </c>
      <c r="C177" s="456"/>
      <c r="D177" s="457"/>
      <c r="E177" s="376"/>
      <c r="F177" s="376"/>
      <c r="G177" s="376"/>
      <c r="H177" s="376"/>
      <c r="I177" s="376"/>
      <c r="J177" s="457"/>
      <c r="K177" s="457">
        <f t="shared" ref="K177:Q177" si="82">K167/K11</f>
        <v>0.1229207839</v>
      </c>
      <c r="L177" s="457">
        <f t="shared" si="82"/>
        <v>0.1715467306</v>
      </c>
      <c r="M177" s="457">
        <f t="shared" si="82"/>
        <v>0.2002807965</v>
      </c>
      <c r="N177" s="457">
        <f t="shared" si="82"/>
        <v>0.1802396151</v>
      </c>
      <c r="O177" s="457">
        <f t="shared" si="82"/>
        <v>0.1779479266</v>
      </c>
      <c r="P177" s="457">
        <f t="shared" si="82"/>
        <v>0.165143242</v>
      </c>
      <c r="Q177" s="457">
        <f t="shared" si="82"/>
        <v>0.1354077367</v>
      </c>
      <c r="R177" s="441"/>
      <c r="S177" s="443"/>
      <c r="T177" s="441"/>
      <c r="U177" s="441"/>
      <c r="V177" s="441"/>
      <c r="W177" s="441"/>
      <c r="X177" s="441"/>
      <c r="Y177" s="441"/>
      <c r="Z177" s="441"/>
      <c r="AA177" s="441"/>
      <c r="AB177" s="441"/>
      <c r="AC177" s="441"/>
      <c r="AD177" s="441"/>
      <c r="AE177" s="441"/>
      <c r="AF177" s="441"/>
      <c r="AG177" s="441"/>
      <c r="AH177" s="441"/>
      <c r="AI177" s="441"/>
      <c r="AJ177" s="441"/>
      <c r="AK177" s="441"/>
      <c r="AL177" s="441"/>
      <c r="AM177" s="441"/>
    </row>
    <row r="178" ht="11.25" customHeight="1" outlineLevel="1">
      <c r="A178" s="441"/>
      <c r="B178" s="458" t="s">
        <v>72</v>
      </c>
      <c r="C178" s="456"/>
      <c r="D178" s="457"/>
      <c r="E178" s="376"/>
      <c r="F178" s="376"/>
      <c r="G178" s="376"/>
      <c r="H178" s="376"/>
      <c r="I178" s="376"/>
      <c r="J178" s="457"/>
      <c r="K178" s="457"/>
      <c r="L178" s="457"/>
      <c r="M178" s="457">
        <f t="shared" ref="M178:Q178" si="83">M168/M12</f>
        <v>-0.6809048692</v>
      </c>
      <c r="N178" s="457">
        <f t="shared" si="83"/>
        <v>-0.5876591035</v>
      </c>
      <c r="O178" s="457">
        <f t="shared" si="83"/>
        <v>-0.2666843551</v>
      </c>
      <c r="P178" s="457">
        <f t="shared" si="83"/>
        <v>-0.2479773422</v>
      </c>
      <c r="Q178" s="457">
        <f t="shared" si="83"/>
        <v>-0.2698566802</v>
      </c>
      <c r="R178" s="441"/>
      <c r="S178" s="443"/>
      <c r="T178" s="441"/>
      <c r="U178" s="441"/>
      <c r="V178" s="441"/>
      <c r="W178" s="441"/>
      <c r="X178" s="441"/>
      <c r="Y178" s="441"/>
      <c r="Z178" s="441"/>
      <c r="AA178" s="441"/>
      <c r="AB178" s="441"/>
      <c r="AC178" s="441"/>
      <c r="AD178" s="441"/>
      <c r="AE178" s="441"/>
      <c r="AF178" s="441"/>
      <c r="AG178" s="441"/>
      <c r="AH178" s="441"/>
      <c r="AI178" s="441"/>
      <c r="AJ178" s="441"/>
      <c r="AK178" s="441"/>
      <c r="AL178" s="441"/>
      <c r="AM178" s="441"/>
    </row>
    <row r="179" ht="11.25" customHeight="1" outlineLevel="1">
      <c r="A179" s="441"/>
      <c r="B179" s="458"/>
      <c r="C179" s="456"/>
      <c r="D179" s="457"/>
      <c r="E179" s="376"/>
      <c r="F179" s="376"/>
      <c r="G179" s="376"/>
      <c r="H179" s="376"/>
      <c r="I179" s="376"/>
      <c r="J179" s="457"/>
      <c r="K179" s="457"/>
      <c r="L179" s="457"/>
      <c r="M179" s="457"/>
      <c r="N179" s="457"/>
      <c r="O179" s="457"/>
      <c r="P179" s="457"/>
      <c r="Q179" s="457"/>
      <c r="R179" s="441"/>
      <c r="S179" s="443"/>
      <c r="T179" s="441"/>
      <c r="U179" s="441"/>
      <c r="V179" s="441"/>
      <c r="W179" s="441"/>
      <c r="X179" s="441"/>
      <c r="Y179" s="441"/>
      <c r="Z179" s="441"/>
      <c r="AA179" s="441"/>
      <c r="AB179" s="441"/>
      <c r="AC179" s="441"/>
      <c r="AD179" s="441"/>
      <c r="AE179" s="441"/>
      <c r="AF179" s="441"/>
      <c r="AG179" s="441"/>
      <c r="AH179" s="441"/>
      <c r="AI179" s="441"/>
      <c r="AJ179" s="441"/>
      <c r="AK179" s="441"/>
      <c r="AL179" s="441"/>
      <c r="AM179" s="441"/>
    </row>
    <row r="180" ht="11.25" hidden="1" customHeight="1" outlineLevel="1">
      <c r="A180" s="488"/>
      <c r="B180" s="449" t="s">
        <v>108</v>
      </c>
      <c r="C180" s="437"/>
      <c r="D180" s="494"/>
      <c r="E180" s="495"/>
      <c r="F180" s="495"/>
      <c r="G180" s="495"/>
      <c r="H180" s="495"/>
      <c r="I180" s="495"/>
      <c r="J180" s="494"/>
      <c r="K180" s="494"/>
      <c r="L180" s="494"/>
      <c r="M180" s="494"/>
      <c r="N180" s="494"/>
      <c r="O180" s="494"/>
      <c r="P180" s="494"/>
      <c r="Q180" s="494"/>
      <c r="R180" s="496"/>
      <c r="S180" s="492"/>
      <c r="T180" s="488"/>
      <c r="U180" s="488"/>
      <c r="V180" s="488"/>
      <c r="W180" s="488"/>
      <c r="X180" s="488"/>
      <c r="Y180" s="488"/>
      <c r="Z180" s="488"/>
      <c r="AA180" s="488"/>
      <c r="AB180" s="488"/>
      <c r="AC180" s="488"/>
      <c r="AD180" s="488"/>
      <c r="AE180" s="488"/>
      <c r="AF180" s="488"/>
      <c r="AG180" s="488"/>
      <c r="AH180" s="488"/>
      <c r="AI180" s="488"/>
      <c r="AJ180" s="488"/>
      <c r="AK180" s="488"/>
      <c r="AL180" s="488"/>
      <c r="AM180" s="488"/>
    </row>
    <row r="181" ht="11.25" hidden="1" customHeight="1" outlineLevel="1">
      <c r="A181" s="448"/>
      <c r="B181" s="458" t="s">
        <v>70</v>
      </c>
      <c r="C181" s="459"/>
      <c r="D181" s="487"/>
      <c r="E181" s="378"/>
      <c r="F181" s="378"/>
      <c r="G181" s="378"/>
      <c r="H181" s="378"/>
      <c r="I181" s="378"/>
      <c r="J181" s="487"/>
      <c r="K181" s="487" t="str">
        <f t="shared" ref="K181:Q181" si="84">#REF!</f>
        <v>#REF!</v>
      </c>
      <c r="L181" s="487" t="str">
        <f t="shared" si="84"/>
        <v>#REF!</v>
      </c>
      <c r="M181" s="487" t="str">
        <f t="shared" si="84"/>
        <v>#REF!</v>
      </c>
      <c r="N181" s="487" t="str">
        <f t="shared" si="84"/>
        <v>#REF!</v>
      </c>
      <c r="O181" s="487" t="str">
        <f t="shared" si="84"/>
        <v>#REF!</v>
      </c>
      <c r="P181" s="487" t="str">
        <f t="shared" si="84"/>
        <v>#REF!</v>
      </c>
      <c r="Q181" s="487" t="str">
        <f t="shared" si="84"/>
        <v>#REF!</v>
      </c>
      <c r="R181" s="453"/>
      <c r="S181" s="454"/>
      <c r="T181" s="448"/>
      <c r="U181" s="448"/>
      <c r="V181" s="448"/>
      <c r="W181" s="448"/>
      <c r="X181" s="448"/>
      <c r="Y181" s="448"/>
      <c r="Z181" s="448"/>
      <c r="AA181" s="448"/>
      <c r="AB181" s="448"/>
      <c r="AC181" s="448"/>
      <c r="AD181" s="448"/>
      <c r="AE181" s="448"/>
      <c r="AF181" s="448"/>
      <c r="AG181" s="448"/>
      <c r="AH181" s="448"/>
      <c r="AI181" s="448"/>
      <c r="AJ181" s="448"/>
      <c r="AK181" s="448"/>
      <c r="AL181" s="448"/>
      <c r="AM181" s="448"/>
    </row>
    <row r="182" ht="11.25" hidden="1" customHeight="1" outlineLevel="1">
      <c r="A182" s="448"/>
      <c r="B182" s="458" t="s">
        <v>71</v>
      </c>
      <c r="C182" s="459"/>
      <c r="D182" s="487"/>
      <c r="E182" s="378"/>
      <c r="F182" s="378"/>
      <c r="G182" s="378"/>
      <c r="H182" s="378"/>
      <c r="I182" s="378"/>
      <c r="J182" s="487"/>
      <c r="K182" s="487">
        <f>'Inogen - Key Metrics'!N34</f>
        <v>12880</v>
      </c>
      <c r="L182" s="487">
        <f>'Inogen - Key Metrics'!O34</f>
        <v>14003</v>
      </c>
      <c r="M182" s="487">
        <f>'Inogen - Key Metrics'!P34</f>
        <v>73808</v>
      </c>
      <c r="N182" s="487">
        <f>'Inogen - Key Metrics'!Q34</f>
        <v>92831</v>
      </c>
      <c r="O182" s="487">
        <f>'Inogen - Key Metrics'!R34</f>
        <v>138700</v>
      </c>
      <c r="P182" s="487">
        <f>'Inogen - Key Metrics'!S34</f>
        <v>194602</v>
      </c>
      <c r="Q182" s="487">
        <f>'Inogen - Key Metrics'!T34</f>
        <v>267998</v>
      </c>
      <c r="R182" s="453"/>
      <c r="S182" s="454"/>
      <c r="T182" s="448"/>
      <c r="U182" s="448"/>
      <c r="V182" s="448"/>
      <c r="W182" s="448"/>
      <c r="X182" s="448"/>
      <c r="Y182" s="448"/>
      <c r="Z182" s="448"/>
      <c r="AA182" s="448"/>
      <c r="AB182" s="448"/>
      <c r="AC182" s="448"/>
      <c r="AD182" s="448"/>
      <c r="AE182" s="448"/>
      <c r="AF182" s="448"/>
      <c r="AG182" s="448"/>
      <c r="AH182" s="448"/>
      <c r="AI182" s="448"/>
      <c r="AJ182" s="448"/>
      <c r="AK182" s="448"/>
      <c r="AL182" s="448"/>
      <c r="AM182" s="448"/>
    </row>
    <row r="183" ht="11.25" hidden="1" customHeight="1" outlineLevel="1">
      <c r="A183" s="448"/>
      <c r="B183" s="458" t="s">
        <v>72</v>
      </c>
      <c r="C183" s="459"/>
      <c r="D183" s="487"/>
      <c r="E183" s="378"/>
      <c r="F183" s="378"/>
      <c r="G183" s="378"/>
      <c r="H183" s="378"/>
      <c r="I183" s="378"/>
      <c r="J183" s="487"/>
      <c r="K183" s="487"/>
      <c r="L183" s="487"/>
      <c r="M183" s="487">
        <f>'iRythm - Summary'!M34</f>
        <v>10672</v>
      </c>
      <c r="N183" s="487">
        <f>'iRythm - Summary'!N34</f>
        <v>24054</v>
      </c>
      <c r="O183" s="487">
        <f>'iRythm - Summary'!O34</f>
        <v>105393</v>
      </c>
      <c r="P183" s="487">
        <f>'iRythm - Summary'!P34</f>
        <v>98663</v>
      </c>
      <c r="Q183" s="487">
        <f>'iRythm - Summary'!Q34</f>
        <v>76246</v>
      </c>
      <c r="R183" s="453"/>
      <c r="S183" s="454"/>
      <c r="T183" s="448"/>
      <c r="U183" s="448"/>
      <c r="V183" s="448"/>
      <c r="W183" s="448"/>
      <c r="X183" s="448"/>
      <c r="Y183" s="448"/>
      <c r="Z183" s="448"/>
      <c r="AA183" s="448"/>
      <c r="AB183" s="448"/>
      <c r="AC183" s="448"/>
      <c r="AD183" s="448"/>
      <c r="AE183" s="448"/>
      <c r="AF183" s="448"/>
      <c r="AG183" s="448"/>
      <c r="AH183" s="448"/>
      <c r="AI183" s="448"/>
      <c r="AJ183" s="448"/>
      <c r="AK183" s="448"/>
      <c r="AL183" s="448"/>
      <c r="AM183" s="448"/>
    </row>
    <row r="184" ht="11.25" hidden="1" customHeight="1" outlineLevel="1">
      <c r="A184" s="448"/>
      <c r="B184" s="449"/>
      <c r="C184" s="450"/>
      <c r="D184" s="451"/>
      <c r="E184" s="452"/>
      <c r="F184" s="452"/>
      <c r="G184" s="452"/>
      <c r="H184" s="452"/>
      <c r="I184" s="452"/>
      <c r="J184" s="451"/>
      <c r="K184" s="451"/>
      <c r="L184" s="451"/>
      <c r="M184" s="451"/>
      <c r="N184" s="451"/>
      <c r="O184" s="451"/>
      <c r="P184" s="451"/>
      <c r="Q184" s="451"/>
      <c r="R184" s="453"/>
      <c r="S184" s="454"/>
      <c r="T184" s="448"/>
      <c r="U184" s="448"/>
      <c r="V184" s="448"/>
      <c r="W184" s="448"/>
      <c r="X184" s="448"/>
      <c r="Y184" s="448"/>
      <c r="Z184" s="448"/>
      <c r="AA184" s="448"/>
      <c r="AB184" s="448"/>
      <c r="AC184" s="448"/>
      <c r="AD184" s="448"/>
      <c r="AE184" s="448"/>
      <c r="AF184" s="448"/>
      <c r="AG184" s="448"/>
      <c r="AH184" s="448"/>
      <c r="AI184" s="448"/>
      <c r="AJ184" s="448"/>
      <c r="AK184" s="448"/>
      <c r="AL184" s="448"/>
      <c r="AM184" s="448"/>
    </row>
    <row r="185" ht="11.25" hidden="1" customHeight="1" outlineLevel="1">
      <c r="A185" s="448"/>
      <c r="B185" s="449" t="s">
        <v>109</v>
      </c>
      <c r="C185" s="450"/>
      <c r="D185" s="451"/>
      <c r="E185" s="452"/>
      <c r="F185" s="452"/>
      <c r="G185" s="452"/>
      <c r="H185" s="452"/>
      <c r="I185" s="452"/>
      <c r="J185" s="451"/>
      <c r="K185" s="451"/>
      <c r="L185" s="451"/>
      <c r="M185" s="451"/>
      <c r="N185" s="451"/>
      <c r="O185" s="451"/>
      <c r="P185" s="451"/>
      <c r="Q185" s="451"/>
      <c r="R185" s="453"/>
      <c r="S185" s="454"/>
      <c r="T185" s="448"/>
      <c r="U185" s="448"/>
      <c r="V185" s="448"/>
      <c r="W185" s="448"/>
      <c r="X185" s="448"/>
      <c r="Y185" s="448"/>
      <c r="Z185" s="448"/>
      <c r="AA185" s="448"/>
      <c r="AB185" s="448"/>
      <c r="AC185" s="448"/>
      <c r="AD185" s="448"/>
      <c r="AE185" s="448"/>
      <c r="AF185" s="448"/>
      <c r="AG185" s="448"/>
      <c r="AH185" s="448"/>
      <c r="AI185" s="448"/>
      <c r="AJ185" s="448"/>
      <c r="AK185" s="448"/>
      <c r="AL185" s="448"/>
      <c r="AM185" s="448"/>
    </row>
    <row r="186" ht="11.25" hidden="1" customHeight="1" outlineLevel="1">
      <c r="A186" s="488"/>
      <c r="B186" s="458" t="s">
        <v>70</v>
      </c>
      <c r="C186" s="437"/>
      <c r="D186" s="494"/>
      <c r="E186" s="495"/>
      <c r="F186" s="495"/>
      <c r="G186" s="495"/>
      <c r="H186" s="495"/>
      <c r="I186" s="495"/>
      <c r="J186" s="494"/>
      <c r="K186" s="519" t="str">
        <f t="shared" ref="K186:Q186" si="85">K181/K10</f>
        <v>#REF!</v>
      </c>
      <c r="L186" s="519" t="str">
        <f t="shared" si="85"/>
        <v>#REF!</v>
      </c>
      <c r="M186" s="519" t="str">
        <f t="shared" si="85"/>
        <v>#REF!</v>
      </c>
      <c r="N186" s="519" t="str">
        <f t="shared" si="85"/>
        <v>#REF!</v>
      </c>
      <c r="O186" s="519" t="str">
        <f t="shared" si="85"/>
        <v>#REF!</v>
      </c>
      <c r="P186" s="519" t="str">
        <f t="shared" si="85"/>
        <v>#REF!</v>
      </c>
      <c r="Q186" s="519" t="str">
        <f t="shared" si="85"/>
        <v>#REF!</v>
      </c>
      <c r="R186" s="496"/>
      <c r="S186" s="492"/>
      <c r="T186" s="488"/>
      <c r="U186" s="488"/>
      <c r="V186" s="488"/>
      <c r="W186" s="488"/>
      <c r="X186" s="488"/>
      <c r="Y186" s="488"/>
      <c r="Z186" s="488"/>
      <c r="AA186" s="488"/>
      <c r="AB186" s="488"/>
      <c r="AC186" s="488"/>
      <c r="AD186" s="488"/>
      <c r="AE186" s="488"/>
      <c r="AF186" s="488"/>
      <c r="AG186" s="488"/>
      <c r="AH186" s="488"/>
      <c r="AI186" s="488"/>
      <c r="AJ186" s="488"/>
      <c r="AK186" s="488"/>
      <c r="AL186" s="488"/>
      <c r="AM186" s="488"/>
    </row>
    <row r="187" ht="11.25" hidden="1" customHeight="1" outlineLevel="1">
      <c r="A187" s="488"/>
      <c r="B187" s="458" t="s">
        <v>71</v>
      </c>
      <c r="C187" s="437"/>
      <c r="D187" s="494"/>
      <c r="E187" s="495"/>
      <c r="F187" s="495"/>
      <c r="G187" s="495"/>
      <c r="H187" s="495"/>
      <c r="I187" s="495"/>
      <c r="J187" s="494"/>
      <c r="K187" s="519">
        <f t="shared" ref="K187:Q187" si="86">K182/K11</f>
        <v>0.2651515152</v>
      </c>
      <c r="L187" s="519">
        <f t="shared" si="86"/>
        <v>0.1856103283</v>
      </c>
      <c r="M187" s="519">
        <f t="shared" si="86"/>
        <v>0.6558554076</v>
      </c>
      <c r="N187" s="519">
        <f t="shared" si="86"/>
        <v>0.583824408</v>
      </c>
      <c r="O187" s="519">
        <f t="shared" si="86"/>
        <v>0.6838272634</v>
      </c>
      <c r="P187" s="519">
        <f t="shared" si="86"/>
        <v>0.7801618037</v>
      </c>
      <c r="Q187" s="519">
        <f t="shared" si="86"/>
        <v>0.7483657302</v>
      </c>
      <c r="R187" s="496"/>
      <c r="S187" s="492"/>
      <c r="T187" s="488"/>
      <c r="U187" s="488"/>
      <c r="V187" s="488"/>
      <c r="W187" s="488"/>
      <c r="X187" s="488"/>
      <c r="Y187" s="488"/>
      <c r="Z187" s="488"/>
      <c r="AA187" s="488"/>
      <c r="AB187" s="488"/>
      <c r="AC187" s="488"/>
      <c r="AD187" s="488"/>
      <c r="AE187" s="488"/>
      <c r="AF187" s="488"/>
      <c r="AG187" s="488"/>
      <c r="AH187" s="488"/>
      <c r="AI187" s="488"/>
      <c r="AJ187" s="488"/>
      <c r="AK187" s="488"/>
      <c r="AL187" s="488"/>
      <c r="AM187" s="488"/>
    </row>
    <row r="188" ht="11.25" hidden="1" customHeight="1" outlineLevel="1">
      <c r="A188" s="488"/>
      <c r="B188" s="458" t="s">
        <v>72</v>
      </c>
      <c r="C188" s="437"/>
      <c r="D188" s="494"/>
      <c r="E188" s="495"/>
      <c r="F188" s="495"/>
      <c r="G188" s="495"/>
      <c r="H188" s="495"/>
      <c r="I188" s="495"/>
      <c r="J188" s="494"/>
      <c r="K188" s="519"/>
      <c r="L188" s="519"/>
      <c r="M188" s="519">
        <f t="shared" ref="M188:Q188" si="87">M183/M12</f>
        <v>0.4906892271</v>
      </c>
      <c r="N188" s="519">
        <f t="shared" si="87"/>
        <v>0.6655783066</v>
      </c>
      <c r="O188" s="519">
        <f t="shared" si="87"/>
        <v>1.644915096</v>
      </c>
      <c r="P188" s="519">
        <f t="shared" si="87"/>
        <v>1.001563309</v>
      </c>
      <c r="Q188" s="519">
        <f t="shared" si="87"/>
        <v>0.5176484965</v>
      </c>
      <c r="R188" s="496"/>
      <c r="S188" s="492"/>
      <c r="T188" s="488"/>
      <c r="U188" s="488"/>
      <c r="V188" s="488"/>
      <c r="W188" s="488"/>
      <c r="X188" s="488"/>
      <c r="Y188" s="488"/>
      <c r="Z188" s="488"/>
      <c r="AA188" s="488"/>
      <c r="AB188" s="488"/>
      <c r="AC188" s="488"/>
      <c r="AD188" s="488"/>
      <c r="AE188" s="488"/>
      <c r="AF188" s="488"/>
      <c r="AG188" s="488"/>
      <c r="AH188" s="488"/>
      <c r="AI188" s="488"/>
      <c r="AJ188" s="488"/>
      <c r="AK188" s="488"/>
      <c r="AL188" s="488"/>
      <c r="AM188" s="488"/>
    </row>
    <row r="189" ht="11.25" hidden="1" customHeight="1" outlineLevel="1">
      <c r="A189" s="488"/>
      <c r="B189" s="493"/>
      <c r="C189" s="437"/>
      <c r="D189" s="494"/>
      <c r="E189" s="495"/>
      <c r="F189" s="495"/>
      <c r="G189" s="495"/>
      <c r="H189" s="495"/>
      <c r="I189" s="495"/>
      <c r="J189" s="494"/>
      <c r="K189" s="519"/>
      <c r="L189" s="519"/>
      <c r="M189" s="519"/>
      <c r="N189" s="519"/>
      <c r="O189" s="519"/>
      <c r="P189" s="519"/>
      <c r="Q189" s="519"/>
      <c r="R189" s="496"/>
      <c r="S189" s="492"/>
      <c r="T189" s="488"/>
      <c r="U189" s="488"/>
      <c r="V189" s="488"/>
      <c r="W189" s="488"/>
      <c r="X189" s="488"/>
      <c r="Y189" s="488"/>
      <c r="Z189" s="488"/>
      <c r="AA189" s="488"/>
      <c r="AB189" s="488"/>
      <c r="AC189" s="488"/>
      <c r="AD189" s="488"/>
      <c r="AE189" s="488"/>
      <c r="AF189" s="488"/>
      <c r="AG189" s="488"/>
      <c r="AH189" s="488"/>
      <c r="AI189" s="488"/>
      <c r="AJ189" s="488"/>
      <c r="AK189" s="488"/>
      <c r="AL189" s="488"/>
      <c r="AM189" s="488"/>
    </row>
    <row r="190" ht="11.25" hidden="1" customHeight="1" outlineLevel="1">
      <c r="A190" s="488"/>
      <c r="B190" s="493"/>
      <c r="C190" s="437"/>
      <c r="D190" s="494"/>
      <c r="E190" s="495"/>
      <c r="F190" s="495"/>
      <c r="G190" s="495"/>
      <c r="H190" s="495"/>
      <c r="I190" s="495"/>
      <c r="J190" s="494"/>
      <c r="K190" s="494"/>
      <c r="L190" s="494"/>
      <c r="M190" s="494"/>
      <c r="N190" s="494"/>
      <c r="O190" s="494"/>
      <c r="P190" s="494"/>
      <c r="Q190" s="494"/>
      <c r="R190" s="496"/>
      <c r="S190" s="492"/>
      <c r="T190" s="488"/>
      <c r="U190" s="488"/>
      <c r="V190" s="488"/>
      <c r="W190" s="488"/>
      <c r="X190" s="488"/>
      <c r="Y190" s="488"/>
      <c r="Z190" s="488"/>
      <c r="AA190" s="488"/>
      <c r="AB190" s="488"/>
      <c r="AC190" s="488"/>
      <c r="AD190" s="488"/>
      <c r="AE190" s="488"/>
      <c r="AF190" s="488"/>
      <c r="AG190" s="488"/>
      <c r="AH190" s="488"/>
      <c r="AI190" s="488"/>
      <c r="AJ190" s="488"/>
      <c r="AK190" s="488"/>
      <c r="AL190" s="488"/>
      <c r="AM190" s="488"/>
    </row>
    <row r="191" ht="11.25" hidden="1" customHeight="1">
      <c r="A191" s="497"/>
      <c r="B191" s="497"/>
      <c r="C191" s="497"/>
      <c r="D191" s="498"/>
      <c r="E191" s="499"/>
      <c r="F191" s="499"/>
      <c r="G191" s="499"/>
      <c r="H191" s="499"/>
      <c r="I191" s="499"/>
      <c r="J191" s="498"/>
      <c r="K191" s="498"/>
      <c r="L191" s="498"/>
      <c r="M191" s="498"/>
      <c r="N191" s="498"/>
      <c r="O191" s="498"/>
      <c r="P191" s="498"/>
      <c r="Q191" s="498"/>
      <c r="R191" s="498"/>
      <c r="S191" s="500"/>
      <c r="T191" s="497"/>
      <c r="U191" s="497"/>
      <c r="V191" s="497"/>
      <c r="W191" s="497"/>
      <c r="X191" s="497"/>
      <c r="Y191" s="497"/>
      <c r="Z191" s="497"/>
      <c r="AA191" s="497"/>
      <c r="AB191" s="497"/>
      <c r="AC191" s="497"/>
      <c r="AD191" s="497"/>
      <c r="AE191" s="497"/>
      <c r="AF191" s="497"/>
      <c r="AG191" s="497"/>
      <c r="AH191" s="497"/>
      <c r="AI191" s="497"/>
      <c r="AJ191" s="497"/>
      <c r="AK191" s="497"/>
      <c r="AL191" s="497"/>
      <c r="AM191" s="497"/>
    </row>
    <row r="192" ht="11.25" hidden="1" customHeight="1">
      <c r="A192" s="520"/>
      <c r="B192" s="520"/>
      <c r="C192" s="520"/>
      <c r="D192" s="521"/>
      <c r="E192" s="499"/>
      <c r="F192" s="499"/>
      <c r="G192" s="499"/>
      <c r="H192" s="499"/>
      <c r="I192" s="499"/>
      <c r="J192" s="521"/>
      <c r="K192" s="521"/>
      <c r="L192" s="521"/>
      <c r="M192" s="521"/>
      <c r="N192" s="521"/>
      <c r="O192" s="521"/>
      <c r="P192" s="521"/>
      <c r="Q192" s="521"/>
      <c r="R192" s="521"/>
      <c r="S192" s="522"/>
      <c r="T192" s="520"/>
      <c r="U192" s="520"/>
      <c r="V192" s="520"/>
      <c r="W192" s="520"/>
      <c r="X192" s="520"/>
      <c r="Y192" s="520"/>
      <c r="Z192" s="520"/>
      <c r="AA192" s="520"/>
      <c r="AB192" s="520"/>
      <c r="AC192" s="520"/>
      <c r="AD192" s="520"/>
      <c r="AE192" s="520"/>
      <c r="AF192" s="520"/>
      <c r="AG192" s="520"/>
      <c r="AH192" s="520"/>
      <c r="AI192" s="520"/>
      <c r="AJ192" s="520"/>
      <c r="AK192" s="520"/>
      <c r="AL192" s="520"/>
      <c r="AM192" s="520"/>
    </row>
    <row r="193" ht="11.25" hidden="1" customHeight="1">
      <c r="A193" s="520"/>
      <c r="B193" s="520"/>
      <c r="C193" s="520"/>
      <c r="D193" s="521"/>
      <c r="E193" s="499"/>
      <c r="F193" s="499"/>
      <c r="G193" s="499"/>
      <c r="H193" s="499"/>
      <c r="I193" s="499"/>
      <c r="J193" s="521"/>
      <c r="K193" s="521"/>
      <c r="L193" s="521"/>
      <c r="M193" s="521"/>
      <c r="N193" s="521"/>
      <c r="O193" s="521"/>
      <c r="P193" s="521"/>
      <c r="Q193" s="521"/>
      <c r="R193" s="521"/>
      <c r="S193" s="522"/>
      <c r="T193" s="520"/>
      <c r="U193" s="520"/>
      <c r="V193" s="520"/>
      <c r="W193" s="520"/>
      <c r="X193" s="520"/>
      <c r="Y193" s="520"/>
      <c r="Z193" s="520"/>
      <c r="AA193" s="520"/>
      <c r="AB193" s="520"/>
      <c r="AC193" s="520"/>
      <c r="AD193" s="520"/>
      <c r="AE193" s="520"/>
      <c r="AF193" s="520"/>
      <c r="AG193" s="520"/>
      <c r="AH193" s="520"/>
      <c r="AI193" s="520"/>
      <c r="AJ193" s="520"/>
      <c r="AK193" s="520"/>
      <c r="AL193" s="520"/>
      <c r="AM193" s="520"/>
    </row>
    <row r="194" ht="11.25" hidden="1" customHeight="1">
      <c r="A194" s="334"/>
      <c r="B194" s="334"/>
      <c r="C194" s="334"/>
      <c r="D194" s="335"/>
      <c r="E194" s="331"/>
      <c r="F194" s="331"/>
      <c r="G194" s="331"/>
      <c r="H194" s="331"/>
      <c r="I194" s="331"/>
      <c r="J194" s="335"/>
      <c r="K194" s="335"/>
      <c r="L194" s="335"/>
      <c r="M194" s="335"/>
      <c r="N194" s="335"/>
      <c r="O194" s="335"/>
      <c r="P194" s="335"/>
      <c r="Q194" s="335"/>
      <c r="R194" s="335"/>
      <c r="S194" s="336"/>
      <c r="T194" s="334"/>
      <c r="U194" s="334"/>
      <c r="V194" s="334"/>
      <c r="W194" s="334"/>
      <c r="X194" s="334"/>
      <c r="Y194" s="334"/>
      <c r="Z194" s="334"/>
      <c r="AA194" s="334"/>
      <c r="AB194" s="334"/>
      <c r="AC194" s="334"/>
      <c r="AD194" s="334"/>
      <c r="AE194" s="334"/>
      <c r="AF194" s="334"/>
      <c r="AG194" s="334"/>
      <c r="AH194" s="334"/>
      <c r="AI194" s="334"/>
      <c r="AJ194" s="334"/>
      <c r="AK194" s="334"/>
      <c r="AL194" s="334"/>
      <c r="AM194" s="334"/>
    </row>
    <row r="195" ht="11.25" customHeight="1">
      <c r="A195" s="334"/>
      <c r="B195" s="334"/>
      <c r="C195" s="334"/>
      <c r="D195" s="335"/>
      <c r="E195" s="331"/>
      <c r="F195" s="331"/>
      <c r="G195" s="331"/>
      <c r="H195" s="331"/>
      <c r="I195" s="331"/>
      <c r="J195" s="335"/>
      <c r="K195" s="335"/>
      <c r="L195" s="335"/>
      <c r="M195" s="335"/>
      <c r="N195" s="335"/>
      <c r="O195" s="335"/>
      <c r="P195" s="335"/>
      <c r="Q195" s="335"/>
      <c r="R195" s="335"/>
      <c r="S195" s="336"/>
      <c r="T195" s="334"/>
      <c r="U195" s="334"/>
      <c r="V195" s="334"/>
      <c r="W195" s="334"/>
      <c r="X195" s="334"/>
      <c r="Y195" s="334"/>
      <c r="Z195" s="334"/>
      <c r="AA195" s="334"/>
      <c r="AB195" s="334"/>
      <c r="AC195" s="334"/>
      <c r="AD195" s="334"/>
      <c r="AE195" s="334"/>
      <c r="AF195" s="334"/>
      <c r="AG195" s="334"/>
      <c r="AH195" s="334"/>
      <c r="AI195" s="334"/>
      <c r="AJ195" s="334"/>
      <c r="AK195" s="334"/>
      <c r="AL195" s="334"/>
      <c r="AM195" s="334"/>
    </row>
    <row r="196" ht="11.25" customHeight="1">
      <c r="A196" s="334"/>
      <c r="B196" s="334"/>
      <c r="C196" s="334"/>
      <c r="D196" s="335"/>
      <c r="E196" s="331"/>
      <c r="F196" s="331"/>
      <c r="G196" s="331"/>
      <c r="H196" s="331"/>
      <c r="I196" s="331"/>
      <c r="J196" s="335"/>
      <c r="K196" s="335"/>
      <c r="L196" s="335"/>
      <c r="M196" s="335"/>
      <c r="N196" s="335"/>
      <c r="O196" s="335"/>
      <c r="P196" s="335"/>
      <c r="Q196" s="335"/>
      <c r="R196" s="335"/>
      <c r="S196" s="336"/>
      <c r="T196" s="334"/>
      <c r="U196" s="334"/>
      <c r="V196" s="334"/>
      <c r="W196" s="334"/>
      <c r="X196" s="334"/>
      <c r="Y196" s="334"/>
      <c r="Z196" s="334"/>
      <c r="AA196" s="334"/>
      <c r="AB196" s="334"/>
      <c r="AC196" s="334"/>
      <c r="AD196" s="334"/>
      <c r="AE196" s="334"/>
      <c r="AF196" s="334"/>
      <c r="AG196" s="334"/>
      <c r="AH196" s="334"/>
      <c r="AI196" s="334"/>
      <c r="AJ196" s="334"/>
      <c r="AK196" s="334"/>
      <c r="AL196" s="334"/>
      <c r="AM196" s="334"/>
    </row>
    <row r="197" ht="11.25" customHeight="1">
      <c r="A197" s="334"/>
      <c r="B197" s="334"/>
      <c r="C197" s="334"/>
      <c r="D197" s="335"/>
      <c r="E197" s="331"/>
      <c r="F197" s="331"/>
      <c r="G197" s="331"/>
      <c r="H197" s="331"/>
      <c r="I197" s="331"/>
      <c r="J197" s="335"/>
      <c r="K197" s="335"/>
      <c r="L197" s="335"/>
      <c r="M197" s="335"/>
      <c r="N197" s="335"/>
      <c r="O197" s="335"/>
      <c r="P197" s="335"/>
      <c r="Q197" s="335"/>
      <c r="R197" s="335"/>
      <c r="S197" s="336"/>
      <c r="T197" s="334"/>
      <c r="U197" s="334"/>
      <c r="V197" s="334"/>
      <c r="W197" s="334"/>
      <c r="X197" s="334"/>
      <c r="Y197" s="334"/>
      <c r="Z197" s="334"/>
      <c r="AA197" s="334"/>
      <c r="AB197" s="334"/>
      <c r="AC197" s="334"/>
      <c r="AD197" s="334"/>
      <c r="AE197" s="334"/>
      <c r="AF197" s="334"/>
      <c r="AG197" s="334"/>
      <c r="AH197" s="334"/>
      <c r="AI197" s="334"/>
      <c r="AJ197" s="334"/>
      <c r="AK197" s="334"/>
      <c r="AL197" s="334"/>
      <c r="AM197" s="334"/>
    </row>
    <row r="198" ht="11.25" customHeight="1">
      <c r="A198" s="334"/>
      <c r="B198" s="334"/>
      <c r="C198" s="334"/>
      <c r="D198" s="335"/>
      <c r="E198" s="331"/>
      <c r="F198" s="331"/>
      <c r="G198" s="331"/>
      <c r="H198" s="331"/>
      <c r="I198" s="331"/>
      <c r="J198" s="335"/>
      <c r="K198" s="335"/>
      <c r="L198" s="335"/>
      <c r="M198" s="335"/>
      <c r="N198" s="335"/>
      <c r="O198" s="335"/>
      <c r="P198" s="335"/>
      <c r="Q198" s="335"/>
      <c r="R198" s="335"/>
      <c r="S198" s="336"/>
      <c r="T198" s="334"/>
      <c r="U198" s="334"/>
      <c r="V198" s="334"/>
      <c r="W198" s="334"/>
      <c r="X198" s="334"/>
      <c r="Y198" s="334"/>
      <c r="Z198" s="334"/>
      <c r="AA198" s="334"/>
      <c r="AB198" s="334"/>
      <c r="AC198" s="334"/>
      <c r="AD198" s="334"/>
      <c r="AE198" s="334"/>
      <c r="AF198" s="334"/>
      <c r="AG198" s="334"/>
      <c r="AH198" s="334"/>
      <c r="AI198" s="334"/>
      <c r="AJ198" s="334"/>
      <c r="AK198" s="334"/>
      <c r="AL198" s="334"/>
      <c r="AM198" s="334"/>
    </row>
    <row r="199" ht="11.25" customHeight="1">
      <c r="A199" s="334"/>
      <c r="B199" s="334"/>
      <c r="C199" s="334"/>
      <c r="D199" s="335"/>
      <c r="E199" s="331"/>
      <c r="F199" s="331"/>
      <c r="G199" s="331"/>
      <c r="H199" s="331"/>
      <c r="I199" s="331"/>
      <c r="J199" s="335"/>
      <c r="K199" s="335"/>
      <c r="L199" s="335"/>
      <c r="M199" s="335"/>
      <c r="N199" s="335"/>
      <c r="O199" s="335"/>
      <c r="P199" s="335"/>
      <c r="Q199" s="335"/>
      <c r="R199" s="335"/>
      <c r="S199" s="336"/>
      <c r="T199" s="334"/>
      <c r="U199" s="334"/>
      <c r="V199" s="334"/>
      <c r="W199" s="334"/>
      <c r="X199" s="334"/>
      <c r="Y199" s="334"/>
      <c r="Z199" s="334"/>
      <c r="AA199" s="334"/>
      <c r="AB199" s="334"/>
      <c r="AC199" s="334"/>
      <c r="AD199" s="334"/>
      <c r="AE199" s="334"/>
      <c r="AF199" s="334"/>
      <c r="AG199" s="334"/>
      <c r="AH199" s="334"/>
      <c r="AI199" s="334"/>
      <c r="AJ199" s="334"/>
      <c r="AK199" s="334"/>
      <c r="AL199" s="334"/>
      <c r="AM199" s="334"/>
    </row>
    <row r="200" ht="11.25" customHeight="1">
      <c r="A200" s="334"/>
      <c r="B200" s="334"/>
      <c r="C200" s="334"/>
      <c r="D200" s="335"/>
      <c r="E200" s="331"/>
      <c r="F200" s="331"/>
      <c r="G200" s="331"/>
      <c r="H200" s="331"/>
      <c r="I200" s="331"/>
      <c r="J200" s="335"/>
      <c r="K200" s="335"/>
      <c r="L200" s="335"/>
      <c r="M200" s="335"/>
      <c r="N200" s="335"/>
      <c r="O200" s="335"/>
      <c r="P200" s="335"/>
      <c r="Q200" s="335"/>
      <c r="R200" s="335"/>
      <c r="S200" s="336"/>
      <c r="T200" s="334"/>
      <c r="U200" s="334"/>
      <c r="V200" s="334"/>
      <c r="W200" s="334"/>
      <c r="X200" s="334"/>
      <c r="Y200" s="334"/>
      <c r="Z200" s="334"/>
      <c r="AA200" s="334"/>
      <c r="AB200" s="334"/>
      <c r="AC200" s="334"/>
      <c r="AD200" s="334"/>
      <c r="AE200" s="334"/>
      <c r="AF200" s="334"/>
      <c r="AG200" s="334"/>
      <c r="AH200" s="334"/>
      <c r="AI200" s="334"/>
      <c r="AJ200" s="334"/>
      <c r="AK200" s="334"/>
      <c r="AL200" s="334"/>
      <c r="AM200" s="334"/>
    </row>
    <row r="201" ht="11.25" customHeight="1">
      <c r="A201" s="334"/>
      <c r="B201" s="334"/>
      <c r="C201" s="334"/>
      <c r="D201" s="335"/>
      <c r="E201" s="331"/>
      <c r="F201" s="331"/>
      <c r="G201" s="331"/>
      <c r="H201" s="331"/>
      <c r="I201" s="331"/>
      <c r="J201" s="335"/>
      <c r="K201" s="335"/>
      <c r="L201" s="335"/>
      <c r="M201" s="335"/>
      <c r="N201" s="335"/>
      <c r="O201" s="335"/>
      <c r="P201" s="335"/>
      <c r="Q201" s="335"/>
      <c r="R201" s="335"/>
      <c r="S201" s="336"/>
      <c r="T201" s="334"/>
      <c r="U201" s="334"/>
      <c r="V201" s="334"/>
      <c r="W201" s="334"/>
      <c r="X201" s="334"/>
      <c r="Y201" s="334"/>
      <c r="Z201" s="334"/>
      <c r="AA201" s="334"/>
      <c r="AB201" s="334"/>
      <c r="AC201" s="334"/>
      <c r="AD201" s="334"/>
      <c r="AE201" s="334"/>
      <c r="AF201" s="334"/>
      <c r="AG201" s="334"/>
      <c r="AH201" s="334"/>
      <c r="AI201" s="334"/>
      <c r="AJ201" s="334"/>
      <c r="AK201" s="334"/>
      <c r="AL201" s="334"/>
      <c r="AM201" s="334"/>
    </row>
    <row r="202" ht="11.25" customHeight="1">
      <c r="A202" s="334"/>
      <c r="B202" s="334"/>
      <c r="C202" s="334"/>
      <c r="D202" s="335"/>
      <c r="E202" s="331"/>
      <c r="F202" s="331"/>
      <c r="G202" s="331"/>
      <c r="H202" s="331"/>
      <c r="I202" s="331"/>
      <c r="J202" s="335"/>
      <c r="K202" s="335"/>
      <c r="L202" s="335"/>
      <c r="M202" s="335"/>
      <c r="N202" s="335"/>
      <c r="O202" s="335"/>
      <c r="P202" s="335"/>
      <c r="Q202" s="335"/>
      <c r="R202" s="335"/>
      <c r="S202" s="336"/>
      <c r="T202" s="334"/>
      <c r="U202" s="334"/>
      <c r="V202" s="334"/>
      <c r="W202" s="334"/>
      <c r="X202" s="334"/>
      <c r="Y202" s="334"/>
      <c r="Z202" s="334"/>
      <c r="AA202" s="334"/>
      <c r="AB202" s="334"/>
      <c r="AC202" s="334"/>
      <c r="AD202" s="334"/>
      <c r="AE202" s="334"/>
      <c r="AF202" s="334"/>
      <c r="AG202" s="334"/>
      <c r="AH202" s="334"/>
      <c r="AI202" s="334"/>
      <c r="AJ202" s="334"/>
      <c r="AK202" s="334"/>
      <c r="AL202" s="334"/>
      <c r="AM202" s="334"/>
    </row>
    <row r="203" ht="11.25" customHeight="1">
      <c r="A203" s="334"/>
      <c r="B203" s="334"/>
      <c r="C203" s="334"/>
      <c r="D203" s="335"/>
      <c r="E203" s="331"/>
      <c r="F203" s="331"/>
      <c r="G203" s="331"/>
      <c r="H203" s="331"/>
      <c r="I203" s="331"/>
      <c r="J203" s="335"/>
      <c r="K203" s="335"/>
      <c r="L203" s="335"/>
      <c r="M203" s="335"/>
      <c r="N203" s="335"/>
      <c r="O203" s="335"/>
      <c r="P203" s="335"/>
      <c r="Q203" s="335"/>
      <c r="R203" s="335"/>
      <c r="S203" s="336"/>
      <c r="T203" s="334"/>
      <c r="U203" s="334"/>
      <c r="V203" s="334"/>
      <c r="W203" s="334"/>
      <c r="X203" s="334"/>
      <c r="Y203" s="334"/>
      <c r="Z203" s="334"/>
      <c r="AA203" s="334"/>
      <c r="AB203" s="334"/>
      <c r="AC203" s="334"/>
      <c r="AD203" s="334"/>
      <c r="AE203" s="334"/>
      <c r="AF203" s="334"/>
      <c r="AG203" s="334"/>
      <c r="AH203" s="334"/>
      <c r="AI203" s="334"/>
      <c r="AJ203" s="334"/>
      <c r="AK203" s="334"/>
      <c r="AL203" s="334"/>
      <c r="AM203" s="334"/>
    </row>
    <row r="204" ht="11.25" customHeight="1">
      <c r="A204" s="334"/>
      <c r="B204" s="334"/>
      <c r="C204" s="334"/>
      <c r="D204" s="335"/>
      <c r="E204" s="331"/>
      <c r="F204" s="331"/>
      <c r="G204" s="331"/>
      <c r="H204" s="331"/>
      <c r="I204" s="331"/>
      <c r="J204" s="335"/>
      <c r="K204" s="335"/>
      <c r="L204" s="335"/>
      <c r="M204" s="335"/>
      <c r="N204" s="335"/>
      <c r="O204" s="335"/>
      <c r="P204" s="335"/>
      <c r="Q204" s="335"/>
      <c r="R204" s="335"/>
      <c r="S204" s="336"/>
      <c r="T204" s="334"/>
      <c r="U204" s="334"/>
      <c r="V204" s="334"/>
      <c r="W204" s="334"/>
      <c r="X204" s="334"/>
      <c r="Y204" s="334"/>
      <c r="Z204" s="334"/>
      <c r="AA204" s="334"/>
      <c r="AB204" s="334"/>
      <c r="AC204" s="334"/>
      <c r="AD204" s="334"/>
      <c r="AE204" s="334"/>
      <c r="AF204" s="334"/>
      <c r="AG204" s="334"/>
      <c r="AH204" s="334"/>
      <c r="AI204" s="334"/>
      <c r="AJ204" s="334"/>
      <c r="AK204" s="334"/>
      <c r="AL204" s="334"/>
      <c r="AM204" s="334"/>
    </row>
    <row r="205" ht="11.25" customHeight="1">
      <c r="A205" s="334"/>
      <c r="B205" s="334"/>
      <c r="C205" s="334"/>
      <c r="D205" s="335"/>
      <c r="E205" s="331"/>
      <c r="F205" s="331"/>
      <c r="G205" s="331"/>
      <c r="H205" s="331"/>
      <c r="I205" s="331"/>
      <c r="J205" s="335"/>
      <c r="K205" s="335"/>
      <c r="L205" s="335"/>
      <c r="M205" s="335"/>
      <c r="N205" s="335"/>
      <c r="O205" s="335"/>
      <c r="P205" s="335"/>
      <c r="Q205" s="335"/>
      <c r="R205" s="335"/>
      <c r="S205" s="336"/>
      <c r="T205" s="334"/>
      <c r="U205" s="334"/>
      <c r="V205" s="334"/>
      <c r="W205" s="334"/>
      <c r="X205" s="334"/>
      <c r="Y205" s="334"/>
      <c r="Z205" s="334"/>
      <c r="AA205" s="334"/>
      <c r="AB205" s="334"/>
      <c r="AC205" s="334"/>
      <c r="AD205" s="334"/>
      <c r="AE205" s="334"/>
      <c r="AF205" s="334"/>
      <c r="AG205" s="334"/>
      <c r="AH205" s="334"/>
      <c r="AI205" s="334"/>
      <c r="AJ205" s="334"/>
      <c r="AK205" s="334"/>
      <c r="AL205" s="334"/>
      <c r="AM205" s="334"/>
    </row>
    <row r="206" ht="11.25" customHeight="1">
      <c r="A206" s="334"/>
      <c r="B206" s="334"/>
      <c r="C206" s="334"/>
      <c r="D206" s="335"/>
      <c r="E206" s="331"/>
      <c r="F206" s="331"/>
      <c r="G206" s="331"/>
      <c r="H206" s="331"/>
      <c r="I206" s="331"/>
      <c r="J206" s="335"/>
      <c r="K206" s="335"/>
      <c r="L206" s="335"/>
      <c r="M206" s="335"/>
      <c r="N206" s="335"/>
      <c r="O206" s="335"/>
      <c r="P206" s="335"/>
      <c r="Q206" s="335"/>
      <c r="R206" s="335"/>
      <c r="S206" s="336"/>
      <c r="T206" s="334"/>
      <c r="U206" s="334"/>
      <c r="V206" s="334"/>
      <c r="W206" s="334"/>
      <c r="X206" s="334"/>
      <c r="Y206" s="334"/>
      <c r="Z206" s="334"/>
      <c r="AA206" s="334"/>
      <c r="AB206" s="334"/>
      <c r="AC206" s="334"/>
      <c r="AD206" s="334"/>
      <c r="AE206" s="334"/>
      <c r="AF206" s="334"/>
      <c r="AG206" s="334"/>
      <c r="AH206" s="334"/>
      <c r="AI206" s="334"/>
      <c r="AJ206" s="334"/>
      <c r="AK206" s="334"/>
      <c r="AL206" s="334"/>
      <c r="AM206" s="334"/>
    </row>
    <row r="207" ht="11.25" customHeight="1">
      <c r="A207" s="334"/>
      <c r="B207" s="334"/>
      <c r="C207" s="334"/>
      <c r="D207" s="335"/>
      <c r="E207" s="331"/>
      <c r="F207" s="331"/>
      <c r="G207" s="331"/>
      <c r="H207" s="331"/>
      <c r="I207" s="331"/>
      <c r="J207" s="335"/>
      <c r="K207" s="335"/>
      <c r="L207" s="335"/>
      <c r="M207" s="335"/>
      <c r="N207" s="335"/>
      <c r="O207" s="335"/>
      <c r="P207" s="335"/>
      <c r="Q207" s="335"/>
      <c r="R207" s="335"/>
      <c r="S207" s="336"/>
      <c r="T207" s="334"/>
      <c r="U207" s="334"/>
      <c r="V207" s="334"/>
      <c r="W207" s="334"/>
      <c r="X207" s="334"/>
      <c r="Y207" s="334"/>
      <c r="Z207" s="334"/>
      <c r="AA207" s="334"/>
      <c r="AB207" s="334"/>
      <c r="AC207" s="334"/>
      <c r="AD207" s="334"/>
      <c r="AE207" s="334"/>
      <c r="AF207" s="334"/>
      <c r="AG207" s="334"/>
      <c r="AH207" s="334"/>
      <c r="AI207" s="334"/>
      <c r="AJ207" s="334"/>
      <c r="AK207" s="334"/>
      <c r="AL207" s="334"/>
      <c r="AM207" s="334"/>
    </row>
    <row r="208" ht="11.25" customHeight="1">
      <c r="A208" s="334"/>
      <c r="B208" s="334"/>
      <c r="C208" s="334"/>
      <c r="D208" s="335"/>
      <c r="E208" s="331"/>
      <c r="F208" s="331"/>
      <c r="G208" s="331"/>
      <c r="H208" s="331"/>
      <c r="I208" s="331"/>
      <c r="J208" s="335"/>
      <c r="K208" s="335"/>
      <c r="L208" s="335"/>
      <c r="M208" s="335"/>
      <c r="N208" s="335"/>
      <c r="O208" s="335"/>
      <c r="P208" s="335"/>
      <c r="Q208" s="335"/>
      <c r="R208" s="335"/>
      <c r="S208" s="336"/>
      <c r="T208" s="334"/>
      <c r="U208" s="334"/>
      <c r="V208" s="334"/>
      <c r="W208" s="334"/>
      <c r="X208" s="334"/>
      <c r="Y208" s="334"/>
      <c r="Z208" s="334"/>
      <c r="AA208" s="334"/>
      <c r="AB208" s="334"/>
      <c r="AC208" s="334"/>
      <c r="AD208" s="334"/>
      <c r="AE208" s="334"/>
      <c r="AF208" s="334"/>
      <c r="AG208" s="334"/>
      <c r="AH208" s="334"/>
      <c r="AI208" s="334"/>
      <c r="AJ208" s="334"/>
      <c r="AK208" s="334"/>
      <c r="AL208" s="334"/>
      <c r="AM208" s="334"/>
    </row>
    <row r="209" ht="11.25" customHeight="1">
      <c r="A209" s="334"/>
      <c r="B209" s="334"/>
      <c r="C209" s="334"/>
      <c r="D209" s="335"/>
      <c r="E209" s="331"/>
      <c r="F209" s="331"/>
      <c r="G209" s="331"/>
      <c r="H209" s="331"/>
      <c r="I209" s="331"/>
      <c r="J209" s="335"/>
      <c r="K209" s="335"/>
      <c r="L209" s="335"/>
      <c r="M209" s="335"/>
      <c r="N209" s="335"/>
      <c r="O209" s="335"/>
      <c r="P209" s="335"/>
      <c r="Q209" s="335"/>
      <c r="R209" s="335"/>
      <c r="S209" s="336"/>
      <c r="T209" s="334"/>
      <c r="U209" s="334"/>
      <c r="V209" s="334"/>
      <c r="W209" s="334"/>
      <c r="X209" s="334"/>
      <c r="Y209" s="334"/>
      <c r="Z209" s="334"/>
      <c r="AA209" s="334"/>
      <c r="AB209" s="334"/>
      <c r="AC209" s="334"/>
      <c r="AD209" s="334"/>
      <c r="AE209" s="334"/>
      <c r="AF209" s="334"/>
      <c r="AG209" s="334"/>
      <c r="AH209" s="334"/>
      <c r="AI209" s="334"/>
      <c r="AJ209" s="334"/>
      <c r="AK209" s="334"/>
      <c r="AL209" s="334"/>
      <c r="AM209" s="334"/>
    </row>
    <row r="210" ht="11.25" customHeight="1">
      <c r="A210" s="334"/>
      <c r="B210" s="334"/>
      <c r="C210" s="334"/>
      <c r="D210" s="335"/>
      <c r="E210" s="331"/>
      <c r="F210" s="331"/>
      <c r="G210" s="331"/>
      <c r="H210" s="331"/>
      <c r="I210" s="331"/>
      <c r="J210" s="335"/>
      <c r="K210" s="335"/>
      <c r="L210" s="335"/>
      <c r="M210" s="335"/>
      <c r="N210" s="335"/>
      <c r="O210" s="335"/>
      <c r="P210" s="335"/>
      <c r="Q210" s="335"/>
      <c r="R210" s="335"/>
      <c r="S210" s="336"/>
      <c r="T210" s="334"/>
      <c r="U210" s="334"/>
      <c r="V210" s="334"/>
      <c r="W210" s="334"/>
      <c r="X210" s="334"/>
      <c r="Y210" s="334"/>
      <c r="Z210" s="334"/>
      <c r="AA210" s="334"/>
      <c r="AB210" s="334"/>
      <c r="AC210" s="334"/>
      <c r="AD210" s="334"/>
      <c r="AE210" s="334"/>
      <c r="AF210" s="334"/>
      <c r="AG210" s="334"/>
      <c r="AH210" s="334"/>
      <c r="AI210" s="334"/>
      <c r="AJ210" s="334"/>
      <c r="AK210" s="334"/>
      <c r="AL210" s="334"/>
      <c r="AM210" s="334"/>
    </row>
    <row r="211" ht="11.25" customHeight="1">
      <c r="A211" s="334"/>
      <c r="B211" s="334"/>
      <c r="C211" s="334"/>
      <c r="D211" s="335"/>
      <c r="E211" s="331"/>
      <c r="F211" s="331"/>
      <c r="G211" s="331"/>
      <c r="H211" s="331"/>
      <c r="I211" s="331"/>
      <c r="J211" s="335"/>
      <c r="K211" s="335"/>
      <c r="L211" s="335"/>
      <c r="M211" s="335"/>
      <c r="N211" s="335"/>
      <c r="O211" s="335"/>
      <c r="P211" s="335"/>
      <c r="Q211" s="335"/>
      <c r="R211" s="335"/>
      <c r="S211" s="336"/>
      <c r="T211" s="334"/>
      <c r="U211" s="334"/>
      <c r="V211" s="334"/>
      <c r="W211" s="334"/>
      <c r="X211" s="334"/>
      <c r="Y211" s="334"/>
      <c r="Z211" s="334"/>
      <c r="AA211" s="334"/>
      <c r="AB211" s="334"/>
      <c r="AC211" s="334"/>
      <c r="AD211" s="334"/>
      <c r="AE211" s="334"/>
      <c r="AF211" s="334"/>
      <c r="AG211" s="334"/>
      <c r="AH211" s="334"/>
      <c r="AI211" s="334"/>
      <c r="AJ211" s="334"/>
      <c r="AK211" s="334"/>
      <c r="AL211" s="334"/>
      <c r="AM211" s="334"/>
    </row>
    <row r="212" ht="11.25" customHeight="1">
      <c r="A212" s="334"/>
      <c r="B212" s="334"/>
      <c r="C212" s="334"/>
      <c r="D212" s="335"/>
      <c r="E212" s="331"/>
      <c r="F212" s="331"/>
      <c r="G212" s="331"/>
      <c r="H212" s="331"/>
      <c r="I212" s="331"/>
      <c r="J212" s="335"/>
      <c r="K212" s="335"/>
      <c r="L212" s="335"/>
      <c r="M212" s="335"/>
      <c r="N212" s="335"/>
      <c r="O212" s="335"/>
      <c r="P212" s="335"/>
      <c r="Q212" s="335"/>
      <c r="R212" s="335"/>
      <c r="S212" s="336"/>
      <c r="T212" s="334"/>
      <c r="U212" s="334"/>
      <c r="V212" s="334"/>
      <c r="W212" s="334"/>
      <c r="X212" s="334"/>
      <c r="Y212" s="334"/>
      <c r="Z212" s="334"/>
      <c r="AA212" s="334"/>
      <c r="AB212" s="334"/>
      <c r="AC212" s="334"/>
      <c r="AD212" s="334"/>
      <c r="AE212" s="334"/>
      <c r="AF212" s="334"/>
      <c r="AG212" s="334"/>
      <c r="AH212" s="334"/>
      <c r="AI212" s="334"/>
      <c r="AJ212" s="334"/>
      <c r="AK212" s="334"/>
      <c r="AL212" s="334"/>
      <c r="AM212" s="334"/>
    </row>
    <row r="213" ht="11.25" customHeight="1">
      <c r="A213" s="334"/>
      <c r="B213" s="334"/>
      <c r="C213" s="334"/>
      <c r="D213" s="335"/>
      <c r="E213" s="331"/>
      <c r="F213" s="331"/>
      <c r="G213" s="331"/>
      <c r="H213" s="331"/>
      <c r="I213" s="331"/>
      <c r="J213" s="335"/>
      <c r="K213" s="335"/>
      <c r="L213" s="335"/>
      <c r="M213" s="335"/>
      <c r="N213" s="335"/>
      <c r="O213" s="335"/>
      <c r="P213" s="335"/>
      <c r="Q213" s="335"/>
      <c r="R213" s="335"/>
      <c r="S213" s="336"/>
      <c r="T213" s="334"/>
      <c r="U213" s="334"/>
      <c r="V213" s="334"/>
      <c r="W213" s="334"/>
      <c r="X213" s="334"/>
      <c r="Y213" s="334"/>
      <c r="Z213" s="334"/>
      <c r="AA213" s="334"/>
      <c r="AB213" s="334"/>
      <c r="AC213" s="334"/>
      <c r="AD213" s="334"/>
      <c r="AE213" s="334"/>
      <c r="AF213" s="334"/>
      <c r="AG213" s="334"/>
      <c r="AH213" s="334"/>
      <c r="AI213" s="334"/>
      <c r="AJ213" s="334"/>
      <c r="AK213" s="334"/>
      <c r="AL213" s="334"/>
      <c r="AM213" s="334"/>
    </row>
    <row r="214" ht="11.25" customHeight="1">
      <c r="A214" s="334"/>
      <c r="B214" s="334"/>
      <c r="C214" s="334"/>
      <c r="D214" s="335"/>
      <c r="E214" s="331"/>
      <c r="F214" s="331"/>
      <c r="G214" s="331"/>
      <c r="H214" s="331"/>
      <c r="I214" s="331"/>
      <c r="J214" s="335"/>
      <c r="K214" s="335"/>
      <c r="L214" s="335"/>
      <c r="M214" s="335"/>
      <c r="N214" s="335"/>
      <c r="O214" s="335"/>
      <c r="P214" s="335"/>
      <c r="Q214" s="335"/>
      <c r="R214" s="335"/>
      <c r="S214" s="336"/>
      <c r="T214" s="334"/>
      <c r="U214" s="334"/>
      <c r="V214" s="334"/>
      <c r="W214" s="334"/>
      <c r="X214" s="334"/>
      <c r="Y214" s="334"/>
      <c r="Z214" s="334"/>
      <c r="AA214" s="334"/>
      <c r="AB214" s="334"/>
      <c r="AC214" s="334"/>
      <c r="AD214" s="334"/>
      <c r="AE214" s="334"/>
      <c r="AF214" s="334"/>
      <c r="AG214" s="334"/>
      <c r="AH214" s="334"/>
      <c r="AI214" s="334"/>
      <c r="AJ214" s="334"/>
      <c r="AK214" s="334"/>
      <c r="AL214" s="334"/>
      <c r="AM214" s="334"/>
    </row>
    <row r="215" ht="11.25" customHeight="1">
      <c r="A215" s="334"/>
      <c r="B215" s="334"/>
      <c r="C215" s="334"/>
      <c r="D215" s="335"/>
      <c r="E215" s="331"/>
      <c r="F215" s="331"/>
      <c r="G215" s="331"/>
      <c r="H215" s="331"/>
      <c r="I215" s="331"/>
      <c r="J215" s="335"/>
      <c r="K215" s="335"/>
      <c r="L215" s="335"/>
      <c r="M215" s="335"/>
      <c r="N215" s="335"/>
      <c r="O215" s="335"/>
      <c r="P215" s="335"/>
      <c r="Q215" s="335"/>
      <c r="R215" s="335"/>
      <c r="S215" s="336"/>
      <c r="T215" s="334"/>
      <c r="U215" s="334"/>
      <c r="V215" s="334"/>
      <c r="W215" s="334"/>
      <c r="X215" s="334"/>
      <c r="Y215" s="334"/>
      <c r="Z215" s="334"/>
      <c r="AA215" s="334"/>
      <c r="AB215" s="334"/>
      <c r="AC215" s="334"/>
      <c r="AD215" s="334"/>
      <c r="AE215" s="334"/>
      <c r="AF215" s="334"/>
      <c r="AG215" s="334"/>
      <c r="AH215" s="334"/>
      <c r="AI215" s="334"/>
      <c r="AJ215" s="334"/>
      <c r="AK215" s="334"/>
      <c r="AL215" s="334"/>
      <c r="AM215" s="334"/>
    </row>
    <row r="216" ht="11.25" customHeight="1">
      <c r="A216" s="334"/>
      <c r="B216" s="334"/>
      <c r="C216" s="334"/>
      <c r="D216" s="335"/>
      <c r="E216" s="331"/>
      <c r="F216" s="331"/>
      <c r="G216" s="331"/>
      <c r="H216" s="331"/>
      <c r="I216" s="331"/>
      <c r="J216" s="335"/>
      <c r="K216" s="335"/>
      <c r="L216" s="335"/>
      <c r="M216" s="335"/>
      <c r="N216" s="335"/>
      <c r="O216" s="335"/>
      <c r="P216" s="335"/>
      <c r="Q216" s="335"/>
      <c r="R216" s="335"/>
      <c r="S216" s="336"/>
      <c r="T216" s="334"/>
      <c r="U216" s="334"/>
      <c r="V216" s="334"/>
      <c r="W216" s="334"/>
      <c r="X216" s="334"/>
      <c r="Y216" s="334"/>
      <c r="Z216" s="334"/>
      <c r="AA216" s="334"/>
      <c r="AB216" s="334"/>
      <c r="AC216" s="334"/>
      <c r="AD216" s="334"/>
      <c r="AE216" s="334"/>
      <c r="AF216" s="334"/>
      <c r="AG216" s="334"/>
      <c r="AH216" s="334"/>
      <c r="AI216" s="334"/>
      <c r="AJ216" s="334"/>
      <c r="AK216" s="334"/>
      <c r="AL216" s="334"/>
      <c r="AM216" s="334"/>
    </row>
    <row r="217" ht="11.25" customHeight="1">
      <c r="A217" s="334"/>
      <c r="B217" s="334"/>
      <c r="C217" s="334"/>
      <c r="D217" s="335"/>
      <c r="E217" s="331"/>
      <c r="F217" s="331"/>
      <c r="G217" s="331"/>
      <c r="H217" s="331"/>
      <c r="I217" s="331"/>
      <c r="J217" s="335"/>
      <c r="K217" s="335"/>
      <c r="L217" s="335"/>
      <c r="M217" s="335"/>
      <c r="N217" s="335"/>
      <c r="O217" s="335"/>
      <c r="P217" s="335"/>
      <c r="Q217" s="335"/>
      <c r="R217" s="335"/>
      <c r="S217" s="336"/>
      <c r="T217" s="334"/>
      <c r="U217" s="334"/>
      <c r="V217" s="334"/>
      <c r="W217" s="334"/>
      <c r="X217" s="334"/>
      <c r="Y217" s="334"/>
      <c r="Z217" s="334"/>
      <c r="AA217" s="334"/>
      <c r="AB217" s="334"/>
      <c r="AC217" s="334"/>
      <c r="AD217" s="334"/>
      <c r="AE217" s="334"/>
      <c r="AF217" s="334"/>
      <c r="AG217" s="334"/>
      <c r="AH217" s="334"/>
      <c r="AI217" s="334"/>
      <c r="AJ217" s="334"/>
      <c r="AK217" s="334"/>
      <c r="AL217" s="334"/>
      <c r="AM217" s="334"/>
    </row>
    <row r="218" ht="11.25" customHeight="1">
      <c r="A218" s="334"/>
      <c r="B218" s="334"/>
      <c r="C218" s="334"/>
      <c r="D218" s="335"/>
      <c r="E218" s="331"/>
      <c r="F218" s="331"/>
      <c r="G218" s="331"/>
      <c r="H218" s="331"/>
      <c r="I218" s="331"/>
      <c r="J218" s="335"/>
      <c r="K218" s="335"/>
      <c r="L218" s="335"/>
      <c r="M218" s="335"/>
      <c r="N218" s="335"/>
      <c r="O218" s="335"/>
      <c r="P218" s="335"/>
      <c r="Q218" s="335"/>
      <c r="R218" s="335"/>
      <c r="S218" s="336"/>
      <c r="T218" s="334"/>
      <c r="U218" s="334"/>
      <c r="V218" s="334"/>
      <c r="W218" s="334"/>
      <c r="X218" s="334"/>
      <c r="Y218" s="334"/>
      <c r="Z218" s="334"/>
      <c r="AA218" s="334"/>
      <c r="AB218" s="334"/>
      <c r="AC218" s="334"/>
      <c r="AD218" s="334"/>
      <c r="AE218" s="334"/>
      <c r="AF218" s="334"/>
      <c r="AG218" s="334"/>
      <c r="AH218" s="334"/>
      <c r="AI218" s="334"/>
      <c r="AJ218" s="334"/>
      <c r="AK218" s="334"/>
      <c r="AL218" s="334"/>
      <c r="AM218" s="334"/>
    </row>
    <row r="219" ht="11.25" customHeight="1">
      <c r="A219" s="334"/>
      <c r="B219" s="334"/>
      <c r="C219" s="334"/>
      <c r="D219" s="335"/>
      <c r="E219" s="331"/>
      <c r="F219" s="331"/>
      <c r="G219" s="331"/>
      <c r="H219" s="331"/>
      <c r="I219" s="331"/>
      <c r="J219" s="335"/>
      <c r="K219" s="335"/>
      <c r="L219" s="335"/>
      <c r="M219" s="335"/>
      <c r="N219" s="335"/>
      <c r="O219" s="335"/>
      <c r="P219" s="335"/>
      <c r="Q219" s="335"/>
      <c r="R219" s="335"/>
      <c r="S219" s="336"/>
      <c r="T219" s="334"/>
      <c r="U219" s="334"/>
      <c r="V219" s="334"/>
      <c r="W219" s="334"/>
      <c r="X219" s="334"/>
      <c r="Y219" s="334"/>
      <c r="Z219" s="334"/>
      <c r="AA219" s="334"/>
      <c r="AB219" s="334"/>
      <c r="AC219" s="334"/>
      <c r="AD219" s="334"/>
      <c r="AE219" s="334"/>
      <c r="AF219" s="334"/>
      <c r="AG219" s="334"/>
      <c r="AH219" s="334"/>
      <c r="AI219" s="334"/>
      <c r="AJ219" s="334"/>
      <c r="AK219" s="334"/>
      <c r="AL219" s="334"/>
      <c r="AM219" s="334"/>
    </row>
    <row r="220" ht="11.25" customHeight="1">
      <c r="A220" s="334"/>
      <c r="B220" s="334"/>
      <c r="C220" s="334"/>
      <c r="D220" s="335"/>
      <c r="E220" s="331"/>
      <c r="F220" s="331"/>
      <c r="G220" s="331"/>
      <c r="H220" s="331"/>
      <c r="I220" s="331"/>
      <c r="J220" s="335"/>
      <c r="K220" s="335"/>
      <c r="L220" s="335"/>
      <c r="M220" s="335"/>
      <c r="N220" s="335"/>
      <c r="O220" s="335"/>
      <c r="P220" s="335"/>
      <c r="Q220" s="335"/>
      <c r="R220" s="335"/>
      <c r="S220" s="336"/>
      <c r="T220" s="334"/>
      <c r="U220" s="334"/>
      <c r="V220" s="334"/>
      <c r="W220" s="334"/>
      <c r="X220" s="334"/>
      <c r="Y220" s="334"/>
      <c r="Z220" s="334"/>
      <c r="AA220" s="334"/>
      <c r="AB220" s="334"/>
      <c r="AC220" s="334"/>
      <c r="AD220" s="334"/>
      <c r="AE220" s="334"/>
      <c r="AF220" s="334"/>
      <c r="AG220" s="334"/>
      <c r="AH220" s="334"/>
      <c r="AI220" s="334"/>
      <c r="AJ220" s="334"/>
      <c r="AK220" s="334"/>
      <c r="AL220" s="334"/>
      <c r="AM220" s="334"/>
    </row>
    <row r="221" ht="11.25" customHeight="1">
      <c r="A221" s="334"/>
      <c r="B221" s="334"/>
      <c r="C221" s="334"/>
      <c r="D221" s="335"/>
      <c r="E221" s="331"/>
      <c r="F221" s="331"/>
      <c r="G221" s="331"/>
      <c r="H221" s="331"/>
      <c r="I221" s="331"/>
      <c r="J221" s="335"/>
      <c r="K221" s="335"/>
      <c r="L221" s="335"/>
      <c r="M221" s="335"/>
      <c r="N221" s="335"/>
      <c r="O221" s="335"/>
      <c r="P221" s="335"/>
      <c r="Q221" s="335"/>
      <c r="R221" s="335"/>
      <c r="S221" s="336"/>
      <c r="T221" s="334"/>
      <c r="U221" s="334"/>
      <c r="V221" s="334"/>
      <c r="W221" s="334"/>
      <c r="X221" s="334"/>
      <c r="Y221" s="334"/>
      <c r="Z221" s="334"/>
      <c r="AA221" s="334"/>
      <c r="AB221" s="334"/>
      <c r="AC221" s="334"/>
      <c r="AD221" s="334"/>
      <c r="AE221" s="334"/>
      <c r="AF221" s="334"/>
      <c r="AG221" s="334"/>
      <c r="AH221" s="334"/>
      <c r="AI221" s="334"/>
      <c r="AJ221" s="334"/>
      <c r="AK221" s="334"/>
      <c r="AL221" s="334"/>
      <c r="AM221" s="334"/>
    </row>
    <row r="222" ht="11.25" customHeight="1">
      <c r="A222" s="334"/>
      <c r="B222" s="334"/>
      <c r="C222" s="334"/>
      <c r="D222" s="335"/>
      <c r="E222" s="331"/>
      <c r="F222" s="331"/>
      <c r="G222" s="331"/>
      <c r="H222" s="331"/>
      <c r="I222" s="331"/>
      <c r="J222" s="335"/>
      <c r="K222" s="335"/>
      <c r="L222" s="335"/>
      <c r="M222" s="335"/>
      <c r="N222" s="335"/>
      <c r="O222" s="335"/>
      <c r="P222" s="335"/>
      <c r="Q222" s="335"/>
      <c r="R222" s="335"/>
      <c r="S222" s="336"/>
      <c r="T222" s="334"/>
      <c r="U222" s="334"/>
      <c r="V222" s="334"/>
      <c r="W222" s="334"/>
      <c r="X222" s="334"/>
      <c r="Y222" s="334"/>
      <c r="Z222" s="334"/>
      <c r="AA222" s="334"/>
      <c r="AB222" s="334"/>
      <c r="AC222" s="334"/>
      <c r="AD222" s="334"/>
      <c r="AE222" s="334"/>
      <c r="AF222" s="334"/>
      <c r="AG222" s="334"/>
      <c r="AH222" s="334"/>
      <c r="AI222" s="334"/>
      <c r="AJ222" s="334"/>
      <c r="AK222" s="334"/>
      <c r="AL222" s="334"/>
      <c r="AM222" s="334"/>
    </row>
    <row r="223" ht="11.25" customHeight="1">
      <c r="A223" s="334"/>
      <c r="B223" s="334"/>
      <c r="C223" s="334"/>
      <c r="D223" s="335"/>
      <c r="E223" s="331"/>
      <c r="F223" s="331"/>
      <c r="G223" s="331"/>
      <c r="H223" s="331"/>
      <c r="I223" s="331"/>
      <c r="J223" s="335"/>
      <c r="K223" s="335"/>
      <c r="L223" s="335"/>
      <c r="M223" s="335"/>
      <c r="N223" s="335"/>
      <c r="O223" s="335"/>
      <c r="P223" s="335"/>
      <c r="Q223" s="335"/>
      <c r="R223" s="335"/>
      <c r="S223" s="336"/>
      <c r="T223" s="334"/>
      <c r="U223" s="334"/>
      <c r="V223" s="334"/>
      <c r="W223" s="334"/>
      <c r="X223" s="334"/>
      <c r="Y223" s="334"/>
      <c r="Z223" s="334"/>
      <c r="AA223" s="334"/>
      <c r="AB223" s="334"/>
      <c r="AC223" s="334"/>
      <c r="AD223" s="334"/>
      <c r="AE223" s="334"/>
      <c r="AF223" s="334"/>
      <c r="AG223" s="334"/>
      <c r="AH223" s="334"/>
      <c r="AI223" s="334"/>
      <c r="AJ223" s="334"/>
      <c r="AK223" s="334"/>
      <c r="AL223" s="334"/>
      <c r="AM223" s="334"/>
    </row>
    <row r="224" ht="11.25" customHeight="1">
      <c r="A224" s="334"/>
      <c r="B224" s="334"/>
      <c r="C224" s="334"/>
      <c r="D224" s="335"/>
      <c r="E224" s="331"/>
      <c r="F224" s="331"/>
      <c r="G224" s="331"/>
      <c r="H224" s="331"/>
      <c r="I224" s="331"/>
      <c r="J224" s="335"/>
      <c r="K224" s="335"/>
      <c r="L224" s="335"/>
      <c r="M224" s="335"/>
      <c r="N224" s="335"/>
      <c r="O224" s="335"/>
      <c r="P224" s="335"/>
      <c r="Q224" s="335"/>
      <c r="R224" s="335"/>
      <c r="S224" s="336"/>
      <c r="T224" s="334"/>
      <c r="U224" s="334"/>
      <c r="V224" s="334"/>
      <c r="W224" s="334"/>
      <c r="X224" s="334"/>
      <c r="Y224" s="334"/>
      <c r="Z224" s="334"/>
      <c r="AA224" s="334"/>
      <c r="AB224" s="334"/>
      <c r="AC224" s="334"/>
      <c r="AD224" s="334"/>
      <c r="AE224" s="334"/>
      <c r="AF224" s="334"/>
      <c r="AG224" s="334"/>
      <c r="AH224" s="334"/>
      <c r="AI224" s="334"/>
      <c r="AJ224" s="334"/>
      <c r="AK224" s="334"/>
      <c r="AL224" s="334"/>
      <c r="AM224" s="334"/>
    </row>
    <row r="225" ht="11.25" customHeight="1">
      <c r="A225" s="334"/>
      <c r="B225" s="334"/>
      <c r="C225" s="334"/>
      <c r="D225" s="335"/>
      <c r="E225" s="331"/>
      <c r="F225" s="331"/>
      <c r="G225" s="331"/>
      <c r="H225" s="331"/>
      <c r="I225" s="331"/>
      <c r="J225" s="335"/>
      <c r="K225" s="335"/>
      <c r="L225" s="335"/>
      <c r="M225" s="335"/>
      <c r="N225" s="335"/>
      <c r="O225" s="335"/>
      <c r="P225" s="335"/>
      <c r="Q225" s="335"/>
      <c r="R225" s="335"/>
      <c r="S225" s="336"/>
      <c r="T225" s="334"/>
      <c r="U225" s="334"/>
      <c r="V225" s="334"/>
      <c r="W225" s="334"/>
      <c r="X225" s="334"/>
      <c r="Y225" s="334"/>
      <c r="Z225" s="334"/>
      <c r="AA225" s="334"/>
      <c r="AB225" s="334"/>
      <c r="AC225" s="334"/>
      <c r="AD225" s="334"/>
      <c r="AE225" s="334"/>
      <c r="AF225" s="334"/>
      <c r="AG225" s="334"/>
      <c r="AH225" s="334"/>
      <c r="AI225" s="334"/>
      <c r="AJ225" s="334"/>
      <c r="AK225" s="334"/>
      <c r="AL225" s="334"/>
      <c r="AM225" s="334"/>
    </row>
    <row r="226" ht="11.25" customHeight="1">
      <c r="A226" s="334"/>
      <c r="B226" s="334"/>
      <c r="C226" s="334"/>
      <c r="D226" s="335"/>
      <c r="E226" s="331"/>
      <c r="F226" s="331"/>
      <c r="G226" s="331"/>
      <c r="H226" s="331"/>
      <c r="I226" s="331"/>
      <c r="J226" s="335"/>
      <c r="K226" s="335"/>
      <c r="L226" s="335"/>
      <c r="M226" s="335"/>
      <c r="N226" s="335"/>
      <c r="O226" s="335"/>
      <c r="P226" s="335"/>
      <c r="Q226" s="335"/>
      <c r="R226" s="335"/>
      <c r="S226" s="336"/>
      <c r="T226" s="334"/>
      <c r="U226" s="334"/>
      <c r="V226" s="334"/>
      <c r="W226" s="334"/>
      <c r="X226" s="334"/>
      <c r="Y226" s="334"/>
      <c r="Z226" s="334"/>
      <c r="AA226" s="334"/>
      <c r="AB226" s="334"/>
      <c r="AC226" s="334"/>
      <c r="AD226" s="334"/>
      <c r="AE226" s="334"/>
      <c r="AF226" s="334"/>
      <c r="AG226" s="334"/>
      <c r="AH226" s="334"/>
      <c r="AI226" s="334"/>
      <c r="AJ226" s="334"/>
      <c r="AK226" s="334"/>
      <c r="AL226" s="334"/>
      <c r="AM226" s="334"/>
    </row>
    <row r="227" ht="11.25" customHeight="1">
      <c r="A227" s="334"/>
      <c r="B227" s="334"/>
      <c r="C227" s="334"/>
      <c r="D227" s="335"/>
      <c r="E227" s="331"/>
      <c r="F227" s="331"/>
      <c r="G227" s="331"/>
      <c r="H227" s="331"/>
      <c r="I227" s="331"/>
      <c r="J227" s="335"/>
      <c r="K227" s="335"/>
      <c r="L227" s="335"/>
      <c r="M227" s="335"/>
      <c r="N227" s="335"/>
      <c r="O227" s="335"/>
      <c r="P227" s="335"/>
      <c r="Q227" s="335"/>
      <c r="R227" s="335"/>
      <c r="S227" s="336"/>
      <c r="T227" s="334"/>
      <c r="U227" s="334"/>
      <c r="V227" s="334"/>
      <c r="W227" s="334"/>
      <c r="X227" s="334"/>
      <c r="Y227" s="334"/>
      <c r="Z227" s="334"/>
      <c r="AA227" s="334"/>
      <c r="AB227" s="334"/>
      <c r="AC227" s="334"/>
      <c r="AD227" s="334"/>
      <c r="AE227" s="334"/>
      <c r="AF227" s="334"/>
      <c r="AG227" s="334"/>
      <c r="AH227" s="334"/>
      <c r="AI227" s="334"/>
      <c r="AJ227" s="334"/>
      <c r="AK227" s="334"/>
      <c r="AL227" s="334"/>
      <c r="AM227" s="334"/>
    </row>
    <row r="228" ht="11.25" customHeight="1">
      <c r="A228" s="334"/>
      <c r="B228" s="334"/>
      <c r="C228" s="334"/>
      <c r="D228" s="335"/>
      <c r="E228" s="331"/>
      <c r="F228" s="331"/>
      <c r="G228" s="331"/>
      <c r="H228" s="331"/>
      <c r="I228" s="331"/>
      <c r="J228" s="335"/>
      <c r="K228" s="335"/>
      <c r="L228" s="335"/>
      <c r="M228" s="335"/>
      <c r="N228" s="335"/>
      <c r="O228" s="335"/>
      <c r="P228" s="335"/>
      <c r="Q228" s="335"/>
      <c r="R228" s="335"/>
      <c r="S228" s="336"/>
      <c r="T228" s="334"/>
      <c r="U228" s="334"/>
      <c r="V228" s="334"/>
      <c r="W228" s="334"/>
      <c r="X228" s="334"/>
      <c r="Y228" s="334"/>
      <c r="Z228" s="334"/>
      <c r="AA228" s="334"/>
      <c r="AB228" s="334"/>
      <c r="AC228" s="334"/>
      <c r="AD228" s="334"/>
      <c r="AE228" s="334"/>
      <c r="AF228" s="334"/>
      <c r="AG228" s="334"/>
      <c r="AH228" s="334"/>
      <c r="AI228" s="334"/>
      <c r="AJ228" s="334"/>
      <c r="AK228" s="334"/>
      <c r="AL228" s="334"/>
      <c r="AM228" s="334"/>
    </row>
    <row r="229" ht="11.25" customHeight="1">
      <c r="A229" s="334"/>
      <c r="B229" s="334"/>
      <c r="C229" s="334"/>
      <c r="D229" s="335"/>
      <c r="E229" s="331"/>
      <c r="F229" s="331"/>
      <c r="G229" s="331"/>
      <c r="H229" s="331"/>
      <c r="I229" s="331"/>
      <c r="J229" s="335"/>
      <c r="K229" s="335"/>
      <c r="L229" s="335"/>
      <c r="M229" s="335"/>
      <c r="N229" s="335"/>
      <c r="O229" s="335"/>
      <c r="P229" s="335"/>
      <c r="Q229" s="335"/>
      <c r="R229" s="335"/>
      <c r="S229" s="336"/>
      <c r="T229" s="334"/>
      <c r="U229" s="334"/>
      <c r="V229" s="334"/>
      <c r="W229" s="334"/>
      <c r="X229" s="334"/>
      <c r="Y229" s="334"/>
      <c r="Z229" s="334"/>
      <c r="AA229" s="334"/>
      <c r="AB229" s="334"/>
      <c r="AC229" s="334"/>
      <c r="AD229" s="334"/>
      <c r="AE229" s="334"/>
      <c r="AF229" s="334"/>
      <c r="AG229" s="334"/>
      <c r="AH229" s="334"/>
      <c r="AI229" s="334"/>
      <c r="AJ229" s="334"/>
      <c r="AK229" s="334"/>
      <c r="AL229" s="334"/>
      <c r="AM229" s="334"/>
    </row>
    <row r="230" ht="11.25" customHeight="1">
      <c r="A230" s="334"/>
      <c r="B230" s="334"/>
      <c r="C230" s="334"/>
      <c r="D230" s="335"/>
      <c r="E230" s="331"/>
      <c r="F230" s="331"/>
      <c r="G230" s="331"/>
      <c r="H230" s="331"/>
      <c r="I230" s="331"/>
      <c r="J230" s="335"/>
      <c r="K230" s="335"/>
      <c r="L230" s="335"/>
      <c r="M230" s="335"/>
      <c r="N230" s="335"/>
      <c r="O230" s="335"/>
      <c r="P230" s="335"/>
      <c r="Q230" s="335"/>
      <c r="R230" s="335"/>
      <c r="S230" s="336"/>
      <c r="T230" s="334"/>
      <c r="U230" s="334"/>
      <c r="V230" s="334"/>
      <c r="W230" s="334"/>
      <c r="X230" s="334"/>
      <c r="Y230" s="334"/>
      <c r="Z230" s="334"/>
      <c r="AA230" s="334"/>
      <c r="AB230" s="334"/>
      <c r="AC230" s="334"/>
      <c r="AD230" s="334"/>
      <c r="AE230" s="334"/>
      <c r="AF230" s="334"/>
      <c r="AG230" s="334"/>
      <c r="AH230" s="334"/>
      <c r="AI230" s="334"/>
      <c r="AJ230" s="334"/>
      <c r="AK230" s="334"/>
      <c r="AL230" s="334"/>
      <c r="AM230" s="334"/>
    </row>
    <row r="231" ht="11.25" customHeight="1">
      <c r="A231" s="334"/>
      <c r="B231" s="334"/>
      <c r="C231" s="334"/>
      <c r="D231" s="335"/>
      <c r="E231" s="331"/>
      <c r="F231" s="331"/>
      <c r="G231" s="331"/>
      <c r="H231" s="331"/>
      <c r="I231" s="331"/>
      <c r="J231" s="335"/>
      <c r="K231" s="335"/>
      <c r="L231" s="335"/>
      <c r="M231" s="335"/>
      <c r="N231" s="335"/>
      <c r="O231" s="335"/>
      <c r="P231" s="335"/>
      <c r="Q231" s="335"/>
      <c r="R231" s="335"/>
      <c r="S231" s="336"/>
      <c r="T231" s="334"/>
      <c r="U231" s="334"/>
      <c r="V231" s="334"/>
      <c r="W231" s="334"/>
      <c r="X231" s="334"/>
      <c r="Y231" s="334"/>
      <c r="Z231" s="334"/>
      <c r="AA231" s="334"/>
      <c r="AB231" s="334"/>
      <c r="AC231" s="334"/>
      <c r="AD231" s="334"/>
      <c r="AE231" s="334"/>
      <c r="AF231" s="334"/>
      <c r="AG231" s="334"/>
      <c r="AH231" s="334"/>
      <c r="AI231" s="334"/>
      <c r="AJ231" s="334"/>
      <c r="AK231" s="334"/>
      <c r="AL231" s="334"/>
      <c r="AM231" s="334"/>
    </row>
    <row r="232" ht="11.25" customHeight="1">
      <c r="A232" s="334"/>
      <c r="B232" s="334"/>
      <c r="C232" s="334"/>
      <c r="D232" s="335"/>
      <c r="E232" s="331"/>
      <c r="F232" s="331"/>
      <c r="G232" s="331"/>
      <c r="H232" s="331"/>
      <c r="I232" s="331"/>
      <c r="J232" s="335"/>
      <c r="K232" s="335"/>
      <c r="L232" s="335"/>
      <c r="M232" s="335"/>
      <c r="N232" s="335"/>
      <c r="O232" s="335"/>
      <c r="P232" s="335"/>
      <c r="Q232" s="335"/>
      <c r="R232" s="335"/>
      <c r="S232" s="336"/>
      <c r="T232" s="334"/>
      <c r="U232" s="334"/>
      <c r="V232" s="334"/>
      <c r="W232" s="334"/>
      <c r="X232" s="334"/>
      <c r="Y232" s="334"/>
      <c r="Z232" s="334"/>
      <c r="AA232" s="334"/>
      <c r="AB232" s="334"/>
      <c r="AC232" s="334"/>
      <c r="AD232" s="334"/>
      <c r="AE232" s="334"/>
      <c r="AF232" s="334"/>
      <c r="AG232" s="334"/>
      <c r="AH232" s="334"/>
      <c r="AI232" s="334"/>
      <c r="AJ232" s="334"/>
      <c r="AK232" s="334"/>
      <c r="AL232" s="334"/>
      <c r="AM232" s="334"/>
    </row>
    <row r="233" ht="11.25" customHeight="1">
      <c r="A233" s="334"/>
      <c r="B233" s="334"/>
      <c r="C233" s="334"/>
      <c r="D233" s="335"/>
      <c r="E233" s="331"/>
      <c r="F233" s="331"/>
      <c r="G233" s="331"/>
      <c r="H233" s="331"/>
      <c r="I233" s="331"/>
      <c r="J233" s="335"/>
      <c r="K233" s="335"/>
      <c r="L233" s="335"/>
      <c r="M233" s="335"/>
      <c r="N233" s="335"/>
      <c r="O233" s="335"/>
      <c r="P233" s="335"/>
      <c r="Q233" s="335"/>
      <c r="R233" s="335"/>
      <c r="S233" s="336"/>
      <c r="T233" s="334"/>
      <c r="U233" s="334"/>
      <c r="V233" s="334"/>
      <c r="W233" s="334"/>
      <c r="X233" s="334"/>
      <c r="Y233" s="334"/>
      <c r="Z233" s="334"/>
      <c r="AA233" s="334"/>
      <c r="AB233" s="334"/>
      <c r="AC233" s="334"/>
      <c r="AD233" s="334"/>
      <c r="AE233" s="334"/>
      <c r="AF233" s="334"/>
      <c r="AG233" s="334"/>
      <c r="AH233" s="334"/>
      <c r="AI233" s="334"/>
      <c r="AJ233" s="334"/>
      <c r="AK233" s="334"/>
      <c r="AL233" s="334"/>
      <c r="AM233" s="334"/>
    </row>
    <row r="234" ht="11.25" customHeight="1">
      <c r="A234" s="334"/>
      <c r="B234" s="334"/>
      <c r="C234" s="334"/>
      <c r="D234" s="335"/>
      <c r="E234" s="331"/>
      <c r="F234" s="331"/>
      <c r="G234" s="331"/>
      <c r="H234" s="331"/>
      <c r="I234" s="331"/>
      <c r="J234" s="335"/>
      <c r="K234" s="335"/>
      <c r="L234" s="335"/>
      <c r="M234" s="335"/>
      <c r="N234" s="335"/>
      <c r="O234" s="335"/>
      <c r="P234" s="335"/>
      <c r="Q234" s="335"/>
      <c r="R234" s="335"/>
      <c r="S234" s="336"/>
      <c r="T234" s="334"/>
      <c r="U234" s="334"/>
      <c r="V234" s="334"/>
      <c r="W234" s="334"/>
      <c r="X234" s="334"/>
      <c r="Y234" s="334"/>
      <c r="Z234" s="334"/>
      <c r="AA234" s="334"/>
      <c r="AB234" s="334"/>
      <c r="AC234" s="334"/>
      <c r="AD234" s="334"/>
      <c r="AE234" s="334"/>
      <c r="AF234" s="334"/>
      <c r="AG234" s="334"/>
      <c r="AH234" s="334"/>
      <c r="AI234" s="334"/>
      <c r="AJ234" s="334"/>
      <c r="AK234" s="334"/>
      <c r="AL234" s="334"/>
      <c r="AM234" s="334"/>
    </row>
    <row r="235" ht="11.25" customHeight="1">
      <c r="A235" s="334"/>
      <c r="B235" s="334"/>
      <c r="C235" s="334"/>
      <c r="D235" s="335"/>
      <c r="E235" s="331"/>
      <c r="F235" s="331"/>
      <c r="G235" s="331"/>
      <c r="H235" s="331"/>
      <c r="I235" s="331"/>
      <c r="J235" s="335"/>
      <c r="K235" s="335"/>
      <c r="L235" s="335"/>
      <c r="M235" s="335"/>
      <c r="N235" s="335"/>
      <c r="O235" s="335"/>
      <c r="P235" s="335"/>
      <c r="Q235" s="335"/>
      <c r="R235" s="335"/>
      <c r="S235" s="336"/>
      <c r="T235" s="334"/>
      <c r="U235" s="334"/>
      <c r="V235" s="334"/>
      <c r="W235" s="334"/>
      <c r="X235" s="334"/>
      <c r="Y235" s="334"/>
      <c r="Z235" s="334"/>
      <c r="AA235" s="334"/>
      <c r="AB235" s="334"/>
      <c r="AC235" s="334"/>
      <c r="AD235" s="334"/>
      <c r="AE235" s="334"/>
      <c r="AF235" s="334"/>
      <c r="AG235" s="334"/>
      <c r="AH235" s="334"/>
      <c r="AI235" s="334"/>
      <c r="AJ235" s="334"/>
      <c r="AK235" s="334"/>
      <c r="AL235" s="334"/>
      <c r="AM235" s="334"/>
    </row>
    <row r="236" ht="11.25" customHeight="1">
      <c r="A236" s="334"/>
      <c r="B236" s="334"/>
      <c r="C236" s="334"/>
      <c r="D236" s="335"/>
      <c r="E236" s="331"/>
      <c r="F236" s="331"/>
      <c r="G236" s="331"/>
      <c r="H236" s="331"/>
      <c r="I236" s="331"/>
      <c r="J236" s="335"/>
      <c r="K236" s="335"/>
      <c r="L236" s="335"/>
      <c r="M236" s="335"/>
      <c r="N236" s="335"/>
      <c r="O236" s="335"/>
      <c r="P236" s="335"/>
      <c r="Q236" s="335"/>
      <c r="R236" s="335"/>
      <c r="S236" s="336"/>
      <c r="T236" s="334"/>
      <c r="U236" s="334"/>
      <c r="V236" s="334"/>
      <c r="W236" s="334"/>
      <c r="X236" s="334"/>
      <c r="Y236" s="334"/>
      <c r="Z236" s="334"/>
      <c r="AA236" s="334"/>
      <c r="AB236" s="334"/>
      <c r="AC236" s="334"/>
      <c r="AD236" s="334"/>
      <c r="AE236" s="334"/>
      <c r="AF236" s="334"/>
      <c r="AG236" s="334"/>
      <c r="AH236" s="334"/>
      <c r="AI236" s="334"/>
      <c r="AJ236" s="334"/>
      <c r="AK236" s="334"/>
      <c r="AL236" s="334"/>
      <c r="AM236" s="334"/>
    </row>
    <row r="237" ht="11.25" customHeight="1">
      <c r="A237" s="334"/>
      <c r="B237" s="334"/>
      <c r="C237" s="334"/>
      <c r="D237" s="335"/>
      <c r="E237" s="331"/>
      <c r="F237" s="331"/>
      <c r="G237" s="331"/>
      <c r="H237" s="331"/>
      <c r="I237" s="331"/>
      <c r="J237" s="335"/>
      <c r="K237" s="335"/>
      <c r="L237" s="335"/>
      <c r="M237" s="335"/>
      <c r="N237" s="335"/>
      <c r="O237" s="335"/>
      <c r="P237" s="335"/>
      <c r="Q237" s="335"/>
      <c r="R237" s="335"/>
      <c r="S237" s="336"/>
      <c r="T237" s="334"/>
      <c r="U237" s="334"/>
      <c r="V237" s="334"/>
      <c r="W237" s="334"/>
      <c r="X237" s="334"/>
      <c r="Y237" s="334"/>
      <c r="Z237" s="334"/>
      <c r="AA237" s="334"/>
      <c r="AB237" s="334"/>
      <c r="AC237" s="334"/>
      <c r="AD237" s="334"/>
      <c r="AE237" s="334"/>
      <c r="AF237" s="334"/>
      <c r="AG237" s="334"/>
      <c r="AH237" s="334"/>
      <c r="AI237" s="334"/>
      <c r="AJ237" s="334"/>
      <c r="AK237" s="334"/>
      <c r="AL237" s="334"/>
      <c r="AM237" s="334"/>
    </row>
    <row r="238" ht="11.25" customHeight="1">
      <c r="A238" s="334"/>
      <c r="B238" s="334"/>
      <c r="C238" s="334"/>
      <c r="D238" s="335"/>
      <c r="E238" s="331"/>
      <c r="F238" s="331"/>
      <c r="G238" s="331"/>
      <c r="H238" s="331"/>
      <c r="I238" s="331"/>
      <c r="J238" s="335"/>
      <c r="K238" s="335"/>
      <c r="L238" s="335"/>
      <c r="M238" s="335"/>
      <c r="N238" s="335"/>
      <c r="O238" s="335"/>
      <c r="P238" s="335"/>
      <c r="Q238" s="335"/>
      <c r="R238" s="335"/>
      <c r="S238" s="336"/>
      <c r="T238" s="334"/>
      <c r="U238" s="334"/>
      <c r="V238" s="334"/>
      <c r="W238" s="334"/>
      <c r="X238" s="334"/>
      <c r="Y238" s="334"/>
      <c r="Z238" s="334"/>
      <c r="AA238" s="334"/>
      <c r="AB238" s="334"/>
      <c r="AC238" s="334"/>
      <c r="AD238" s="334"/>
      <c r="AE238" s="334"/>
      <c r="AF238" s="334"/>
      <c r="AG238" s="334"/>
      <c r="AH238" s="334"/>
      <c r="AI238" s="334"/>
      <c r="AJ238" s="334"/>
      <c r="AK238" s="334"/>
      <c r="AL238" s="334"/>
      <c r="AM238" s="334"/>
    </row>
    <row r="239" ht="11.25" customHeight="1">
      <c r="A239" s="334"/>
      <c r="B239" s="334"/>
      <c r="C239" s="334"/>
      <c r="D239" s="335"/>
      <c r="E239" s="331"/>
      <c r="F239" s="331"/>
      <c r="G239" s="331"/>
      <c r="H239" s="331"/>
      <c r="I239" s="331"/>
      <c r="J239" s="335"/>
      <c r="K239" s="335"/>
      <c r="L239" s="335"/>
      <c r="M239" s="335"/>
      <c r="N239" s="335"/>
      <c r="O239" s="335"/>
      <c r="P239" s="335"/>
      <c r="Q239" s="335"/>
      <c r="R239" s="335"/>
      <c r="S239" s="336"/>
      <c r="T239" s="334"/>
      <c r="U239" s="334"/>
      <c r="V239" s="334"/>
      <c r="W239" s="334"/>
      <c r="X239" s="334"/>
      <c r="Y239" s="334"/>
      <c r="Z239" s="334"/>
      <c r="AA239" s="334"/>
      <c r="AB239" s="334"/>
      <c r="AC239" s="334"/>
      <c r="AD239" s="334"/>
      <c r="AE239" s="334"/>
      <c r="AF239" s="334"/>
      <c r="AG239" s="334"/>
      <c r="AH239" s="334"/>
      <c r="AI239" s="334"/>
      <c r="AJ239" s="334"/>
      <c r="AK239" s="334"/>
      <c r="AL239" s="334"/>
      <c r="AM239" s="334"/>
    </row>
    <row r="240" ht="11.25" customHeight="1">
      <c r="A240" s="334"/>
      <c r="B240" s="334"/>
      <c r="C240" s="334"/>
      <c r="D240" s="335"/>
      <c r="E240" s="331"/>
      <c r="F240" s="331"/>
      <c r="G240" s="331"/>
      <c r="H240" s="331"/>
      <c r="I240" s="331"/>
      <c r="J240" s="335"/>
      <c r="K240" s="335"/>
      <c r="L240" s="335"/>
      <c r="M240" s="335"/>
      <c r="N240" s="335"/>
      <c r="O240" s="335"/>
      <c r="P240" s="335"/>
      <c r="Q240" s="335"/>
      <c r="R240" s="335"/>
      <c r="S240" s="336"/>
      <c r="T240" s="334"/>
      <c r="U240" s="334"/>
      <c r="V240" s="334"/>
      <c r="W240" s="334"/>
      <c r="X240" s="334"/>
      <c r="Y240" s="334"/>
      <c r="Z240" s="334"/>
      <c r="AA240" s="334"/>
      <c r="AB240" s="334"/>
      <c r="AC240" s="334"/>
      <c r="AD240" s="334"/>
      <c r="AE240" s="334"/>
      <c r="AF240" s="334"/>
      <c r="AG240" s="334"/>
      <c r="AH240" s="334"/>
      <c r="AI240" s="334"/>
      <c r="AJ240" s="334"/>
      <c r="AK240" s="334"/>
      <c r="AL240" s="334"/>
      <c r="AM240" s="334"/>
    </row>
    <row r="241" ht="11.25" customHeight="1">
      <c r="A241" s="334"/>
      <c r="B241" s="334"/>
      <c r="C241" s="334"/>
      <c r="D241" s="335"/>
      <c r="E241" s="331"/>
      <c r="F241" s="331"/>
      <c r="G241" s="331"/>
      <c r="H241" s="331"/>
      <c r="I241" s="331"/>
      <c r="J241" s="335"/>
      <c r="K241" s="335"/>
      <c r="L241" s="335"/>
      <c r="M241" s="335"/>
      <c r="N241" s="335"/>
      <c r="O241" s="335"/>
      <c r="P241" s="335"/>
      <c r="Q241" s="335"/>
      <c r="R241" s="335"/>
      <c r="S241" s="336"/>
      <c r="T241" s="334"/>
      <c r="U241" s="334"/>
      <c r="V241" s="334"/>
      <c r="W241" s="334"/>
      <c r="X241" s="334"/>
      <c r="Y241" s="334"/>
      <c r="Z241" s="334"/>
      <c r="AA241" s="334"/>
      <c r="AB241" s="334"/>
      <c r="AC241" s="334"/>
      <c r="AD241" s="334"/>
      <c r="AE241" s="334"/>
      <c r="AF241" s="334"/>
      <c r="AG241" s="334"/>
      <c r="AH241" s="334"/>
      <c r="AI241" s="334"/>
      <c r="AJ241" s="334"/>
      <c r="AK241" s="334"/>
      <c r="AL241" s="334"/>
      <c r="AM241" s="334"/>
    </row>
    <row r="242" ht="11.25" customHeight="1">
      <c r="A242" s="334"/>
      <c r="B242" s="334"/>
      <c r="C242" s="334"/>
      <c r="D242" s="335"/>
      <c r="E242" s="331"/>
      <c r="F242" s="331"/>
      <c r="G242" s="331"/>
      <c r="H242" s="331"/>
      <c r="I242" s="331"/>
      <c r="J242" s="335"/>
      <c r="K242" s="335"/>
      <c r="L242" s="335"/>
      <c r="M242" s="335"/>
      <c r="N242" s="335"/>
      <c r="O242" s="335"/>
      <c r="P242" s="335"/>
      <c r="Q242" s="335"/>
      <c r="R242" s="335"/>
      <c r="S242" s="336"/>
      <c r="T242" s="334"/>
      <c r="U242" s="334"/>
      <c r="V242" s="334"/>
      <c r="W242" s="334"/>
      <c r="X242" s="334"/>
      <c r="Y242" s="334"/>
      <c r="Z242" s="334"/>
      <c r="AA242" s="334"/>
      <c r="AB242" s="334"/>
      <c r="AC242" s="334"/>
      <c r="AD242" s="334"/>
      <c r="AE242" s="334"/>
      <c r="AF242" s="334"/>
      <c r="AG242" s="334"/>
      <c r="AH242" s="334"/>
      <c r="AI242" s="334"/>
      <c r="AJ242" s="334"/>
      <c r="AK242" s="334"/>
      <c r="AL242" s="334"/>
      <c r="AM242" s="334"/>
    </row>
    <row r="243" ht="11.25" customHeight="1">
      <c r="A243" s="334"/>
      <c r="B243" s="334"/>
      <c r="C243" s="334"/>
      <c r="D243" s="335"/>
      <c r="E243" s="331"/>
      <c r="F243" s="331"/>
      <c r="G243" s="331"/>
      <c r="H243" s="331"/>
      <c r="I243" s="331"/>
      <c r="J243" s="335"/>
      <c r="K243" s="335"/>
      <c r="L243" s="335"/>
      <c r="M243" s="335"/>
      <c r="N243" s="335"/>
      <c r="O243" s="335"/>
      <c r="P243" s="335"/>
      <c r="Q243" s="335"/>
      <c r="R243" s="335"/>
      <c r="S243" s="336"/>
      <c r="T243" s="334"/>
      <c r="U243" s="334"/>
      <c r="V243" s="334"/>
      <c r="W243" s="334"/>
      <c r="X243" s="334"/>
      <c r="Y243" s="334"/>
      <c r="Z243" s="334"/>
      <c r="AA243" s="334"/>
      <c r="AB243" s="334"/>
      <c r="AC243" s="334"/>
      <c r="AD243" s="334"/>
      <c r="AE243" s="334"/>
      <c r="AF243" s="334"/>
      <c r="AG243" s="334"/>
      <c r="AH243" s="334"/>
      <c r="AI243" s="334"/>
      <c r="AJ243" s="334"/>
      <c r="AK243" s="334"/>
      <c r="AL243" s="334"/>
      <c r="AM243" s="334"/>
    </row>
    <row r="244" ht="11.25" customHeight="1">
      <c r="A244" s="334"/>
      <c r="B244" s="334"/>
      <c r="C244" s="334"/>
      <c r="D244" s="335"/>
      <c r="E244" s="331"/>
      <c r="F244" s="331"/>
      <c r="G244" s="331"/>
      <c r="H244" s="331"/>
      <c r="I244" s="331"/>
      <c r="J244" s="335"/>
      <c r="K244" s="335"/>
      <c r="L244" s="335"/>
      <c r="M244" s="335"/>
      <c r="N244" s="335"/>
      <c r="O244" s="335"/>
      <c r="P244" s="335"/>
      <c r="Q244" s="335"/>
      <c r="R244" s="335"/>
      <c r="S244" s="336"/>
      <c r="T244" s="334"/>
      <c r="U244" s="334"/>
      <c r="V244" s="334"/>
      <c r="W244" s="334"/>
      <c r="X244" s="334"/>
      <c r="Y244" s="334"/>
      <c r="Z244" s="334"/>
      <c r="AA244" s="334"/>
      <c r="AB244" s="334"/>
      <c r="AC244" s="334"/>
      <c r="AD244" s="334"/>
      <c r="AE244" s="334"/>
      <c r="AF244" s="334"/>
      <c r="AG244" s="334"/>
      <c r="AH244" s="334"/>
      <c r="AI244" s="334"/>
      <c r="AJ244" s="334"/>
      <c r="AK244" s="334"/>
      <c r="AL244" s="334"/>
      <c r="AM244" s="334"/>
    </row>
    <row r="245" ht="11.25" customHeight="1">
      <c r="A245" s="334"/>
      <c r="B245" s="334"/>
      <c r="C245" s="334"/>
      <c r="D245" s="335"/>
      <c r="E245" s="331"/>
      <c r="F245" s="331"/>
      <c r="G245" s="331"/>
      <c r="H245" s="331"/>
      <c r="I245" s="331"/>
      <c r="J245" s="335"/>
      <c r="K245" s="335"/>
      <c r="L245" s="335"/>
      <c r="M245" s="335"/>
      <c r="N245" s="335"/>
      <c r="O245" s="335"/>
      <c r="P245" s="335"/>
      <c r="Q245" s="335"/>
      <c r="R245" s="335"/>
      <c r="S245" s="336"/>
      <c r="T245" s="334"/>
      <c r="U245" s="334"/>
      <c r="V245" s="334"/>
      <c r="W245" s="334"/>
      <c r="X245" s="334"/>
      <c r="Y245" s="334"/>
      <c r="Z245" s="334"/>
      <c r="AA245" s="334"/>
      <c r="AB245" s="334"/>
      <c r="AC245" s="334"/>
      <c r="AD245" s="334"/>
      <c r="AE245" s="334"/>
      <c r="AF245" s="334"/>
      <c r="AG245" s="334"/>
      <c r="AH245" s="334"/>
      <c r="AI245" s="334"/>
      <c r="AJ245" s="334"/>
      <c r="AK245" s="334"/>
      <c r="AL245" s="334"/>
      <c r="AM245" s="334"/>
    </row>
    <row r="246" ht="11.25" customHeight="1">
      <c r="A246" s="334"/>
      <c r="B246" s="334"/>
      <c r="C246" s="334"/>
      <c r="D246" s="335"/>
      <c r="E246" s="331"/>
      <c r="F246" s="331"/>
      <c r="G246" s="331"/>
      <c r="H246" s="331"/>
      <c r="I246" s="331"/>
      <c r="J246" s="335"/>
      <c r="K246" s="335"/>
      <c r="L246" s="335"/>
      <c r="M246" s="335"/>
      <c r="N246" s="335"/>
      <c r="O246" s="335"/>
      <c r="P246" s="335"/>
      <c r="Q246" s="335"/>
      <c r="R246" s="335"/>
      <c r="S246" s="336"/>
      <c r="T246" s="334"/>
      <c r="U246" s="334"/>
      <c r="V246" s="334"/>
      <c r="W246" s="334"/>
      <c r="X246" s="334"/>
      <c r="Y246" s="334"/>
      <c r="Z246" s="334"/>
      <c r="AA246" s="334"/>
      <c r="AB246" s="334"/>
      <c r="AC246" s="334"/>
      <c r="AD246" s="334"/>
      <c r="AE246" s="334"/>
      <c r="AF246" s="334"/>
      <c r="AG246" s="334"/>
      <c r="AH246" s="334"/>
      <c r="AI246" s="334"/>
      <c r="AJ246" s="334"/>
      <c r="AK246" s="334"/>
      <c r="AL246" s="334"/>
      <c r="AM246" s="334"/>
    </row>
    <row r="247" ht="11.25" customHeight="1">
      <c r="A247" s="334"/>
      <c r="B247" s="334"/>
      <c r="C247" s="334"/>
      <c r="D247" s="335"/>
      <c r="E247" s="331"/>
      <c r="F247" s="331"/>
      <c r="G247" s="331"/>
      <c r="H247" s="331"/>
      <c r="I247" s="331"/>
      <c r="J247" s="335"/>
      <c r="K247" s="335"/>
      <c r="L247" s="335"/>
      <c r="M247" s="335"/>
      <c r="N247" s="335"/>
      <c r="O247" s="335"/>
      <c r="P247" s="335"/>
      <c r="Q247" s="335"/>
      <c r="R247" s="335"/>
      <c r="S247" s="336"/>
      <c r="T247" s="334"/>
      <c r="U247" s="334"/>
      <c r="V247" s="334"/>
      <c r="W247" s="334"/>
      <c r="X247" s="334"/>
      <c r="Y247" s="334"/>
      <c r="Z247" s="334"/>
      <c r="AA247" s="334"/>
      <c r="AB247" s="334"/>
      <c r="AC247" s="334"/>
      <c r="AD247" s="334"/>
      <c r="AE247" s="334"/>
      <c r="AF247" s="334"/>
      <c r="AG247" s="334"/>
      <c r="AH247" s="334"/>
      <c r="AI247" s="334"/>
      <c r="AJ247" s="334"/>
      <c r="AK247" s="334"/>
      <c r="AL247" s="334"/>
      <c r="AM247" s="334"/>
    </row>
    <row r="248" ht="11.25" customHeight="1">
      <c r="A248" s="334"/>
      <c r="B248" s="334"/>
      <c r="C248" s="334"/>
      <c r="D248" s="335"/>
      <c r="E248" s="331"/>
      <c r="F248" s="331"/>
      <c r="G248" s="331"/>
      <c r="H248" s="331"/>
      <c r="I248" s="331"/>
      <c r="J248" s="335"/>
      <c r="K248" s="335"/>
      <c r="L248" s="335"/>
      <c r="M248" s="335"/>
      <c r="N248" s="335"/>
      <c r="O248" s="335"/>
      <c r="P248" s="335"/>
      <c r="Q248" s="335"/>
      <c r="R248" s="335"/>
      <c r="S248" s="336"/>
      <c r="T248" s="334"/>
      <c r="U248" s="334"/>
      <c r="V248" s="334"/>
      <c r="W248" s="334"/>
      <c r="X248" s="334"/>
      <c r="Y248" s="334"/>
      <c r="Z248" s="334"/>
      <c r="AA248" s="334"/>
      <c r="AB248" s="334"/>
      <c r="AC248" s="334"/>
      <c r="AD248" s="334"/>
      <c r="AE248" s="334"/>
      <c r="AF248" s="334"/>
      <c r="AG248" s="334"/>
      <c r="AH248" s="334"/>
      <c r="AI248" s="334"/>
      <c r="AJ248" s="334"/>
      <c r="AK248" s="334"/>
      <c r="AL248" s="334"/>
      <c r="AM248" s="334"/>
    </row>
    <row r="249" ht="11.25" customHeight="1">
      <c r="A249" s="334"/>
      <c r="B249" s="334"/>
      <c r="C249" s="334"/>
      <c r="D249" s="335"/>
      <c r="E249" s="331"/>
      <c r="F249" s="331"/>
      <c r="G249" s="331"/>
      <c r="H249" s="331"/>
      <c r="I249" s="331"/>
      <c r="J249" s="335"/>
      <c r="K249" s="335"/>
      <c r="L249" s="335"/>
      <c r="M249" s="335"/>
      <c r="N249" s="335"/>
      <c r="O249" s="335"/>
      <c r="P249" s="335"/>
      <c r="Q249" s="335"/>
      <c r="R249" s="335"/>
      <c r="S249" s="336"/>
      <c r="T249" s="334"/>
      <c r="U249" s="334"/>
      <c r="V249" s="334"/>
      <c r="W249" s="334"/>
      <c r="X249" s="334"/>
      <c r="Y249" s="334"/>
      <c r="Z249" s="334"/>
      <c r="AA249" s="334"/>
      <c r="AB249" s="334"/>
      <c r="AC249" s="334"/>
      <c r="AD249" s="334"/>
      <c r="AE249" s="334"/>
      <c r="AF249" s="334"/>
      <c r="AG249" s="334"/>
      <c r="AH249" s="334"/>
      <c r="AI249" s="334"/>
      <c r="AJ249" s="334"/>
      <c r="AK249" s="334"/>
      <c r="AL249" s="334"/>
      <c r="AM249" s="334"/>
    </row>
    <row r="250" ht="11.25" customHeight="1">
      <c r="A250" s="334"/>
      <c r="B250" s="334"/>
      <c r="C250" s="334"/>
      <c r="D250" s="335"/>
      <c r="E250" s="331"/>
      <c r="F250" s="331"/>
      <c r="G250" s="331"/>
      <c r="H250" s="331"/>
      <c r="I250" s="331"/>
      <c r="J250" s="335"/>
      <c r="K250" s="335"/>
      <c r="L250" s="335"/>
      <c r="M250" s="335"/>
      <c r="N250" s="335"/>
      <c r="O250" s="335"/>
      <c r="P250" s="335"/>
      <c r="Q250" s="335"/>
      <c r="R250" s="335"/>
      <c r="S250" s="336"/>
      <c r="T250" s="334"/>
      <c r="U250" s="334"/>
      <c r="V250" s="334"/>
      <c r="W250" s="334"/>
      <c r="X250" s="334"/>
      <c r="Y250" s="334"/>
      <c r="Z250" s="334"/>
      <c r="AA250" s="334"/>
      <c r="AB250" s="334"/>
      <c r="AC250" s="334"/>
      <c r="AD250" s="334"/>
      <c r="AE250" s="334"/>
      <c r="AF250" s="334"/>
      <c r="AG250" s="334"/>
      <c r="AH250" s="334"/>
      <c r="AI250" s="334"/>
      <c r="AJ250" s="334"/>
      <c r="AK250" s="334"/>
      <c r="AL250" s="334"/>
      <c r="AM250" s="334"/>
    </row>
    <row r="251" ht="11.25" customHeight="1">
      <c r="A251" s="334"/>
      <c r="B251" s="334"/>
      <c r="C251" s="334"/>
      <c r="D251" s="335"/>
      <c r="E251" s="331"/>
      <c r="F251" s="331"/>
      <c r="G251" s="331"/>
      <c r="H251" s="331"/>
      <c r="I251" s="331"/>
      <c r="J251" s="335"/>
      <c r="K251" s="335"/>
      <c r="L251" s="335"/>
      <c r="M251" s="335"/>
      <c r="N251" s="335"/>
      <c r="O251" s="335"/>
      <c r="P251" s="335"/>
      <c r="Q251" s="335"/>
      <c r="R251" s="335"/>
      <c r="S251" s="336"/>
      <c r="T251" s="334"/>
      <c r="U251" s="334"/>
      <c r="V251" s="334"/>
      <c r="W251" s="334"/>
      <c r="X251" s="334"/>
      <c r="Y251" s="334"/>
      <c r="Z251" s="334"/>
      <c r="AA251" s="334"/>
      <c r="AB251" s="334"/>
      <c r="AC251" s="334"/>
      <c r="AD251" s="334"/>
      <c r="AE251" s="334"/>
      <c r="AF251" s="334"/>
      <c r="AG251" s="334"/>
      <c r="AH251" s="334"/>
      <c r="AI251" s="334"/>
      <c r="AJ251" s="334"/>
      <c r="AK251" s="334"/>
      <c r="AL251" s="334"/>
      <c r="AM251" s="334"/>
    </row>
    <row r="252" ht="11.25" customHeight="1">
      <c r="A252" s="334"/>
      <c r="B252" s="334"/>
      <c r="C252" s="334"/>
      <c r="D252" s="335"/>
      <c r="E252" s="331"/>
      <c r="F252" s="331"/>
      <c r="G252" s="331"/>
      <c r="H252" s="331"/>
      <c r="I252" s="331"/>
      <c r="J252" s="335"/>
      <c r="K252" s="335"/>
      <c r="L252" s="335"/>
      <c r="M252" s="335"/>
      <c r="N252" s="335"/>
      <c r="O252" s="335"/>
      <c r="P252" s="335"/>
      <c r="Q252" s="335"/>
      <c r="R252" s="335"/>
      <c r="S252" s="336"/>
      <c r="T252" s="334"/>
      <c r="U252" s="334"/>
      <c r="V252" s="334"/>
      <c r="W252" s="334"/>
      <c r="X252" s="334"/>
      <c r="Y252" s="334"/>
      <c r="Z252" s="334"/>
      <c r="AA252" s="334"/>
      <c r="AB252" s="334"/>
      <c r="AC252" s="334"/>
      <c r="AD252" s="334"/>
      <c r="AE252" s="334"/>
      <c r="AF252" s="334"/>
      <c r="AG252" s="334"/>
      <c r="AH252" s="334"/>
      <c r="AI252" s="334"/>
      <c r="AJ252" s="334"/>
      <c r="AK252" s="334"/>
      <c r="AL252" s="334"/>
      <c r="AM252" s="334"/>
    </row>
    <row r="253" ht="11.25" customHeight="1">
      <c r="A253" s="334"/>
      <c r="B253" s="334"/>
      <c r="C253" s="334"/>
      <c r="D253" s="335"/>
      <c r="E253" s="331"/>
      <c r="F253" s="331"/>
      <c r="G253" s="331"/>
      <c r="H253" s="331"/>
      <c r="I253" s="331"/>
      <c r="J253" s="335"/>
      <c r="K253" s="335"/>
      <c r="L253" s="335"/>
      <c r="M253" s="335"/>
      <c r="N253" s="335"/>
      <c r="O253" s="335"/>
      <c r="P253" s="335"/>
      <c r="Q253" s="335"/>
      <c r="R253" s="335"/>
      <c r="S253" s="336"/>
      <c r="T253" s="334"/>
      <c r="U253" s="334"/>
      <c r="V253" s="334"/>
      <c r="W253" s="334"/>
      <c r="X253" s="334"/>
      <c r="Y253" s="334"/>
      <c r="Z253" s="334"/>
      <c r="AA253" s="334"/>
      <c r="AB253" s="334"/>
      <c r="AC253" s="334"/>
      <c r="AD253" s="334"/>
      <c r="AE253" s="334"/>
      <c r="AF253" s="334"/>
      <c r="AG253" s="334"/>
      <c r="AH253" s="334"/>
      <c r="AI253" s="334"/>
      <c r="AJ253" s="334"/>
      <c r="AK253" s="334"/>
      <c r="AL253" s="334"/>
      <c r="AM253" s="334"/>
    </row>
    <row r="254" ht="11.25" customHeight="1">
      <c r="A254" s="334"/>
      <c r="B254" s="334"/>
      <c r="C254" s="334"/>
      <c r="D254" s="335"/>
      <c r="E254" s="331"/>
      <c r="F254" s="331"/>
      <c r="G254" s="331"/>
      <c r="H254" s="331"/>
      <c r="I254" s="331"/>
      <c r="J254" s="335"/>
      <c r="K254" s="335"/>
      <c r="L254" s="335"/>
      <c r="M254" s="335"/>
      <c r="N254" s="335"/>
      <c r="O254" s="335"/>
      <c r="P254" s="335"/>
      <c r="Q254" s="335"/>
      <c r="R254" s="335"/>
      <c r="S254" s="336"/>
      <c r="T254" s="334"/>
      <c r="U254" s="334"/>
      <c r="V254" s="334"/>
      <c r="W254" s="334"/>
      <c r="X254" s="334"/>
      <c r="Y254" s="334"/>
      <c r="Z254" s="334"/>
      <c r="AA254" s="334"/>
      <c r="AB254" s="334"/>
      <c r="AC254" s="334"/>
      <c r="AD254" s="334"/>
      <c r="AE254" s="334"/>
      <c r="AF254" s="334"/>
      <c r="AG254" s="334"/>
      <c r="AH254" s="334"/>
      <c r="AI254" s="334"/>
      <c r="AJ254" s="334"/>
      <c r="AK254" s="334"/>
      <c r="AL254" s="334"/>
      <c r="AM254" s="334"/>
    </row>
    <row r="255" ht="11.25" customHeight="1">
      <c r="A255" s="334"/>
      <c r="B255" s="334"/>
      <c r="C255" s="334"/>
      <c r="D255" s="335"/>
      <c r="E255" s="331"/>
      <c r="F255" s="331"/>
      <c r="G255" s="331"/>
      <c r="H255" s="331"/>
      <c r="I255" s="331"/>
      <c r="J255" s="335"/>
      <c r="K255" s="335"/>
      <c r="L255" s="335"/>
      <c r="M255" s="335"/>
      <c r="N255" s="335"/>
      <c r="O255" s="335"/>
      <c r="P255" s="335"/>
      <c r="Q255" s="335"/>
      <c r="R255" s="335"/>
      <c r="S255" s="336"/>
      <c r="T255" s="334"/>
      <c r="U255" s="334"/>
      <c r="V255" s="334"/>
      <c r="W255" s="334"/>
      <c r="X255" s="334"/>
      <c r="Y255" s="334"/>
      <c r="Z255" s="334"/>
      <c r="AA255" s="334"/>
      <c r="AB255" s="334"/>
      <c r="AC255" s="334"/>
      <c r="AD255" s="334"/>
      <c r="AE255" s="334"/>
      <c r="AF255" s="334"/>
      <c r="AG255" s="334"/>
      <c r="AH255" s="334"/>
      <c r="AI255" s="334"/>
      <c r="AJ255" s="334"/>
      <c r="AK255" s="334"/>
      <c r="AL255" s="334"/>
      <c r="AM255" s="334"/>
    </row>
    <row r="256" ht="11.25" customHeight="1">
      <c r="A256" s="334"/>
      <c r="B256" s="334"/>
      <c r="C256" s="334"/>
      <c r="D256" s="335"/>
      <c r="E256" s="331"/>
      <c r="F256" s="331"/>
      <c r="G256" s="331"/>
      <c r="H256" s="331"/>
      <c r="I256" s="331"/>
      <c r="J256" s="335"/>
      <c r="K256" s="335"/>
      <c r="L256" s="335"/>
      <c r="M256" s="335"/>
      <c r="N256" s="335"/>
      <c r="O256" s="335"/>
      <c r="P256" s="335"/>
      <c r="Q256" s="335"/>
      <c r="R256" s="335"/>
      <c r="S256" s="336"/>
      <c r="T256" s="334"/>
      <c r="U256" s="334"/>
      <c r="V256" s="334"/>
      <c r="W256" s="334"/>
      <c r="X256" s="334"/>
      <c r="Y256" s="334"/>
      <c r="Z256" s="334"/>
      <c r="AA256" s="334"/>
      <c r="AB256" s="334"/>
      <c r="AC256" s="334"/>
      <c r="AD256" s="334"/>
      <c r="AE256" s="334"/>
      <c r="AF256" s="334"/>
      <c r="AG256" s="334"/>
      <c r="AH256" s="334"/>
      <c r="AI256" s="334"/>
      <c r="AJ256" s="334"/>
      <c r="AK256" s="334"/>
      <c r="AL256" s="334"/>
      <c r="AM256" s="334"/>
    </row>
    <row r="257" ht="11.25" customHeight="1">
      <c r="A257" s="334"/>
      <c r="B257" s="334"/>
      <c r="C257" s="334"/>
      <c r="D257" s="335"/>
      <c r="E257" s="331"/>
      <c r="F257" s="331"/>
      <c r="G257" s="331"/>
      <c r="H257" s="331"/>
      <c r="I257" s="331"/>
      <c r="J257" s="335"/>
      <c r="K257" s="335"/>
      <c r="L257" s="335"/>
      <c r="M257" s="335"/>
      <c r="N257" s="335"/>
      <c r="O257" s="335"/>
      <c r="P257" s="335"/>
      <c r="Q257" s="335"/>
      <c r="R257" s="335"/>
      <c r="S257" s="336"/>
      <c r="T257" s="334"/>
      <c r="U257" s="334"/>
      <c r="V257" s="334"/>
      <c r="W257" s="334"/>
      <c r="X257" s="334"/>
      <c r="Y257" s="334"/>
      <c r="Z257" s="334"/>
      <c r="AA257" s="334"/>
      <c r="AB257" s="334"/>
      <c r="AC257" s="334"/>
      <c r="AD257" s="334"/>
      <c r="AE257" s="334"/>
      <c r="AF257" s="334"/>
      <c r="AG257" s="334"/>
      <c r="AH257" s="334"/>
      <c r="AI257" s="334"/>
      <c r="AJ257" s="334"/>
      <c r="AK257" s="334"/>
      <c r="AL257" s="334"/>
      <c r="AM257" s="334"/>
    </row>
    <row r="258" ht="11.25" customHeight="1">
      <c r="A258" s="334"/>
      <c r="B258" s="334"/>
      <c r="C258" s="334"/>
      <c r="D258" s="335"/>
      <c r="E258" s="331"/>
      <c r="F258" s="331"/>
      <c r="G258" s="331"/>
      <c r="H258" s="331"/>
      <c r="I258" s="331"/>
      <c r="J258" s="335"/>
      <c r="K258" s="335"/>
      <c r="L258" s="335"/>
      <c r="M258" s="335"/>
      <c r="N258" s="335"/>
      <c r="O258" s="335"/>
      <c r="P258" s="335"/>
      <c r="Q258" s="335"/>
      <c r="R258" s="335"/>
      <c r="S258" s="336"/>
      <c r="T258" s="334"/>
      <c r="U258" s="334"/>
      <c r="V258" s="334"/>
      <c r="W258" s="334"/>
      <c r="X258" s="334"/>
      <c r="Y258" s="334"/>
      <c r="Z258" s="334"/>
      <c r="AA258" s="334"/>
      <c r="AB258" s="334"/>
      <c r="AC258" s="334"/>
      <c r="AD258" s="334"/>
      <c r="AE258" s="334"/>
      <c r="AF258" s="334"/>
      <c r="AG258" s="334"/>
      <c r="AH258" s="334"/>
      <c r="AI258" s="334"/>
      <c r="AJ258" s="334"/>
      <c r="AK258" s="334"/>
      <c r="AL258" s="334"/>
      <c r="AM258" s="334"/>
    </row>
    <row r="259" ht="11.25" customHeight="1">
      <c r="A259" s="334"/>
      <c r="B259" s="334"/>
      <c r="C259" s="334"/>
      <c r="D259" s="335"/>
      <c r="E259" s="331"/>
      <c r="F259" s="331"/>
      <c r="G259" s="331"/>
      <c r="H259" s="331"/>
      <c r="I259" s="331"/>
      <c r="J259" s="335"/>
      <c r="K259" s="335"/>
      <c r="L259" s="335"/>
      <c r="M259" s="335"/>
      <c r="N259" s="335"/>
      <c r="O259" s="335"/>
      <c r="P259" s="335"/>
      <c r="Q259" s="335"/>
      <c r="R259" s="335"/>
      <c r="S259" s="336"/>
      <c r="T259" s="334"/>
      <c r="U259" s="334"/>
      <c r="V259" s="334"/>
      <c r="W259" s="334"/>
      <c r="X259" s="334"/>
      <c r="Y259" s="334"/>
      <c r="Z259" s="334"/>
      <c r="AA259" s="334"/>
      <c r="AB259" s="334"/>
      <c r="AC259" s="334"/>
      <c r="AD259" s="334"/>
      <c r="AE259" s="334"/>
      <c r="AF259" s="334"/>
      <c r="AG259" s="334"/>
      <c r="AH259" s="334"/>
      <c r="AI259" s="334"/>
      <c r="AJ259" s="334"/>
      <c r="AK259" s="334"/>
      <c r="AL259" s="334"/>
      <c r="AM259" s="334"/>
    </row>
    <row r="260" ht="11.25" customHeight="1">
      <c r="A260" s="334"/>
      <c r="B260" s="334"/>
      <c r="C260" s="334"/>
      <c r="D260" s="335"/>
      <c r="E260" s="331"/>
      <c r="F260" s="331"/>
      <c r="G260" s="331"/>
      <c r="H260" s="331"/>
      <c r="I260" s="331"/>
      <c r="J260" s="335"/>
      <c r="K260" s="335"/>
      <c r="L260" s="335"/>
      <c r="M260" s="335"/>
      <c r="N260" s="335"/>
      <c r="O260" s="335"/>
      <c r="P260" s="335"/>
      <c r="Q260" s="335"/>
      <c r="R260" s="335"/>
      <c r="S260" s="336"/>
      <c r="T260" s="334"/>
      <c r="U260" s="334"/>
      <c r="V260" s="334"/>
      <c r="W260" s="334"/>
      <c r="X260" s="334"/>
      <c r="Y260" s="334"/>
      <c r="Z260" s="334"/>
      <c r="AA260" s="334"/>
      <c r="AB260" s="334"/>
      <c r="AC260" s="334"/>
      <c r="AD260" s="334"/>
      <c r="AE260" s="334"/>
      <c r="AF260" s="334"/>
      <c r="AG260" s="334"/>
      <c r="AH260" s="334"/>
      <c r="AI260" s="334"/>
      <c r="AJ260" s="334"/>
      <c r="AK260" s="334"/>
      <c r="AL260" s="334"/>
      <c r="AM260" s="334"/>
    </row>
    <row r="261" ht="11.25" customHeight="1">
      <c r="A261" s="334"/>
      <c r="B261" s="334"/>
      <c r="C261" s="334"/>
      <c r="D261" s="335"/>
      <c r="E261" s="331"/>
      <c r="F261" s="331"/>
      <c r="G261" s="331"/>
      <c r="H261" s="331"/>
      <c r="I261" s="331"/>
      <c r="J261" s="335"/>
      <c r="K261" s="335"/>
      <c r="L261" s="335"/>
      <c r="M261" s="335"/>
      <c r="N261" s="335"/>
      <c r="O261" s="335"/>
      <c r="P261" s="335"/>
      <c r="Q261" s="335"/>
      <c r="R261" s="335"/>
      <c r="S261" s="336"/>
      <c r="T261" s="334"/>
      <c r="U261" s="334"/>
      <c r="V261" s="334"/>
      <c r="W261" s="334"/>
      <c r="X261" s="334"/>
      <c r="Y261" s="334"/>
      <c r="Z261" s="334"/>
      <c r="AA261" s="334"/>
      <c r="AB261" s="334"/>
      <c r="AC261" s="334"/>
      <c r="AD261" s="334"/>
      <c r="AE261" s="334"/>
      <c r="AF261" s="334"/>
      <c r="AG261" s="334"/>
      <c r="AH261" s="334"/>
      <c r="AI261" s="334"/>
      <c r="AJ261" s="334"/>
      <c r="AK261" s="334"/>
      <c r="AL261" s="334"/>
      <c r="AM261" s="334"/>
    </row>
    <row r="262" ht="11.25" customHeight="1">
      <c r="A262" s="334"/>
      <c r="B262" s="334"/>
      <c r="C262" s="334"/>
      <c r="D262" s="335"/>
      <c r="E262" s="331"/>
      <c r="F262" s="331"/>
      <c r="G262" s="331"/>
      <c r="H262" s="331"/>
      <c r="I262" s="331"/>
      <c r="J262" s="335"/>
      <c r="K262" s="335"/>
      <c r="L262" s="335"/>
      <c r="M262" s="335"/>
      <c r="N262" s="335"/>
      <c r="O262" s="335"/>
      <c r="P262" s="335"/>
      <c r="Q262" s="335"/>
      <c r="R262" s="335"/>
      <c r="S262" s="336"/>
      <c r="T262" s="334"/>
      <c r="U262" s="334"/>
      <c r="V262" s="334"/>
      <c r="W262" s="334"/>
      <c r="X262" s="334"/>
      <c r="Y262" s="334"/>
      <c r="Z262" s="334"/>
      <c r="AA262" s="334"/>
      <c r="AB262" s="334"/>
      <c r="AC262" s="334"/>
      <c r="AD262" s="334"/>
      <c r="AE262" s="334"/>
      <c r="AF262" s="334"/>
      <c r="AG262" s="334"/>
      <c r="AH262" s="334"/>
      <c r="AI262" s="334"/>
      <c r="AJ262" s="334"/>
      <c r="AK262" s="334"/>
      <c r="AL262" s="334"/>
      <c r="AM262" s="334"/>
    </row>
    <row r="263" ht="11.25" customHeight="1">
      <c r="A263" s="334"/>
      <c r="B263" s="334"/>
      <c r="C263" s="334"/>
      <c r="D263" s="335"/>
      <c r="E263" s="331"/>
      <c r="F263" s="331"/>
      <c r="G263" s="331"/>
      <c r="H263" s="331"/>
      <c r="I263" s="331"/>
      <c r="J263" s="335"/>
      <c r="K263" s="335"/>
      <c r="L263" s="335"/>
      <c r="M263" s="335"/>
      <c r="N263" s="335"/>
      <c r="O263" s="335"/>
      <c r="P263" s="335"/>
      <c r="Q263" s="335"/>
      <c r="R263" s="335"/>
      <c r="S263" s="336"/>
      <c r="T263" s="334"/>
      <c r="U263" s="334"/>
      <c r="V263" s="334"/>
      <c r="W263" s="334"/>
      <c r="X263" s="334"/>
      <c r="Y263" s="334"/>
      <c r="Z263" s="334"/>
      <c r="AA263" s="334"/>
      <c r="AB263" s="334"/>
      <c r="AC263" s="334"/>
      <c r="AD263" s="334"/>
      <c r="AE263" s="334"/>
      <c r="AF263" s="334"/>
      <c r="AG263" s="334"/>
      <c r="AH263" s="334"/>
      <c r="AI263" s="334"/>
      <c r="AJ263" s="334"/>
      <c r="AK263" s="334"/>
      <c r="AL263" s="334"/>
      <c r="AM263" s="334"/>
    </row>
    <row r="264" ht="11.25" customHeight="1">
      <c r="A264" s="334"/>
      <c r="B264" s="334"/>
      <c r="C264" s="334"/>
      <c r="D264" s="335"/>
      <c r="E264" s="331"/>
      <c r="F264" s="331"/>
      <c r="G264" s="331"/>
      <c r="H264" s="331"/>
      <c r="I264" s="331"/>
      <c r="J264" s="335"/>
      <c r="K264" s="335"/>
      <c r="L264" s="335"/>
      <c r="M264" s="335"/>
      <c r="N264" s="335"/>
      <c r="O264" s="335"/>
      <c r="P264" s="335"/>
      <c r="Q264" s="335"/>
      <c r="R264" s="335"/>
      <c r="S264" s="336"/>
      <c r="T264" s="334"/>
      <c r="U264" s="334"/>
      <c r="V264" s="334"/>
      <c r="W264" s="334"/>
      <c r="X264" s="334"/>
      <c r="Y264" s="334"/>
      <c r="Z264" s="334"/>
      <c r="AA264" s="334"/>
      <c r="AB264" s="334"/>
      <c r="AC264" s="334"/>
      <c r="AD264" s="334"/>
      <c r="AE264" s="334"/>
      <c r="AF264" s="334"/>
      <c r="AG264" s="334"/>
      <c r="AH264" s="334"/>
      <c r="AI264" s="334"/>
      <c r="AJ264" s="334"/>
      <c r="AK264" s="334"/>
      <c r="AL264" s="334"/>
      <c r="AM264" s="334"/>
    </row>
    <row r="265" ht="11.25" customHeight="1">
      <c r="A265" s="334"/>
      <c r="B265" s="334"/>
      <c r="C265" s="334"/>
      <c r="D265" s="335"/>
      <c r="E265" s="331"/>
      <c r="F265" s="331"/>
      <c r="G265" s="331"/>
      <c r="H265" s="331"/>
      <c r="I265" s="331"/>
      <c r="J265" s="335"/>
      <c r="K265" s="335"/>
      <c r="L265" s="335"/>
      <c r="M265" s="335"/>
      <c r="N265" s="335"/>
      <c r="O265" s="335"/>
      <c r="P265" s="335"/>
      <c r="Q265" s="335"/>
      <c r="R265" s="335"/>
      <c r="S265" s="336"/>
      <c r="T265" s="334"/>
      <c r="U265" s="334"/>
      <c r="V265" s="334"/>
      <c r="W265" s="334"/>
      <c r="X265" s="334"/>
      <c r="Y265" s="334"/>
      <c r="Z265" s="334"/>
      <c r="AA265" s="334"/>
      <c r="AB265" s="334"/>
      <c r="AC265" s="334"/>
      <c r="AD265" s="334"/>
      <c r="AE265" s="334"/>
      <c r="AF265" s="334"/>
      <c r="AG265" s="334"/>
      <c r="AH265" s="334"/>
      <c r="AI265" s="334"/>
      <c r="AJ265" s="334"/>
      <c r="AK265" s="334"/>
      <c r="AL265" s="334"/>
      <c r="AM265" s="334"/>
    </row>
    <row r="266" ht="11.25" customHeight="1">
      <c r="A266" s="334"/>
      <c r="B266" s="334"/>
      <c r="C266" s="334"/>
      <c r="D266" s="335"/>
      <c r="E266" s="331"/>
      <c r="F266" s="331"/>
      <c r="G266" s="331"/>
      <c r="H266" s="331"/>
      <c r="I266" s="331"/>
      <c r="J266" s="335"/>
      <c r="K266" s="335"/>
      <c r="L266" s="335"/>
      <c r="M266" s="335"/>
      <c r="N266" s="335"/>
      <c r="O266" s="335"/>
      <c r="P266" s="335"/>
      <c r="Q266" s="335"/>
      <c r="R266" s="335"/>
      <c r="S266" s="336"/>
      <c r="T266" s="334"/>
      <c r="U266" s="334"/>
      <c r="V266" s="334"/>
      <c r="W266" s="334"/>
      <c r="X266" s="334"/>
      <c r="Y266" s="334"/>
      <c r="Z266" s="334"/>
      <c r="AA266" s="334"/>
      <c r="AB266" s="334"/>
      <c r="AC266" s="334"/>
      <c r="AD266" s="334"/>
      <c r="AE266" s="334"/>
      <c r="AF266" s="334"/>
      <c r="AG266" s="334"/>
      <c r="AH266" s="334"/>
      <c r="AI266" s="334"/>
      <c r="AJ266" s="334"/>
      <c r="AK266" s="334"/>
      <c r="AL266" s="334"/>
      <c r="AM266" s="334"/>
    </row>
    <row r="267" ht="11.25" customHeight="1">
      <c r="A267" s="334"/>
      <c r="B267" s="334"/>
      <c r="C267" s="334"/>
      <c r="D267" s="335"/>
      <c r="E267" s="331"/>
      <c r="F267" s="331"/>
      <c r="G267" s="331"/>
      <c r="H267" s="331"/>
      <c r="I267" s="331"/>
      <c r="J267" s="335"/>
      <c r="K267" s="335"/>
      <c r="L267" s="335"/>
      <c r="M267" s="335"/>
      <c r="N267" s="335"/>
      <c r="O267" s="335"/>
      <c r="P267" s="335"/>
      <c r="Q267" s="335"/>
      <c r="R267" s="335"/>
      <c r="S267" s="336"/>
      <c r="T267" s="334"/>
      <c r="U267" s="334"/>
      <c r="V267" s="334"/>
      <c r="W267" s="334"/>
      <c r="X267" s="334"/>
      <c r="Y267" s="334"/>
      <c r="Z267" s="334"/>
      <c r="AA267" s="334"/>
      <c r="AB267" s="334"/>
      <c r="AC267" s="334"/>
      <c r="AD267" s="334"/>
      <c r="AE267" s="334"/>
      <c r="AF267" s="334"/>
      <c r="AG267" s="334"/>
      <c r="AH267" s="334"/>
      <c r="AI267" s="334"/>
      <c r="AJ267" s="334"/>
      <c r="AK267" s="334"/>
      <c r="AL267" s="334"/>
      <c r="AM267" s="334"/>
    </row>
    <row r="268" ht="11.25" customHeight="1">
      <c r="A268" s="334"/>
      <c r="B268" s="334"/>
      <c r="C268" s="334"/>
      <c r="D268" s="335"/>
      <c r="E268" s="331"/>
      <c r="F268" s="331"/>
      <c r="G268" s="331"/>
      <c r="H268" s="331"/>
      <c r="I268" s="331"/>
      <c r="J268" s="335"/>
      <c r="K268" s="335"/>
      <c r="L268" s="335"/>
      <c r="M268" s="335"/>
      <c r="N268" s="335"/>
      <c r="O268" s="335"/>
      <c r="P268" s="335"/>
      <c r="Q268" s="335"/>
      <c r="R268" s="335"/>
      <c r="S268" s="336"/>
      <c r="T268" s="334"/>
      <c r="U268" s="334"/>
      <c r="V268" s="334"/>
      <c r="W268" s="334"/>
      <c r="X268" s="334"/>
      <c r="Y268" s="334"/>
      <c r="Z268" s="334"/>
      <c r="AA268" s="334"/>
      <c r="AB268" s="334"/>
      <c r="AC268" s="334"/>
      <c r="AD268" s="334"/>
      <c r="AE268" s="334"/>
      <c r="AF268" s="334"/>
      <c r="AG268" s="334"/>
      <c r="AH268" s="334"/>
      <c r="AI268" s="334"/>
      <c r="AJ268" s="334"/>
      <c r="AK268" s="334"/>
      <c r="AL268" s="334"/>
      <c r="AM268" s="334"/>
    </row>
    <row r="269" ht="11.25" customHeight="1">
      <c r="A269" s="334"/>
      <c r="B269" s="334"/>
      <c r="C269" s="334"/>
      <c r="D269" s="335"/>
      <c r="E269" s="331"/>
      <c r="F269" s="331"/>
      <c r="G269" s="331"/>
      <c r="H269" s="331"/>
      <c r="I269" s="331"/>
      <c r="J269" s="335"/>
      <c r="K269" s="335"/>
      <c r="L269" s="335"/>
      <c r="M269" s="335"/>
      <c r="N269" s="335"/>
      <c r="O269" s="335"/>
      <c r="P269" s="335"/>
      <c r="Q269" s="335"/>
      <c r="R269" s="335"/>
      <c r="S269" s="336"/>
      <c r="T269" s="334"/>
      <c r="U269" s="334"/>
      <c r="V269" s="334"/>
      <c r="W269" s="334"/>
      <c r="X269" s="334"/>
      <c r="Y269" s="334"/>
      <c r="Z269" s="334"/>
      <c r="AA269" s="334"/>
      <c r="AB269" s="334"/>
      <c r="AC269" s="334"/>
      <c r="AD269" s="334"/>
      <c r="AE269" s="334"/>
      <c r="AF269" s="334"/>
      <c r="AG269" s="334"/>
      <c r="AH269" s="334"/>
      <c r="AI269" s="334"/>
      <c r="AJ269" s="334"/>
      <c r="AK269" s="334"/>
      <c r="AL269" s="334"/>
      <c r="AM269" s="334"/>
    </row>
    <row r="270" ht="11.25" customHeight="1">
      <c r="A270" s="334"/>
      <c r="B270" s="334"/>
      <c r="C270" s="334"/>
      <c r="D270" s="335"/>
      <c r="E270" s="331"/>
      <c r="F270" s="331"/>
      <c r="G270" s="331"/>
      <c r="H270" s="331"/>
      <c r="I270" s="331"/>
      <c r="J270" s="335"/>
      <c r="K270" s="335"/>
      <c r="L270" s="335"/>
      <c r="M270" s="335"/>
      <c r="N270" s="335"/>
      <c r="O270" s="335"/>
      <c r="P270" s="335"/>
      <c r="Q270" s="335"/>
      <c r="R270" s="335"/>
      <c r="S270" s="336"/>
      <c r="T270" s="334"/>
      <c r="U270" s="334"/>
      <c r="V270" s="334"/>
      <c r="W270" s="334"/>
      <c r="X270" s="334"/>
      <c r="Y270" s="334"/>
      <c r="Z270" s="334"/>
      <c r="AA270" s="334"/>
      <c r="AB270" s="334"/>
      <c r="AC270" s="334"/>
      <c r="AD270" s="334"/>
      <c r="AE270" s="334"/>
      <c r="AF270" s="334"/>
      <c r="AG270" s="334"/>
      <c r="AH270" s="334"/>
      <c r="AI270" s="334"/>
      <c r="AJ270" s="334"/>
      <c r="AK270" s="334"/>
      <c r="AL270" s="334"/>
      <c r="AM270" s="334"/>
    </row>
    <row r="271" ht="11.25" customHeight="1">
      <c r="A271" s="334"/>
      <c r="B271" s="334"/>
      <c r="C271" s="334"/>
      <c r="D271" s="335"/>
      <c r="E271" s="331"/>
      <c r="F271" s="331"/>
      <c r="G271" s="331"/>
      <c r="H271" s="331"/>
      <c r="I271" s="331"/>
      <c r="J271" s="335"/>
      <c r="K271" s="335"/>
      <c r="L271" s="335"/>
      <c r="M271" s="335"/>
      <c r="N271" s="335"/>
      <c r="O271" s="335"/>
      <c r="P271" s="335"/>
      <c r="Q271" s="335"/>
      <c r="R271" s="335"/>
      <c r="S271" s="336"/>
      <c r="T271" s="334"/>
      <c r="U271" s="334"/>
      <c r="V271" s="334"/>
      <c r="W271" s="334"/>
      <c r="X271" s="334"/>
      <c r="Y271" s="334"/>
      <c r="Z271" s="334"/>
      <c r="AA271" s="334"/>
      <c r="AB271" s="334"/>
      <c r="AC271" s="334"/>
      <c r="AD271" s="334"/>
      <c r="AE271" s="334"/>
      <c r="AF271" s="334"/>
      <c r="AG271" s="334"/>
      <c r="AH271" s="334"/>
      <c r="AI271" s="334"/>
      <c r="AJ271" s="334"/>
      <c r="AK271" s="334"/>
      <c r="AL271" s="334"/>
      <c r="AM271" s="334"/>
    </row>
    <row r="272" ht="11.25" customHeight="1">
      <c r="A272" s="334"/>
      <c r="B272" s="334"/>
      <c r="C272" s="334"/>
      <c r="D272" s="335"/>
      <c r="E272" s="331"/>
      <c r="F272" s="331"/>
      <c r="G272" s="331"/>
      <c r="H272" s="331"/>
      <c r="I272" s="331"/>
      <c r="J272" s="335"/>
      <c r="K272" s="335"/>
      <c r="L272" s="335"/>
      <c r="M272" s="335"/>
      <c r="N272" s="335"/>
      <c r="O272" s="335"/>
      <c r="P272" s="335"/>
      <c r="Q272" s="335"/>
      <c r="R272" s="335"/>
      <c r="S272" s="336"/>
      <c r="T272" s="334"/>
      <c r="U272" s="334"/>
      <c r="V272" s="334"/>
      <c r="W272" s="334"/>
      <c r="X272" s="334"/>
      <c r="Y272" s="334"/>
      <c r="Z272" s="334"/>
      <c r="AA272" s="334"/>
      <c r="AB272" s="334"/>
      <c r="AC272" s="334"/>
      <c r="AD272" s="334"/>
      <c r="AE272" s="334"/>
      <c r="AF272" s="334"/>
      <c r="AG272" s="334"/>
      <c r="AH272" s="334"/>
      <c r="AI272" s="334"/>
      <c r="AJ272" s="334"/>
      <c r="AK272" s="334"/>
      <c r="AL272" s="334"/>
      <c r="AM272" s="334"/>
    </row>
    <row r="273" ht="11.25" customHeight="1">
      <c r="A273" s="334"/>
      <c r="B273" s="334"/>
      <c r="C273" s="334"/>
      <c r="D273" s="335"/>
      <c r="E273" s="331"/>
      <c r="F273" s="331"/>
      <c r="G273" s="331"/>
      <c r="H273" s="331"/>
      <c r="I273" s="331"/>
      <c r="J273" s="335"/>
      <c r="K273" s="335"/>
      <c r="L273" s="335"/>
      <c r="M273" s="335"/>
      <c r="N273" s="335"/>
      <c r="O273" s="335"/>
      <c r="P273" s="335"/>
      <c r="Q273" s="335"/>
      <c r="R273" s="335"/>
      <c r="S273" s="336"/>
      <c r="T273" s="334"/>
      <c r="U273" s="334"/>
      <c r="V273" s="334"/>
      <c r="W273" s="334"/>
      <c r="X273" s="334"/>
      <c r="Y273" s="334"/>
      <c r="Z273" s="334"/>
      <c r="AA273" s="334"/>
      <c r="AB273" s="334"/>
      <c r="AC273" s="334"/>
      <c r="AD273" s="334"/>
      <c r="AE273" s="334"/>
      <c r="AF273" s="334"/>
      <c r="AG273" s="334"/>
      <c r="AH273" s="334"/>
      <c r="AI273" s="334"/>
      <c r="AJ273" s="334"/>
      <c r="AK273" s="334"/>
      <c r="AL273" s="334"/>
      <c r="AM273" s="334"/>
    </row>
    <row r="274" ht="11.25" customHeight="1">
      <c r="A274" s="334"/>
      <c r="B274" s="334"/>
      <c r="C274" s="334"/>
      <c r="D274" s="335"/>
      <c r="E274" s="331"/>
      <c r="F274" s="331"/>
      <c r="G274" s="331"/>
      <c r="H274" s="331"/>
      <c r="I274" s="331"/>
      <c r="J274" s="335"/>
      <c r="K274" s="335"/>
      <c r="L274" s="335"/>
      <c r="M274" s="335"/>
      <c r="N274" s="335"/>
      <c r="O274" s="335"/>
      <c r="P274" s="335"/>
      <c r="Q274" s="335"/>
      <c r="R274" s="335"/>
      <c r="S274" s="336"/>
      <c r="T274" s="334"/>
      <c r="U274" s="334"/>
      <c r="V274" s="334"/>
      <c r="W274" s="334"/>
      <c r="X274" s="334"/>
      <c r="Y274" s="334"/>
      <c r="Z274" s="334"/>
      <c r="AA274" s="334"/>
      <c r="AB274" s="334"/>
      <c r="AC274" s="334"/>
      <c r="AD274" s="334"/>
      <c r="AE274" s="334"/>
      <c r="AF274" s="334"/>
      <c r="AG274" s="334"/>
      <c r="AH274" s="334"/>
      <c r="AI274" s="334"/>
      <c r="AJ274" s="334"/>
      <c r="AK274" s="334"/>
      <c r="AL274" s="334"/>
      <c r="AM274" s="334"/>
    </row>
    <row r="275" ht="11.25" customHeight="1">
      <c r="A275" s="334"/>
      <c r="B275" s="334"/>
      <c r="C275" s="334"/>
      <c r="D275" s="335"/>
      <c r="E275" s="331"/>
      <c r="F275" s="331"/>
      <c r="G275" s="331"/>
      <c r="H275" s="331"/>
      <c r="I275" s="331"/>
      <c r="J275" s="335"/>
      <c r="K275" s="335"/>
      <c r="L275" s="335"/>
      <c r="M275" s="335"/>
      <c r="N275" s="335"/>
      <c r="O275" s="335"/>
      <c r="P275" s="335"/>
      <c r="Q275" s="335"/>
      <c r="R275" s="335"/>
      <c r="S275" s="336"/>
      <c r="T275" s="334"/>
      <c r="U275" s="334"/>
      <c r="V275" s="334"/>
      <c r="W275" s="334"/>
      <c r="X275" s="334"/>
      <c r="Y275" s="334"/>
      <c r="Z275" s="334"/>
      <c r="AA275" s="334"/>
      <c r="AB275" s="334"/>
      <c r="AC275" s="334"/>
      <c r="AD275" s="334"/>
      <c r="AE275" s="334"/>
      <c r="AF275" s="334"/>
      <c r="AG275" s="334"/>
      <c r="AH275" s="334"/>
      <c r="AI275" s="334"/>
      <c r="AJ275" s="334"/>
      <c r="AK275" s="334"/>
      <c r="AL275" s="334"/>
      <c r="AM275" s="334"/>
    </row>
    <row r="276" ht="11.25" customHeight="1">
      <c r="A276" s="334"/>
      <c r="B276" s="334"/>
      <c r="C276" s="334"/>
      <c r="D276" s="335"/>
      <c r="E276" s="331"/>
      <c r="F276" s="331"/>
      <c r="G276" s="331"/>
      <c r="H276" s="331"/>
      <c r="I276" s="331"/>
      <c r="J276" s="335"/>
      <c r="K276" s="335"/>
      <c r="L276" s="335"/>
      <c r="M276" s="335"/>
      <c r="N276" s="335"/>
      <c r="O276" s="335"/>
      <c r="P276" s="335"/>
      <c r="Q276" s="335"/>
      <c r="R276" s="335"/>
      <c r="S276" s="336"/>
      <c r="T276" s="334"/>
      <c r="U276" s="334"/>
      <c r="V276" s="334"/>
      <c r="W276" s="334"/>
      <c r="X276" s="334"/>
      <c r="Y276" s="334"/>
      <c r="Z276" s="334"/>
      <c r="AA276" s="334"/>
      <c r="AB276" s="334"/>
      <c r="AC276" s="334"/>
      <c r="AD276" s="334"/>
      <c r="AE276" s="334"/>
      <c r="AF276" s="334"/>
      <c r="AG276" s="334"/>
      <c r="AH276" s="334"/>
      <c r="AI276" s="334"/>
      <c r="AJ276" s="334"/>
      <c r="AK276" s="334"/>
      <c r="AL276" s="334"/>
      <c r="AM276" s="334"/>
    </row>
    <row r="277" ht="11.25" customHeight="1">
      <c r="A277" s="334"/>
      <c r="B277" s="334"/>
      <c r="C277" s="334"/>
      <c r="D277" s="335"/>
      <c r="E277" s="331"/>
      <c r="F277" s="331"/>
      <c r="G277" s="331"/>
      <c r="H277" s="331"/>
      <c r="I277" s="331"/>
      <c r="J277" s="335"/>
      <c r="K277" s="335"/>
      <c r="L277" s="335"/>
      <c r="M277" s="335"/>
      <c r="N277" s="335"/>
      <c r="O277" s="335"/>
      <c r="P277" s="335"/>
      <c r="Q277" s="335"/>
      <c r="R277" s="335"/>
      <c r="S277" s="336"/>
      <c r="T277" s="334"/>
      <c r="U277" s="334"/>
      <c r="V277" s="334"/>
      <c r="W277" s="334"/>
      <c r="X277" s="334"/>
      <c r="Y277" s="334"/>
      <c r="Z277" s="334"/>
      <c r="AA277" s="334"/>
      <c r="AB277" s="334"/>
      <c r="AC277" s="334"/>
      <c r="AD277" s="334"/>
      <c r="AE277" s="334"/>
      <c r="AF277" s="334"/>
      <c r="AG277" s="334"/>
      <c r="AH277" s="334"/>
      <c r="AI277" s="334"/>
      <c r="AJ277" s="334"/>
      <c r="AK277" s="334"/>
      <c r="AL277" s="334"/>
      <c r="AM277" s="334"/>
    </row>
    <row r="278" ht="11.25" customHeight="1">
      <c r="A278" s="334"/>
      <c r="B278" s="334"/>
      <c r="C278" s="334"/>
      <c r="D278" s="335"/>
      <c r="E278" s="331"/>
      <c r="F278" s="331"/>
      <c r="G278" s="331"/>
      <c r="H278" s="331"/>
      <c r="I278" s="331"/>
      <c r="J278" s="335"/>
      <c r="K278" s="335"/>
      <c r="L278" s="335"/>
      <c r="M278" s="335"/>
      <c r="N278" s="335"/>
      <c r="O278" s="335"/>
      <c r="P278" s="335"/>
      <c r="Q278" s="335"/>
      <c r="R278" s="335"/>
      <c r="S278" s="336"/>
      <c r="T278" s="334"/>
      <c r="U278" s="334"/>
      <c r="V278" s="334"/>
      <c r="W278" s="334"/>
      <c r="X278" s="334"/>
      <c r="Y278" s="334"/>
      <c r="Z278" s="334"/>
      <c r="AA278" s="334"/>
      <c r="AB278" s="334"/>
      <c r="AC278" s="334"/>
      <c r="AD278" s="334"/>
      <c r="AE278" s="334"/>
      <c r="AF278" s="334"/>
      <c r="AG278" s="334"/>
      <c r="AH278" s="334"/>
      <c r="AI278" s="334"/>
      <c r="AJ278" s="334"/>
      <c r="AK278" s="334"/>
      <c r="AL278" s="334"/>
      <c r="AM278" s="334"/>
    </row>
    <row r="279" ht="11.25" customHeight="1">
      <c r="A279" s="334"/>
      <c r="B279" s="334"/>
      <c r="C279" s="334"/>
      <c r="D279" s="335"/>
      <c r="E279" s="331"/>
      <c r="F279" s="331"/>
      <c r="G279" s="331"/>
      <c r="H279" s="331"/>
      <c r="I279" s="331"/>
      <c r="J279" s="335"/>
      <c r="K279" s="335"/>
      <c r="L279" s="335"/>
      <c r="M279" s="335"/>
      <c r="N279" s="335"/>
      <c r="O279" s="335"/>
      <c r="P279" s="335"/>
      <c r="Q279" s="335"/>
      <c r="R279" s="335"/>
      <c r="S279" s="336"/>
      <c r="T279" s="334"/>
      <c r="U279" s="334"/>
      <c r="V279" s="334"/>
      <c r="W279" s="334"/>
      <c r="X279" s="334"/>
      <c r="Y279" s="334"/>
      <c r="Z279" s="334"/>
      <c r="AA279" s="334"/>
      <c r="AB279" s="334"/>
      <c r="AC279" s="334"/>
      <c r="AD279" s="334"/>
      <c r="AE279" s="334"/>
      <c r="AF279" s="334"/>
      <c r="AG279" s="334"/>
      <c r="AH279" s="334"/>
      <c r="AI279" s="334"/>
      <c r="AJ279" s="334"/>
      <c r="AK279" s="334"/>
      <c r="AL279" s="334"/>
      <c r="AM279" s="334"/>
    </row>
    <row r="280" ht="11.25" customHeight="1">
      <c r="A280" s="334"/>
      <c r="B280" s="334"/>
      <c r="C280" s="334"/>
      <c r="D280" s="335"/>
      <c r="E280" s="331"/>
      <c r="F280" s="331"/>
      <c r="G280" s="331"/>
      <c r="H280" s="331"/>
      <c r="I280" s="331"/>
      <c r="J280" s="335"/>
      <c r="K280" s="335"/>
      <c r="L280" s="335"/>
      <c r="M280" s="335"/>
      <c r="N280" s="335"/>
      <c r="O280" s="335"/>
      <c r="P280" s="335"/>
      <c r="Q280" s="335"/>
      <c r="R280" s="335"/>
      <c r="S280" s="336"/>
      <c r="T280" s="334"/>
      <c r="U280" s="334"/>
      <c r="V280" s="334"/>
      <c r="W280" s="334"/>
      <c r="X280" s="334"/>
      <c r="Y280" s="334"/>
      <c r="Z280" s="334"/>
      <c r="AA280" s="334"/>
      <c r="AB280" s="334"/>
      <c r="AC280" s="334"/>
      <c r="AD280" s="334"/>
      <c r="AE280" s="334"/>
      <c r="AF280" s="334"/>
      <c r="AG280" s="334"/>
      <c r="AH280" s="334"/>
      <c r="AI280" s="334"/>
      <c r="AJ280" s="334"/>
      <c r="AK280" s="334"/>
      <c r="AL280" s="334"/>
      <c r="AM280" s="334"/>
    </row>
    <row r="281" ht="11.25" customHeight="1">
      <c r="A281" s="334"/>
      <c r="B281" s="334"/>
      <c r="C281" s="334"/>
      <c r="D281" s="335"/>
      <c r="E281" s="331"/>
      <c r="F281" s="331"/>
      <c r="G281" s="331"/>
      <c r="H281" s="331"/>
      <c r="I281" s="331"/>
      <c r="J281" s="335"/>
      <c r="K281" s="335"/>
      <c r="L281" s="335"/>
      <c r="M281" s="335"/>
      <c r="N281" s="335"/>
      <c r="O281" s="335"/>
      <c r="P281" s="335"/>
      <c r="Q281" s="335"/>
      <c r="R281" s="335"/>
      <c r="S281" s="336"/>
      <c r="T281" s="334"/>
      <c r="U281" s="334"/>
      <c r="V281" s="334"/>
      <c r="W281" s="334"/>
      <c r="X281" s="334"/>
      <c r="Y281" s="334"/>
      <c r="Z281" s="334"/>
      <c r="AA281" s="334"/>
      <c r="AB281" s="334"/>
      <c r="AC281" s="334"/>
      <c r="AD281" s="334"/>
      <c r="AE281" s="334"/>
      <c r="AF281" s="334"/>
      <c r="AG281" s="334"/>
      <c r="AH281" s="334"/>
      <c r="AI281" s="334"/>
      <c r="AJ281" s="334"/>
      <c r="AK281" s="334"/>
      <c r="AL281" s="334"/>
      <c r="AM281" s="334"/>
    </row>
    <row r="282" ht="11.25" customHeight="1">
      <c r="A282" s="334"/>
      <c r="B282" s="334"/>
      <c r="C282" s="334"/>
      <c r="D282" s="335"/>
      <c r="E282" s="331"/>
      <c r="F282" s="331"/>
      <c r="G282" s="331"/>
      <c r="H282" s="331"/>
      <c r="I282" s="331"/>
      <c r="J282" s="335"/>
      <c r="K282" s="335"/>
      <c r="L282" s="335"/>
      <c r="M282" s="335"/>
      <c r="N282" s="335"/>
      <c r="O282" s="335"/>
      <c r="P282" s="335"/>
      <c r="Q282" s="335"/>
      <c r="R282" s="335"/>
      <c r="S282" s="336"/>
      <c r="T282" s="334"/>
      <c r="U282" s="334"/>
      <c r="V282" s="334"/>
      <c r="W282" s="334"/>
      <c r="X282" s="334"/>
      <c r="Y282" s="334"/>
      <c r="Z282" s="334"/>
      <c r="AA282" s="334"/>
      <c r="AB282" s="334"/>
      <c r="AC282" s="334"/>
      <c r="AD282" s="334"/>
      <c r="AE282" s="334"/>
      <c r="AF282" s="334"/>
      <c r="AG282" s="334"/>
      <c r="AH282" s="334"/>
      <c r="AI282" s="334"/>
      <c r="AJ282" s="334"/>
      <c r="AK282" s="334"/>
      <c r="AL282" s="334"/>
      <c r="AM282" s="334"/>
    </row>
    <row r="283" ht="11.25" customHeight="1">
      <c r="A283" s="334"/>
      <c r="B283" s="334"/>
      <c r="C283" s="334"/>
      <c r="D283" s="335"/>
      <c r="E283" s="331"/>
      <c r="F283" s="331"/>
      <c r="G283" s="331"/>
      <c r="H283" s="331"/>
      <c r="I283" s="331"/>
      <c r="J283" s="335"/>
      <c r="K283" s="335"/>
      <c r="L283" s="335"/>
      <c r="M283" s="335"/>
      <c r="N283" s="335"/>
      <c r="O283" s="335"/>
      <c r="P283" s="335"/>
      <c r="Q283" s="335"/>
      <c r="R283" s="335"/>
      <c r="S283" s="336"/>
      <c r="T283" s="334"/>
      <c r="U283" s="334"/>
      <c r="V283" s="334"/>
      <c r="W283" s="334"/>
      <c r="X283" s="334"/>
      <c r="Y283" s="334"/>
      <c r="Z283" s="334"/>
      <c r="AA283" s="334"/>
      <c r="AB283" s="334"/>
      <c r="AC283" s="334"/>
      <c r="AD283" s="334"/>
      <c r="AE283" s="334"/>
      <c r="AF283" s="334"/>
      <c r="AG283" s="334"/>
      <c r="AH283" s="334"/>
      <c r="AI283" s="334"/>
      <c r="AJ283" s="334"/>
      <c r="AK283" s="334"/>
      <c r="AL283" s="334"/>
      <c r="AM283" s="334"/>
    </row>
    <row r="284" ht="11.25" customHeight="1">
      <c r="A284" s="334"/>
      <c r="B284" s="334"/>
      <c r="C284" s="334"/>
      <c r="D284" s="335"/>
      <c r="E284" s="331"/>
      <c r="F284" s="331"/>
      <c r="G284" s="331"/>
      <c r="H284" s="331"/>
      <c r="I284" s="331"/>
      <c r="J284" s="335"/>
      <c r="K284" s="335"/>
      <c r="L284" s="335"/>
      <c r="M284" s="335"/>
      <c r="N284" s="335"/>
      <c r="O284" s="335"/>
      <c r="P284" s="335"/>
      <c r="Q284" s="335"/>
      <c r="R284" s="335"/>
      <c r="S284" s="336"/>
      <c r="T284" s="334"/>
      <c r="U284" s="334"/>
      <c r="V284" s="334"/>
      <c r="W284" s="334"/>
      <c r="X284" s="334"/>
      <c r="Y284" s="334"/>
      <c r="Z284" s="334"/>
      <c r="AA284" s="334"/>
      <c r="AB284" s="334"/>
      <c r="AC284" s="334"/>
      <c r="AD284" s="334"/>
      <c r="AE284" s="334"/>
      <c r="AF284" s="334"/>
      <c r="AG284" s="334"/>
      <c r="AH284" s="334"/>
      <c r="AI284" s="334"/>
      <c r="AJ284" s="334"/>
      <c r="AK284" s="334"/>
      <c r="AL284" s="334"/>
      <c r="AM284" s="334"/>
    </row>
    <row r="285" ht="11.25" customHeight="1">
      <c r="A285" s="334"/>
      <c r="B285" s="334"/>
      <c r="C285" s="334"/>
      <c r="D285" s="335"/>
      <c r="E285" s="331"/>
      <c r="F285" s="331"/>
      <c r="G285" s="331"/>
      <c r="H285" s="331"/>
      <c r="I285" s="331"/>
      <c r="J285" s="335"/>
      <c r="K285" s="335"/>
      <c r="L285" s="335"/>
      <c r="M285" s="335"/>
      <c r="N285" s="335"/>
      <c r="O285" s="335"/>
      <c r="P285" s="335"/>
      <c r="Q285" s="335"/>
      <c r="R285" s="335"/>
      <c r="S285" s="336"/>
      <c r="T285" s="334"/>
      <c r="U285" s="334"/>
      <c r="V285" s="334"/>
      <c r="W285" s="334"/>
      <c r="X285" s="334"/>
      <c r="Y285" s="334"/>
      <c r="Z285" s="334"/>
      <c r="AA285" s="334"/>
      <c r="AB285" s="334"/>
      <c r="AC285" s="334"/>
      <c r="AD285" s="334"/>
      <c r="AE285" s="334"/>
      <c r="AF285" s="334"/>
      <c r="AG285" s="334"/>
      <c r="AH285" s="334"/>
      <c r="AI285" s="334"/>
      <c r="AJ285" s="334"/>
      <c r="AK285" s="334"/>
      <c r="AL285" s="334"/>
      <c r="AM285" s="334"/>
    </row>
    <row r="286" ht="11.25" customHeight="1">
      <c r="A286" s="334"/>
      <c r="B286" s="334"/>
      <c r="C286" s="334"/>
      <c r="D286" s="335"/>
      <c r="E286" s="331"/>
      <c r="F286" s="331"/>
      <c r="G286" s="331"/>
      <c r="H286" s="331"/>
      <c r="I286" s="331"/>
      <c r="J286" s="335"/>
      <c r="K286" s="335"/>
      <c r="L286" s="335"/>
      <c r="M286" s="335"/>
      <c r="N286" s="335"/>
      <c r="O286" s="335"/>
      <c r="P286" s="335"/>
      <c r="Q286" s="335"/>
      <c r="R286" s="335"/>
      <c r="S286" s="336"/>
      <c r="T286" s="334"/>
      <c r="U286" s="334"/>
      <c r="V286" s="334"/>
      <c r="W286" s="334"/>
      <c r="X286" s="334"/>
      <c r="Y286" s="334"/>
      <c r="Z286" s="334"/>
      <c r="AA286" s="334"/>
      <c r="AB286" s="334"/>
      <c r="AC286" s="334"/>
      <c r="AD286" s="334"/>
      <c r="AE286" s="334"/>
      <c r="AF286" s="334"/>
      <c r="AG286" s="334"/>
      <c r="AH286" s="334"/>
      <c r="AI286" s="334"/>
      <c r="AJ286" s="334"/>
      <c r="AK286" s="334"/>
      <c r="AL286" s="334"/>
      <c r="AM286" s="334"/>
    </row>
    <row r="287" ht="11.25" customHeight="1">
      <c r="A287" s="334"/>
      <c r="B287" s="334"/>
      <c r="C287" s="334"/>
      <c r="D287" s="335"/>
      <c r="E287" s="331"/>
      <c r="F287" s="331"/>
      <c r="G287" s="331"/>
      <c r="H287" s="331"/>
      <c r="I287" s="331"/>
      <c r="J287" s="335"/>
      <c r="K287" s="335"/>
      <c r="L287" s="335"/>
      <c r="M287" s="335"/>
      <c r="N287" s="335"/>
      <c r="O287" s="335"/>
      <c r="P287" s="335"/>
      <c r="Q287" s="335"/>
      <c r="R287" s="335"/>
      <c r="S287" s="336"/>
      <c r="T287" s="334"/>
      <c r="U287" s="334"/>
      <c r="V287" s="334"/>
      <c r="W287" s="334"/>
      <c r="X287" s="334"/>
      <c r="Y287" s="334"/>
      <c r="Z287" s="334"/>
      <c r="AA287" s="334"/>
      <c r="AB287" s="334"/>
      <c r="AC287" s="334"/>
      <c r="AD287" s="334"/>
      <c r="AE287" s="334"/>
      <c r="AF287" s="334"/>
      <c r="AG287" s="334"/>
      <c r="AH287" s="334"/>
      <c r="AI287" s="334"/>
      <c r="AJ287" s="334"/>
      <c r="AK287" s="334"/>
      <c r="AL287" s="334"/>
      <c r="AM287" s="334"/>
    </row>
    <row r="288" ht="11.25" customHeight="1">
      <c r="A288" s="334"/>
      <c r="B288" s="334"/>
      <c r="C288" s="334"/>
      <c r="D288" s="335"/>
      <c r="E288" s="331"/>
      <c r="F288" s="331"/>
      <c r="G288" s="331"/>
      <c r="H288" s="331"/>
      <c r="I288" s="331"/>
      <c r="J288" s="335"/>
      <c r="K288" s="335"/>
      <c r="L288" s="335"/>
      <c r="M288" s="335"/>
      <c r="N288" s="335"/>
      <c r="O288" s="335"/>
      <c r="P288" s="335"/>
      <c r="Q288" s="335"/>
      <c r="R288" s="335"/>
      <c r="S288" s="336"/>
      <c r="T288" s="334"/>
      <c r="U288" s="334"/>
      <c r="V288" s="334"/>
      <c r="W288" s="334"/>
      <c r="X288" s="334"/>
      <c r="Y288" s="334"/>
      <c r="Z288" s="334"/>
      <c r="AA288" s="334"/>
      <c r="AB288" s="334"/>
      <c r="AC288" s="334"/>
      <c r="AD288" s="334"/>
      <c r="AE288" s="334"/>
      <c r="AF288" s="334"/>
      <c r="AG288" s="334"/>
      <c r="AH288" s="334"/>
      <c r="AI288" s="334"/>
      <c r="AJ288" s="334"/>
      <c r="AK288" s="334"/>
      <c r="AL288" s="334"/>
      <c r="AM288" s="334"/>
    </row>
    <row r="289" ht="11.25" customHeight="1">
      <c r="A289" s="334"/>
      <c r="B289" s="334"/>
      <c r="C289" s="334"/>
      <c r="D289" s="335"/>
      <c r="E289" s="331"/>
      <c r="F289" s="331"/>
      <c r="G289" s="331"/>
      <c r="H289" s="331"/>
      <c r="I289" s="331"/>
      <c r="J289" s="335"/>
      <c r="K289" s="335"/>
      <c r="L289" s="335"/>
      <c r="M289" s="335"/>
      <c r="N289" s="335"/>
      <c r="O289" s="335"/>
      <c r="P289" s="335"/>
      <c r="Q289" s="335"/>
      <c r="R289" s="335"/>
      <c r="S289" s="336"/>
      <c r="T289" s="334"/>
      <c r="U289" s="334"/>
      <c r="V289" s="334"/>
      <c r="W289" s="334"/>
      <c r="X289" s="334"/>
      <c r="Y289" s="334"/>
      <c r="Z289" s="334"/>
      <c r="AA289" s="334"/>
      <c r="AB289" s="334"/>
      <c r="AC289" s="334"/>
      <c r="AD289" s="334"/>
      <c r="AE289" s="334"/>
      <c r="AF289" s="334"/>
      <c r="AG289" s="334"/>
      <c r="AH289" s="334"/>
      <c r="AI289" s="334"/>
      <c r="AJ289" s="334"/>
      <c r="AK289" s="334"/>
      <c r="AL289" s="334"/>
      <c r="AM289" s="334"/>
    </row>
    <row r="290" ht="11.25" customHeight="1">
      <c r="A290" s="334"/>
      <c r="B290" s="334"/>
      <c r="C290" s="334"/>
      <c r="D290" s="335"/>
      <c r="E290" s="331"/>
      <c r="F290" s="331"/>
      <c r="G290" s="331"/>
      <c r="H290" s="331"/>
      <c r="I290" s="331"/>
      <c r="J290" s="335"/>
      <c r="K290" s="335"/>
      <c r="L290" s="335"/>
      <c r="M290" s="335"/>
      <c r="N290" s="335"/>
      <c r="O290" s="335"/>
      <c r="P290" s="335"/>
      <c r="Q290" s="335"/>
      <c r="R290" s="335"/>
      <c r="S290" s="336"/>
      <c r="T290" s="334"/>
      <c r="U290" s="334"/>
      <c r="V290" s="334"/>
      <c r="W290" s="334"/>
      <c r="X290" s="334"/>
      <c r="Y290" s="334"/>
      <c r="Z290" s="334"/>
      <c r="AA290" s="334"/>
      <c r="AB290" s="334"/>
      <c r="AC290" s="334"/>
      <c r="AD290" s="334"/>
      <c r="AE290" s="334"/>
      <c r="AF290" s="334"/>
      <c r="AG290" s="334"/>
      <c r="AH290" s="334"/>
      <c r="AI290" s="334"/>
      <c r="AJ290" s="334"/>
      <c r="AK290" s="334"/>
      <c r="AL290" s="334"/>
      <c r="AM290" s="334"/>
    </row>
    <row r="291" ht="11.25" customHeight="1">
      <c r="A291" s="334"/>
      <c r="B291" s="334"/>
      <c r="C291" s="334"/>
      <c r="D291" s="335"/>
      <c r="E291" s="331"/>
      <c r="F291" s="331"/>
      <c r="G291" s="331"/>
      <c r="H291" s="331"/>
      <c r="I291" s="331"/>
      <c r="J291" s="335"/>
      <c r="K291" s="335"/>
      <c r="L291" s="335"/>
      <c r="M291" s="335"/>
      <c r="N291" s="335"/>
      <c r="O291" s="335"/>
      <c r="P291" s="335"/>
      <c r="Q291" s="335"/>
      <c r="R291" s="335"/>
      <c r="S291" s="336"/>
      <c r="T291" s="334"/>
      <c r="U291" s="334"/>
      <c r="V291" s="334"/>
      <c r="W291" s="334"/>
      <c r="X291" s="334"/>
      <c r="Y291" s="334"/>
      <c r="Z291" s="334"/>
      <c r="AA291" s="334"/>
      <c r="AB291" s="334"/>
      <c r="AC291" s="334"/>
      <c r="AD291" s="334"/>
      <c r="AE291" s="334"/>
      <c r="AF291" s="334"/>
      <c r="AG291" s="334"/>
      <c r="AH291" s="334"/>
      <c r="AI291" s="334"/>
      <c r="AJ291" s="334"/>
      <c r="AK291" s="334"/>
      <c r="AL291" s="334"/>
      <c r="AM291" s="334"/>
    </row>
    <row r="292" ht="11.25" customHeight="1">
      <c r="A292" s="334"/>
      <c r="B292" s="334"/>
      <c r="C292" s="334"/>
      <c r="D292" s="335"/>
      <c r="E292" s="331"/>
      <c r="F292" s="331"/>
      <c r="G292" s="331"/>
      <c r="H292" s="331"/>
      <c r="I292" s="331"/>
      <c r="J292" s="335"/>
      <c r="K292" s="335"/>
      <c r="L292" s="335"/>
      <c r="M292" s="335"/>
      <c r="N292" s="335"/>
      <c r="O292" s="335"/>
      <c r="P292" s="335"/>
      <c r="Q292" s="335"/>
      <c r="R292" s="335"/>
      <c r="S292" s="336"/>
      <c r="T292" s="334"/>
      <c r="U292" s="334"/>
      <c r="V292" s="334"/>
      <c r="W292" s="334"/>
      <c r="X292" s="334"/>
      <c r="Y292" s="334"/>
      <c r="Z292" s="334"/>
      <c r="AA292" s="334"/>
      <c r="AB292" s="334"/>
      <c r="AC292" s="334"/>
      <c r="AD292" s="334"/>
      <c r="AE292" s="334"/>
      <c r="AF292" s="334"/>
      <c r="AG292" s="334"/>
      <c r="AH292" s="334"/>
      <c r="AI292" s="334"/>
      <c r="AJ292" s="334"/>
      <c r="AK292" s="334"/>
      <c r="AL292" s="334"/>
      <c r="AM292" s="334"/>
    </row>
    <row r="293" ht="11.25" customHeight="1">
      <c r="A293" s="334"/>
      <c r="B293" s="334"/>
      <c r="C293" s="334"/>
      <c r="D293" s="335"/>
      <c r="E293" s="331"/>
      <c r="F293" s="331"/>
      <c r="G293" s="331"/>
      <c r="H293" s="331"/>
      <c r="I293" s="331"/>
      <c r="J293" s="335"/>
      <c r="K293" s="335"/>
      <c r="L293" s="335"/>
      <c r="M293" s="335"/>
      <c r="N293" s="335"/>
      <c r="O293" s="335"/>
      <c r="P293" s="335"/>
      <c r="Q293" s="335"/>
      <c r="R293" s="335"/>
      <c r="S293" s="336"/>
      <c r="T293" s="334"/>
      <c r="U293" s="334"/>
      <c r="V293" s="334"/>
      <c r="W293" s="334"/>
      <c r="X293" s="334"/>
      <c r="Y293" s="334"/>
      <c r="Z293" s="334"/>
      <c r="AA293" s="334"/>
      <c r="AB293" s="334"/>
      <c r="AC293" s="334"/>
      <c r="AD293" s="334"/>
      <c r="AE293" s="334"/>
      <c r="AF293" s="334"/>
      <c r="AG293" s="334"/>
      <c r="AH293" s="334"/>
      <c r="AI293" s="334"/>
      <c r="AJ293" s="334"/>
      <c r="AK293" s="334"/>
      <c r="AL293" s="334"/>
      <c r="AM293" s="334"/>
    </row>
    <row r="294" ht="11.25" customHeight="1">
      <c r="A294" s="334"/>
      <c r="B294" s="334"/>
      <c r="C294" s="334"/>
      <c r="D294" s="335"/>
      <c r="E294" s="331"/>
      <c r="F294" s="331"/>
      <c r="G294" s="331"/>
      <c r="H294" s="331"/>
      <c r="I294" s="331"/>
      <c r="J294" s="335"/>
      <c r="K294" s="335"/>
      <c r="L294" s="335"/>
      <c r="M294" s="335"/>
      <c r="N294" s="335"/>
      <c r="O294" s="335"/>
      <c r="P294" s="335"/>
      <c r="Q294" s="335"/>
      <c r="R294" s="335"/>
      <c r="S294" s="336"/>
      <c r="T294" s="334"/>
      <c r="U294" s="334"/>
      <c r="V294" s="334"/>
      <c r="W294" s="334"/>
      <c r="X294" s="334"/>
      <c r="Y294" s="334"/>
      <c r="Z294" s="334"/>
      <c r="AA294" s="334"/>
      <c r="AB294" s="334"/>
      <c r="AC294" s="334"/>
      <c r="AD294" s="334"/>
      <c r="AE294" s="334"/>
      <c r="AF294" s="334"/>
      <c r="AG294" s="334"/>
      <c r="AH294" s="334"/>
      <c r="AI294" s="334"/>
      <c r="AJ294" s="334"/>
      <c r="AK294" s="334"/>
      <c r="AL294" s="334"/>
      <c r="AM294" s="334"/>
    </row>
    <row r="295" ht="11.25" customHeight="1">
      <c r="A295" s="334"/>
      <c r="B295" s="334"/>
      <c r="C295" s="334"/>
      <c r="D295" s="335"/>
      <c r="E295" s="331"/>
      <c r="F295" s="331"/>
      <c r="G295" s="331"/>
      <c r="H295" s="331"/>
      <c r="I295" s="331"/>
      <c r="J295" s="335"/>
      <c r="K295" s="335"/>
      <c r="L295" s="335"/>
      <c r="M295" s="335"/>
      <c r="N295" s="335"/>
      <c r="O295" s="335"/>
      <c r="P295" s="335"/>
      <c r="Q295" s="335"/>
      <c r="R295" s="335"/>
      <c r="S295" s="336"/>
      <c r="T295" s="334"/>
      <c r="U295" s="334"/>
      <c r="V295" s="334"/>
      <c r="W295" s="334"/>
      <c r="X295" s="334"/>
      <c r="Y295" s="334"/>
      <c r="Z295" s="334"/>
      <c r="AA295" s="334"/>
      <c r="AB295" s="334"/>
      <c r="AC295" s="334"/>
      <c r="AD295" s="334"/>
      <c r="AE295" s="334"/>
      <c r="AF295" s="334"/>
      <c r="AG295" s="334"/>
      <c r="AH295" s="334"/>
      <c r="AI295" s="334"/>
      <c r="AJ295" s="334"/>
      <c r="AK295" s="334"/>
      <c r="AL295" s="334"/>
      <c r="AM295" s="334"/>
    </row>
    <row r="296" ht="11.25" customHeight="1">
      <c r="A296" s="334"/>
      <c r="B296" s="334"/>
      <c r="C296" s="334"/>
      <c r="D296" s="335"/>
      <c r="E296" s="331"/>
      <c r="F296" s="331"/>
      <c r="G296" s="331"/>
      <c r="H296" s="331"/>
      <c r="I296" s="331"/>
      <c r="J296" s="335"/>
      <c r="K296" s="335"/>
      <c r="L296" s="335"/>
      <c r="M296" s="335"/>
      <c r="N296" s="335"/>
      <c r="O296" s="335"/>
      <c r="P296" s="335"/>
      <c r="Q296" s="335"/>
      <c r="R296" s="335"/>
      <c r="S296" s="336"/>
      <c r="T296" s="334"/>
      <c r="U296" s="334"/>
      <c r="V296" s="334"/>
      <c r="W296" s="334"/>
      <c r="X296" s="334"/>
      <c r="Y296" s="334"/>
      <c r="Z296" s="334"/>
      <c r="AA296" s="334"/>
      <c r="AB296" s="334"/>
      <c r="AC296" s="334"/>
      <c r="AD296" s="334"/>
      <c r="AE296" s="334"/>
      <c r="AF296" s="334"/>
      <c r="AG296" s="334"/>
      <c r="AH296" s="334"/>
      <c r="AI296" s="334"/>
      <c r="AJ296" s="334"/>
      <c r="AK296" s="334"/>
      <c r="AL296" s="334"/>
      <c r="AM296" s="334"/>
    </row>
    <row r="297" ht="11.25" customHeight="1">
      <c r="A297" s="334"/>
      <c r="B297" s="334"/>
      <c r="C297" s="334"/>
      <c r="D297" s="335"/>
      <c r="E297" s="331"/>
      <c r="F297" s="331"/>
      <c r="G297" s="331"/>
      <c r="H297" s="331"/>
      <c r="I297" s="331"/>
      <c r="J297" s="335"/>
      <c r="K297" s="335"/>
      <c r="L297" s="335"/>
      <c r="M297" s="335"/>
      <c r="N297" s="335"/>
      <c r="O297" s="335"/>
      <c r="P297" s="335"/>
      <c r="Q297" s="335"/>
      <c r="R297" s="335"/>
      <c r="S297" s="336"/>
      <c r="T297" s="334"/>
      <c r="U297" s="334"/>
      <c r="V297" s="334"/>
      <c r="W297" s="334"/>
      <c r="X297" s="334"/>
      <c r="Y297" s="334"/>
      <c r="Z297" s="334"/>
      <c r="AA297" s="334"/>
      <c r="AB297" s="334"/>
      <c r="AC297" s="334"/>
      <c r="AD297" s="334"/>
      <c r="AE297" s="334"/>
      <c r="AF297" s="334"/>
      <c r="AG297" s="334"/>
      <c r="AH297" s="334"/>
      <c r="AI297" s="334"/>
      <c r="AJ297" s="334"/>
      <c r="AK297" s="334"/>
      <c r="AL297" s="334"/>
      <c r="AM297" s="334"/>
    </row>
    <row r="298" ht="11.25" customHeight="1">
      <c r="A298" s="334"/>
      <c r="B298" s="334"/>
      <c r="C298" s="334"/>
      <c r="D298" s="335"/>
      <c r="E298" s="331"/>
      <c r="F298" s="331"/>
      <c r="G298" s="331"/>
      <c r="H298" s="331"/>
      <c r="I298" s="331"/>
      <c r="J298" s="335"/>
      <c r="K298" s="335"/>
      <c r="L298" s="335"/>
      <c r="M298" s="335"/>
      <c r="N298" s="335"/>
      <c r="O298" s="335"/>
      <c r="P298" s="335"/>
      <c r="Q298" s="335"/>
      <c r="R298" s="335"/>
      <c r="S298" s="336"/>
      <c r="T298" s="334"/>
      <c r="U298" s="334"/>
      <c r="V298" s="334"/>
      <c r="W298" s="334"/>
      <c r="X298" s="334"/>
      <c r="Y298" s="334"/>
      <c r="Z298" s="334"/>
      <c r="AA298" s="334"/>
      <c r="AB298" s="334"/>
      <c r="AC298" s="334"/>
      <c r="AD298" s="334"/>
      <c r="AE298" s="334"/>
      <c r="AF298" s="334"/>
      <c r="AG298" s="334"/>
      <c r="AH298" s="334"/>
      <c r="AI298" s="334"/>
      <c r="AJ298" s="334"/>
      <c r="AK298" s="334"/>
      <c r="AL298" s="334"/>
      <c r="AM298" s="334"/>
    </row>
    <row r="299" ht="11.25" customHeight="1">
      <c r="A299" s="334"/>
      <c r="B299" s="334"/>
      <c r="C299" s="334"/>
      <c r="D299" s="335"/>
      <c r="E299" s="331"/>
      <c r="F299" s="331"/>
      <c r="G299" s="331"/>
      <c r="H299" s="331"/>
      <c r="I299" s="331"/>
      <c r="J299" s="335"/>
      <c r="K299" s="335"/>
      <c r="L299" s="335"/>
      <c r="M299" s="335"/>
      <c r="N299" s="335"/>
      <c r="O299" s="335"/>
      <c r="P299" s="335"/>
      <c r="Q299" s="335"/>
      <c r="R299" s="335"/>
      <c r="S299" s="336"/>
      <c r="T299" s="334"/>
      <c r="U299" s="334"/>
      <c r="V299" s="334"/>
      <c r="W299" s="334"/>
      <c r="X299" s="334"/>
      <c r="Y299" s="334"/>
      <c r="Z299" s="334"/>
      <c r="AA299" s="334"/>
      <c r="AB299" s="334"/>
      <c r="AC299" s="334"/>
      <c r="AD299" s="334"/>
      <c r="AE299" s="334"/>
      <c r="AF299" s="334"/>
      <c r="AG299" s="334"/>
      <c r="AH299" s="334"/>
      <c r="AI299" s="334"/>
      <c r="AJ299" s="334"/>
      <c r="AK299" s="334"/>
      <c r="AL299" s="334"/>
      <c r="AM299" s="334"/>
    </row>
    <row r="300" ht="11.25" customHeight="1">
      <c r="A300" s="334"/>
      <c r="B300" s="334"/>
      <c r="C300" s="334"/>
      <c r="D300" s="335"/>
      <c r="E300" s="331"/>
      <c r="F300" s="331"/>
      <c r="G300" s="331"/>
      <c r="H300" s="331"/>
      <c r="I300" s="331"/>
      <c r="J300" s="335"/>
      <c r="K300" s="335"/>
      <c r="L300" s="335"/>
      <c r="M300" s="335"/>
      <c r="N300" s="335"/>
      <c r="O300" s="335"/>
      <c r="P300" s="335"/>
      <c r="Q300" s="335"/>
      <c r="R300" s="335"/>
      <c r="S300" s="336"/>
      <c r="T300" s="334"/>
      <c r="U300" s="334"/>
      <c r="V300" s="334"/>
      <c r="W300" s="334"/>
      <c r="X300" s="334"/>
      <c r="Y300" s="334"/>
      <c r="Z300" s="334"/>
      <c r="AA300" s="334"/>
      <c r="AB300" s="334"/>
      <c r="AC300" s="334"/>
      <c r="AD300" s="334"/>
      <c r="AE300" s="334"/>
      <c r="AF300" s="334"/>
      <c r="AG300" s="334"/>
      <c r="AH300" s="334"/>
      <c r="AI300" s="334"/>
      <c r="AJ300" s="334"/>
      <c r="AK300" s="334"/>
      <c r="AL300" s="334"/>
      <c r="AM300" s="334"/>
    </row>
    <row r="301" ht="11.25" customHeight="1">
      <c r="A301" s="334"/>
      <c r="B301" s="334"/>
      <c r="C301" s="334"/>
      <c r="D301" s="335"/>
      <c r="E301" s="331"/>
      <c r="F301" s="331"/>
      <c r="G301" s="331"/>
      <c r="H301" s="331"/>
      <c r="I301" s="331"/>
      <c r="J301" s="335"/>
      <c r="K301" s="335"/>
      <c r="L301" s="335"/>
      <c r="M301" s="335"/>
      <c r="N301" s="335"/>
      <c r="O301" s="335"/>
      <c r="P301" s="335"/>
      <c r="Q301" s="335"/>
      <c r="R301" s="335"/>
      <c r="S301" s="336"/>
      <c r="T301" s="334"/>
      <c r="U301" s="334"/>
      <c r="V301" s="334"/>
      <c r="W301" s="334"/>
      <c r="X301" s="334"/>
      <c r="Y301" s="334"/>
      <c r="Z301" s="334"/>
      <c r="AA301" s="334"/>
      <c r="AB301" s="334"/>
      <c r="AC301" s="334"/>
      <c r="AD301" s="334"/>
      <c r="AE301" s="334"/>
      <c r="AF301" s="334"/>
      <c r="AG301" s="334"/>
      <c r="AH301" s="334"/>
      <c r="AI301" s="334"/>
      <c r="AJ301" s="334"/>
      <c r="AK301" s="334"/>
      <c r="AL301" s="334"/>
      <c r="AM301" s="334"/>
    </row>
    <row r="302" ht="11.25" customHeight="1">
      <c r="A302" s="334"/>
      <c r="B302" s="334"/>
      <c r="C302" s="334"/>
      <c r="D302" s="335"/>
      <c r="E302" s="331"/>
      <c r="F302" s="331"/>
      <c r="G302" s="331"/>
      <c r="H302" s="331"/>
      <c r="I302" s="331"/>
      <c r="J302" s="335"/>
      <c r="K302" s="335"/>
      <c r="L302" s="335"/>
      <c r="M302" s="335"/>
      <c r="N302" s="335"/>
      <c r="O302" s="335"/>
      <c r="P302" s="335"/>
      <c r="Q302" s="335"/>
      <c r="R302" s="335"/>
      <c r="S302" s="336"/>
      <c r="T302" s="334"/>
      <c r="U302" s="334"/>
      <c r="V302" s="334"/>
      <c r="W302" s="334"/>
      <c r="X302" s="334"/>
      <c r="Y302" s="334"/>
      <c r="Z302" s="334"/>
      <c r="AA302" s="334"/>
      <c r="AB302" s="334"/>
      <c r="AC302" s="334"/>
      <c r="AD302" s="334"/>
      <c r="AE302" s="334"/>
      <c r="AF302" s="334"/>
      <c r="AG302" s="334"/>
      <c r="AH302" s="334"/>
      <c r="AI302" s="334"/>
      <c r="AJ302" s="334"/>
      <c r="AK302" s="334"/>
      <c r="AL302" s="334"/>
      <c r="AM302" s="334"/>
    </row>
    <row r="303" ht="11.25" customHeight="1">
      <c r="A303" s="334"/>
      <c r="B303" s="334"/>
      <c r="C303" s="334"/>
      <c r="D303" s="335"/>
      <c r="E303" s="331"/>
      <c r="F303" s="331"/>
      <c r="G303" s="331"/>
      <c r="H303" s="331"/>
      <c r="I303" s="331"/>
      <c r="J303" s="335"/>
      <c r="K303" s="335"/>
      <c r="L303" s="335"/>
      <c r="M303" s="335"/>
      <c r="N303" s="335"/>
      <c r="O303" s="335"/>
      <c r="P303" s="335"/>
      <c r="Q303" s="335"/>
      <c r="R303" s="335"/>
      <c r="S303" s="336"/>
      <c r="T303" s="334"/>
      <c r="U303" s="334"/>
      <c r="V303" s="334"/>
      <c r="W303" s="334"/>
      <c r="X303" s="334"/>
      <c r="Y303" s="334"/>
      <c r="Z303" s="334"/>
      <c r="AA303" s="334"/>
      <c r="AB303" s="334"/>
      <c r="AC303" s="334"/>
      <c r="AD303" s="334"/>
      <c r="AE303" s="334"/>
      <c r="AF303" s="334"/>
      <c r="AG303" s="334"/>
      <c r="AH303" s="334"/>
      <c r="AI303" s="334"/>
      <c r="AJ303" s="334"/>
      <c r="AK303" s="334"/>
      <c r="AL303" s="334"/>
      <c r="AM303" s="334"/>
    </row>
    <row r="304" ht="11.25" customHeight="1">
      <c r="A304" s="334"/>
      <c r="B304" s="334"/>
      <c r="C304" s="334"/>
      <c r="D304" s="335"/>
      <c r="E304" s="331"/>
      <c r="F304" s="331"/>
      <c r="G304" s="331"/>
      <c r="H304" s="331"/>
      <c r="I304" s="331"/>
      <c r="J304" s="335"/>
      <c r="K304" s="335"/>
      <c r="L304" s="335"/>
      <c r="M304" s="335"/>
      <c r="N304" s="335"/>
      <c r="O304" s="335"/>
      <c r="P304" s="335"/>
      <c r="Q304" s="335"/>
      <c r="R304" s="335"/>
      <c r="S304" s="336"/>
      <c r="T304" s="334"/>
      <c r="U304" s="334"/>
      <c r="V304" s="334"/>
      <c r="W304" s="334"/>
      <c r="X304" s="334"/>
      <c r="Y304" s="334"/>
      <c r="Z304" s="334"/>
      <c r="AA304" s="334"/>
      <c r="AB304" s="334"/>
      <c r="AC304" s="334"/>
      <c r="AD304" s="334"/>
      <c r="AE304" s="334"/>
      <c r="AF304" s="334"/>
      <c r="AG304" s="334"/>
      <c r="AH304" s="334"/>
      <c r="AI304" s="334"/>
      <c r="AJ304" s="334"/>
      <c r="AK304" s="334"/>
      <c r="AL304" s="334"/>
      <c r="AM304" s="334"/>
    </row>
    <row r="305" ht="11.25" customHeight="1">
      <c r="A305" s="334"/>
      <c r="B305" s="334"/>
      <c r="C305" s="334"/>
      <c r="D305" s="335"/>
      <c r="E305" s="331"/>
      <c r="F305" s="331"/>
      <c r="G305" s="331"/>
      <c r="H305" s="331"/>
      <c r="I305" s="331"/>
      <c r="J305" s="335"/>
      <c r="K305" s="335"/>
      <c r="L305" s="335"/>
      <c r="M305" s="335"/>
      <c r="N305" s="335"/>
      <c r="O305" s="335"/>
      <c r="P305" s="335"/>
      <c r="Q305" s="335"/>
      <c r="R305" s="335"/>
      <c r="S305" s="336"/>
      <c r="T305" s="334"/>
      <c r="U305" s="334"/>
      <c r="V305" s="334"/>
      <c r="W305" s="334"/>
      <c r="X305" s="334"/>
      <c r="Y305" s="334"/>
      <c r="Z305" s="334"/>
      <c r="AA305" s="334"/>
      <c r="AB305" s="334"/>
      <c r="AC305" s="334"/>
      <c r="AD305" s="334"/>
      <c r="AE305" s="334"/>
      <c r="AF305" s="334"/>
      <c r="AG305" s="334"/>
      <c r="AH305" s="334"/>
      <c r="AI305" s="334"/>
      <c r="AJ305" s="334"/>
      <c r="AK305" s="334"/>
      <c r="AL305" s="334"/>
      <c r="AM305" s="334"/>
    </row>
    <row r="306" ht="11.25" customHeight="1">
      <c r="A306" s="334"/>
      <c r="B306" s="334"/>
      <c r="C306" s="334"/>
      <c r="D306" s="335"/>
      <c r="E306" s="331"/>
      <c r="F306" s="331"/>
      <c r="G306" s="331"/>
      <c r="H306" s="331"/>
      <c r="I306" s="331"/>
      <c r="J306" s="335"/>
      <c r="K306" s="335"/>
      <c r="L306" s="335"/>
      <c r="M306" s="335"/>
      <c r="N306" s="335"/>
      <c r="O306" s="335"/>
      <c r="P306" s="335"/>
      <c r="Q306" s="335"/>
      <c r="R306" s="335"/>
      <c r="S306" s="336"/>
      <c r="T306" s="334"/>
      <c r="U306" s="334"/>
      <c r="V306" s="334"/>
      <c r="W306" s="334"/>
      <c r="X306" s="334"/>
      <c r="Y306" s="334"/>
      <c r="Z306" s="334"/>
      <c r="AA306" s="334"/>
      <c r="AB306" s="334"/>
      <c r="AC306" s="334"/>
      <c r="AD306" s="334"/>
      <c r="AE306" s="334"/>
      <c r="AF306" s="334"/>
      <c r="AG306" s="334"/>
      <c r="AH306" s="334"/>
      <c r="AI306" s="334"/>
      <c r="AJ306" s="334"/>
      <c r="AK306" s="334"/>
      <c r="AL306" s="334"/>
      <c r="AM306" s="334"/>
    </row>
    <row r="307" ht="11.25" customHeight="1">
      <c r="A307" s="334"/>
      <c r="B307" s="334"/>
      <c r="C307" s="334"/>
      <c r="D307" s="335"/>
      <c r="E307" s="331"/>
      <c r="F307" s="331"/>
      <c r="G307" s="331"/>
      <c r="H307" s="331"/>
      <c r="I307" s="331"/>
      <c r="J307" s="335"/>
      <c r="K307" s="335"/>
      <c r="L307" s="335"/>
      <c r="M307" s="335"/>
      <c r="N307" s="335"/>
      <c r="O307" s="335"/>
      <c r="P307" s="335"/>
      <c r="Q307" s="335"/>
      <c r="R307" s="335"/>
      <c r="S307" s="336"/>
      <c r="T307" s="334"/>
      <c r="U307" s="334"/>
      <c r="V307" s="334"/>
      <c r="W307" s="334"/>
      <c r="X307" s="334"/>
      <c r="Y307" s="334"/>
      <c r="Z307" s="334"/>
      <c r="AA307" s="334"/>
      <c r="AB307" s="334"/>
      <c r="AC307" s="334"/>
      <c r="AD307" s="334"/>
      <c r="AE307" s="334"/>
      <c r="AF307" s="334"/>
      <c r="AG307" s="334"/>
      <c r="AH307" s="334"/>
      <c r="AI307" s="334"/>
      <c r="AJ307" s="334"/>
      <c r="AK307" s="334"/>
      <c r="AL307" s="334"/>
      <c r="AM307" s="334"/>
    </row>
    <row r="308" ht="11.25" customHeight="1">
      <c r="A308" s="334"/>
      <c r="B308" s="334"/>
      <c r="C308" s="334"/>
      <c r="D308" s="335"/>
      <c r="E308" s="331"/>
      <c r="F308" s="331"/>
      <c r="G308" s="331"/>
      <c r="H308" s="331"/>
      <c r="I308" s="331"/>
      <c r="J308" s="335"/>
      <c r="K308" s="335"/>
      <c r="L308" s="335"/>
      <c r="M308" s="335"/>
      <c r="N308" s="335"/>
      <c r="O308" s="335"/>
      <c r="P308" s="335"/>
      <c r="Q308" s="335"/>
      <c r="R308" s="335"/>
      <c r="S308" s="336"/>
      <c r="T308" s="334"/>
      <c r="U308" s="334"/>
      <c r="V308" s="334"/>
      <c r="W308" s="334"/>
      <c r="X308" s="334"/>
      <c r="Y308" s="334"/>
      <c r="Z308" s="334"/>
      <c r="AA308" s="334"/>
      <c r="AB308" s="334"/>
      <c r="AC308" s="334"/>
      <c r="AD308" s="334"/>
      <c r="AE308" s="334"/>
      <c r="AF308" s="334"/>
      <c r="AG308" s="334"/>
      <c r="AH308" s="334"/>
      <c r="AI308" s="334"/>
      <c r="AJ308" s="334"/>
      <c r="AK308" s="334"/>
      <c r="AL308" s="334"/>
      <c r="AM308" s="334"/>
    </row>
    <row r="309" ht="11.25" customHeight="1">
      <c r="A309" s="334"/>
      <c r="B309" s="334"/>
      <c r="C309" s="334"/>
      <c r="D309" s="335"/>
      <c r="E309" s="331"/>
      <c r="F309" s="331"/>
      <c r="G309" s="331"/>
      <c r="H309" s="331"/>
      <c r="I309" s="331"/>
      <c r="J309" s="335"/>
      <c r="K309" s="335"/>
      <c r="L309" s="335"/>
      <c r="M309" s="335"/>
      <c r="N309" s="335"/>
      <c r="O309" s="335"/>
      <c r="P309" s="335"/>
      <c r="Q309" s="335"/>
      <c r="R309" s="335"/>
      <c r="S309" s="336"/>
      <c r="T309" s="334"/>
      <c r="U309" s="334"/>
      <c r="V309" s="334"/>
      <c r="W309" s="334"/>
      <c r="X309" s="334"/>
      <c r="Y309" s="334"/>
      <c r="Z309" s="334"/>
      <c r="AA309" s="334"/>
      <c r="AB309" s="334"/>
      <c r="AC309" s="334"/>
      <c r="AD309" s="334"/>
      <c r="AE309" s="334"/>
      <c r="AF309" s="334"/>
      <c r="AG309" s="334"/>
      <c r="AH309" s="334"/>
      <c r="AI309" s="334"/>
      <c r="AJ309" s="334"/>
      <c r="AK309" s="334"/>
      <c r="AL309" s="334"/>
      <c r="AM309" s="334"/>
    </row>
    <row r="310" ht="11.25" customHeight="1">
      <c r="A310" s="334"/>
      <c r="B310" s="334"/>
      <c r="C310" s="334"/>
      <c r="D310" s="335"/>
      <c r="E310" s="331"/>
      <c r="F310" s="331"/>
      <c r="G310" s="331"/>
      <c r="H310" s="331"/>
      <c r="I310" s="331"/>
      <c r="J310" s="335"/>
      <c r="K310" s="335"/>
      <c r="L310" s="335"/>
      <c r="M310" s="335"/>
      <c r="N310" s="335"/>
      <c r="O310" s="335"/>
      <c r="P310" s="335"/>
      <c r="Q310" s="335"/>
      <c r="R310" s="335"/>
      <c r="S310" s="336"/>
      <c r="T310" s="334"/>
      <c r="U310" s="334"/>
      <c r="V310" s="334"/>
      <c r="W310" s="334"/>
      <c r="X310" s="334"/>
      <c r="Y310" s="334"/>
      <c r="Z310" s="334"/>
      <c r="AA310" s="334"/>
      <c r="AB310" s="334"/>
      <c r="AC310" s="334"/>
      <c r="AD310" s="334"/>
      <c r="AE310" s="334"/>
      <c r="AF310" s="334"/>
      <c r="AG310" s="334"/>
      <c r="AH310" s="334"/>
      <c r="AI310" s="334"/>
      <c r="AJ310" s="334"/>
      <c r="AK310" s="334"/>
      <c r="AL310" s="334"/>
      <c r="AM310" s="334"/>
    </row>
    <row r="311" ht="11.25" customHeight="1">
      <c r="A311" s="334"/>
      <c r="B311" s="334"/>
      <c r="C311" s="334"/>
      <c r="D311" s="335"/>
      <c r="E311" s="331"/>
      <c r="F311" s="331"/>
      <c r="G311" s="331"/>
      <c r="H311" s="331"/>
      <c r="I311" s="331"/>
      <c r="J311" s="335"/>
      <c r="K311" s="335"/>
      <c r="L311" s="335"/>
      <c r="M311" s="335"/>
      <c r="N311" s="335"/>
      <c r="O311" s="335"/>
      <c r="P311" s="335"/>
      <c r="Q311" s="335"/>
      <c r="R311" s="335"/>
      <c r="S311" s="336"/>
      <c r="T311" s="334"/>
      <c r="U311" s="334"/>
      <c r="V311" s="334"/>
      <c r="W311" s="334"/>
      <c r="X311" s="334"/>
      <c r="Y311" s="334"/>
      <c r="Z311" s="334"/>
      <c r="AA311" s="334"/>
      <c r="AB311" s="334"/>
      <c r="AC311" s="334"/>
      <c r="AD311" s="334"/>
      <c r="AE311" s="334"/>
      <c r="AF311" s="334"/>
      <c r="AG311" s="334"/>
      <c r="AH311" s="334"/>
      <c r="AI311" s="334"/>
      <c r="AJ311" s="334"/>
      <c r="AK311" s="334"/>
      <c r="AL311" s="334"/>
      <c r="AM311" s="334"/>
    </row>
    <row r="312" ht="11.25" customHeight="1">
      <c r="A312" s="334"/>
      <c r="B312" s="334"/>
      <c r="C312" s="334"/>
      <c r="D312" s="335"/>
      <c r="E312" s="331"/>
      <c r="F312" s="331"/>
      <c r="G312" s="331"/>
      <c r="H312" s="331"/>
      <c r="I312" s="331"/>
      <c r="J312" s="335"/>
      <c r="K312" s="335"/>
      <c r="L312" s="335"/>
      <c r="M312" s="335"/>
      <c r="N312" s="335"/>
      <c r="O312" s="335"/>
      <c r="P312" s="335"/>
      <c r="Q312" s="335"/>
      <c r="R312" s="335"/>
      <c r="S312" s="336"/>
      <c r="T312" s="334"/>
      <c r="U312" s="334"/>
      <c r="V312" s="334"/>
      <c r="W312" s="334"/>
      <c r="X312" s="334"/>
      <c r="Y312" s="334"/>
      <c r="Z312" s="334"/>
      <c r="AA312" s="334"/>
      <c r="AB312" s="334"/>
      <c r="AC312" s="334"/>
      <c r="AD312" s="334"/>
      <c r="AE312" s="334"/>
      <c r="AF312" s="334"/>
      <c r="AG312" s="334"/>
      <c r="AH312" s="334"/>
      <c r="AI312" s="334"/>
      <c r="AJ312" s="334"/>
      <c r="AK312" s="334"/>
      <c r="AL312" s="334"/>
      <c r="AM312" s="334"/>
    </row>
    <row r="313" ht="11.25" customHeight="1">
      <c r="A313" s="334"/>
      <c r="B313" s="334"/>
      <c r="C313" s="334"/>
      <c r="D313" s="335"/>
      <c r="E313" s="331"/>
      <c r="F313" s="331"/>
      <c r="G313" s="331"/>
      <c r="H313" s="331"/>
      <c r="I313" s="331"/>
      <c r="J313" s="335"/>
      <c r="K313" s="335"/>
      <c r="L313" s="335"/>
      <c r="M313" s="335"/>
      <c r="N313" s="335"/>
      <c r="O313" s="335"/>
      <c r="P313" s="335"/>
      <c r="Q313" s="335"/>
      <c r="R313" s="335"/>
      <c r="S313" s="336"/>
      <c r="T313" s="334"/>
      <c r="U313" s="334"/>
      <c r="V313" s="334"/>
      <c r="W313" s="334"/>
      <c r="X313" s="334"/>
      <c r="Y313" s="334"/>
      <c r="Z313" s="334"/>
      <c r="AA313" s="334"/>
      <c r="AB313" s="334"/>
      <c r="AC313" s="334"/>
      <c r="AD313" s="334"/>
      <c r="AE313" s="334"/>
      <c r="AF313" s="334"/>
      <c r="AG313" s="334"/>
      <c r="AH313" s="334"/>
      <c r="AI313" s="334"/>
      <c r="AJ313" s="334"/>
      <c r="AK313" s="334"/>
      <c r="AL313" s="334"/>
      <c r="AM313" s="334"/>
    </row>
    <row r="314" ht="11.25" customHeight="1">
      <c r="A314" s="334"/>
      <c r="B314" s="334"/>
      <c r="C314" s="334"/>
      <c r="D314" s="335"/>
      <c r="E314" s="331"/>
      <c r="F314" s="331"/>
      <c r="G314" s="331"/>
      <c r="H314" s="331"/>
      <c r="I314" s="331"/>
      <c r="J314" s="335"/>
      <c r="K314" s="335"/>
      <c r="L314" s="335"/>
      <c r="M314" s="335"/>
      <c r="N314" s="335"/>
      <c r="O314" s="335"/>
      <c r="P314" s="335"/>
      <c r="Q314" s="335"/>
      <c r="R314" s="335"/>
      <c r="S314" s="336"/>
      <c r="T314" s="334"/>
      <c r="U314" s="334"/>
      <c r="V314" s="334"/>
      <c r="W314" s="334"/>
      <c r="X314" s="334"/>
      <c r="Y314" s="334"/>
      <c r="Z314" s="334"/>
      <c r="AA314" s="334"/>
      <c r="AB314" s="334"/>
      <c r="AC314" s="334"/>
      <c r="AD314" s="334"/>
      <c r="AE314" s="334"/>
      <c r="AF314" s="334"/>
      <c r="AG314" s="334"/>
      <c r="AH314" s="334"/>
      <c r="AI314" s="334"/>
      <c r="AJ314" s="334"/>
      <c r="AK314" s="334"/>
      <c r="AL314" s="334"/>
      <c r="AM314" s="334"/>
    </row>
    <row r="315" ht="11.25" customHeight="1">
      <c r="A315" s="334"/>
      <c r="B315" s="334"/>
      <c r="C315" s="334"/>
      <c r="D315" s="335"/>
      <c r="E315" s="331"/>
      <c r="F315" s="331"/>
      <c r="G315" s="331"/>
      <c r="H315" s="331"/>
      <c r="I315" s="331"/>
      <c r="J315" s="335"/>
      <c r="K315" s="335"/>
      <c r="L315" s="335"/>
      <c r="M315" s="335"/>
      <c r="N315" s="335"/>
      <c r="O315" s="335"/>
      <c r="P315" s="335"/>
      <c r="Q315" s="335"/>
      <c r="R315" s="335"/>
      <c r="S315" s="336"/>
      <c r="T315" s="334"/>
      <c r="U315" s="334"/>
      <c r="V315" s="334"/>
      <c r="W315" s="334"/>
      <c r="X315" s="334"/>
      <c r="Y315" s="334"/>
      <c r="Z315" s="334"/>
      <c r="AA315" s="334"/>
      <c r="AB315" s="334"/>
      <c r="AC315" s="334"/>
      <c r="AD315" s="334"/>
      <c r="AE315" s="334"/>
      <c r="AF315" s="334"/>
      <c r="AG315" s="334"/>
      <c r="AH315" s="334"/>
      <c r="AI315" s="334"/>
      <c r="AJ315" s="334"/>
      <c r="AK315" s="334"/>
      <c r="AL315" s="334"/>
      <c r="AM315" s="334"/>
    </row>
    <row r="316" ht="11.25" customHeight="1">
      <c r="A316" s="334"/>
      <c r="B316" s="334"/>
      <c r="C316" s="334"/>
      <c r="D316" s="335"/>
      <c r="E316" s="331"/>
      <c r="F316" s="331"/>
      <c r="G316" s="331"/>
      <c r="H316" s="331"/>
      <c r="I316" s="331"/>
      <c r="J316" s="335"/>
      <c r="K316" s="335"/>
      <c r="L316" s="335"/>
      <c r="M316" s="335"/>
      <c r="N316" s="335"/>
      <c r="O316" s="335"/>
      <c r="P316" s="335"/>
      <c r="Q316" s="335"/>
      <c r="R316" s="335"/>
      <c r="S316" s="336"/>
      <c r="T316" s="334"/>
      <c r="U316" s="334"/>
      <c r="V316" s="334"/>
      <c r="W316" s="334"/>
      <c r="X316" s="334"/>
      <c r="Y316" s="334"/>
      <c r="Z316" s="334"/>
      <c r="AA316" s="334"/>
      <c r="AB316" s="334"/>
      <c r="AC316" s="334"/>
      <c r="AD316" s="334"/>
      <c r="AE316" s="334"/>
      <c r="AF316" s="334"/>
      <c r="AG316" s="334"/>
      <c r="AH316" s="334"/>
      <c r="AI316" s="334"/>
      <c r="AJ316" s="334"/>
      <c r="AK316" s="334"/>
      <c r="AL316" s="334"/>
      <c r="AM316" s="334"/>
    </row>
    <row r="317" ht="11.25" customHeight="1">
      <c r="A317" s="334"/>
      <c r="B317" s="334"/>
      <c r="C317" s="334"/>
      <c r="D317" s="335"/>
      <c r="E317" s="331"/>
      <c r="F317" s="331"/>
      <c r="G317" s="331"/>
      <c r="H317" s="331"/>
      <c r="I317" s="331"/>
      <c r="J317" s="335"/>
      <c r="K317" s="335"/>
      <c r="L317" s="335"/>
      <c r="M317" s="335"/>
      <c r="N317" s="335"/>
      <c r="O317" s="335"/>
      <c r="P317" s="335"/>
      <c r="Q317" s="335"/>
      <c r="R317" s="335"/>
      <c r="S317" s="336"/>
      <c r="T317" s="334"/>
      <c r="U317" s="334"/>
      <c r="V317" s="334"/>
      <c r="W317" s="334"/>
      <c r="X317" s="334"/>
      <c r="Y317" s="334"/>
      <c r="Z317" s="334"/>
      <c r="AA317" s="334"/>
      <c r="AB317" s="334"/>
      <c r="AC317" s="334"/>
      <c r="AD317" s="334"/>
      <c r="AE317" s="334"/>
      <c r="AF317" s="334"/>
      <c r="AG317" s="334"/>
      <c r="AH317" s="334"/>
      <c r="AI317" s="334"/>
      <c r="AJ317" s="334"/>
      <c r="AK317" s="334"/>
      <c r="AL317" s="334"/>
      <c r="AM317" s="334"/>
    </row>
    <row r="318" ht="11.25" customHeight="1">
      <c r="A318" s="334"/>
      <c r="B318" s="334"/>
      <c r="C318" s="334"/>
      <c r="D318" s="335"/>
      <c r="E318" s="331"/>
      <c r="F318" s="331"/>
      <c r="G318" s="331"/>
      <c r="H318" s="331"/>
      <c r="I318" s="331"/>
      <c r="J318" s="335"/>
      <c r="K318" s="335"/>
      <c r="L318" s="335"/>
      <c r="M318" s="335"/>
      <c r="N318" s="335"/>
      <c r="O318" s="335"/>
      <c r="P318" s="335"/>
      <c r="Q318" s="335"/>
      <c r="R318" s="335"/>
      <c r="S318" s="336"/>
      <c r="T318" s="334"/>
      <c r="U318" s="334"/>
      <c r="V318" s="334"/>
      <c r="W318" s="334"/>
      <c r="X318" s="334"/>
      <c r="Y318" s="334"/>
      <c r="Z318" s="334"/>
      <c r="AA318" s="334"/>
      <c r="AB318" s="334"/>
      <c r="AC318" s="334"/>
      <c r="AD318" s="334"/>
      <c r="AE318" s="334"/>
      <c r="AF318" s="334"/>
      <c r="AG318" s="334"/>
      <c r="AH318" s="334"/>
      <c r="AI318" s="334"/>
      <c r="AJ318" s="334"/>
      <c r="AK318" s="334"/>
      <c r="AL318" s="334"/>
      <c r="AM318" s="334"/>
    </row>
    <row r="319" ht="11.25" customHeight="1">
      <c r="A319" s="334"/>
      <c r="B319" s="334"/>
      <c r="C319" s="334"/>
      <c r="D319" s="335"/>
      <c r="E319" s="331"/>
      <c r="F319" s="331"/>
      <c r="G319" s="331"/>
      <c r="H319" s="331"/>
      <c r="I319" s="331"/>
      <c r="J319" s="335"/>
      <c r="K319" s="335"/>
      <c r="L319" s="335"/>
      <c r="M319" s="335"/>
      <c r="N319" s="335"/>
      <c r="O319" s="335"/>
      <c r="P319" s="335"/>
      <c r="Q319" s="335"/>
      <c r="R319" s="335"/>
      <c r="S319" s="336"/>
      <c r="T319" s="334"/>
      <c r="U319" s="334"/>
      <c r="V319" s="334"/>
      <c r="W319" s="334"/>
      <c r="X319" s="334"/>
      <c r="Y319" s="334"/>
      <c r="Z319" s="334"/>
      <c r="AA319" s="334"/>
      <c r="AB319" s="334"/>
      <c r="AC319" s="334"/>
      <c r="AD319" s="334"/>
      <c r="AE319" s="334"/>
      <c r="AF319" s="334"/>
      <c r="AG319" s="334"/>
      <c r="AH319" s="334"/>
      <c r="AI319" s="334"/>
      <c r="AJ319" s="334"/>
      <c r="AK319" s="334"/>
      <c r="AL319" s="334"/>
      <c r="AM319" s="334"/>
    </row>
    <row r="320" ht="11.25" customHeight="1">
      <c r="A320" s="334"/>
      <c r="B320" s="334"/>
      <c r="C320" s="334"/>
      <c r="D320" s="335"/>
      <c r="E320" s="331"/>
      <c r="F320" s="331"/>
      <c r="G320" s="331"/>
      <c r="H320" s="331"/>
      <c r="I320" s="331"/>
      <c r="J320" s="335"/>
      <c r="K320" s="335"/>
      <c r="L320" s="335"/>
      <c r="M320" s="335"/>
      <c r="N320" s="335"/>
      <c r="O320" s="335"/>
      <c r="P320" s="335"/>
      <c r="Q320" s="335"/>
      <c r="R320" s="335"/>
      <c r="S320" s="336"/>
      <c r="T320" s="334"/>
      <c r="U320" s="334"/>
      <c r="V320" s="334"/>
      <c r="W320" s="334"/>
      <c r="X320" s="334"/>
      <c r="Y320" s="334"/>
      <c r="Z320" s="334"/>
      <c r="AA320" s="334"/>
      <c r="AB320" s="334"/>
      <c r="AC320" s="334"/>
      <c r="AD320" s="334"/>
      <c r="AE320" s="334"/>
      <c r="AF320" s="334"/>
      <c r="AG320" s="334"/>
      <c r="AH320" s="334"/>
      <c r="AI320" s="334"/>
      <c r="AJ320" s="334"/>
      <c r="AK320" s="334"/>
      <c r="AL320" s="334"/>
      <c r="AM320" s="334"/>
    </row>
    <row r="321" ht="11.25" customHeight="1">
      <c r="A321" s="334"/>
      <c r="B321" s="334"/>
      <c r="C321" s="334"/>
      <c r="D321" s="335"/>
      <c r="E321" s="331"/>
      <c r="F321" s="331"/>
      <c r="G321" s="331"/>
      <c r="H321" s="331"/>
      <c r="I321" s="331"/>
      <c r="J321" s="335"/>
      <c r="K321" s="335"/>
      <c r="L321" s="335"/>
      <c r="M321" s="335"/>
      <c r="N321" s="335"/>
      <c r="O321" s="335"/>
      <c r="P321" s="335"/>
      <c r="Q321" s="335"/>
      <c r="R321" s="335"/>
      <c r="S321" s="336"/>
      <c r="T321" s="334"/>
      <c r="U321" s="334"/>
      <c r="V321" s="334"/>
      <c r="W321" s="334"/>
      <c r="X321" s="334"/>
      <c r="Y321" s="334"/>
      <c r="Z321" s="334"/>
      <c r="AA321" s="334"/>
      <c r="AB321" s="334"/>
      <c r="AC321" s="334"/>
      <c r="AD321" s="334"/>
      <c r="AE321" s="334"/>
      <c r="AF321" s="334"/>
      <c r="AG321" s="334"/>
      <c r="AH321" s="334"/>
      <c r="AI321" s="334"/>
      <c r="AJ321" s="334"/>
      <c r="AK321" s="334"/>
      <c r="AL321" s="334"/>
      <c r="AM321" s="334"/>
    </row>
    <row r="322" ht="11.25" customHeight="1">
      <c r="A322" s="334"/>
      <c r="B322" s="334"/>
      <c r="C322" s="334"/>
      <c r="D322" s="335"/>
      <c r="E322" s="331"/>
      <c r="F322" s="331"/>
      <c r="G322" s="331"/>
      <c r="H322" s="331"/>
      <c r="I322" s="331"/>
      <c r="J322" s="335"/>
      <c r="K322" s="335"/>
      <c r="L322" s="335"/>
      <c r="M322" s="335"/>
      <c r="N322" s="335"/>
      <c r="O322" s="335"/>
      <c r="P322" s="335"/>
      <c r="Q322" s="335"/>
      <c r="R322" s="335"/>
      <c r="S322" s="336"/>
      <c r="T322" s="334"/>
      <c r="U322" s="334"/>
      <c r="V322" s="334"/>
      <c r="W322" s="334"/>
      <c r="X322" s="334"/>
      <c r="Y322" s="334"/>
      <c r="Z322" s="334"/>
      <c r="AA322" s="334"/>
      <c r="AB322" s="334"/>
      <c r="AC322" s="334"/>
      <c r="AD322" s="334"/>
      <c r="AE322" s="334"/>
      <c r="AF322" s="334"/>
      <c r="AG322" s="334"/>
      <c r="AH322" s="334"/>
      <c r="AI322" s="334"/>
      <c r="AJ322" s="334"/>
      <c r="AK322" s="334"/>
      <c r="AL322" s="334"/>
      <c r="AM322" s="334"/>
    </row>
    <row r="323" ht="11.25" customHeight="1">
      <c r="A323" s="334"/>
      <c r="B323" s="334"/>
      <c r="C323" s="334"/>
      <c r="D323" s="335"/>
      <c r="E323" s="331"/>
      <c r="F323" s="331"/>
      <c r="G323" s="331"/>
      <c r="H323" s="331"/>
      <c r="I323" s="331"/>
      <c r="J323" s="335"/>
      <c r="K323" s="335"/>
      <c r="L323" s="335"/>
      <c r="M323" s="335"/>
      <c r="N323" s="335"/>
      <c r="O323" s="335"/>
      <c r="P323" s="335"/>
      <c r="Q323" s="335"/>
      <c r="R323" s="335"/>
      <c r="S323" s="336"/>
      <c r="T323" s="334"/>
      <c r="U323" s="334"/>
      <c r="V323" s="334"/>
      <c r="W323" s="334"/>
      <c r="X323" s="334"/>
      <c r="Y323" s="334"/>
      <c r="Z323" s="334"/>
      <c r="AA323" s="334"/>
      <c r="AB323" s="334"/>
      <c r="AC323" s="334"/>
      <c r="AD323" s="334"/>
      <c r="AE323" s="334"/>
      <c r="AF323" s="334"/>
      <c r="AG323" s="334"/>
      <c r="AH323" s="334"/>
      <c r="AI323" s="334"/>
      <c r="AJ323" s="334"/>
      <c r="AK323" s="334"/>
      <c r="AL323" s="334"/>
      <c r="AM323" s="334"/>
    </row>
    <row r="324" ht="11.25" customHeight="1">
      <c r="A324" s="334"/>
      <c r="B324" s="334"/>
      <c r="C324" s="334"/>
      <c r="D324" s="335"/>
      <c r="E324" s="331"/>
      <c r="F324" s="331"/>
      <c r="G324" s="331"/>
      <c r="H324" s="331"/>
      <c r="I324" s="331"/>
      <c r="J324" s="335"/>
      <c r="K324" s="335"/>
      <c r="L324" s="335"/>
      <c r="M324" s="335"/>
      <c r="N324" s="335"/>
      <c r="O324" s="335"/>
      <c r="P324" s="335"/>
      <c r="Q324" s="335"/>
      <c r="R324" s="335"/>
      <c r="S324" s="336"/>
      <c r="T324" s="334"/>
      <c r="U324" s="334"/>
      <c r="V324" s="334"/>
      <c r="W324" s="334"/>
      <c r="X324" s="334"/>
      <c r="Y324" s="334"/>
      <c r="Z324" s="334"/>
      <c r="AA324" s="334"/>
      <c r="AB324" s="334"/>
      <c r="AC324" s="334"/>
      <c r="AD324" s="334"/>
      <c r="AE324" s="334"/>
      <c r="AF324" s="334"/>
      <c r="AG324" s="334"/>
      <c r="AH324" s="334"/>
      <c r="AI324" s="334"/>
      <c r="AJ324" s="334"/>
      <c r="AK324" s="334"/>
      <c r="AL324" s="334"/>
      <c r="AM324" s="334"/>
    </row>
    <row r="325" ht="11.25" customHeight="1">
      <c r="A325" s="334"/>
      <c r="B325" s="334"/>
      <c r="C325" s="334"/>
      <c r="D325" s="335"/>
      <c r="E325" s="331"/>
      <c r="F325" s="331"/>
      <c r="G325" s="331"/>
      <c r="H325" s="331"/>
      <c r="I325" s="331"/>
      <c r="J325" s="335"/>
      <c r="K325" s="335"/>
      <c r="L325" s="335"/>
      <c r="M325" s="335"/>
      <c r="N325" s="335"/>
      <c r="O325" s="335"/>
      <c r="P325" s="335"/>
      <c r="Q325" s="335"/>
      <c r="R325" s="335"/>
      <c r="S325" s="336"/>
      <c r="T325" s="334"/>
      <c r="U325" s="334"/>
      <c r="V325" s="334"/>
      <c r="W325" s="334"/>
      <c r="X325" s="334"/>
      <c r="Y325" s="334"/>
      <c r="Z325" s="334"/>
      <c r="AA325" s="334"/>
      <c r="AB325" s="334"/>
      <c r="AC325" s="334"/>
      <c r="AD325" s="334"/>
      <c r="AE325" s="334"/>
      <c r="AF325" s="334"/>
      <c r="AG325" s="334"/>
      <c r="AH325" s="334"/>
      <c r="AI325" s="334"/>
      <c r="AJ325" s="334"/>
      <c r="AK325" s="334"/>
      <c r="AL325" s="334"/>
      <c r="AM325" s="334"/>
    </row>
    <row r="326" ht="11.25" customHeight="1">
      <c r="A326" s="334"/>
      <c r="B326" s="334"/>
      <c r="C326" s="334"/>
      <c r="D326" s="335"/>
      <c r="E326" s="331"/>
      <c r="F326" s="331"/>
      <c r="G326" s="331"/>
      <c r="H326" s="331"/>
      <c r="I326" s="331"/>
      <c r="J326" s="335"/>
      <c r="K326" s="335"/>
      <c r="L326" s="335"/>
      <c r="M326" s="335"/>
      <c r="N326" s="335"/>
      <c r="O326" s="335"/>
      <c r="P326" s="335"/>
      <c r="Q326" s="335"/>
      <c r="R326" s="335"/>
      <c r="S326" s="336"/>
      <c r="T326" s="334"/>
      <c r="U326" s="334"/>
      <c r="V326" s="334"/>
      <c r="W326" s="334"/>
      <c r="X326" s="334"/>
      <c r="Y326" s="334"/>
      <c r="Z326" s="334"/>
      <c r="AA326" s="334"/>
      <c r="AB326" s="334"/>
      <c r="AC326" s="334"/>
      <c r="AD326" s="334"/>
      <c r="AE326" s="334"/>
      <c r="AF326" s="334"/>
      <c r="AG326" s="334"/>
      <c r="AH326" s="334"/>
      <c r="AI326" s="334"/>
      <c r="AJ326" s="334"/>
      <c r="AK326" s="334"/>
      <c r="AL326" s="334"/>
      <c r="AM326" s="334"/>
    </row>
    <row r="327" ht="11.25" customHeight="1">
      <c r="A327" s="334"/>
      <c r="B327" s="334"/>
      <c r="C327" s="334"/>
      <c r="D327" s="335"/>
      <c r="E327" s="331"/>
      <c r="F327" s="331"/>
      <c r="G327" s="331"/>
      <c r="H327" s="331"/>
      <c r="I327" s="331"/>
      <c r="J327" s="335"/>
      <c r="K327" s="335"/>
      <c r="L327" s="335"/>
      <c r="M327" s="335"/>
      <c r="N327" s="335"/>
      <c r="O327" s="335"/>
      <c r="P327" s="335"/>
      <c r="Q327" s="335"/>
      <c r="R327" s="335"/>
      <c r="S327" s="336"/>
      <c r="T327" s="334"/>
      <c r="U327" s="334"/>
      <c r="V327" s="334"/>
      <c r="W327" s="334"/>
      <c r="X327" s="334"/>
      <c r="Y327" s="334"/>
      <c r="Z327" s="334"/>
      <c r="AA327" s="334"/>
      <c r="AB327" s="334"/>
      <c r="AC327" s="334"/>
      <c r="AD327" s="334"/>
      <c r="AE327" s="334"/>
      <c r="AF327" s="334"/>
      <c r="AG327" s="334"/>
      <c r="AH327" s="334"/>
      <c r="AI327" s="334"/>
      <c r="AJ327" s="334"/>
      <c r="AK327" s="334"/>
      <c r="AL327" s="334"/>
      <c r="AM327" s="334"/>
    </row>
    <row r="328" ht="11.25" customHeight="1">
      <c r="A328" s="334"/>
      <c r="B328" s="334"/>
      <c r="C328" s="334"/>
      <c r="D328" s="335"/>
      <c r="E328" s="331"/>
      <c r="F328" s="331"/>
      <c r="G328" s="331"/>
      <c r="H328" s="331"/>
      <c r="I328" s="331"/>
      <c r="J328" s="335"/>
      <c r="K328" s="335"/>
      <c r="L328" s="335"/>
      <c r="M328" s="335"/>
      <c r="N328" s="335"/>
      <c r="O328" s="335"/>
      <c r="P328" s="335"/>
      <c r="Q328" s="335"/>
      <c r="R328" s="335"/>
      <c r="S328" s="336"/>
      <c r="T328" s="334"/>
      <c r="U328" s="334"/>
      <c r="V328" s="334"/>
      <c r="W328" s="334"/>
      <c r="X328" s="334"/>
      <c r="Y328" s="334"/>
      <c r="Z328" s="334"/>
      <c r="AA328" s="334"/>
      <c r="AB328" s="334"/>
      <c r="AC328" s="334"/>
      <c r="AD328" s="334"/>
      <c r="AE328" s="334"/>
      <c r="AF328" s="334"/>
      <c r="AG328" s="334"/>
      <c r="AH328" s="334"/>
      <c r="AI328" s="334"/>
      <c r="AJ328" s="334"/>
      <c r="AK328" s="334"/>
      <c r="AL328" s="334"/>
      <c r="AM328" s="334"/>
    </row>
    <row r="329" ht="11.25" customHeight="1">
      <c r="A329" s="334"/>
      <c r="B329" s="334"/>
      <c r="C329" s="334"/>
      <c r="D329" s="335"/>
      <c r="E329" s="331"/>
      <c r="F329" s="331"/>
      <c r="G329" s="331"/>
      <c r="H329" s="331"/>
      <c r="I329" s="331"/>
      <c r="J329" s="335"/>
      <c r="K329" s="335"/>
      <c r="L329" s="335"/>
      <c r="M329" s="335"/>
      <c r="N329" s="335"/>
      <c r="O329" s="335"/>
      <c r="P329" s="335"/>
      <c r="Q329" s="335"/>
      <c r="R329" s="335"/>
      <c r="S329" s="336"/>
      <c r="T329" s="334"/>
      <c r="U329" s="334"/>
      <c r="V329" s="334"/>
      <c r="W329" s="334"/>
      <c r="X329" s="334"/>
      <c r="Y329" s="334"/>
      <c r="Z329" s="334"/>
      <c r="AA329" s="334"/>
      <c r="AB329" s="334"/>
      <c r="AC329" s="334"/>
      <c r="AD329" s="334"/>
      <c r="AE329" s="334"/>
      <c r="AF329" s="334"/>
      <c r="AG329" s="334"/>
      <c r="AH329" s="334"/>
      <c r="AI329" s="334"/>
      <c r="AJ329" s="334"/>
      <c r="AK329" s="334"/>
      <c r="AL329" s="334"/>
      <c r="AM329" s="334"/>
    </row>
    <row r="330" ht="11.25" customHeight="1">
      <c r="A330" s="334"/>
      <c r="B330" s="334"/>
      <c r="C330" s="334"/>
      <c r="D330" s="335"/>
      <c r="E330" s="331"/>
      <c r="F330" s="331"/>
      <c r="G330" s="331"/>
      <c r="H330" s="331"/>
      <c r="I330" s="331"/>
      <c r="J330" s="335"/>
      <c r="K330" s="335"/>
      <c r="L330" s="335"/>
      <c r="M330" s="335"/>
      <c r="N330" s="335"/>
      <c r="O330" s="335"/>
      <c r="P330" s="335"/>
      <c r="Q330" s="335"/>
      <c r="R330" s="335"/>
      <c r="S330" s="336"/>
      <c r="T330" s="334"/>
      <c r="U330" s="334"/>
      <c r="V330" s="334"/>
      <c r="W330" s="334"/>
      <c r="X330" s="334"/>
      <c r="Y330" s="334"/>
      <c r="Z330" s="334"/>
      <c r="AA330" s="334"/>
      <c r="AB330" s="334"/>
      <c r="AC330" s="334"/>
      <c r="AD330" s="334"/>
      <c r="AE330" s="334"/>
      <c r="AF330" s="334"/>
      <c r="AG330" s="334"/>
      <c r="AH330" s="334"/>
      <c r="AI330" s="334"/>
      <c r="AJ330" s="334"/>
      <c r="AK330" s="334"/>
      <c r="AL330" s="334"/>
      <c r="AM330" s="334"/>
    </row>
    <row r="331" ht="11.25" customHeight="1">
      <c r="A331" s="334"/>
      <c r="B331" s="334"/>
      <c r="C331" s="334"/>
      <c r="D331" s="335"/>
      <c r="E331" s="331"/>
      <c r="F331" s="331"/>
      <c r="G331" s="331"/>
      <c r="H331" s="331"/>
      <c r="I331" s="331"/>
      <c r="J331" s="335"/>
      <c r="K331" s="335"/>
      <c r="L331" s="335"/>
      <c r="M331" s="335"/>
      <c r="N331" s="335"/>
      <c r="O331" s="335"/>
      <c r="P331" s="335"/>
      <c r="Q331" s="335"/>
      <c r="R331" s="335"/>
      <c r="S331" s="336"/>
      <c r="T331" s="334"/>
      <c r="U331" s="334"/>
      <c r="V331" s="334"/>
      <c r="W331" s="334"/>
      <c r="X331" s="334"/>
      <c r="Y331" s="334"/>
      <c r="Z331" s="334"/>
      <c r="AA331" s="334"/>
      <c r="AB331" s="334"/>
      <c r="AC331" s="334"/>
      <c r="AD331" s="334"/>
      <c r="AE331" s="334"/>
      <c r="AF331" s="334"/>
      <c r="AG331" s="334"/>
      <c r="AH331" s="334"/>
      <c r="AI331" s="334"/>
      <c r="AJ331" s="334"/>
      <c r="AK331" s="334"/>
      <c r="AL331" s="334"/>
      <c r="AM331" s="334"/>
    </row>
    <row r="332" ht="11.25" customHeight="1">
      <c r="A332" s="334"/>
      <c r="B332" s="334"/>
      <c r="C332" s="334"/>
      <c r="D332" s="335"/>
      <c r="E332" s="331"/>
      <c r="F332" s="331"/>
      <c r="G332" s="331"/>
      <c r="H332" s="331"/>
      <c r="I332" s="331"/>
      <c r="J332" s="335"/>
      <c r="K332" s="335"/>
      <c r="L332" s="335"/>
      <c r="M332" s="335"/>
      <c r="N332" s="335"/>
      <c r="O332" s="335"/>
      <c r="P332" s="335"/>
      <c r="Q332" s="335"/>
      <c r="R332" s="335"/>
      <c r="S332" s="336"/>
      <c r="T332" s="334"/>
      <c r="U332" s="334"/>
      <c r="V332" s="334"/>
      <c r="W332" s="334"/>
      <c r="X332" s="334"/>
      <c r="Y332" s="334"/>
      <c r="Z332" s="334"/>
      <c r="AA332" s="334"/>
      <c r="AB332" s="334"/>
      <c r="AC332" s="334"/>
      <c r="AD332" s="334"/>
      <c r="AE332" s="334"/>
      <c r="AF332" s="334"/>
      <c r="AG332" s="334"/>
      <c r="AH332" s="334"/>
      <c r="AI332" s="334"/>
      <c r="AJ332" s="334"/>
      <c r="AK332" s="334"/>
      <c r="AL332" s="334"/>
      <c r="AM332" s="334"/>
    </row>
    <row r="333" ht="11.25" customHeight="1">
      <c r="A333" s="334"/>
      <c r="B333" s="334"/>
      <c r="C333" s="334"/>
      <c r="D333" s="335"/>
      <c r="E333" s="331"/>
      <c r="F333" s="331"/>
      <c r="G333" s="331"/>
      <c r="H333" s="331"/>
      <c r="I333" s="331"/>
      <c r="J333" s="335"/>
      <c r="K333" s="335"/>
      <c r="L333" s="335"/>
      <c r="M333" s="335"/>
      <c r="N333" s="335"/>
      <c r="O333" s="335"/>
      <c r="P333" s="335"/>
      <c r="Q333" s="335"/>
      <c r="R333" s="335"/>
      <c r="S333" s="336"/>
      <c r="T333" s="334"/>
      <c r="U333" s="334"/>
      <c r="V333" s="334"/>
      <c r="W333" s="334"/>
      <c r="X333" s="334"/>
      <c r="Y333" s="334"/>
      <c r="Z333" s="334"/>
      <c r="AA333" s="334"/>
      <c r="AB333" s="334"/>
      <c r="AC333" s="334"/>
      <c r="AD333" s="334"/>
      <c r="AE333" s="334"/>
      <c r="AF333" s="334"/>
      <c r="AG333" s="334"/>
      <c r="AH333" s="334"/>
      <c r="AI333" s="334"/>
      <c r="AJ333" s="334"/>
      <c r="AK333" s="334"/>
      <c r="AL333" s="334"/>
      <c r="AM333" s="334"/>
    </row>
    <row r="334" ht="11.25" customHeight="1">
      <c r="A334" s="334"/>
      <c r="B334" s="334"/>
      <c r="C334" s="334"/>
      <c r="D334" s="335"/>
      <c r="E334" s="331"/>
      <c r="F334" s="331"/>
      <c r="G334" s="331"/>
      <c r="H334" s="331"/>
      <c r="I334" s="331"/>
      <c r="J334" s="335"/>
      <c r="K334" s="335"/>
      <c r="L334" s="335"/>
      <c r="M334" s="335"/>
      <c r="N334" s="335"/>
      <c r="O334" s="335"/>
      <c r="P334" s="335"/>
      <c r="Q334" s="335"/>
      <c r="R334" s="335"/>
      <c r="S334" s="336"/>
      <c r="T334" s="334"/>
      <c r="U334" s="334"/>
      <c r="V334" s="334"/>
      <c r="W334" s="334"/>
      <c r="X334" s="334"/>
      <c r="Y334" s="334"/>
      <c r="Z334" s="334"/>
      <c r="AA334" s="334"/>
      <c r="AB334" s="334"/>
      <c r="AC334" s="334"/>
      <c r="AD334" s="334"/>
      <c r="AE334" s="334"/>
      <c r="AF334" s="334"/>
      <c r="AG334" s="334"/>
      <c r="AH334" s="334"/>
      <c r="AI334" s="334"/>
      <c r="AJ334" s="334"/>
      <c r="AK334" s="334"/>
      <c r="AL334" s="334"/>
      <c r="AM334" s="334"/>
    </row>
    <row r="335" ht="11.25" customHeight="1">
      <c r="A335" s="334"/>
      <c r="B335" s="334"/>
      <c r="C335" s="334"/>
      <c r="D335" s="335"/>
      <c r="E335" s="331"/>
      <c r="F335" s="331"/>
      <c r="G335" s="331"/>
      <c r="H335" s="331"/>
      <c r="I335" s="331"/>
      <c r="J335" s="335"/>
      <c r="K335" s="335"/>
      <c r="L335" s="335"/>
      <c r="M335" s="335"/>
      <c r="N335" s="335"/>
      <c r="O335" s="335"/>
      <c r="P335" s="335"/>
      <c r="Q335" s="335"/>
      <c r="R335" s="335"/>
      <c r="S335" s="336"/>
      <c r="T335" s="334"/>
      <c r="U335" s="334"/>
      <c r="V335" s="334"/>
      <c r="W335" s="334"/>
      <c r="X335" s="334"/>
      <c r="Y335" s="334"/>
      <c r="Z335" s="334"/>
      <c r="AA335" s="334"/>
      <c r="AB335" s="334"/>
      <c r="AC335" s="334"/>
      <c r="AD335" s="334"/>
      <c r="AE335" s="334"/>
      <c r="AF335" s="334"/>
      <c r="AG335" s="334"/>
      <c r="AH335" s="334"/>
      <c r="AI335" s="334"/>
      <c r="AJ335" s="334"/>
      <c r="AK335" s="334"/>
      <c r="AL335" s="334"/>
      <c r="AM335" s="334"/>
    </row>
    <row r="336" ht="11.25" customHeight="1">
      <c r="A336" s="334"/>
      <c r="B336" s="334"/>
      <c r="C336" s="334"/>
      <c r="D336" s="335"/>
      <c r="E336" s="331"/>
      <c r="F336" s="331"/>
      <c r="G336" s="331"/>
      <c r="H336" s="331"/>
      <c r="I336" s="331"/>
      <c r="J336" s="335"/>
      <c r="K336" s="335"/>
      <c r="L336" s="335"/>
      <c r="M336" s="335"/>
      <c r="N336" s="335"/>
      <c r="O336" s="335"/>
      <c r="P336" s="335"/>
      <c r="Q336" s="335"/>
      <c r="R336" s="335"/>
      <c r="S336" s="336"/>
      <c r="T336" s="334"/>
      <c r="U336" s="334"/>
      <c r="V336" s="334"/>
      <c r="W336" s="334"/>
      <c r="X336" s="334"/>
      <c r="Y336" s="334"/>
      <c r="Z336" s="334"/>
      <c r="AA336" s="334"/>
      <c r="AB336" s="334"/>
      <c r="AC336" s="334"/>
      <c r="AD336" s="334"/>
      <c r="AE336" s="334"/>
      <c r="AF336" s="334"/>
      <c r="AG336" s="334"/>
      <c r="AH336" s="334"/>
      <c r="AI336" s="334"/>
      <c r="AJ336" s="334"/>
      <c r="AK336" s="334"/>
      <c r="AL336" s="334"/>
      <c r="AM336" s="334"/>
    </row>
    <row r="337" ht="11.25" customHeight="1">
      <c r="A337" s="334"/>
      <c r="B337" s="334"/>
      <c r="C337" s="334"/>
      <c r="D337" s="335"/>
      <c r="E337" s="331"/>
      <c r="F337" s="331"/>
      <c r="G337" s="331"/>
      <c r="H337" s="331"/>
      <c r="I337" s="331"/>
      <c r="J337" s="335"/>
      <c r="K337" s="335"/>
      <c r="L337" s="335"/>
      <c r="M337" s="335"/>
      <c r="N337" s="335"/>
      <c r="O337" s="335"/>
      <c r="P337" s="335"/>
      <c r="Q337" s="335"/>
      <c r="R337" s="335"/>
      <c r="S337" s="336"/>
      <c r="T337" s="334"/>
      <c r="U337" s="334"/>
      <c r="V337" s="334"/>
      <c r="W337" s="334"/>
      <c r="X337" s="334"/>
      <c r="Y337" s="334"/>
      <c r="Z337" s="334"/>
      <c r="AA337" s="334"/>
      <c r="AB337" s="334"/>
      <c r="AC337" s="334"/>
      <c r="AD337" s="334"/>
      <c r="AE337" s="334"/>
      <c r="AF337" s="334"/>
      <c r="AG337" s="334"/>
      <c r="AH337" s="334"/>
      <c r="AI337" s="334"/>
      <c r="AJ337" s="334"/>
      <c r="AK337" s="334"/>
      <c r="AL337" s="334"/>
      <c r="AM337" s="334"/>
    </row>
    <row r="338" ht="11.25" customHeight="1">
      <c r="A338" s="334"/>
      <c r="B338" s="334"/>
      <c r="C338" s="334"/>
      <c r="D338" s="335"/>
      <c r="E338" s="331"/>
      <c r="F338" s="331"/>
      <c r="G338" s="331"/>
      <c r="H338" s="331"/>
      <c r="I338" s="331"/>
      <c r="J338" s="335"/>
      <c r="K338" s="335"/>
      <c r="L338" s="335"/>
      <c r="M338" s="335"/>
      <c r="N338" s="335"/>
      <c r="O338" s="335"/>
      <c r="P338" s="335"/>
      <c r="Q338" s="335"/>
      <c r="R338" s="335"/>
      <c r="S338" s="336"/>
      <c r="T338" s="334"/>
      <c r="U338" s="334"/>
      <c r="V338" s="334"/>
      <c r="W338" s="334"/>
      <c r="X338" s="334"/>
      <c r="Y338" s="334"/>
      <c r="Z338" s="334"/>
      <c r="AA338" s="334"/>
      <c r="AB338" s="334"/>
      <c r="AC338" s="334"/>
      <c r="AD338" s="334"/>
      <c r="AE338" s="334"/>
      <c r="AF338" s="334"/>
      <c r="AG338" s="334"/>
      <c r="AH338" s="334"/>
      <c r="AI338" s="334"/>
      <c r="AJ338" s="334"/>
      <c r="AK338" s="334"/>
      <c r="AL338" s="334"/>
      <c r="AM338" s="334"/>
    </row>
    <row r="339" ht="11.25" customHeight="1">
      <c r="A339" s="334"/>
      <c r="B339" s="334"/>
      <c r="C339" s="334"/>
      <c r="D339" s="335"/>
      <c r="E339" s="331"/>
      <c r="F339" s="331"/>
      <c r="G339" s="331"/>
      <c r="H339" s="331"/>
      <c r="I339" s="331"/>
      <c r="J339" s="335"/>
      <c r="K339" s="335"/>
      <c r="L339" s="335"/>
      <c r="M339" s="335"/>
      <c r="N339" s="335"/>
      <c r="O339" s="335"/>
      <c r="P339" s="335"/>
      <c r="Q339" s="335"/>
      <c r="R339" s="335"/>
      <c r="S339" s="336"/>
      <c r="T339" s="334"/>
      <c r="U339" s="334"/>
      <c r="V339" s="334"/>
      <c r="W339" s="334"/>
      <c r="X339" s="334"/>
      <c r="Y339" s="334"/>
      <c r="Z339" s="334"/>
      <c r="AA339" s="334"/>
      <c r="AB339" s="334"/>
      <c r="AC339" s="334"/>
      <c r="AD339" s="334"/>
      <c r="AE339" s="334"/>
      <c r="AF339" s="334"/>
      <c r="AG339" s="334"/>
      <c r="AH339" s="334"/>
      <c r="AI339" s="334"/>
      <c r="AJ339" s="334"/>
      <c r="AK339" s="334"/>
      <c r="AL339" s="334"/>
      <c r="AM339" s="334"/>
    </row>
    <row r="340" ht="11.25" customHeight="1">
      <c r="A340" s="334"/>
      <c r="B340" s="334"/>
      <c r="C340" s="334"/>
      <c r="D340" s="335"/>
      <c r="E340" s="331"/>
      <c r="F340" s="331"/>
      <c r="G340" s="331"/>
      <c r="H340" s="331"/>
      <c r="I340" s="331"/>
      <c r="J340" s="335"/>
      <c r="K340" s="335"/>
      <c r="L340" s="335"/>
      <c r="M340" s="335"/>
      <c r="N340" s="335"/>
      <c r="O340" s="335"/>
      <c r="P340" s="335"/>
      <c r="Q340" s="335"/>
      <c r="R340" s="335"/>
      <c r="S340" s="336"/>
      <c r="T340" s="334"/>
      <c r="U340" s="334"/>
      <c r="V340" s="334"/>
      <c r="W340" s="334"/>
      <c r="X340" s="334"/>
      <c r="Y340" s="334"/>
      <c r="Z340" s="334"/>
      <c r="AA340" s="334"/>
      <c r="AB340" s="334"/>
      <c r="AC340" s="334"/>
      <c r="AD340" s="334"/>
      <c r="AE340" s="334"/>
      <c r="AF340" s="334"/>
      <c r="AG340" s="334"/>
      <c r="AH340" s="334"/>
      <c r="AI340" s="334"/>
      <c r="AJ340" s="334"/>
      <c r="AK340" s="334"/>
      <c r="AL340" s="334"/>
      <c r="AM340" s="334"/>
    </row>
    <row r="341" ht="11.25" customHeight="1">
      <c r="A341" s="334"/>
      <c r="B341" s="334"/>
      <c r="C341" s="334"/>
      <c r="D341" s="335"/>
      <c r="E341" s="331"/>
      <c r="F341" s="331"/>
      <c r="G341" s="331"/>
      <c r="H341" s="331"/>
      <c r="I341" s="331"/>
      <c r="J341" s="335"/>
      <c r="K341" s="335"/>
      <c r="L341" s="335"/>
      <c r="M341" s="335"/>
      <c r="N341" s="335"/>
      <c r="O341" s="335"/>
      <c r="P341" s="335"/>
      <c r="Q341" s="335"/>
      <c r="R341" s="335"/>
      <c r="S341" s="336"/>
      <c r="T341" s="334"/>
      <c r="U341" s="334"/>
      <c r="V341" s="334"/>
      <c r="W341" s="334"/>
      <c r="X341" s="334"/>
      <c r="Y341" s="334"/>
      <c r="Z341" s="334"/>
      <c r="AA341" s="334"/>
      <c r="AB341" s="334"/>
      <c r="AC341" s="334"/>
      <c r="AD341" s="334"/>
      <c r="AE341" s="334"/>
      <c r="AF341" s="334"/>
      <c r="AG341" s="334"/>
      <c r="AH341" s="334"/>
      <c r="AI341" s="334"/>
      <c r="AJ341" s="334"/>
      <c r="AK341" s="334"/>
      <c r="AL341" s="334"/>
      <c r="AM341" s="334"/>
    </row>
    <row r="342" ht="11.25" customHeight="1">
      <c r="A342" s="334"/>
      <c r="B342" s="334"/>
      <c r="C342" s="334"/>
      <c r="D342" s="335"/>
      <c r="E342" s="331"/>
      <c r="F342" s="331"/>
      <c r="G342" s="331"/>
      <c r="H342" s="331"/>
      <c r="I342" s="331"/>
      <c r="J342" s="335"/>
      <c r="K342" s="335"/>
      <c r="L342" s="335"/>
      <c r="M342" s="335"/>
      <c r="N342" s="335"/>
      <c r="O342" s="335"/>
      <c r="P342" s="335"/>
      <c r="Q342" s="335"/>
      <c r="R342" s="335"/>
      <c r="S342" s="336"/>
      <c r="T342" s="334"/>
      <c r="U342" s="334"/>
      <c r="V342" s="334"/>
      <c r="W342" s="334"/>
      <c r="X342" s="334"/>
      <c r="Y342" s="334"/>
      <c r="Z342" s="334"/>
      <c r="AA342" s="334"/>
      <c r="AB342" s="334"/>
      <c r="AC342" s="334"/>
      <c r="AD342" s="334"/>
      <c r="AE342" s="334"/>
      <c r="AF342" s="334"/>
      <c r="AG342" s="334"/>
      <c r="AH342" s="334"/>
      <c r="AI342" s="334"/>
      <c r="AJ342" s="334"/>
      <c r="AK342" s="334"/>
      <c r="AL342" s="334"/>
      <c r="AM342" s="334"/>
    </row>
    <row r="343" ht="11.25" customHeight="1">
      <c r="A343" s="334"/>
      <c r="B343" s="334"/>
      <c r="C343" s="334"/>
      <c r="D343" s="335"/>
      <c r="E343" s="331"/>
      <c r="F343" s="331"/>
      <c r="G343" s="331"/>
      <c r="H343" s="331"/>
      <c r="I343" s="331"/>
      <c r="J343" s="335"/>
      <c r="K343" s="335"/>
      <c r="L343" s="335"/>
      <c r="M343" s="335"/>
      <c r="N343" s="335"/>
      <c r="O343" s="335"/>
      <c r="P343" s="335"/>
      <c r="Q343" s="335"/>
      <c r="R343" s="335"/>
      <c r="S343" s="336"/>
      <c r="T343" s="334"/>
      <c r="U343" s="334"/>
      <c r="V343" s="334"/>
      <c r="W343" s="334"/>
      <c r="X343" s="334"/>
      <c r="Y343" s="334"/>
      <c r="Z343" s="334"/>
      <c r="AA343" s="334"/>
      <c r="AB343" s="334"/>
      <c r="AC343" s="334"/>
      <c r="AD343" s="334"/>
      <c r="AE343" s="334"/>
      <c r="AF343" s="334"/>
      <c r="AG343" s="334"/>
      <c r="AH343" s="334"/>
      <c r="AI343" s="334"/>
      <c r="AJ343" s="334"/>
      <c r="AK343" s="334"/>
      <c r="AL343" s="334"/>
      <c r="AM343" s="334"/>
    </row>
    <row r="344" ht="11.25" customHeight="1">
      <c r="A344" s="334"/>
      <c r="B344" s="334"/>
      <c r="C344" s="334"/>
      <c r="D344" s="335"/>
      <c r="E344" s="331"/>
      <c r="F344" s="331"/>
      <c r="G344" s="331"/>
      <c r="H344" s="331"/>
      <c r="I344" s="331"/>
      <c r="J344" s="335"/>
      <c r="K344" s="335"/>
      <c r="L344" s="335"/>
      <c r="M344" s="335"/>
      <c r="N344" s="335"/>
      <c r="O344" s="335"/>
      <c r="P344" s="335"/>
      <c r="Q344" s="335"/>
      <c r="R344" s="335"/>
      <c r="S344" s="336"/>
      <c r="T344" s="334"/>
      <c r="U344" s="334"/>
      <c r="V344" s="334"/>
      <c r="W344" s="334"/>
      <c r="X344" s="334"/>
      <c r="Y344" s="334"/>
      <c r="Z344" s="334"/>
      <c r="AA344" s="334"/>
      <c r="AB344" s="334"/>
      <c r="AC344" s="334"/>
      <c r="AD344" s="334"/>
      <c r="AE344" s="334"/>
      <c r="AF344" s="334"/>
      <c r="AG344" s="334"/>
      <c r="AH344" s="334"/>
      <c r="AI344" s="334"/>
      <c r="AJ344" s="334"/>
      <c r="AK344" s="334"/>
      <c r="AL344" s="334"/>
      <c r="AM344" s="334"/>
    </row>
    <row r="345" ht="11.25" customHeight="1">
      <c r="A345" s="334"/>
      <c r="B345" s="334"/>
      <c r="C345" s="334"/>
      <c r="D345" s="335"/>
      <c r="E345" s="331"/>
      <c r="F345" s="331"/>
      <c r="G345" s="331"/>
      <c r="H345" s="331"/>
      <c r="I345" s="331"/>
      <c r="J345" s="335"/>
      <c r="K345" s="335"/>
      <c r="L345" s="335"/>
      <c r="M345" s="335"/>
      <c r="N345" s="335"/>
      <c r="O345" s="335"/>
      <c r="P345" s="335"/>
      <c r="Q345" s="335"/>
      <c r="R345" s="335"/>
      <c r="S345" s="336"/>
      <c r="T345" s="334"/>
      <c r="U345" s="334"/>
      <c r="V345" s="334"/>
      <c r="W345" s="334"/>
      <c r="X345" s="334"/>
      <c r="Y345" s="334"/>
      <c r="Z345" s="334"/>
      <c r="AA345" s="334"/>
      <c r="AB345" s="334"/>
      <c r="AC345" s="334"/>
      <c r="AD345" s="334"/>
      <c r="AE345" s="334"/>
      <c r="AF345" s="334"/>
      <c r="AG345" s="334"/>
      <c r="AH345" s="334"/>
      <c r="AI345" s="334"/>
      <c r="AJ345" s="334"/>
      <c r="AK345" s="334"/>
      <c r="AL345" s="334"/>
      <c r="AM345" s="334"/>
    </row>
    <row r="346" ht="11.25" customHeight="1">
      <c r="A346" s="334"/>
      <c r="B346" s="334"/>
      <c r="C346" s="334"/>
      <c r="D346" s="335"/>
      <c r="E346" s="331"/>
      <c r="F346" s="331"/>
      <c r="G346" s="331"/>
      <c r="H346" s="331"/>
      <c r="I346" s="331"/>
      <c r="J346" s="335"/>
      <c r="K346" s="335"/>
      <c r="L346" s="335"/>
      <c r="M346" s="335"/>
      <c r="N346" s="335"/>
      <c r="O346" s="335"/>
      <c r="P346" s="335"/>
      <c r="Q346" s="335"/>
      <c r="R346" s="335"/>
      <c r="S346" s="336"/>
      <c r="T346" s="334"/>
      <c r="U346" s="334"/>
      <c r="V346" s="334"/>
      <c r="W346" s="334"/>
      <c r="X346" s="334"/>
      <c r="Y346" s="334"/>
      <c r="Z346" s="334"/>
      <c r="AA346" s="334"/>
      <c r="AB346" s="334"/>
      <c r="AC346" s="334"/>
      <c r="AD346" s="334"/>
      <c r="AE346" s="334"/>
      <c r="AF346" s="334"/>
      <c r="AG346" s="334"/>
      <c r="AH346" s="334"/>
      <c r="AI346" s="334"/>
      <c r="AJ346" s="334"/>
      <c r="AK346" s="334"/>
      <c r="AL346" s="334"/>
      <c r="AM346" s="334"/>
    </row>
    <row r="347" ht="11.25" customHeight="1">
      <c r="A347" s="334"/>
      <c r="B347" s="334"/>
      <c r="C347" s="334"/>
      <c r="D347" s="335"/>
      <c r="E347" s="331"/>
      <c r="F347" s="331"/>
      <c r="G347" s="331"/>
      <c r="H347" s="331"/>
      <c r="I347" s="331"/>
      <c r="J347" s="335"/>
      <c r="K347" s="335"/>
      <c r="L347" s="335"/>
      <c r="M347" s="335"/>
      <c r="N347" s="335"/>
      <c r="O347" s="335"/>
      <c r="P347" s="335"/>
      <c r="Q347" s="335"/>
      <c r="R347" s="335"/>
      <c r="S347" s="336"/>
      <c r="T347" s="334"/>
      <c r="U347" s="334"/>
      <c r="V347" s="334"/>
      <c r="W347" s="334"/>
      <c r="X347" s="334"/>
      <c r="Y347" s="334"/>
      <c r="Z347" s="334"/>
      <c r="AA347" s="334"/>
      <c r="AB347" s="334"/>
      <c r="AC347" s="334"/>
      <c r="AD347" s="334"/>
      <c r="AE347" s="334"/>
      <c r="AF347" s="334"/>
      <c r="AG347" s="334"/>
      <c r="AH347" s="334"/>
      <c r="AI347" s="334"/>
      <c r="AJ347" s="334"/>
      <c r="AK347" s="334"/>
      <c r="AL347" s="334"/>
      <c r="AM347" s="334"/>
    </row>
    <row r="348" ht="11.25" customHeight="1">
      <c r="A348" s="334"/>
      <c r="B348" s="334"/>
      <c r="C348" s="334"/>
      <c r="D348" s="335"/>
      <c r="E348" s="331"/>
      <c r="F348" s="331"/>
      <c r="G348" s="331"/>
      <c r="H348" s="331"/>
      <c r="I348" s="331"/>
      <c r="J348" s="335"/>
      <c r="K348" s="335"/>
      <c r="L348" s="335"/>
      <c r="M348" s="335"/>
      <c r="N348" s="335"/>
      <c r="O348" s="335"/>
      <c r="P348" s="335"/>
      <c r="Q348" s="335"/>
      <c r="R348" s="335"/>
      <c r="S348" s="336"/>
      <c r="T348" s="334"/>
      <c r="U348" s="334"/>
      <c r="V348" s="334"/>
      <c r="W348" s="334"/>
      <c r="X348" s="334"/>
      <c r="Y348" s="334"/>
      <c r="Z348" s="334"/>
      <c r="AA348" s="334"/>
      <c r="AB348" s="334"/>
      <c r="AC348" s="334"/>
      <c r="AD348" s="334"/>
      <c r="AE348" s="334"/>
      <c r="AF348" s="334"/>
      <c r="AG348" s="334"/>
      <c r="AH348" s="334"/>
      <c r="AI348" s="334"/>
      <c r="AJ348" s="334"/>
      <c r="AK348" s="334"/>
      <c r="AL348" s="334"/>
      <c r="AM348" s="334"/>
    </row>
    <row r="349" ht="11.25" customHeight="1">
      <c r="A349" s="334"/>
      <c r="B349" s="334"/>
      <c r="C349" s="334"/>
      <c r="D349" s="335"/>
      <c r="E349" s="331"/>
      <c r="F349" s="331"/>
      <c r="G349" s="331"/>
      <c r="H349" s="331"/>
      <c r="I349" s="331"/>
      <c r="J349" s="335"/>
      <c r="K349" s="335"/>
      <c r="L349" s="335"/>
      <c r="M349" s="335"/>
      <c r="N349" s="335"/>
      <c r="O349" s="335"/>
      <c r="P349" s="335"/>
      <c r="Q349" s="335"/>
      <c r="R349" s="335"/>
      <c r="S349" s="336"/>
      <c r="T349" s="334"/>
      <c r="U349" s="334"/>
      <c r="V349" s="334"/>
      <c r="W349" s="334"/>
      <c r="X349" s="334"/>
      <c r="Y349" s="334"/>
      <c r="Z349" s="334"/>
      <c r="AA349" s="334"/>
      <c r="AB349" s="334"/>
      <c r="AC349" s="334"/>
      <c r="AD349" s="334"/>
      <c r="AE349" s="334"/>
      <c r="AF349" s="334"/>
      <c r="AG349" s="334"/>
      <c r="AH349" s="334"/>
      <c r="AI349" s="334"/>
      <c r="AJ349" s="334"/>
      <c r="AK349" s="334"/>
      <c r="AL349" s="334"/>
      <c r="AM349" s="334"/>
    </row>
    <row r="350" ht="11.25" customHeight="1">
      <c r="A350" s="334"/>
      <c r="B350" s="334"/>
      <c r="C350" s="334"/>
      <c r="D350" s="335"/>
      <c r="E350" s="331"/>
      <c r="F350" s="331"/>
      <c r="G350" s="331"/>
      <c r="H350" s="331"/>
      <c r="I350" s="331"/>
      <c r="J350" s="335"/>
      <c r="K350" s="335"/>
      <c r="L350" s="335"/>
      <c r="M350" s="335"/>
      <c r="N350" s="335"/>
      <c r="O350" s="335"/>
      <c r="P350" s="335"/>
      <c r="Q350" s="335"/>
      <c r="R350" s="335"/>
      <c r="S350" s="336"/>
      <c r="T350" s="334"/>
      <c r="U350" s="334"/>
      <c r="V350" s="334"/>
      <c r="W350" s="334"/>
      <c r="X350" s="334"/>
      <c r="Y350" s="334"/>
      <c r="Z350" s="334"/>
      <c r="AA350" s="334"/>
      <c r="AB350" s="334"/>
      <c r="AC350" s="334"/>
      <c r="AD350" s="334"/>
      <c r="AE350" s="334"/>
      <c r="AF350" s="334"/>
      <c r="AG350" s="334"/>
      <c r="AH350" s="334"/>
      <c r="AI350" s="334"/>
      <c r="AJ350" s="334"/>
      <c r="AK350" s="334"/>
      <c r="AL350" s="334"/>
      <c r="AM350" s="334"/>
    </row>
    <row r="351" ht="11.25" customHeight="1">
      <c r="A351" s="334"/>
      <c r="B351" s="334"/>
      <c r="C351" s="334"/>
      <c r="D351" s="335"/>
      <c r="E351" s="331"/>
      <c r="F351" s="331"/>
      <c r="G351" s="331"/>
      <c r="H351" s="331"/>
      <c r="I351" s="331"/>
      <c r="J351" s="335"/>
      <c r="K351" s="335"/>
      <c r="L351" s="335"/>
      <c r="M351" s="335"/>
      <c r="N351" s="335"/>
      <c r="O351" s="335"/>
      <c r="P351" s="335"/>
      <c r="Q351" s="335"/>
      <c r="R351" s="335"/>
      <c r="S351" s="336"/>
      <c r="T351" s="334"/>
      <c r="U351" s="334"/>
      <c r="V351" s="334"/>
      <c r="W351" s="334"/>
      <c r="X351" s="334"/>
      <c r="Y351" s="334"/>
      <c r="Z351" s="334"/>
      <c r="AA351" s="334"/>
      <c r="AB351" s="334"/>
      <c r="AC351" s="334"/>
      <c r="AD351" s="334"/>
      <c r="AE351" s="334"/>
      <c r="AF351" s="334"/>
      <c r="AG351" s="334"/>
      <c r="AH351" s="334"/>
      <c r="AI351" s="334"/>
      <c r="AJ351" s="334"/>
      <c r="AK351" s="334"/>
      <c r="AL351" s="334"/>
      <c r="AM351" s="334"/>
    </row>
    <row r="352" ht="11.25" customHeight="1">
      <c r="A352" s="334"/>
      <c r="B352" s="334"/>
      <c r="C352" s="334"/>
      <c r="D352" s="335"/>
      <c r="E352" s="331"/>
      <c r="F352" s="331"/>
      <c r="G352" s="331"/>
      <c r="H352" s="331"/>
      <c r="I352" s="331"/>
      <c r="J352" s="335"/>
      <c r="K352" s="335"/>
      <c r="L352" s="335"/>
      <c r="M352" s="335"/>
      <c r="N352" s="335"/>
      <c r="O352" s="335"/>
      <c r="P352" s="335"/>
      <c r="Q352" s="335"/>
      <c r="R352" s="335"/>
      <c r="S352" s="336"/>
      <c r="T352" s="334"/>
      <c r="U352" s="334"/>
      <c r="V352" s="334"/>
      <c r="W352" s="334"/>
      <c r="X352" s="334"/>
      <c r="Y352" s="334"/>
      <c r="Z352" s="334"/>
      <c r="AA352" s="334"/>
      <c r="AB352" s="334"/>
      <c r="AC352" s="334"/>
      <c r="AD352" s="334"/>
      <c r="AE352" s="334"/>
      <c r="AF352" s="334"/>
      <c r="AG352" s="334"/>
      <c r="AH352" s="334"/>
      <c r="AI352" s="334"/>
      <c r="AJ352" s="334"/>
      <c r="AK352" s="334"/>
      <c r="AL352" s="334"/>
      <c r="AM352" s="334"/>
    </row>
    <row r="353" ht="11.25" customHeight="1">
      <c r="A353" s="334"/>
      <c r="B353" s="334"/>
      <c r="C353" s="334"/>
      <c r="D353" s="335"/>
      <c r="E353" s="331"/>
      <c r="F353" s="331"/>
      <c r="G353" s="331"/>
      <c r="H353" s="331"/>
      <c r="I353" s="331"/>
      <c r="J353" s="335"/>
      <c r="K353" s="335"/>
      <c r="L353" s="335"/>
      <c r="M353" s="335"/>
      <c r="N353" s="335"/>
      <c r="O353" s="335"/>
      <c r="P353" s="335"/>
      <c r="Q353" s="335"/>
      <c r="R353" s="335"/>
      <c r="S353" s="336"/>
      <c r="T353" s="334"/>
      <c r="U353" s="334"/>
      <c r="V353" s="334"/>
      <c r="W353" s="334"/>
      <c r="X353" s="334"/>
      <c r="Y353" s="334"/>
      <c r="Z353" s="334"/>
      <c r="AA353" s="334"/>
      <c r="AB353" s="334"/>
      <c r="AC353" s="334"/>
      <c r="AD353" s="334"/>
      <c r="AE353" s="334"/>
      <c r="AF353" s="334"/>
      <c r="AG353" s="334"/>
      <c r="AH353" s="334"/>
      <c r="AI353" s="334"/>
      <c r="AJ353" s="334"/>
      <c r="AK353" s="334"/>
      <c r="AL353" s="334"/>
      <c r="AM353" s="334"/>
    </row>
    <row r="354" ht="11.25" customHeight="1">
      <c r="A354" s="334"/>
      <c r="B354" s="334"/>
      <c r="C354" s="334"/>
      <c r="D354" s="335"/>
      <c r="E354" s="331"/>
      <c r="F354" s="331"/>
      <c r="G354" s="331"/>
      <c r="H354" s="331"/>
      <c r="I354" s="331"/>
      <c r="J354" s="335"/>
      <c r="K354" s="335"/>
      <c r="L354" s="335"/>
      <c r="M354" s="335"/>
      <c r="N354" s="335"/>
      <c r="O354" s="335"/>
      <c r="P354" s="335"/>
      <c r="Q354" s="335"/>
      <c r="R354" s="335"/>
      <c r="S354" s="336"/>
      <c r="T354" s="334"/>
      <c r="U354" s="334"/>
      <c r="V354" s="334"/>
      <c r="W354" s="334"/>
      <c r="X354" s="334"/>
      <c r="Y354" s="334"/>
      <c r="Z354" s="334"/>
      <c r="AA354" s="334"/>
      <c r="AB354" s="334"/>
      <c r="AC354" s="334"/>
      <c r="AD354" s="334"/>
      <c r="AE354" s="334"/>
      <c r="AF354" s="334"/>
      <c r="AG354" s="334"/>
      <c r="AH354" s="334"/>
      <c r="AI354" s="334"/>
      <c r="AJ354" s="334"/>
      <c r="AK354" s="334"/>
      <c r="AL354" s="334"/>
      <c r="AM354" s="334"/>
    </row>
    <row r="355" ht="11.25" customHeight="1">
      <c r="A355" s="334"/>
      <c r="B355" s="334"/>
      <c r="C355" s="334"/>
      <c r="D355" s="335"/>
      <c r="E355" s="331"/>
      <c r="F355" s="331"/>
      <c r="G355" s="331"/>
      <c r="H355" s="331"/>
      <c r="I355" s="331"/>
      <c r="J355" s="335"/>
      <c r="K355" s="335"/>
      <c r="L355" s="335"/>
      <c r="M355" s="335"/>
      <c r="N355" s="335"/>
      <c r="O355" s="335"/>
      <c r="P355" s="335"/>
      <c r="Q355" s="335"/>
      <c r="R355" s="335"/>
      <c r="S355" s="336"/>
      <c r="T355" s="334"/>
      <c r="U355" s="334"/>
      <c r="V355" s="334"/>
      <c r="W355" s="334"/>
      <c r="X355" s="334"/>
      <c r="Y355" s="334"/>
      <c r="Z355" s="334"/>
      <c r="AA355" s="334"/>
      <c r="AB355" s="334"/>
      <c r="AC355" s="334"/>
      <c r="AD355" s="334"/>
      <c r="AE355" s="334"/>
      <c r="AF355" s="334"/>
      <c r="AG355" s="334"/>
      <c r="AH355" s="334"/>
      <c r="AI355" s="334"/>
      <c r="AJ355" s="334"/>
      <c r="AK355" s="334"/>
      <c r="AL355" s="334"/>
      <c r="AM355" s="334"/>
    </row>
    <row r="356" ht="11.25" customHeight="1">
      <c r="A356" s="334"/>
      <c r="B356" s="334"/>
      <c r="C356" s="334"/>
      <c r="D356" s="335"/>
      <c r="E356" s="331"/>
      <c r="F356" s="331"/>
      <c r="G356" s="331"/>
      <c r="H356" s="331"/>
      <c r="I356" s="331"/>
      <c r="J356" s="335"/>
      <c r="K356" s="335"/>
      <c r="L356" s="335"/>
      <c r="M356" s="335"/>
      <c r="N356" s="335"/>
      <c r="O356" s="335"/>
      <c r="P356" s="335"/>
      <c r="Q356" s="335"/>
      <c r="R356" s="335"/>
      <c r="S356" s="336"/>
      <c r="T356" s="334"/>
      <c r="U356" s="334"/>
      <c r="V356" s="334"/>
      <c r="W356" s="334"/>
      <c r="X356" s="334"/>
      <c r="Y356" s="334"/>
      <c r="Z356" s="334"/>
      <c r="AA356" s="334"/>
      <c r="AB356" s="334"/>
      <c r="AC356" s="334"/>
      <c r="AD356" s="334"/>
      <c r="AE356" s="334"/>
      <c r="AF356" s="334"/>
      <c r="AG356" s="334"/>
      <c r="AH356" s="334"/>
      <c r="AI356" s="334"/>
      <c r="AJ356" s="334"/>
      <c r="AK356" s="334"/>
      <c r="AL356" s="334"/>
      <c r="AM356" s="334"/>
    </row>
    <row r="357" ht="11.25" customHeight="1">
      <c r="A357" s="334"/>
      <c r="B357" s="334"/>
      <c r="C357" s="334"/>
      <c r="D357" s="335"/>
      <c r="E357" s="331"/>
      <c r="F357" s="331"/>
      <c r="G357" s="331"/>
      <c r="H357" s="331"/>
      <c r="I357" s="331"/>
      <c r="J357" s="335"/>
      <c r="K357" s="335"/>
      <c r="L357" s="335"/>
      <c r="M357" s="335"/>
      <c r="N357" s="335"/>
      <c r="O357" s="335"/>
      <c r="P357" s="335"/>
      <c r="Q357" s="335"/>
      <c r="R357" s="335"/>
      <c r="S357" s="336"/>
      <c r="T357" s="334"/>
      <c r="U357" s="334"/>
      <c r="V357" s="334"/>
      <c r="W357" s="334"/>
      <c r="X357" s="334"/>
      <c r="Y357" s="334"/>
      <c r="Z357" s="334"/>
      <c r="AA357" s="334"/>
      <c r="AB357" s="334"/>
      <c r="AC357" s="334"/>
      <c r="AD357" s="334"/>
      <c r="AE357" s="334"/>
      <c r="AF357" s="334"/>
      <c r="AG357" s="334"/>
      <c r="AH357" s="334"/>
      <c r="AI357" s="334"/>
      <c r="AJ357" s="334"/>
      <c r="AK357" s="334"/>
      <c r="AL357" s="334"/>
      <c r="AM357" s="334"/>
    </row>
    <row r="358" ht="11.25" customHeight="1">
      <c r="A358" s="334"/>
      <c r="B358" s="334"/>
      <c r="C358" s="334"/>
      <c r="D358" s="335"/>
      <c r="E358" s="331"/>
      <c r="F358" s="331"/>
      <c r="G358" s="331"/>
      <c r="H358" s="331"/>
      <c r="I358" s="331"/>
      <c r="J358" s="335"/>
      <c r="K358" s="335"/>
      <c r="L358" s="335"/>
      <c r="M358" s="335"/>
      <c r="N358" s="335"/>
      <c r="O358" s="335"/>
      <c r="P358" s="335"/>
      <c r="Q358" s="335"/>
      <c r="R358" s="335"/>
      <c r="S358" s="336"/>
      <c r="T358" s="334"/>
      <c r="U358" s="334"/>
      <c r="V358" s="334"/>
      <c r="W358" s="334"/>
      <c r="X358" s="334"/>
      <c r="Y358" s="334"/>
      <c r="Z358" s="334"/>
      <c r="AA358" s="334"/>
      <c r="AB358" s="334"/>
      <c r="AC358" s="334"/>
      <c r="AD358" s="334"/>
      <c r="AE358" s="334"/>
      <c r="AF358" s="334"/>
      <c r="AG358" s="334"/>
      <c r="AH358" s="334"/>
      <c r="AI358" s="334"/>
      <c r="AJ358" s="334"/>
      <c r="AK358" s="334"/>
      <c r="AL358" s="334"/>
      <c r="AM358" s="334"/>
    </row>
    <row r="359" ht="11.25" customHeight="1">
      <c r="A359" s="334"/>
      <c r="B359" s="334"/>
      <c r="C359" s="334"/>
      <c r="D359" s="335"/>
      <c r="E359" s="331"/>
      <c r="F359" s="331"/>
      <c r="G359" s="331"/>
      <c r="H359" s="331"/>
      <c r="I359" s="331"/>
      <c r="J359" s="335"/>
      <c r="K359" s="335"/>
      <c r="L359" s="335"/>
      <c r="M359" s="335"/>
      <c r="N359" s="335"/>
      <c r="O359" s="335"/>
      <c r="P359" s="335"/>
      <c r="Q359" s="335"/>
      <c r="R359" s="335"/>
      <c r="S359" s="336"/>
      <c r="T359" s="334"/>
      <c r="U359" s="334"/>
      <c r="V359" s="334"/>
      <c r="W359" s="334"/>
      <c r="X359" s="334"/>
      <c r="Y359" s="334"/>
      <c r="Z359" s="334"/>
      <c r="AA359" s="334"/>
      <c r="AB359" s="334"/>
      <c r="AC359" s="334"/>
      <c r="AD359" s="334"/>
      <c r="AE359" s="334"/>
      <c r="AF359" s="334"/>
      <c r="AG359" s="334"/>
      <c r="AH359" s="334"/>
      <c r="AI359" s="334"/>
      <c r="AJ359" s="334"/>
      <c r="AK359" s="334"/>
      <c r="AL359" s="334"/>
      <c r="AM359" s="334"/>
    </row>
    <row r="360" ht="11.25" customHeight="1">
      <c r="A360" s="334"/>
      <c r="B360" s="334"/>
      <c r="C360" s="334"/>
      <c r="D360" s="335"/>
      <c r="E360" s="331"/>
      <c r="F360" s="331"/>
      <c r="G360" s="331"/>
      <c r="H360" s="331"/>
      <c r="I360" s="331"/>
      <c r="J360" s="335"/>
      <c r="K360" s="335"/>
      <c r="L360" s="335"/>
      <c r="M360" s="335"/>
      <c r="N360" s="335"/>
      <c r="O360" s="335"/>
      <c r="P360" s="335"/>
      <c r="Q360" s="335"/>
      <c r="R360" s="335"/>
      <c r="S360" s="336"/>
      <c r="T360" s="334"/>
      <c r="U360" s="334"/>
      <c r="V360" s="334"/>
      <c r="W360" s="334"/>
      <c r="X360" s="334"/>
      <c r="Y360" s="334"/>
      <c r="Z360" s="334"/>
      <c r="AA360" s="334"/>
      <c r="AB360" s="334"/>
      <c r="AC360" s="334"/>
      <c r="AD360" s="334"/>
      <c r="AE360" s="334"/>
      <c r="AF360" s="334"/>
      <c r="AG360" s="334"/>
      <c r="AH360" s="334"/>
      <c r="AI360" s="334"/>
      <c r="AJ360" s="334"/>
      <c r="AK360" s="334"/>
      <c r="AL360" s="334"/>
      <c r="AM360" s="334"/>
    </row>
    <row r="361" ht="11.25" customHeight="1">
      <c r="A361" s="334"/>
      <c r="B361" s="334"/>
      <c r="C361" s="334"/>
      <c r="D361" s="335"/>
      <c r="E361" s="331"/>
      <c r="F361" s="331"/>
      <c r="G361" s="331"/>
      <c r="H361" s="331"/>
      <c r="I361" s="331"/>
      <c r="J361" s="335"/>
      <c r="K361" s="335"/>
      <c r="L361" s="335"/>
      <c r="M361" s="335"/>
      <c r="N361" s="335"/>
      <c r="O361" s="335"/>
      <c r="P361" s="335"/>
      <c r="Q361" s="335"/>
      <c r="R361" s="335"/>
      <c r="S361" s="336"/>
      <c r="T361" s="334"/>
      <c r="U361" s="334"/>
      <c r="V361" s="334"/>
      <c r="W361" s="334"/>
      <c r="X361" s="334"/>
      <c r="Y361" s="334"/>
      <c r="Z361" s="334"/>
      <c r="AA361" s="334"/>
      <c r="AB361" s="334"/>
      <c r="AC361" s="334"/>
      <c r="AD361" s="334"/>
      <c r="AE361" s="334"/>
      <c r="AF361" s="334"/>
      <c r="AG361" s="334"/>
      <c r="AH361" s="334"/>
      <c r="AI361" s="334"/>
      <c r="AJ361" s="334"/>
      <c r="AK361" s="334"/>
      <c r="AL361" s="334"/>
      <c r="AM361" s="334"/>
    </row>
    <row r="362" ht="11.25" customHeight="1">
      <c r="A362" s="334"/>
      <c r="B362" s="334"/>
      <c r="C362" s="334"/>
      <c r="D362" s="335"/>
      <c r="E362" s="331"/>
      <c r="F362" s="331"/>
      <c r="G362" s="331"/>
      <c r="H362" s="331"/>
      <c r="I362" s="331"/>
      <c r="J362" s="335"/>
      <c r="K362" s="335"/>
      <c r="L362" s="335"/>
      <c r="M362" s="335"/>
      <c r="N362" s="335"/>
      <c r="O362" s="335"/>
      <c r="P362" s="335"/>
      <c r="Q362" s="335"/>
      <c r="R362" s="335"/>
      <c r="S362" s="336"/>
      <c r="T362" s="334"/>
      <c r="U362" s="334"/>
      <c r="V362" s="334"/>
      <c r="W362" s="334"/>
      <c r="X362" s="334"/>
      <c r="Y362" s="334"/>
      <c r="Z362" s="334"/>
      <c r="AA362" s="334"/>
      <c r="AB362" s="334"/>
      <c r="AC362" s="334"/>
      <c r="AD362" s="334"/>
      <c r="AE362" s="334"/>
      <c r="AF362" s="334"/>
      <c r="AG362" s="334"/>
      <c r="AH362" s="334"/>
      <c r="AI362" s="334"/>
      <c r="AJ362" s="334"/>
      <c r="AK362" s="334"/>
      <c r="AL362" s="334"/>
      <c r="AM362" s="334"/>
    </row>
    <row r="363" ht="11.25" customHeight="1">
      <c r="A363" s="334"/>
      <c r="B363" s="334"/>
      <c r="C363" s="334"/>
      <c r="D363" s="335"/>
      <c r="E363" s="331"/>
      <c r="F363" s="331"/>
      <c r="G363" s="331"/>
      <c r="H363" s="331"/>
      <c r="I363" s="331"/>
      <c r="J363" s="335"/>
      <c r="K363" s="335"/>
      <c r="L363" s="335"/>
      <c r="M363" s="335"/>
      <c r="N363" s="335"/>
      <c r="O363" s="335"/>
      <c r="P363" s="335"/>
      <c r="Q363" s="335"/>
      <c r="R363" s="335"/>
      <c r="S363" s="336"/>
      <c r="T363" s="334"/>
      <c r="U363" s="334"/>
      <c r="V363" s="334"/>
      <c r="W363" s="334"/>
      <c r="X363" s="334"/>
      <c r="Y363" s="334"/>
      <c r="Z363" s="334"/>
      <c r="AA363" s="334"/>
      <c r="AB363" s="334"/>
      <c r="AC363" s="334"/>
      <c r="AD363" s="334"/>
      <c r="AE363" s="334"/>
      <c r="AF363" s="334"/>
      <c r="AG363" s="334"/>
      <c r="AH363" s="334"/>
      <c r="AI363" s="334"/>
      <c r="AJ363" s="334"/>
      <c r="AK363" s="334"/>
      <c r="AL363" s="334"/>
      <c r="AM363" s="334"/>
    </row>
    <row r="364" ht="11.25" customHeight="1">
      <c r="A364" s="334"/>
      <c r="B364" s="334"/>
      <c r="C364" s="334"/>
      <c r="D364" s="335"/>
      <c r="E364" s="331"/>
      <c r="F364" s="331"/>
      <c r="G364" s="331"/>
      <c r="H364" s="331"/>
      <c r="I364" s="331"/>
      <c r="J364" s="335"/>
      <c r="K364" s="335"/>
      <c r="L364" s="335"/>
      <c r="M364" s="335"/>
      <c r="N364" s="335"/>
      <c r="O364" s="335"/>
      <c r="P364" s="335"/>
      <c r="Q364" s="335"/>
      <c r="R364" s="335"/>
      <c r="S364" s="336"/>
      <c r="T364" s="334"/>
      <c r="U364" s="334"/>
      <c r="V364" s="334"/>
      <c r="W364" s="334"/>
      <c r="X364" s="334"/>
      <c r="Y364" s="334"/>
      <c r="Z364" s="334"/>
      <c r="AA364" s="334"/>
      <c r="AB364" s="334"/>
      <c r="AC364" s="334"/>
      <c r="AD364" s="334"/>
      <c r="AE364" s="334"/>
      <c r="AF364" s="334"/>
      <c r="AG364" s="334"/>
      <c r="AH364" s="334"/>
      <c r="AI364" s="334"/>
      <c r="AJ364" s="334"/>
      <c r="AK364" s="334"/>
      <c r="AL364" s="334"/>
      <c r="AM364" s="334"/>
    </row>
    <row r="365" ht="11.25" customHeight="1">
      <c r="A365" s="334"/>
      <c r="B365" s="334"/>
      <c r="C365" s="334"/>
      <c r="D365" s="335"/>
      <c r="E365" s="331"/>
      <c r="F365" s="331"/>
      <c r="G365" s="331"/>
      <c r="H365" s="331"/>
      <c r="I365" s="331"/>
      <c r="J365" s="335"/>
      <c r="K365" s="335"/>
      <c r="L365" s="335"/>
      <c r="M365" s="335"/>
      <c r="N365" s="335"/>
      <c r="O365" s="335"/>
      <c r="P365" s="335"/>
      <c r="Q365" s="335"/>
      <c r="R365" s="335"/>
      <c r="S365" s="336"/>
      <c r="T365" s="334"/>
      <c r="U365" s="334"/>
      <c r="V365" s="334"/>
      <c r="W365" s="334"/>
      <c r="X365" s="334"/>
      <c r="Y365" s="334"/>
      <c r="Z365" s="334"/>
      <c r="AA365" s="334"/>
      <c r="AB365" s="334"/>
      <c r="AC365" s="334"/>
      <c r="AD365" s="334"/>
      <c r="AE365" s="334"/>
      <c r="AF365" s="334"/>
      <c r="AG365" s="334"/>
      <c r="AH365" s="334"/>
      <c r="AI365" s="334"/>
      <c r="AJ365" s="334"/>
      <c r="AK365" s="334"/>
      <c r="AL365" s="334"/>
      <c r="AM365" s="334"/>
    </row>
    <row r="366" ht="11.25" customHeight="1">
      <c r="A366" s="334"/>
      <c r="B366" s="334"/>
      <c r="C366" s="334"/>
      <c r="D366" s="335"/>
      <c r="E366" s="331"/>
      <c r="F366" s="331"/>
      <c r="G366" s="331"/>
      <c r="H366" s="331"/>
      <c r="I366" s="331"/>
      <c r="J366" s="335"/>
      <c r="K366" s="335"/>
      <c r="L366" s="335"/>
      <c r="M366" s="335"/>
      <c r="N366" s="335"/>
      <c r="O366" s="335"/>
      <c r="P366" s="335"/>
      <c r="Q366" s="335"/>
      <c r="R366" s="335"/>
      <c r="S366" s="336"/>
      <c r="T366" s="334"/>
      <c r="U366" s="334"/>
      <c r="V366" s="334"/>
      <c r="W366" s="334"/>
      <c r="X366" s="334"/>
      <c r="Y366" s="334"/>
      <c r="Z366" s="334"/>
      <c r="AA366" s="334"/>
      <c r="AB366" s="334"/>
      <c r="AC366" s="334"/>
      <c r="AD366" s="334"/>
      <c r="AE366" s="334"/>
      <c r="AF366" s="334"/>
      <c r="AG366" s="334"/>
      <c r="AH366" s="334"/>
      <c r="AI366" s="334"/>
      <c r="AJ366" s="334"/>
      <c r="AK366" s="334"/>
      <c r="AL366" s="334"/>
      <c r="AM366" s="334"/>
    </row>
    <row r="367" ht="11.25" customHeight="1">
      <c r="A367" s="334"/>
      <c r="B367" s="334"/>
      <c r="C367" s="334"/>
      <c r="D367" s="335"/>
      <c r="E367" s="331"/>
      <c r="F367" s="331"/>
      <c r="G367" s="331"/>
      <c r="H367" s="331"/>
      <c r="I367" s="331"/>
      <c r="J367" s="335"/>
      <c r="K367" s="335"/>
      <c r="L367" s="335"/>
      <c r="M367" s="335"/>
      <c r="N367" s="335"/>
      <c r="O367" s="335"/>
      <c r="P367" s="335"/>
      <c r="Q367" s="335"/>
      <c r="R367" s="335"/>
      <c r="S367" s="336"/>
      <c r="T367" s="334"/>
      <c r="U367" s="334"/>
      <c r="V367" s="334"/>
      <c r="W367" s="334"/>
      <c r="X367" s="334"/>
      <c r="Y367" s="334"/>
      <c r="Z367" s="334"/>
      <c r="AA367" s="334"/>
      <c r="AB367" s="334"/>
      <c r="AC367" s="334"/>
      <c r="AD367" s="334"/>
      <c r="AE367" s="334"/>
      <c r="AF367" s="334"/>
      <c r="AG367" s="334"/>
      <c r="AH367" s="334"/>
      <c r="AI367" s="334"/>
      <c r="AJ367" s="334"/>
      <c r="AK367" s="334"/>
      <c r="AL367" s="334"/>
      <c r="AM367" s="334"/>
    </row>
    <row r="368" ht="11.25" customHeight="1">
      <c r="A368" s="334"/>
      <c r="B368" s="334"/>
      <c r="C368" s="334"/>
      <c r="D368" s="335"/>
      <c r="E368" s="331"/>
      <c r="F368" s="331"/>
      <c r="G368" s="331"/>
      <c r="H368" s="331"/>
      <c r="I368" s="331"/>
      <c r="J368" s="335"/>
      <c r="K368" s="335"/>
      <c r="L368" s="335"/>
      <c r="M368" s="335"/>
      <c r="N368" s="335"/>
      <c r="O368" s="335"/>
      <c r="P368" s="335"/>
      <c r="Q368" s="335"/>
      <c r="R368" s="335"/>
      <c r="S368" s="336"/>
      <c r="T368" s="334"/>
      <c r="U368" s="334"/>
      <c r="V368" s="334"/>
      <c r="W368" s="334"/>
      <c r="X368" s="334"/>
      <c r="Y368" s="334"/>
      <c r="Z368" s="334"/>
      <c r="AA368" s="334"/>
      <c r="AB368" s="334"/>
      <c r="AC368" s="334"/>
      <c r="AD368" s="334"/>
      <c r="AE368" s="334"/>
      <c r="AF368" s="334"/>
      <c r="AG368" s="334"/>
      <c r="AH368" s="334"/>
      <c r="AI368" s="334"/>
      <c r="AJ368" s="334"/>
      <c r="AK368" s="334"/>
      <c r="AL368" s="334"/>
      <c r="AM368" s="334"/>
    </row>
    <row r="369" ht="11.25" customHeight="1">
      <c r="A369" s="334"/>
      <c r="B369" s="334"/>
      <c r="C369" s="334"/>
      <c r="D369" s="335"/>
      <c r="E369" s="331"/>
      <c r="F369" s="331"/>
      <c r="G369" s="331"/>
      <c r="H369" s="331"/>
      <c r="I369" s="331"/>
      <c r="J369" s="335"/>
      <c r="K369" s="335"/>
      <c r="L369" s="335"/>
      <c r="M369" s="335"/>
      <c r="N369" s="335"/>
      <c r="O369" s="335"/>
      <c r="P369" s="335"/>
      <c r="Q369" s="335"/>
      <c r="R369" s="335"/>
      <c r="S369" s="336"/>
      <c r="T369" s="334"/>
      <c r="U369" s="334"/>
      <c r="V369" s="334"/>
      <c r="W369" s="334"/>
      <c r="X369" s="334"/>
      <c r="Y369" s="334"/>
      <c r="Z369" s="334"/>
      <c r="AA369" s="334"/>
      <c r="AB369" s="334"/>
      <c r="AC369" s="334"/>
      <c r="AD369" s="334"/>
      <c r="AE369" s="334"/>
      <c r="AF369" s="334"/>
      <c r="AG369" s="334"/>
      <c r="AH369" s="334"/>
      <c r="AI369" s="334"/>
      <c r="AJ369" s="334"/>
      <c r="AK369" s="334"/>
      <c r="AL369" s="334"/>
      <c r="AM369" s="334"/>
    </row>
    <row r="370" ht="11.25" customHeight="1">
      <c r="A370" s="334"/>
      <c r="B370" s="334"/>
      <c r="C370" s="334"/>
      <c r="D370" s="335"/>
      <c r="E370" s="331"/>
      <c r="F370" s="331"/>
      <c r="G370" s="331"/>
      <c r="H370" s="331"/>
      <c r="I370" s="331"/>
      <c r="J370" s="335"/>
      <c r="K370" s="335"/>
      <c r="L370" s="335"/>
      <c r="M370" s="335"/>
      <c r="N370" s="335"/>
      <c r="O370" s="335"/>
      <c r="P370" s="335"/>
      <c r="Q370" s="335"/>
      <c r="R370" s="335"/>
      <c r="S370" s="336"/>
      <c r="T370" s="334"/>
      <c r="U370" s="334"/>
      <c r="V370" s="334"/>
      <c r="W370" s="334"/>
      <c r="X370" s="334"/>
      <c r="Y370" s="334"/>
      <c r="Z370" s="334"/>
      <c r="AA370" s="334"/>
      <c r="AB370" s="334"/>
      <c r="AC370" s="334"/>
      <c r="AD370" s="334"/>
      <c r="AE370" s="334"/>
      <c r="AF370" s="334"/>
      <c r="AG370" s="334"/>
      <c r="AH370" s="334"/>
      <c r="AI370" s="334"/>
      <c r="AJ370" s="334"/>
      <c r="AK370" s="334"/>
      <c r="AL370" s="334"/>
      <c r="AM370" s="334"/>
    </row>
    <row r="371" ht="11.25" customHeight="1">
      <c r="A371" s="334"/>
      <c r="B371" s="334"/>
      <c r="C371" s="334"/>
      <c r="D371" s="335"/>
      <c r="E371" s="331"/>
      <c r="F371" s="331"/>
      <c r="G371" s="331"/>
      <c r="H371" s="331"/>
      <c r="I371" s="331"/>
      <c r="J371" s="335"/>
      <c r="K371" s="335"/>
      <c r="L371" s="335"/>
      <c r="M371" s="335"/>
      <c r="N371" s="335"/>
      <c r="O371" s="335"/>
      <c r="P371" s="335"/>
      <c r="Q371" s="335"/>
      <c r="R371" s="335"/>
      <c r="S371" s="336"/>
      <c r="T371" s="334"/>
      <c r="U371" s="334"/>
      <c r="V371" s="334"/>
      <c r="W371" s="334"/>
      <c r="X371" s="334"/>
      <c r="Y371" s="334"/>
      <c r="Z371" s="334"/>
      <c r="AA371" s="334"/>
      <c r="AB371" s="334"/>
      <c r="AC371" s="334"/>
      <c r="AD371" s="334"/>
      <c r="AE371" s="334"/>
      <c r="AF371" s="334"/>
      <c r="AG371" s="334"/>
      <c r="AH371" s="334"/>
      <c r="AI371" s="334"/>
      <c r="AJ371" s="334"/>
      <c r="AK371" s="334"/>
      <c r="AL371" s="334"/>
      <c r="AM371" s="334"/>
    </row>
    <row r="372" ht="11.25" customHeight="1">
      <c r="A372" s="334"/>
      <c r="B372" s="334"/>
      <c r="C372" s="334"/>
      <c r="D372" s="335"/>
      <c r="E372" s="331"/>
      <c r="F372" s="331"/>
      <c r="G372" s="331"/>
      <c r="H372" s="331"/>
      <c r="I372" s="331"/>
      <c r="J372" s="335"/>
      <c r="K372" s="335"/>
      <c r="L372" s="335"/>
      <c r="M372" s="335"/>
      <c r="N372" s="335"/>
      <c r="O372" s="335"/>
      <c r="P372" s="335"/>
      <c r="Q372" s="335"/>
      <c r="R372" s="335"/>
      <c r="S372" s="336"/>
      <c r="T372" s="334"/>
      <c r="U372" s="334"/>
      <c r="V372" s="334"/>
      <c r="W372" s="334"/>
      <c r="X372" s="334"/>
      <c r="Y372" s="334"/>
      <c r="Z372" s="334"/>
      <c r="AA372" s="334"/>
      <c r="AB372" s="334"/>
      <c r="AC372" s="334"/>
      <c r="AD372" s="334"/>
      <c r="AE372" s="334"/>
      <c r="AF372" s="334"/>
      <c r="AG372" s="334"/>
      <c r="AH372" s="334"/>
      <c r="AI372" s="334"/>
      <c r="AJ372" s="334"/>
      <c r="AK372" s="334"/>
      <c r="AL372" s="334"/>
      <c r="AM372" s="334"/>
    </row>
    <row r="373" ht="11.25" customHeight="1">
      <c r="A373" s="334"/>
      <c r="B373" s="334"/>
      <c r="C373" s="334"/>
      <c r="D373" s="335"/>
      <c r="E373" s="331"/>
      <c r="F373" s="331"/>
      <c r="G373" s="331"/>
      <c r="H373" s="331"/>
      <c r="I373" s="331"/>
      <c r="J373" s="335"/>
      <c r="K373" s="335"/>
      <c r="L373" s="335"/>
      <c r="M373" s="335"/>
      <c r="N373" s="335"/>
      <c r="O373" s="335"/>
      <c r="P373" s="335"/>
      <c r="Q373" s="335"/>
      <c r="R373" s="335"/>
      <c r="S373" s="336"/>
      <c r="T373" s="334"/>
      <c r="U373" s="334"/>
      <c r="V373" s="334"/>
      <c r="W373" s="334"/>
      <c r="X373" s="334"/>
      <c r="Y373" s="334"/>
      <c r="Z373" s="334"/>
      <c r="AA373" s="334"/>
      <c r="AB373" s="334"/>
      <c r="AC373" s="334"/>
      <c r="AD373" s="334"/>
      <c r="AE373" s="334"/>
      <c r="AF373" s="334"/>
      <c r="AG373" s="334"/>
      <c r="AH373" s="334"/>
      <c r="AI373" s="334"/>
      <c r="AJ373" s="334"/>
      <c r="AK373" s="334"/>
      <c r="AL373" s="334"/>
      <c r="AM373" s="334"/>
    </row>
    <row r="374" ht="11.25" customHeight="1">
      <c r="A374" s="334"/>
      <c r="B374" s="334"/>
      <c r="C374" s="334"/>
      <c r="D374" s="335"/>
      <c r="E374" s="331"/>
      <c r="F374" s="331"/>
      <c r="G374" s="331"/>
      <c r="H374" s="331"/>
      <c r="I374" s="331"/>
      <c r="J374" s="335"/>
      <c r="K374" s="335"/>
      <c r="L374" s="335"/>
      <c r="M374" s="335"/>
      <c r="N374" s="335"/>
      <c r="O374" s="335"/>
      <c r="P374" s="335"/>
      <c r="Q374" s="335"/>
      <c r="R374" s="335"/>
      <c r="S374" s="336"/>
      <c r="T374" s="334"/>
      <c r="U374" s="334"/>
      <c r="V374" s="334"/>
      <c r="W374" s="334"/>
      <c r="X374" s="334"/>
      <c r="Y374" s="334"/>
      <c r="Z374" s="334"/>
      <c r="AA374" s="334"/>
      <c r="AB374" s="334"/>
      <c r="AC374" s="334"/>
      <c r="AD374" s="334"/>
      <c r="AE374" s="334"/>
      <c r="AF374" s="334"/>
      <c r="AG374" s="334"/>
      <c r="AH374" s="334"/>
      <c r="AI374" s="334"/>
      <c r="AJ374" s="334"/>
      <c r="AK374" s="334"/>
      <c r="AL374" s="334"/>
      <c r="AM374" s="334"/>
    </row>
    <row r="375" ht="11.25" customHeight="1">
      <c r="A375" s="334"/>
      <c r="B375" s="334"/>
      <c r="C375" s="334"/>
      <c r="D375" s="335"/>
      <c r="E375" s="331"/>
      <c r="F375" s="331"/>
      <c r="G375" s="331"/>
      <c r="H375" s="331"/>
      <c r="I375" s="331"/>
      <c r="J375" s="335"/>
      <c r="K375" s="335"/>
      <c r="L375" s="335"/>
      <c r="M375" s="335"/>
      <c r="N375" s="335"/>
      <c r="O375" s="335"/>
      <c r="P375" s="335"/>
      <c r="Q375" s="335"/>
      <c r="R375" s="335"/>
      <c r="S375" s="336"/>
      <c r="T375" s="334"/>
      <c r="U375" s="334"/>
      <c r="V375" s="334"/>
      <c r="W375" s="334"/>
      <c r="X375" s="334"/>
      <c r="Y375" s="334"/>
      <c r="Z375" s="334"/>
      <c r="AA375" s="334"/>
      <c r="AB375" s="334"/>
      <c r="AC375" s="334"/>
      <c r="AD375" s="334"/>
      <c r="AE375" s="334"/>
      <c r="AF375" s="334"/>
      <c r="AG375" s="334"/>
      <c r="AH375" s="334"/>
      <c r="AI375" s="334"/>
      <c r="AJ375" s="334"/>
      <c r="AK375" s="334"/>
      <c r="AL375" s="334"/>
      <c r="AM375" s="334"/>
    </row>
    <row r="376" ht="11.25" customHeight="1">
      <c r="A376" s="334"/>
      <c r="B376" s="334"/>
      <c r="C376" s="334"/>
      <c r="D376" s="335"/>
      <c r="E376" s="331"/>
      <c r="F376" s="331"/>
      <c r="G376" s="331"/>
      <c r="H376" s="331"/>
      <c r="I376" s="331"/>
      <c r="J376" s="335"/>
      <c r="K376" s="335"/>
      <c r="L376" s="335"/>
      <c r="M376" s="335"/>
      <c r="N376" s="335"/>
      <c r="O376" s="335"/>
      <c r="P376" s="335"/>
      <c r="Q376" s="335"/>
      <c r="R376" s="335"/>
      <c r="S376" s="336"/>
      <c r="T376" s="334"/>
      <c r="U376" s="334"/>
      <c r="V376" s="334"/>
      <c r="W376" s="334"/>
      <c r="X376" s="334"/>
      <c r="Y376" s="334"/>
      <c r="Z376" s="334"/>
      <c r="AA376" s="334"/>
      <c r="AB376" s="334"/>
      <c r="AC376" s="334"/>
      <c r="AD376" s="334"/>
      <c r="AE376" s="334"/>
      <c r="AF376" s="334"/>
      <c r="AG376" s="334"/>
      <c r="AH376" s="334"/>
      <c r="AI376" s="334"/>
      <c r="AJ376" s="334"/>
      <c r="AK376" s="334"/>
      <c r="AL376" s="334"/>
      <c r="AM376" s="334"/>
    </row>
    <row r="377" ht="11.25" customHeight="1">
      <c r="A377" s="334"/>
      <c r="B377" s="334"/>
      <c r="C377" s="334"/>
      <c r="D377" s="335"/>
      <c r="E377" s="331"/>
      <c r="F377" s="331"/>
      <c r="G377" s="331"/>
      <c r="H377" s="331"/>
      <c r="I377" s="331"/>
      <c r="J377" s="335"/>
      <c r="K377" s="335"/>
      <c r="L377" s="335"/>
      <c r="M377" s="335"/>
      <c r="N377" s="335"/>
      <c r="O377" s="335"/>
      <c r="P377" s="335"/>
      <c r="Q377" s="335"/>
      <c r="R377" s="335"/>
      <c r="S377" s="336"/>
      <c r="T377" s="334"/>
      <c r="U377" s="334"/>
      <c r="V377" s="334"/>
      <c r="W377" s="334"/>
      <c r="X377" s="334"/>
      <c r="Y377" s="334"/>
      <c r="Z377" s="334"/>
      <c r="AA377" s="334"/>
      <c r="AB377" s="334"/>
      <c r="AC377" s="334"/>
      <c r="AD377" s="334"/>
      <c r="AE377" s="334"/>
      <c r="AF377" s="334"/>
      <c r="AG377" s="334"/>
      <c r="AH377" s="334"/>
      <c r="AI377" s="334"/>
      <c r="AJ377" s="334"/>
      <c r="AK377" s="334"/>
      <c r="AL377" s="334"/>
      <c r="AM377" s="334"/>
    </row>
    <row r="378" ht="11.25" customHeight="1">
      <c r="A378" s="334"/>
      <c r="B378" s="334"/>
      <c r="C378" s="334"/>
      <c r="D378" s="335"/>
      <c r="E378" s="331"/>
      <c r="F378" s="331"/>
      <c r="G378" s="331"/>
      <c r="H378" s="331"/>
      <c r="I378" s="331"/>
      <c r="J378" s="335"/>
      <c r="K378" s="335"/>
      <c r="L378" s="335"/>
      <c r="M378" s="335"/>
      <c r="N378" s="335"/>
      <c r="O378" s="335"/>
      <c r="P378" s="335"/>
      <c r="Q378" s="335"/>
      <c r="R378" s="335"/>
      <c r="S378" s="336"/>
      <c r="T378" s="334"/>
      <c r="U378" s="334"/>
      <c r="V378" s="334"/>
      <c r="W378" s="334"/>
      <c r="X378" s="334"/>
      <c r="Y378" s="334"/>
      <c r="Z378" s="334"/>
      <c r="AA378" s="334"/>
      <c r="AB378" s="334"/>
      <c r="AC378" s="334"/>
      <c r="AD378" s="334"/>
      <c r="AE378" s="334"/>
      <c r="AF378" s="334"/>
      <c r="AG378" s="334"/>
      <c r="AH378" s="334"/>
      <c r="AI378" s="334"/>
      <c r="AJ378" s="334"/>
      <c r="AK378" s="334"/>
      <c r="AL378" s="334"/>
      <c r="AM378" s="334"/>
    </row>
    <row r="379" ht="11.25" customHeight="1">
      <c r="A379" s="334"/>
      <c r="B379" s="334"/>
      <c r="C379" s="334"/>
      <c r="D379" s="335"/>
      <c r="E379" s="331"/>
      <c r="F379" s="331"/>
      <c r="G379" s="331"/>
      <c r="H379" s="331"/>
      <c r="I379" s="331"/>
      <c r="J379" s="335"/>
      <c r="K379" s="335"/>
      <c r="L379" s="335"/>
      <c r="M379" s="335"/>
      <c r="N379" s="335"/>
      <c r="O379" s="335"/>
      <c r="P379" s="335"/>
      <c r="Q379" s="335"/>
      <c r="R379" s="335"/>
      <c r="S379" s="336"/>
      <c r="T379" s="334"/>
      <c r="U379" s="334"/>
      <c r="V379" s="334"/>
      <c r="W379" s="334"/>
      <c r="X379" s="334"/>
      <c r="Y379" s="334"/>
      <c r="Z379" s="334"/>
      <c r="AA379" s="334"/>
      <c r="AB379" s="334"/>
      <c r="AC379" s="334"/>
      <c r="AD379" s="334"/>
      <c r="AE379" s="334"/>
      <c r="AF379" s="334"/>
      <c r="AG379" s="334"/>
      <c r="AH379" s="334"/>
      <c r="AI379" s="334"/>
      <c r="AJ379" s="334"/>
      <c r="AK379" s="334"/>
      <c r="AL379" s="334"/>
      <c r="AM379" s="334"/>
    </row>
    <row r="380" ht="11.25" customHeight="1">
      <c r="A380" s="334"/>
      <c r="B380" s="334"/>
      <c r="C380" s="334"/>
      <c r="D380" s="335"/>
      <c r="E380" s="331"/>
      <c r="F380" s="331"/>
      <c r="G380" s="331"/>
      <c r="H380" s="331"/>
      <c r="I380" s="331"/>
      <c r="J380" s="335"/>
      <c r="K380" s="335"/>
      <c r="L380" s="335"/>
      <c r="M380" s="335"/>
      <c r="N380" s="335"/>
      <c r="O380" s="335"/>
      <c r="P380" s="335"/>
      <c r="Q380" s="335"/>
      <c r="R380" s="335"/>
      <c r="S380" s="336"/>
      <c r="T380" s="334"/>
      <c r="U380" s="334"/>
      <c r="V380" s="334"/>
      <c r="W380" s="334"/>
      <c r="X380" s="334"/>
      <c r="Y380" s="334"/>
      <c r="Z380" s="334"/>
      <c r="AA380" s="334"/>
      <c r="AB380" s="334"/>
      <c r="AC380" s="334"/>
      <c r="AD380" s="334"/>
      <c r="AE380" s="334"/>
      <c r="AF380" s="334"/>
      <c r="AG380" s="334"/>
      <c r="AH380" s="334"/>
      <c r="AI380" s="334"/>
      <c r="AJ380" s="334"/>
      <c r="AK380" s="334"/>
      <c r="AL380" s="334"/>
      <c r="AM380" s="334"/>
    </row>
    <row r="381" ht="11.25" customHeight="1">
      <c r="A381" s="334"/>
      <c r="B381" s="334"/>
      <c r="C381" s="334"/>
      <c r="D381" s="335"/>
      <c r="E381" s="331"/>
      <c r="F381" s="331"/>
      <c r="G381" s="331"/>
      <c r="H381" s="331"/>
      <c r="I381" s="331"/>
      <c r="J381" s="335"/>
      <c r="K381" s="335"/>
      <c r="L381" s="335"/>
      <c r="M381" s="335"/>
      <c r="N381" s="335"/>
      <c r="O381" s="335"/>
      <c r="P381" s="335"/>
      <c r="Q381" s="335"/>
      <c r="R381" s="335"/>
      <c r="S381" s="336"/>
      <c r="T381" s="334"/>
      <c r="U381" s="334"/>
      <c r="V381" s="334"/>
      <c r="W381" s="334"/>
      <c r="X381" s="334"/>
      <c r="Y381" s="334"/>
      <c r="Z381" s="334"/>
      <c r="AA381" s="334"/>
      <c r="AB381" s="334"/>
      <c r="AC381" s="334"/>
      <c r="AD381" s="334"/>
      <c r="AE381" s="334"/>
      <c r="AF381" s="334"/>
      <c r="AG381" s="334"/>
      <c r="AH381" s="334"/>
      <c r="AI381" s="334"/>
      <c r="AJ381" s="334"/>
      <c r="AK381" s="334"/>
      <c r="AL381" s="334"/>
      <c r="AM381" s="334"/>
    </row>
    <row r="382" ht="11.25" customHeight="1">
      <c r="A382" s="334"/>
      <c r="B382" s="334"/>
      <c r="C382" s="334"/>
      <c r="D382" s="335"/>
      <c r="E382" s="331"/>
      <c r="F382" s="331"/>
      <c r="G382" s="331"/>
      <c r="H382" s="331"/>
      <c r="I382" s="331"/>
      <c r="J382" s="335"/>
      <c r="K382" s="335"/>
      <c r="L382" s="335"/>
      <c r="M382" s="335"/>
      <c r="N382" s="335"/>
      <c r="O382" s="335"/>
      <c r="P382" s="335"/>
      <c r="Q382" s="335"/>
      <c r="R382" s="335"/>
      <c r="S382" s="336"/>
      <c r="T382" s="334"/>
      <c r="U382" s="334"/>
      <c r="V382" s="334"/>
      <c r="W382" s="334"/>
      <c r="X382" s="334"/>
      <c r="Y382" s="334"/>
      <c r="Z382" s="334"/>
      <c r="AA382" s="334"/>
      <c r="AB382" s="334"/>
      <c r="AC382" s="334"/>
      <c r="AD382" s="334"/>
      <c r="AE382" s="334"/>
      <c r="AF382" s="334"/>
      <c r="AG382" s="334"/>
      <c r="AH382" s="334"/>
      <c r="AI382" s="334"/>
      <c r="AJ382" s="334"/>
      <c r="AK382" s="334"/>
      <c r="AL382" s="334"/>
      <c r="AM382" s="334"/>
    </row>
    <row r="383" ht="11.25" customHeight="1">
      <c r="A383" s="334"/>
      <c r="B383" s="334"/>
      <c r="C383" s="334"/>
      <c r="D383" s="335"/>
      <c r="E383" s="331"/>
      <c r="F383" s="331"/>
      <c r="G383" s="331"/>
      <c r="H383" s="331"/>
      <c r="I383" s="331"/>
      <c r="J383" s="335"/>
      <c r="K383" s="335"/>
      <c r="L383" s="335"/>
      <c r="M383" s="335"/>
      <c r="N383" s="335"/>
      <c r="O383" s="335"/>
      <c r="P383" s="335"/>
      <c r="Q383" s="335"/>
      <c r="R383" s="335"/>
      <c r="S383" s="336"/>
      <c r="T383" s="334"/>
      <c r="U383" s="334"/>
      <c r="V383" s="334"/>
      <c r="W383" s="334"/>
      <c r="X383" s="334"/>
      <c r="Y383" s="334"/>
      <c r="Z383" s="334"/>
      <c r="AA383" s="334"/>
      <c r="AB383" s="334"/>
      <c r="AC383" s="334"/>
      <c r="AD383" s="334"/>
      <c r="AE383" s="334"/>
      <c r="AF383" s="334"/>
      <c r="AG383" s="334"/>
      <c r="AH383" s="334"/>
      <c r="AI383" s="334"/>
      <c r="AJ383" s="334"/>
      <c r="AK383" s="334"/>
      <c r="AL383" s="334"/>
      <c r="AM383" s="334"/>
    </row>
    <row r="384" ht="11.25" customHeight="1">
      <c r="A384" s="334"/>
      <c r="B384" s="334"/>
      <c r="C384" s="334"/>
      <c r="D384" s="335"/>
      <c r="E384" s="331"/>
      <c r="F384" s="331"/>
      <c r="G384" s="331"/>
      <c r="H384" s="331"/>
      <c r="I384" s="331"/>
      <c r="J384" s="335"/>
      <c r="K384" s="335"/>
      <c r="L384" s="335"/>
      <c r="M384" s="335"/>
      <c r="N384" s="335"/>
      <c r="O384" s="335"/>
      <c r="P384" s="335"/>
      <c r="Q384" s="335"/>
      <c r="R384" s="335"/>
      <c r="S384" s="336"/>
      <c r="T384" s="334"/>
      <c r="U384" s="334"/>
      <c r="V384" s="334"/>
      <c r="W384" s="334"/>
      <c r="X384" s="334"/>
      <c r="Y384" s="334"/>
      <c r="Z384" s="334"/>
      <c r="AA384" s="334"/>
      <c r="AB384" s="334"/>
      <c r="AC384" s="334"/>
      <c r="AD384" s="334"/>
      <c r="AE384" s="334"/>
      <c r="AF384" s="334"/>
      <c r="AG384" s="334"/>
      <c r="AH384" s="334"/>
      <c r="AI384" s="334"/>
      <c r="AJ384" s="334"/>
      <c r="AK384" s="334"/>
      <c r="AL384" s="334"/>
      <c r="AM384" s="334"/>
    </row>
    <row r="385" ht="11.25" customHeight="1">
      <c r="A385" s="334"/>
      <c r="B385" s="334"/>
      <c r="C385" s="334"/>
      <c r="D385" s="335"/>
      <c r="E385" s="331"/>
      <c r="F385" s="331"/>
      <c r="G385" s="331"/>
      <c r="H385" s="331"/>
      <c r="I385" s="331"/>
      <c r="J385" s="335"/>
      <c r="K385" s="335"/>
      <c r="L385" s="335"/>
      <c r="M385" s="335"/>
      <c r="N385" s="335"/>
      <c r="O385" s="335"/>
      <c r="P385" s="335"/>
      <c r="Q385" s="335"/>
      <c r="R385" s="335"/>
      <c r="S385" s="336"/>
      <c r="T385" s="334"/>
      <c r="U385" s="334"/>
      <c r="V385" s="334"/>
      <c r="W385" s="334"/>
      <c r="X385" s="334"/>
      <c r="Y385" s="334"/>
      <c r="Z385" s="334"/>
      <c r="AA385" s="334"/>
      <c r="AB385" s="334"/>
      <c r="AC385" s="334"/>
      <c r="AD385" s="334"/>
      <c r="AE385" s="334"/>
      <c r="AF385" s="334"/>
      <c r="AG385" s="334"/>
      <c r="AH385" s="334"/>
      <c r="AI385" s="334"/>
      <c r="AJ385" s="334"/>
      <c r="AK385" s="334"/>
      <c r="AL385" s="334"/>
      <c r="AM385" s="334"/>
    </row>
    <row r="386" ht="11.25" customHeight="1">
      <c r="A386" s="334"/>
      <c r="B386" s="334"/>
      <c r="C386" s="334"/>
      <c r="D386" s="335"/>
      <c r="E386" s="331"/>
      <c r="F386" s="331"/>
      <c r="G386" s="331"/>
      <c r="H386" s="331"/>
      <c r="I386" s="331"/>
      <c r="J386" s="335"/>
      <c r="K386" s="335"/>
      <c r="L386" s="335"/>
      <c r="M386" s="335"/>
      <c r="N386" s="335"/>
      <c r="O386" s="335"/>
      <c r="P386" s="335"/>
      <c r="Q386" s="335"/>
      <c r="R386" s="335"/>
      <c r="S386" s="336"/>
      <c r="T386" s="334"/>
      <c r="U386" s="334"/>
      <c r="V386" s="334"/>
      <c r="W386" s="334"/>
      <c r="X386" s="334"/>
      <c r="Y386" s="334"/>
      <c r="Z386" s="334"/>
      <c r="AA386" s="334"/>
      <c r="AB386" s="334"/>
      <c r="AC386" s="334"/>
      <c r="AD386" s="334"/>
      <c r="AE386" s="334"/>
      <c r="AF386" s="334"/>
      <c r="AG386" s="334"/>
      <c r="AH386" s="334"/>
      <c r="AI386" s="334"/>
      <c r="AJ386" s="334"/>
      <c r="AK386" s="334"/>
      <c r="AL386" s="334"/>
      <c r="AM386" s="334"/>
    </row>
    <row r="387" ht="11.25" customHeight="1">
      <c r="A387" s="334"/>
      <c r="B387" s="334"/>
      <c r="C387" s="334"/>
      <c r="D387" s="335"/>
      <c r="E387" s="331"/>
      <c r="F387" s="331"/>
      <c r="G387" s="331"/>
      <c r="H387" s="331"/>
      <c r="I387" s="331"/>
      <c r="J387" s="335"/>
      <c r="K387" s="335"/>
      <c r="L387" s="335"/>
      <c r="M387" s="335"/>
      <c r="N387" s="335"/>
      <c r="O387" s="335"/>
      <c r="P387" s="335"/>
      <c r="Q387" s="335"/>
      <c r="R387" s="335"/>
      <c r="S387" s="336"/>
      <c r="T387" s="334"/>
      <c r="U387" s="334"/>
      <c r="V387" s="334"/>
      <c r="W387" s="334"/>
      <c r="X387" s="334"/>
      <c r="Y387" s="334"/>
      <c r="Z387" s="334"/>
      <c r="AA387" s="334"/>
      <c r="AB387" s="334"/>
      <c r="AC387" s="334"/>
      <c r="AD387" s="334"/>
      <c r="AE387" s="334"/>
      <c r="AF387" s="334"/>
      <c r="AG387" s="334"/>
      <c r="AH387" s="334"/>
      <c r="AI387" s="334"/>
      <c r="AJ387" s="334"/>
      <c r="AK387" s="334"/>
      <c r="AL387" s="334"/>
      <c r="AM387" s="334"/>
    </row>
    <row r="388" ht="11.25" customHeight="1">
      <c r="A388" s="334"/>
      <c r="B388" s="334"/>
      <c r="C388" s="334"/>
      <c r="D388" s="335"/>
      <c r="E388" s="331"/>
      <c r="F388" s="331"/>
      <c r="G388" s="331"/>
      <c r="H388" s="331"/>
      <c r="I388" s="331"/>
      <c r="J388" s="335"/>
      <c r="K388" s="335"/>
      <c r="L388" s="335"/>
      <c r="M388" s="335"/>
      <c r="N388" s="335"/>
      <c r="O388" s="335"/>
      <c r="P388" s="335"/>
      <c r="Q388" s="335"/>
      <c r="R388" s="335"/>
      <c r="S388" s="336"/>
      <c r="T388" s="334"/>
      <c r="U388" s="334"/>
      <c r="V388" s="334"/>
      <c r="W388" s="334"/>
      <c r="X388" s="334"/>
      <c r="Y388" s="334"/>
      <c r="Z388" s="334"/>
      <c r="AA388" s="334"/>
      <c r="AB388" s="334"/>
      <c r="AC388" s="334"/>
      <c r="AD388" s="334"/>
      <c r="AE388" s="334"/>
      <c r="AF388" s="334"/>
      <c r="AG388" s="334"/>
      <c r="AH388" s="334"/>
      <c r="AI388" s="334"/>
      <c r="AJ388" s="334"/>
      <c r="AK388" s="334"/>
      <c r="AL388" s="334"/>
      <c r="AM388" s="334"/>
    </row>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M10:Q12">
    <cfRule type="cellIs" dxfId="0" priority="1" operator="between">
      <formula>20000</formula>
      <formula>60000</formula>
    </cfRule>
  </conditionalFormatting>
  <conditionalFormatting sqref="J10:L12">
    <cfRule type="cellIs" dxfId="0" priority="2" operator="between">
      <formula>20000</formula>
      <formula>60000</formula>
    </cfRule>
  </conditionalFormatting>
  <printOptions/>
  <pageMargins bottom="0.75" footer="0.0" header="0.0" left="0.7" right="0.7" top="0.75"/>
  <pageSetup fitToHeight="0" orientation="landscape"/>
  <headerFooter>
    <oddHeader>&amp;C&amp;D &amp;T&amp;R&amp;F</oddHeader>
    <oddFooter>&amp;CCONFIDENTIAL</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fitToPage="1"/>
  </sheetPr>
  <sheetViews>
    <sheetView showGridLines="0"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4.43" defaultRowHeight="15.0" outlineLevelCol="7" outlineLevelRow="7"/>
  <cols>
    <col customWidth="1" min="1" max="1" width="2.14"/>
    <col customWidth="1" min="2" max="2" width="24.0"/>
    <col customWidth="1" min="3" max="3" width="7.43" outlineLevel="1"/>
    <col customWidth="1" min="4" max="4" width="7.43" outlineLevel="4"/>
    <col customWidth="1" min="5" max="5" width="5.43" outlineLevel="4"/>
    <col customWidth="1" hidden="1" min="6" max="6" width="8.86" outlineLevel="7"/>
    <col customWidth="1" min="7" max="7" width="8.86" outlineLevel="2"/>
    <col customWidth="1" min="8" max="17" width="8.86" outlineLevel="1"/>
    <col customWidth="1" min="18" max="20" width="8.86"/>
    <col customWidth="1" min="21" max="21" width="4.14"/>
    <col customWidth="1" min="22" max="22" width="1.43"/>
    <col customWidth="1" min="23" max="23" width="5.14"/>
    <col customWidth="1" min="24" max="24" width="6.86"/>
    <col customWidth="1" min="25" max="37" width="8.86"/>
  </cols>
  <sheetData>
    <row r="1" ht="12.0" customHeight="1">
      <c r="A1" s="310" t="s">
        <v>58</v>
      </c>
      <c r="B1" s="310"/>
      <c r="C1" s="310"/>
      <c r="D1" s="310"/>
      <c r="E1" s="310"/>
      <c r="F1" s="310"/>
      <c r="G1" s="523"/>
      <c r="H1" s="310"/>
      <c r="I1" s="310"/>
      <c r="J1" s="310"/>
      <c r="K1" s="310"/>
      <c r="L1" s="310"/>
      <c r="M1" s="310"/>
      <c r="N1" s="310"/>
      <c r="O1" s="310"/>
      <c r="P1" s="310"/>
      <c r="Q1" s="311"/>
      <c r="R1" s="311"/>
      <c r="S1" s="310"/>
      <c r="T1" s="310"/>
      <c r="U1" s="310"/>
      <c r="V1" s="310"/>
      <c r="W1" s="310"/>
      <c r="X1" s="310"/>
      <c r="Y1" s="310"/>
      <c r="Z1" s="310"/>
      <c r="AA1" s="310"/>
      <c r="AB1" s="310"/>
      <c r="AC1" s="310"/>
      <c r="AD1" s="310"/>
      <c r="AE1" s="310"/>
      <c r="AF1" s="310"/>
      <c r="AG1" s="310"/>
      <c r="AH1" s="310"/>
      <c r="AI1" s="310"/>
      <c r="AJ1" s="310"/>
      <c r="AK1" s="310"/>
    </row>
    <row r="2" ht="12.0" customHeight="1">
      <c r="A2" s="9"/>
      <c r="B2" s="10"/>
      <c r="C2" s="9"/>
      <c r="D2" s="11"/>
      <c r="E2" s="9"/>
      <c r="F2" s="12" t="s">
        <v>3</v>
      </c>
      <c r="G2" s="99" t="s">
        <v>4</v>
      </c>
      <c r="H2" s="100" t="s">
        <v>6</v>
      </c>
      <c r="I2" s="101">
        <v>2020.0</v>
      </c>
      <c r="J2" s="102">
        <v>2021.0</v>
      </c>
      <c r="K2" s="101">
        <v>2022.0</v>
      </c>
      <c r="L2" s="103">
        <f t="shared" ref="L2:Q2" si="1">K2+1</f>
        <v>2023</v>
      </c>
      <c r="M2" s="101">
        <f t="shared" si="1"/>
        <v>2024</v>
      </c>
      <c r="N2" s="101">
        <f t="shared" si="1"/>
        <v>2025</v>
      </c>
      <c r="O2" s="101">
        <f t="shared" si="1"/>
        <v>2026</v>
      </c>
      <c r="P2" s="101">
        <f t="shared" si="1"/>
        <v>2027</v>
      </c>
      <c r="Q2" s="101">
        <f t="shared" si="1"/>
        <v>2028</v>
      </c>
      <c r="R2" s="104"/>
      <c r="S2" s="312"/>
      <c r="T2" s="9"/>
      <c r="U2" s="9"/>
      <c r="V2" s="9"/>
      <c r="W2" s="9"/>
      <c r="X2" s="9"/>
      <c r="Y2" s="9"/>
      <c r="Z2" s="9"/>
      <c r="AA2" s="9"/>
      <c r="AB2" s="9"/>
      <c r="AC2" s="9"/>
      <c r="AD2" s="9"/>
      <c r="AE2" s="9"/>
      <c r="AF2" s="9"/>
      <c r="AG2" s="9"/>
      <c r="AH2" s="9"/>
      <c r="AI2" s="9"/>
      <c r="AJ2" s="9"/>
      <c r="AK2" s="9"/>
    </row>
    <row r="3" ht="12.0" customHeight="1" outlineLevel="2">
      <c r="A3" s="9"/>
      <c r="B3" s="17"/>
      <c r="C3" s="18"/>
      <c r="D3" s="19"/>
      <c r="E3" s="19"/>
      <c r="F3" s="20"/>
      <c r="G3" s="524"/>
      <c r="H3" s="22"/>
      <c r="I3" s="22"/>
      <c r="J3" s="107"/>
      <c r="K3" s="23"/>
      <c r="L3" s="108"/>
      <c r="M3" s="23"/>
      <c r="N3" s="23"/>
      <c r="O3" s="23"/>
      <c r="P3" s="23"/>
      <c r="Q3" s="23"/>
      <c r="R3" s="109"/>
      <c r="S3" s="313"/>
      <c r="T3" s="9"/>
      <c r="U3" s="9"/>
      <c r="V3" s="9"/>
      <c r="W3" s="9"/>
      <c r="X3" s="9"/>
      <c r="Y3" s="9"/>
      <c r="Z3" s="9"/>
      <c r="AA3" s="9"/>
      <c r="AB3" s="9"/>
      <c r="AC3" s="9"/>
      <c r="AD3" s="9"/>
      <c r="AE3" s="9"/>
      <c r="AF3" s="9"/>
      <c r="AG3" s="9"/>
      <c r="AH3" s="9"/>
      <c r="AI3" s="9"/>
      <c r="AJ3" s="9"/>
      <c r="AK3" s="9"/>
    </row>
    <row r="4" ht="12.0" customHeight="1" outlineLevel="1">
      <c r="A4" s="24"/>
      <c r="B4" s="111" t="s">
        <v>7</v>
      </c>
      <c r="C4" s="36"/>
      <c r="D4" s="112"/>
      <c r="E4" s="112"/>
      <c r="F4" s="113">
        <v>23.202560000000005</v>
      </c>
      <c r="G4" s="162">
        <f>'Standalone Case'!G4</f>
        <v>27.1</v>
      </c>
      <c r="H4" s="279">
        <f>JILL!L4</f>
        <v>33.8</v>
      </c>
      <c r="I4" s="279">
        <f>JILL!M4</f>
        <v>59.73</v>
      </c>
      <c r="J4" s="279">
        <f>JILL!N4</f>
        <v>80.5</v>
      </c>
      <c r="K4" s="115">
        <f t="shared" ref="K4:Q4" si="2">J4*(1+K5)</f>
        <v>96.6</v>
      </c>
      <c r="L4" s="116">
        <f t="shared" si="2"/>
        <v>115.92</v>
      </c>
      <c r="M4" s="115">
        <f t="shared" si="2"/>
        <v>127.512</v>
      </c>
      <c r="N4" s="115">
        <f t="shared" si="2"/>
        <v>140.2632</v>
      </c>
      <c r="O4" s="115">
        <f t="shared" si="2"/>
        <v>154.28952</v>
      </c>
      <c r="P4" s="115">
        <f t="shared" si="2"/>
        <v>169.718472</v>
      </c>
      <c r="Q4" s="115">
        <f t="shared" si="2"/>
        <v>186.6903192</v>
      </c>
      <c r="R4" s="109"/>
      <c r="S4" s="314"/>
      <c r="T4" s="36"/>
      <c r="U4" s="36"/>
      <c r="V4" s="36"/>
      <c r="W4" s="36"/>
      <c r="X4" s="36"/>
      <c r="Y4" s="36"/>
      <c r="Z4" s="36"/>
      <c r="AA4" s="36"/>
      <c r="AB4" s="36"/>
      <c r="AC4" s="36"/>
      <c r="AD4" s="36"/>
      <c r="AE4" s="36"/>
      <c r="AF4" s="36"/>
      <c r="AG4" s="36"/>
      <c r="AH4" s="36"/>
      <c r="AI4" s="36"/>
      <c r="AJ4" s="36"/>
      <c r="AK4" s="36"/>
    </row>
    <row r="5" ht="13.5" customHeight="1" outlineLevel="1">
      <c r="A5" s="24"/>
      <c r="B5" s="119" t="s">
        <v>8</v>
      </c>
      <c r="C5" s="120">
        <v>0.2</v>
      </c>
      <c r="D5" s="120">
        <v>0.1</v>
      </c>
      <c r="E5" s="112"/>
      <c r="F5" s="121">
        <f>'mgmt '!I25</f>
        <v>0.1875783389</v>
      </c>
      <c r="G5" s="122">
        <f t="shared" ref="G5:J5" si="3">G4/F4-1</f>
        <v>0.1679745683</v>
      </c>
      <c r="H5" s="123">
        <f t="shared" si="3"/>
        <v>0.2472324723</v>
      </c>
      <c r="I5" s="123">
        <f t="shared" si="3"/>
        <v>0.7671597633</v>
      </c>
      <c r="J5" s="123">
        <f t="shared" si="3"/>
        <v>0.3477314582</v>
      </c>
      <c r="K5" s="123">
        <f>C5</f>
        <v>0.2</v>
      </c>
      <c r="L5" s="124">
        <f>K5</f>
        <v>0.2</v>
      </c>
      <c r="M5" s="123">
        <f>D5</f>
        <v>0.1</v>
      </c>
      <c r="N5" s="123">
        <f t="shared" ref="N5:Q5" si="4">M5</f>
        <v>0.1</v>
      </c>
      <c r="O5" s="123">
        <f t="shared" si="4"/>
        <v>0.1</v>
      </c>
      <c r="P5" s="123">
        <f t="shared" si="4"/>
        <v>0.1</v>
      </c>
      <c r="Q5" s="123">
        <f t="shared" si="4"/>
        <v>0.1</v>
      </c>
      <c r="R5" s="125"/>
      <c r="S5" s="314"/>
      <c r="T5" s="36"/>
      <c r="U5" s="36"/>
      <c r="V5" s="36"/>
      <c r="W5" s="36"/>
      <c r="X5" s="36"/>
      <c r="Y5" s="36"/>
      <c r="Z5" s="36"/>
      <c r="AA5" s="36"/>
      <c r="AB5" s="36"/>
      <c r="AC5" s="36"/>
      <c r="AD5" s="36"/>
      <c r="AE5" s="36"/>
      <c r="AF5" s="36"/>
      <c r="AG5" s="36"/>
      <c r="AH5" s="36"/>
      <c r="AI5" s="36"/>
      <c r="AJ5" s="36"/>
      <c r="AK5" s="36"/>
    </row>
    <row r="6" ht="12.0" customHeight="1" outlineLevel="4">
      <c r="A6" s="36"/>
      <c r="B6" s="129"/>
      <c r="C6" s="36"/>
      <c r="D6" s="112"/>
      <c r="E6" s="112"/>
      <c r="F6" s="130"/>
      <c r="G6" s="131"/>
      <c r="H6" s="132"/>
      <c r="I6" s="123"/>
      <c r="J6" s="122"/>
      <c r="K6" s="123"/>
      <c r="L6" s="124"/>
      <c r="M6" s="123"/>
      <c r="N6" s="123"/>
      <c r="O6" s="123"/>
      <c r="P6" s="123"/>
      <c r="Q6" s="123"/>
      <c r="R6" s="109"/>
      <c r="S6" s="314"/>
      <c r="T6" s="36"/>
      <c r="U6" s="36"/>
      <c r="V6" s="36"/>
      <c r="W6" s="36"/>
      <c r="X6" s="36"/>
      <c r="Y6" s="36"/>
      <c r="Z6" s="36"/>
      <c r="AA6" s="36"/>
      <c r="AB6" s="36"/>
      <c r="AC6" s="36"/>
      <c r="AD6" s="36"/>
      <c r="AE6" s="36"/>
      <c r="AF6" s="36"/>
      <c r="AG6" s="36"/>
      <c r="AH6" s="36"/>
      <c r="AI6" s="36"/>
      <c r="AJ6" s="36"/>
      <c r="AK6" s="36"/>
    </row>
    <row r="7" ht="12.0" customHeight="1" outlineLevel="2">
      <c r="A7" s="39"/>
      <c r="B7" s="136" t="s">
        <v>9</v>
      </c>
      <c r="C7" s="45" t="s">
        <v>110</v>
      </c>
      <c r="D7" s="45"/>
      <c r="E7" s="137"/>
      <c r="F7" s="138">
        <f>'mgmt '!I48</f>
        <v>9.44350909</v>
      </c>
      <c r="G7" s="525">
        <f>'Standalone Case'!G7</f>
        <v>10.942581</v>
      </c>
      <c r="H7" s="526">
        <f>JILL!L7</f>
        <v>13.6</v>
      </c>
      <c r="I7" s="526">
        <f>JILL!M7</f>
        <v>22.06</v>
      </c>
      <c r="J7" s="526">
        <f>JILL!N7</f>
        <v>31.1</v>
      </c>
      <c r="K7" s="140">
        <f t="shared" ref="K7:Q7" si="5">K4*K8</f>
        <v>37.32</v>
      </c>
      <c r="L7" s="141">
        <f t="shared" si="5"/>
        <v>44.784</v>
      </c>
      <c r="M7" s="140">
        <f t="shared" si="5"/>
        <v>49.2624</v>
      </c>
      <c r="N7" s="140">
        <f t="shared" si="5"/>
        <v>54.18864</v>
      </c>
      <c r="O7" s="140">
        <f t="shared" si="5"/>
        <v>59.607504</v>
      </c>
      <c r="P7" s="140">
        <f t="shared" si="5"/>
        <v>65.5682544</v>
      </c>
      <c r="Q7" s="140">
        <f t="shared" si="5"/>
        <v>72.12507984</v>
      </c>
      <c r="R7" s="115"/>
      <c r="S7" s="315"/>
      <c r="T7" s="45"/>
      <c r="U7" s="45"/>
      <c r="V7" s="45"/>
      <c r="W7" s="45"/>
      <c r="X7" s="45"/>
      <c r="Y7" s="45"/>
      <c r="Z7" s="45"/>
      <c r="AA7" s="45"/>
      <c r="AB7" s="45"/>
      <c r="AC7" s="45"/>
      <c r="AD7" s="45"/>
      <c r="AE7" s="45"/>
      <c r="AF7" s="45"/>
      <c r="AG7" s="45"/>
      <c r="AH7" s="45"/>
      <c r="AI7" s="45"/>
      <c r="AJ7" s="45"/>
      <c r="AK7" s="45"/>
    </row>
    <row r="8" ht="12.0" customHeight="1" outlineLevel="1">
      <c r="A8" s="39"/>
      <c r="B8" s="143" t="s">
        <v>10</v>
      </c>
      <c r="C8" s="120">
        <v>0.0</v>
      </c>
      <c r="D8" s="120">
        <v>0.0</v>
      </c>
      <c r="E8" s="45"/>
      <c r="F8" s="144">
        <f t="shared" ref="F8:J8" si="6">F7/F4</f>
        <v>0.4070028949</v>
      </c>
      <c r="G8" s="145">
        <f t="shared" si="6"/>
        <v>0.4037852768</v>
      </c>
      <c r="H8" s="146">
        <f t="shared" si="6"/>
        <v>0.4023668639</v>
      </c>
      <c r="I8" s="146">
        <f t="shared" si="6"/>
        <v>0.3693286456</v>
      </c>
      <c r="J8" s="147">
        <f t="shared" si="6"/>
        <v>0.3863354037</v>
      </c>
      <c r="K8" s="148">
        <f t="shared" ref="K8:L8" si="7">J8+$C8</f>
        <v>0.3863354037</v>
      </c>
      <c r="L8" s="149">
        <f t="shared" si="7"/>
        <v>0.3863354037</v>
      </c>
      <c r="M8" s="148">
        <f t="shared" ref="M8:Q8" si="8">L8+$D8</f>
        <v>0.3863354037</v>
      </c>
      <c r="N8" s="148">
        <f t="shared" si="8"/>
        <v>0.3863354037</v>
      </c>
      <c r="O8" s="148">
        <f t="shared" si="8"/>
        <v>0.3863354037</v>
      </c>
      <c r="P8" s="148">
        <f t="shared" si="8"/>
        <v>0.3863354037</v>
      </c>
      <c r="Q8" s="148">
        <f t="shared" si="8"/>
        <v>0.3863354037</v>
      </c>
      <c r="R8" s="150"/>
      <c r="S8" s="316"/>
      <c r="T8" s="153"/>
      <c r="U8" s="153"/>
      <c r="V8" s="153"/>
      <c r="W8" s="153"/>
      <c r="X8" s="153"/>
      <c r="Y8" s="153"/>
      <c r="Z8" s="153"/>
      <c r="AA8" s="153"/>
      <c r="AB8" s="153"/>
      <c r="AC8" s="153"/>
      <c r="AD8" s="153"/>
      <c r="AE8" s="153"/>
      <c r="AF8" s="153"/>
      <c r="AG8" s="153"/>
      <c r="AH8" s="153"/>
      <c r="AI8" s="153"/>
      <c r="AJ8" s="153"/>
      <c r="AK8" s="153"/>
    </row>
    <row r="9" ht="12.0" customHeight="1" outlineLevel="2">
      <c r="A9" s="45"/>
      <c r="B9" s="154"/>
      <c r="C9" s="49"/>
      <c r="D9" s="155"/>
      <c r="E9" s="155"/>
      <c r="F9" s="156"/>
      <c r="G9" s="147"/>
      <c r="H9" s="157"/>
      <c r="I9" s="148"/>
      <c r="J9" s="147"/>
      <c r="K9" s="148"/>
      <c r="L9" s="149"/>
      <c r="M9" s="148"/>
      <c r="N9" s="148"/>
      <c r="O9" s="148"/>
      <c r="P9" s="148"/>
      <c r="Q9" s="148"/>
      <c r="R9" s="109"/>
      <c r="S9" s="317"/>
      <c r="T9" s="45"/>
      <c r="U9" s="45"/>
      <c r="V9" s="45"/>
      <c r="W9" s="45"/>
      <c r="X9" s="45"/>
      <c r="Y9" s="45"/>
      <c r="Z9" s="45"/>
      <c r="AA9" s="45"/>
      <c r="AB9" s="45"/>
      <c r="AC9" s="45"/>
      <c r="AD9" s="45"/>
      <c r="AE9" s="45"/>
      <c r="AF9" s="45"/>
      <c r="AG9" s="45"/>
      <c r="AH9" s="45"/>
      <c r="AI9" s="45"/>
      <c r="AJ9" s="45"/>
      <c r="AK9" s="45"/>
    </row>
    <row r="10" ht="12.0" customHeight="1" outlineLevel="1">
      <c r="A10" s="49"/>
      <c r="B10" s="159" t="s">
        <v>11</v>
      </c>
      <c r="C10" s="49"/>
      <c r="D10" s="160"/>
      <c r="E10" s="160"/>
      <c r="F10" s="161">
        <f t="shared" ref="F10:Q10" si="9">F4-F7</f>
        <v>13.75905091</v>
      </c>
      <c r="G10" s="162">
        <f t="shared" si="9"/>
        <v>16.157419</v>
      </c>
      <c r="H10" s="115">
        <f t="shared" si="9"/>
        <v>20.2</v>
      </c>
      <c r="I10" s="115">
        <f t="shared" si="9"/>
        <v>37.67</v>
      </c>
      <c r="J10" s="162">
        <f t="shared" si="9"/>
        <v>49.4</v>
      </c>
      <c r="K10" s="115">
        <f t="shared" si="9"/>
        <v>59.28</v>
      </c>
      <c r="L10" s="116">
        <f t="shared" si="9"/>
        <v>71.136</v>
      </c>
      <c r="M10" s="115">
        <f t="shared" si="9"/>
        <v>78.2496</v>
      </c>
      <c r="N10" s="115">
        <f t="shared" si="9"/>
        <v>86.07456</v>
      </c>
      <c r="O10" s="115">
        <f t="shared" si="9"/>
        <v>94.682016</v>
      </c>
      <c r="P10" s="115">
        <f t="shared" si="9"/>
        <v>104.1502176</v>
      </c>
      <c r="Q10" s="115">
        <f t="shared" si="9"/>
        <v>114.5652394</v>
      </c>
      <c r="R10" s="49"/>
      <c r="S10" s="318"/>
      <c r="T10" s="49"/>
      <c r="U10" s="49"/>
      <c r="V10" s="49"/>
      <c r="W10" s="49"/>
      <c r="X10" s="49"/>
      <c r="Y10" s="49"/>
      <c r="Z10" s="49"/>
      <c r="AA10" s="49"/>
      <c r="AB10" s="49"/>
      <c r="AC10" s="49"/>
      <c r="AD10" s="49"/>
      <c r="AE10" s="49"/>
      <c r="AF10" s="49"/>
      <c r="AG10" s="49"/>
      <c r="AH10" s="49"/>
      <c r="AI10" s="49"/>
      <c r="AJ10" s="49"/>
      <c r="AK10" s="49"/>
    </row>
    <row r="11" ht="12.0" customHeight="1" outlineLevel="1">
      <c r="A11" s="49"/>
      <c r="B11" s="129" t="s">
        <v>12</v>
      </c>
      <c r="C11" s="49"/>
      <c r="D11" s="160"/>
      <c r="E11" s="160"/>
      <c r="F11" s="121">
        <f t="shared" ref="F11:Q11" si="10">F10/F4</f>
        <v>0.5929971051</v>
      </c>
      <c r="G11" s="122">
        <f t="shared" si="10"/>
        <v>0.5962147232</v>
      </c>
      <c r="H11" s="123">
        <f t="shared" si="10"/>
        <v>0.5976331361</v>
      </c>
      <c r="I11" s="123">
        <f t="shared" si="10"/>
        <v>0.6306713544</v>
      </c>
      <c r="J11" s="122">
        <f t="shared" si="10"/>
        <v>0.6136645963</v>
      </c>
      <c r="K11" s="123">
        <f t="shared" si="10"/>
        <v>0.6136645963</v>
      </c>
      <c r="L11" s="124">
        <f t="shared" si="10"/>
        <v>0.6136645963</v>
      </c>
      <c r="M11" s="123">
        <f t="shared" si="10"/>
        <v>0.6136645963</v>
      </c>
      <c r="N11" s="123">
        <f t="shared" si="10"/>
        <v>0.6136645963</v>
      </c>
      <c r="O11" s="123">
        <f t="shared" si="10"/>
        <v>0.6136645963</v>
      </c>
      <c r="P11" s="123">
        <f t="shared" si="10"/>
        <v>0.6136645963</v>
      </c>
      <c r="Q11" s="123">
        <f t="shared" si="10"/>
        <v>0.6136645963</v>
      </c>
      <c r="R11" s="49"/>
      <c r="S11" s="316"/>
      <c r="T11" s="49"/>
      <c r="U11" s="49"/>
      <c r="V11" s="49"/>
      <c r="W11" s="49"/>
      <c r="X11" s="49"/>
      <c r="Y11" s="49"/>
      <c r="Z11" s="49"/>
      <c r="AA11" s="49"/>
      <c r="AB11" s="49"/>
      <c r="AC11" s="49"/>
      <c r="AD11" s="49"/>
      <c r="AE11" s="49"/>
      <c r="AF11" s="49"/>
      <c r="AG11" s="49"/>
      <c r="AH11" s="49"/>
      <c r="AI11" s="49"/>
      <c r="AJ11" s="49"/>
      <c r="AK11" s="49"/>
    </row>
    <row r="12" ht="12.0" customHeight="1" outlineLevel="1">
      <c r="A12" s="45"/>
      <c r="B12" s="164"/>
      <c r="C12" s="49"/>
      <c r="D12" s="155"/>
      <c r="E12" s="155"/>
      <c r="F12" s="144"/>
      <c r="G12" s="147"/>
      <c r="H12" s="148"/>
      <c r="I12" s="148"/>
      <c r="J12" s="147"/>
      <c r="K12" s="148"/>
      <c r="L12" s="149"/>
      <c r="M12" s="148"/>
      <c r="N12" s="148"/>
      <c r="O12" s="148"/>
      <c r="P12" s="148"/>
      <c r="Q12" s="148"/>
      <c r="R12" s="109"/>
      <c r="S12" s="317"/>
      <c r="T12" s="45"/>
      <c r="U12" s="45"/>
      <c r="V12" s="45"/>
      <c r="W12" s="45"/>
      <c r="X12" s="45"/>
      <c r="Y12" s="45"/>
      <c r="Z12" s="45"/>
      <c r="AA12" s="45"/>
      <c r="AB12" s="45"/>
      <c r="AC12" s="45"/>
      <c r="AD12" s="45"/>
      <c r="AE12" s="45"/>
      <c r="AF12" s="45"/>
      <c r="AG12" s="45"/>
      <c r="AH12" s="45"/>
      <c r="AI12" s="45"/>
      <c r="AJ12" s="45"/>
      <c r="AK12" s="45"/>
    </row>
    <row r="13" ht="12.0" customHeight="1" outlineLevel="2">
      <c r="A13" s="45"/>
      <c r="B13" s="165" t="s">
        <v>13</v>
      </c>
      <c r="C13" s="49"/>
      <c r="D13" s="155"/>
      <c r="E13" s="155"/>
      <c r="F13" s="144"/>
      <c r="G13" s="147"/>
      <c r="H13" s="148"/>
      <c r="I13" s="148"/>
      <c r="J13" s="147" t="s">
        <v>14</v>
      </c>
      <c r="K13" s="148"/>
      <c r="L13" s="149"/>
      <c r="M13" s="148"/>
      <c r="N13" s="148"/>
      <c r="O13" s="148"/>
      <c r="P13" s="148"/>
      <c r="Q13" s="148"/>
      <c r="R13" s="166"/>
      <c r="S13" s="317"/>
      <c r="T13" s="45"/>
      <c r="U13" s="45"/>
      <c r="V13" s="45"/>
      <c r="W13" s="45"/>
      <c r="X13" s="45"/>
      <c r="Y13" s="45"/>
      <c r="Z13" s="45"/>
      <c r="AA13" s="45"/>
      <c r="AB13" s="45"/>
      <c r="AC13" s="45"/>
      <c r="AD13" s="45"/>
      <c r="AE13" s="45"/>
      <c r="AF13" s="45"/>
      <c r="AG13" s="45"/>
      <c r="AH13" s="45"/>
      <c r="AI13" s="45"/>
      <c r="AJ13" s="45"/>
      <c r="AK13" s="45"/>
    </row>
    <row r="14" ht="12.0" customHeight="1" outlineLevel="2">
      <c r="A14" s="45"/>
      <c r="B14" s="201" t="s">
        <v>15</v>
      </c>
      <c r="C14" s="49"/>
      <c r="D14" s="168"/>
      <c r="E14" s="168"/>
      <c r="F14" s="138">
        <f>'mgmt '!I65+'mgmt '!I64</f>
        <v>7.727007</v>
      </c>
      <c r="G14" s="527">
        <f>'Standalone Case'!G14</f>
        <v>7.614628</v>
      </c>
      <c r="H14" s="526">
        <f>JILL!L14</f>
        <v>9.9</v>
      </c>
      <c r="I14" s="526">
        <f>JILL!M14</f>
        <v>14.3</v>
      </c>
      <c r="J14" s="526">
        <f>JILL!N14</f>
        <v>16.4</v>
      </c>
      <c r="K14" s="140">
        <f t="shared" ref="K14:Q14" si="11">K$4*K21</f>
        <v>19.68</v>
      </c>
      <c r="L14" s="141">
        <f t="shared" si="11"/>
        <v>23.616</v>
      </c>
      <c r="M14" s="140">
        <f t="shared" si="11"/>
        <v>25.9776</v>
      </c>
      <c r="N14" s="140">
        <f t="shared" si="11"/>
        <v>28.57536</v>
      </c>
      <c r="O14" s="140">
        <f t="shared" si="11"/>
        <v>31.432896</v>
      </c>
      <c r="P14" s="140">
        <f t="shared" si="11"/>
        <v>34.5761856</v>
      </c>
      <c r="Q14" s="140">
        <f t="shared" si="11"/>
        <v>38.03380416</v>
      </c>
      <c r="R14" s="170"/>
      <c r="S14" s="315"/>
      <c r="T14" s="45"/>
      <c r="U14" s="45"/>
      <c r="V14" s="45"/>
      <c r="W14" s="45"/>
      <c r="X14" s="45"/>
      <c r="Y14" s="45"/>
      <c r="Z14" s="45"/>
      <c r="AA14" s="45"/>
      <c r="AB14" s="45"/>
      <c r="AC14" s="45"/>
      <c r="AD14" s="45"/>
      <c r="AE14" s="45"/>
      <c r="AF14" s="45"/>
      <c r="AG14" s="45"/>
      <c r="AH14" s="45"/>
      <c r="AI14" s="45"/>
      <c r="AJ14" s="45"/>
      <c r="AK14" s="45"/>
    </row>
    <row r="15" ht="12.0" customHeight="1" outlineLevel="2">
      <c r="A15" s="45"/>
      <c r="B15" s="201" t="s">
        <v>16</v>
      </c>
      <c r="C15" s="49"/>
      <c r="D15" s="168"/>
      <c r="E15" s="168"/>
      <c r="F15" s="138">
        <f>'mgmt '!I63+'mgmt '!I66+'mgmt '!I67+'mgmt '!I69</f>
        <v>7.308554</v>
      </c>
      <c r="G15" s="527">
        <f>'Standalone Case'!G15</f>
        <v>6.992441</v>
      </c>
      <c r="H15" s="526">
        <f>JILL!L15</f>
        <v>1.7</v>
      </c>
      <c r="I15" s="526">
        <f>JILL!M15</f>
        <v>3.4</v>
      </c>
      <c r="J15" s="526">
        <f>JILL!N15</f>
        <v>0.4</v>
      </c>
      <c r="K15" s="140">
        <f t="shared" ref="K15:Q15" si="12">K$4*K22</f>
        <v>0.48</v>
      </c>
      <c r="L15" s="141">
        <f t="shared" si="12"/>
        <v>0.576</v>
      </c>
      <c r="M15" s="140">
        <f t="shared" si="12"/>
        <v>0.6336</v>
      </c>
      <c r="N15" s="140">
        <f t="shared" si="12"/>
        <v>0.69696</v>
      </c>
      <c r="O15" s="140">
        <f t="shared" si="12"/>
        <v>0.766656</v>
      </c>
      <c r="P15" s="140">
        <f t="shared" si="12"/>
        <v>0.8433216</v>
      </c>
      <c r="Q15" s="140">
        <f t="shared" si="12"/>
        <v>0.92765376</v>
      </c>
      <c r="R15" s="109"/>
      <c r="S15" s="315"/>
      <c r="T15" s="45"/>
      <c r="U15" s="45"/>
      <c r="V15" s="45"/>
      <c r="W15" s="45"/>
      <c r="X15" s="45"/>
      <c r="Y15" s="45"/>
      <c r="Z15" s="45"/>
      <c r="AA15" s="45"/>
      <c r="AB15" s="45"/>
      <c r="AC15" s="45"/>
      <c r="AD15" s="45"/>
      <c r="AE15" s="45"/>
      <c r="AF15" s="45"/>
      <c r="AG15" s="45"/>
      <c r="AH15" s="45"/>
      <c r="AI15" s="45"/>
      <c r="AJ15" s="45"/>
      <c r="AK15" s="45"/>
    </row>
    <row r="16" ht="12.0" customHeight="1" outlineLevel="2">
      <c r="A16" s="45"/>
      <c r="B16" s="528" t="s">
        <v>17</v>
      </c>
      <c r="C16" s="18"/>
      <c r="D16" s="171"/>
      <c r="E16" s="171"/>
      <c r="F16" s="172">
        <f>'mgmt '!I70-('Synergy Base Case - old'!F14+'Synergy Base Case - old'!F15)</f>
        <v>0.11225</v>
      </c>
      <c r="G16" s="527">
        <f>'Standalone Case'!G16</f>
        <v>0.018178</v>
      </c>
      <c r="H16" s="529">
        <f>JILL!L16</f>
        <v>11.3</v>
      </c>
      <c r="I16" s="529">
        <f>JILL!M16</f>
        <v>13.6</v>
      </c>
      <c r="J16" s="529">
        <f>JILL!N16</f>
        <v>15.1</v>
      </c>
      <c r="K16" s="173">
        <f t="shared" ref="K16:Q16" si="13">K$4*K23</f>
        <v>18.12</v>
      </c>
      <c r="L16" s="174">
        <f t="shared" si="13"/>
        <v>21.744</v>
      </c>
      <c r="M16" s="173">
        <f t="shared" si="13"/>
        <v>23.9184</v>
      </c>
      <c r="N16" s="173">
        <f t="shared" si="13"/>
        <v>26.31024</v>
      </c>
      <c r="O16" s="173">
        <f t="shared" si="13"/>
        <v>28.941264</v>
      </c>
      <c r="P16" s="173">
        <f t="shared" si="13"/>
        <v>31.8353904</v>
      </c>
      <c r="Q16" s="173">
        <f t="shared" si="13"/>
        <v>35.01892944</v>
      </c>
      <c r="R16" s="109"/>
      <c r="S16" s="315"/>
      <c r="T16" s="45"/>
      <c r="U16" s="45"/>
      <c r="V16" s="45"/>
      <c r="W16" s="45"/>
      <c r="X16" s="45"/>
      <c r="Y16" s="45"/>
      <c r="Z16" s="45"/>
      <c r="AA16" s="45"/>
      <c r="AB16" s="45"/>
      <c r="AC16" s="45"/>
      <c r="AD16" s="45"/>
      <c r="AE16" s="45"/>
      <c r="AF16" s="45"/>
      <c r="AG16" s="45"/>
      <c r="AH16" s="45"/>
      <c r="AI16" s="45"/>
      <c r="AJ16" s="45"/>
      <c r="AK16" s="45"/>
    </row>
    <row r="17" ht="12.0" customHeight="1" outlineLevel="1">
      <c r="A17" s="61"/>
      <c r="B17" s="175" t="s">
        <v>18</v>
      </c>
      <c r="C17" s="153"/>
      <c r="D17" s="176"/>
      <c r="E17" s="176"/>
      <c r="F17" s="161">
        <f t="shared" ref="F17:Q17" si="14">SUM(F14:F16)</f>
        <v>15.147811</v>
      </c>
      <c r="G17" s="162">
        <f t="shared" si="14"/>
        <v>14.625247</v>
      </c>
      <c r="H17" s="115">
        <f t="shared" si="14"/>
        <v>22.9</v>
      </c>
      <c r="I17" s="115">
        <f t="shared" si="14"/>
        <v>31.3</v>
      </c>
      <c r="J17" s="162">
        <f t="shared" si="14"/>
        <v>31.9</v>
      </c>
      <c r="K17" s="115">
        <f t="shared" si="14"/>
        <v>38.28</v>
      </c>
      <c r="L17" s="116">
        <f t="shared" si="14"/>
        <v>45.936</v>
      </c>
      <c r="M17" s="115">
        <f t="shared" si="14"/>
        <v>50.5296</v>
      </c>
      <c r="N17" s="115">
        <f t="shared" si="14"/>
        <v>55.58256</v>
      </c>
      <c r="O17" s="115">
        <f t="shared" si="14"/>
        <v>61.140816</v>
      </c>
      <c r="P17" s="115">
        <f t="shared" si="14"/>
        <v>67.2548976</v>
      </c>
      <c r="Q17" s="115">
        <f t="shared" si="14"/>
        <v>73.98038736</v>
      </c>
      <c r="R17" s="109"/>
      <c r="S17" s="320"/>
      <c r="T17" s="61"/>
      <c r="U17" s="61"/>
      <c r="V17" s="61"/>
      <c r="W17" s="61"/>
      <c r="X17" s="61"/>
      <c r="Y17" s="61"/>
      <c r="Z17" s="61"/>
      <c r="AA17" s="61"/>
      <c r="AB17" s="61"/>
      <c r="AC17" s="61"/>
      <c r="AD17" s="61"/>
      <c r="AE17" s="61"/>
      <c r="AF17" s="61"/>
      <c r="AG17" s="61"/>
      <c r="AH17" s="61"/>
      <c r="AI17" s="61"/>
      <c r="AJ17" s="61"/>
      <c r="AK17" s="61"/>
    </row>
    <row r="18" ht="12.0" customHeight="1" outlineLevel="1">
      <c r="A18" s="61"/>
      <c r="B18" s="178" t="s">
        <v>19</v>
      </c>
      <c r="C18" s="153"/>
      <c r="D18" s="176"/>
      <c r="E18" s="176"/>
      <c r="F18" s="121">
        <f t="shared" ref="F18:Q18" si="15">F17/F4</f>
        <v>0.6528508492</v>
      </c>
      <c r="G18" s="122">
        <f t="shared" si="15"/>
        <v>0.5396770111</v>
      </c>
      <c r="H18" s="123">
        <f t="shared" si="15"/>
        <v>0.6775147929</v>
      </c>
      <c r="I18" s="123">
        <f t="shared" si="15"/>
        <v>0.5240247782</v>
      </c>
      <c r="J18" s="122">
        <f t="shared" si="15"/>
        <v>0.3962732919</v>
      </c>
      <c r="K18" s="123">
        <f t="shared" si="15"/>
        <v>0.3962732919</v>
      </c>
      <c r="L18" s="124">
        <f t="shared" si="15"/>
        <v>0.3962732919</v>
      </c>
      <c r="M18" s="123">
        <f t="shared" si="15"/>
        <v>0.3962732919</v>
      </c>
      <c r="N18" s="123">
        <f t="shared" si="15"/>
        <v>0.3962732919</v>
      </c>
      <c r="O18" s="123">
        <f t="shared" si="15"/>
        <v>0.3962732919</v>
      </c>
      <c r="P18" s="123">
        <f t="shared" si="15"/>
        <v>0.3962732919</v>
      </c>
      <c r="Q18" s="123">
        <f t="shared" si="15"/>
        <v>0.3962732919</v>
      </c>
      <c r="R18" s="109"/>
      <c r="S18" s="316"/>
      <c r="T18" s="61"/>
      <c r="U18" s="61"/>
      <c r="V18" s="61"/>
      <c r="W18" s="61"/>
      <c r="X18" s="61"/>
      <c r="Y18" s="61"/>
      <c r="Z18" s="61"/>
      <c r="AA18" s="61"/>
      <c r="AB18" s="61"/>
      <c r="AC18" s="61"/>
      <c r="AD18" s="61"/>
      <c r="AE18" s="61"/>
      <c r="AF18" s="61"/>
      <c r="AG18" s="61"/>
      <c r="AH18" s="61"/>
      <c r="AI18" s="61"/>
      <c r="AJ18" s="61"/>
      <c r="AK18" s="61"/>
    </row>
    <row r="19" ht="12.0" customHeight="1" outlineLevel="2">
      <c r="A19" s="45"/>
      <c r="B19" s="178"/>
      <c r="C19" s="49"/>
      <c r="D19" s="179"/>
      <c r="E19" s="179"/>
      <c r="F19" s="121"/>
      <c r="G19" s="122"/>
      <c r="H19" s="123"/>
      <c r="I19" s="123"/>
      <c r="J19" s="122"/>
      <c r="K19" s="123"/>
      <c r="L19" s="124"/>
      <c r="M19" s="123"/>
      <c r="N19" s="123"/>
      <c r="O19" s="123"/>
      <c r="P19" s="123"/>
      <c r="Q19" s="123"/>
      <c r="R19" s="109"/>
      <c r="S19" s="316"/>
      <c r="T19" s="45"/>
      <c r="U19" s="45"/>
      <c r="V19" s="45"/>
      <c r="W19" s="45"/>
      <c r="X19" s="45"/>
      <c r="Y19" s="45"/>
      <c r="Z19" s="45"/>
      <c r="AA19" s="45"/>
      <c r="AB19" s="45"/>
      <c r="AC19" s="45"/>
      <c r="AD19" s="45"/>
      <c r="AE19" s="45"/>
      <c r="AF19" s="45"/>
      <c r="AG19" s="45"/>
      <c r="AH19" s="45"/>
      <c r="AI19" s="45"/>
      <c r="AJ19" s="45"/>
      <c r="AK19" s="45"/>
    </row>
    <row r="20" ht="12.0" customHeight="1" outlineLevel="2">
      <c r="A20" s="45"/>
      <c r="B20" s="165" t="s">
        <v>20</v>
      </c>
      <c r="C20" s="49" t="s">
        <v>110</v>
      </c>
      <c r="D20" s="179"/>
      <c r="E20" s="179"/>
      <c r="F20" s="156"/>
      <c r="G20" s="147"/>
      <c r="H20" s="148"/>
      <c r="I20" s="148"/>
      <c r="J20" s="147"/>
      <c r="K20" s="148"/>
      <c r="L20" s="149"/>
      <c r="M20" s="148"/>
      <c r="N20" s="148"/>
      <c r="O20" s="148"/>
      <c r="P20" s="148"/>
      <c r="Q20" s="148"/>
      <c r="R20" s="109"/>
      <c r="S20" s="317"/>
      <c r="T20" s="45"/>
      <c r="U20" s="45"/>
      <c r="V20" s="45"/>
      <c r="W20" s="45"/>
      <c r="X20" s="45"/>
      <c r="Y20" s="45"/>
      <c r="Z20" s="45"/>
      <c r="AA20" s="45"/>
      <c r="AB20" s="45"/>
      <c r="AC20" s="45"/>
      <c r="AD20" s="45"/>
      <c r="AE20" s="45"/>
      <c r="AF20" s="45"/>
      <c r="AG20" s="45"/>
      <c r="AH20" s="45"/>
      <c r="AI20" s="45"/>
      <c r="AJ20" s="45"/>
      <c r="AK20" s="45"/>
    </row>
    <row r="21" ht="12.0" customHeight="1" outlineLevel="2">
      <c r="A21" s="67"/>
      <c r="B21" s="167" t="s">
        <v>15</v>
      </c>
      <c r="C21" s="120">
        <v>0.0</v>
      </c>
      <c r="D21" s="120">
        <v>0.0</v>
      </c>
      <c r="E21" s="180"/>
      <c r="F21" s="156">
        <f t="shared" ref="F21:J21" si="16">F14/F$4</f>
        <v>0.3330238991</v>
      </c>
      <c r="G21" s="147">
        <f t="shared" si="16"/>
        <v>0.280982583</v>
      </c>
      <c r="H21" s="148">
        <f t="shared" si="16"/>
        <v>0.2928994083</v>
      </c>
      <c r="I21" s="148">
        <f t="shared" si="16"/>
        <v>0.2394106814</v>
      </c>
      <c r="J21" s="147">
        <f t="shared" si="16"/>
        <v>0.2037267081</v>
      </c>
      <c r="K21" s="148">
        <f t="shared" ref="K21:L21" si="17">J21+$C21</f>
        <v>0.2037267081</v>
      </c>
      <c r="L21" s="149">
        <f t="shared" si="17"/>
        <v>0.2037267081</v>
      </c>
      <c r="M21" s="148">
        <f t="shared" ref="M21:Q21" si="18">L21+$D21</f>
        <v>0.2037267081</v>
      </c>
      <c r="N21" s="148">
        <f t="shared" si="18"/>
        <v>0.2037267081</v>
      </c>
      <c r="O21" s="148">
        <f t="shared" si="18"/>
        <v>0.2037267081</v>
      </c>
      <c r="P21" s="148">
        <f t="shared" si="18"/>
        <v>0.2037267081</v>
      </c>
      <c r="Q21" s="148">
        <f t="shared" si="18"/>
        <v>0.2037267081</v>
      </c>
      <c r="R21" s="109"/>
      <c r="S21" s="317"/>
      <c r="T21" s="180"/>
      <c r="U21" s="180"/>
      <c r="V21" s="180"/>
      <c r="W21" s="180"/>
      <c r="X21" s="180"/>
      <c r="Y21" s="180"/>
      <c r="Z21" s="180"/>
      <c r="AA21" s="180"/>
      <c r="AB21" s="180"/>
      <c r="AC21" s="180"/>
      <c r="AD21" s="180"/>
      <c r="AE21" s="180"/>
      <c r="AF21" s="180"/>
      <c r="AG21" s="180"/>
      <c r="AH21" s="180"/>
      <c r="AI21" s="180"/>
      <c r="AJ21" s="180"/>
      <c r="AK21" s="180"/>
    </row>
    <row r="22" ht="12.0" customHeight="1" outlineLevel="2">
      <c r="A22" s="67"/>
      <c r="B22" s="167" t="s">
        <v>16</v>
      </c>
      <c r="C22" s="120">
        <v>0.0</v>
      </c>
      <c r="D22" s="120">
        <v>0.0</v>
      </c>
      <c r="E22" s="180"/>
      <c r="F22" s="156">
        <f t="shared" ref="F22:J22" si="19">F15/F$4</f>
        <v>0.3149891219</v>
      </c>
      <c r="G22" s="147">
        <f t="shared" si="19"/>
        <v>0.2580236531</v>
      </c>
      <c r="H22" s="148">
        <f t="shared" si="19"/>
        <v>0.05029585799</v>
      </c>
      <c r="I22" s="148">
        <f t="shared" si="19"/>
        <v>0.05692281935</v>
      </c>
      <c r="J22" s="147">
        <f t="shared" si="19"/>
        <v>0.004968944099</v>
      </c>
      <c r="K22" s="148">
        <f t="shared" ref="K22:L22" si="20">J22+$C22</f>
        <v>0.004968944099</v>
      </c>
      <c r="L22" s="149">
        <f t="shared" si="20"/>
        <v>0.004968944099</v>
      </c>
      <c r="M22" s="148">
        <f t="shared" ref="M22:Q22" si="21">L22+$D22</f>
        <v>0.004968944099</v>
      </c>
      <c r="N22" s="148">
        <f t="shared" si="21"/>
        <v>0.004968944099</v>
      </c>
      <c r="O22" s="148">
        <f t="shared" si="21"/>
        <v>0.004968944099</v>
      </c>
      <c r="P22" s="148">
        <f t="shared" si="21"/>
        <v>0.004968944099</v>
      </c>
      <c r="Q22" s="148">
        <f t="shared" si="21"/>
        <v>0.004968944099</v>
      </c>
      <c r="R22" s="109"/>
      <c r="S22" s="317"/>
      <c r="T22" s="180"/>
      <c r="U22" s="180"/>
      <c r="V22" s="180"/>
      <c r="W22" s="180"/>
      <c r="X22" s="180"/>
      <c r="Y22" s="180"/>
      <c r="Z22" s="180"/>
      <c r="AA22" s="180"/>
      <c r="AB22" s="180"/>
      <c r="AC22" s="180"/>
      <c r="AD22" s="180"/>
      <c r="AE22" s="180"/>
      <c r="AF22" s="180"/>
      <c r="AG22" s="180"/>
      <c r="AH22" s="180"/>
      <c r="AI22" s="180"/>
      <c r="AJ22" s="180"/>
      <c r="AK22" s="180"/>
    </row>
    <row r="23" ht="12.0" customHeight="1" outlineLevel="2">
      <c r="A23" s="67"/>
      <c r="B23" s="167" t="s">
        <v>17</v>
      </c>
      <c r="C23" s="120">
        <v>0.0</v>
      </c>
      <c r="D23" s="120">
        <v>0.0</v>
      </c>
      <c r="E23" s="182"/>
      <c r="F23" s="183">
        <f t="shared" ref="F23:J23" si="22">F16/F$4</f>
        <v>0.00483782824</v>
      </c>
      <c r="G23" s="184">
        <f t="shared" si="22"/>
        <v>0.0006707749077</v>
      </c>
      <c r="H23" s="185">
        <f t="shared" si="22"/>
        <v>0.3343195266</v>
      </c>
      <c r="I23" s="185">
        <f t="shared" si="22"/>
        <v>0.2276912774</v>
      </c>
      <c r="J23" s="184">
        <f t="shared" si="22"/>
        <v>0.1875776398</v>
      </c>
      <c r="K23" s="148">
        <f t="shared" ref="K23:L23" si="23">J23+$C23</f>
        <v>0.1875776398</v>
      </c>
      <c r="L23" s="149">
        <f t="shared" si="23"/>
        <v>0.1875776398</v>
      </c>
      <c r="M23" s="148">
        <f t="shared" ref="M23:Q23" si="24">L23+$D23</f>
        <v>0.1875776398</v>
      </c>
      <c r="N23" s="148">
        <f t="shared" si="24"/>
        <v>0.1875776398</v>
      </c>
      <c r="O23" s="148">
        <f t="shared" si="24"/>
        <v>0.1875776398</v>
      </c>
      <c r="P23" s="148">
        <f t="shared" si="24"/>
        <v>0.1875776398</v>
      </c>
      <c r="Q23" s="148">
        <f t="shared" si="24"/>
        <v>0.1875776398</v>
      </c>
      <c r="R23" s="109"/>
      <c r="S23" s="317"/>
      <c r="T23" s="180"/>
      <c r="U23" s="180"/>
      <c r="V23" s="180"/>
      <c r="W23" s="180"/>
      <c r="X23" s="180"/>
      <c r="Y23" s="180"/>
      <c r="Z23" s="180"/>
      <c r="AA23" s="180"/>
      <c r="AB23" s="180"/>
      <c r="AC23" s="180"/>
      <c r="AD23" s="180"/>
      <c r="AE23" s="180"/>
      <c r="AF23" s="180"/>
      <c r="AG23" s="180"/>
      <c r="AH23" s="180"/>
      <c r="AI23" s="180"/>
      <c r="AJ23" s="180"/>
      <c r="AK23" s="180"/>
    </row>
    <row r="24" ht="12.0" customHeight="1" outlineLevel="2">
      <c r="A24" s="45"/>
      <c r="B24" s="187" t="s">
        <v>21</v>
      </c>
      <c r="C24" s="188"/>
      <c r="D24" s="17"/>
      <c r="E24" s="17"/>
      <c r="F24" s="190"/>
      <c r="G24" s="122">
        <f t="shared" ref="G24:J24" si="25">SUM(G21:G23)</f>
        <v>0.5396770111</v>
      </c>
      <c r="H24" s="123">
        <f t="shared" si="25"/>
        <v>0.6775147929</v>
      </c>
      <c r="I24" s="123">
        <f t="shared" si="25"/>
        <v>0.5240247782</v>
      </c>
      <c r="J24" s="122">
        <f t="shared" si="25"/>
        <v>0.3962732919</v>
      </c>
      <c r="K24" s="192"/>
      <c r="L24" s="193"/>
      <c r="M24" s="192"/>
      <c r="N24" s="192"/>
      <c r="O24" s="192"/>
      <c r="P24" s="192"/>
      <c r="Q24" s="192"/>
      <c r="R24" s="109"/>
      <c r="S24" s="318"/>
      <c r="T24" s="45"/>
      <c r="U24" s="45"/>
      <c r="V24" s="45"/>
      <c r="W24" s="45"/>
      <c r="X24" s="45"/>
      <c r="Y24" s="45"/>
      <c r="Z24" s="45"/>
      <c r="AA24" s="45"/>
      <c r="AB24" s="45"/>
      <c r="AC24" s="45"/>
      <c r="AD24" s="45"/>
      <c r="AE24" s="45"/>
      <c r="AF24" s="45"/>
      <c r="AG24" s="45"/>
      <c r="AH24" s="45"/>
      <c r="AI24" s="45"/>
      <c r="AJ24" s="45"/>
      <c r="AK24" s="45"/>
    </row>
    <row r="25" ht="12.0" customHeight="1" outlineLevel="1">
      <c r="A25" s="45"/>
      <c r="B25" s="189"/>
      <c r="C25" s="188"/>
      <c r="D25" s="17"/>
      <c r="E25" s="17"/>
      <c r="F25" s="161">
        <f>F10-F17</f>
        <v>-1.38876009</v>
      </c>
      <c r="G25" s="191"/>
      <c r="H25" s="192"/>
      <c r="I25" s="192"/>
      <c r="J25" s="191"/>
      <c r="K25" s="45"/>
      <c r="L25" s="45"/>
      <c r="M25" s="45"/>
      <c r="N25" s="45"/>
      <c r="O25" s="45"/>
      <c r="P25" s="45"/>
      <c r="Q25" s="45"/>
      <c r="R25" s="109"/>
      <c r="S25" s="318"/>
      <c r="T25" s="45"/>
      <c r="U25" s="45"/>
      <c r="V25" s="45"/>
      <c r="W25" s="45"/>
      <c r="X25" s="45"/>
      <c r="Y25" s="45"/>
      <c r="Z25" s="45"/>
      <c r="AA25" s="45"/>
      <c r="AB25" s="45"/>
      <c r="AC25" s="45"/>
      <c r="AD25" s="45"/>
      <c r="AE25" s="45"/>
      <c r="AF25" s="45"/>
      <c r="AG25" s="45"/>
      <c r="AH25" s="45"/>
      <c r="AI25" s="45"/>
      <c r="AJ25" s="45"/>
      <c r="AK25" s="45"/>
    </row>
    <row r="26" ht="12.0" customHeight="1" outlineLevel="1">
      <c r="A26" s="45"/>
      <c r="B26" s="194" t="s">
        <v>22</v>
      </c>
      <c r="C26" s="195"/>
      <c r="D26" s="17"/>
      <c r="E26" s="17"/>
      <c r="F26" s="121">
        <f>F25/F4</f>
        <v>-0.05985374416</v>
      </c>
      <c r="G26" s="162">
        <f t="shared" ref="G26:Q26" si="26">G10-G17</f>
        <v>1.532172</v>
      </c>
      <c r="H26" s="115">
        <f t="shared" si="26"/>
        <v>-2.7</v>
      </c>
      <c r="I26" s="115">
        <f t="shared" si="26"/>
        <v>6.37</v>
      </c>
      <c r="J26" s="162">
        <f t="shared" si="26"/>
        <v>17.5</v>
      </c>
      <c r="K26" s="115">
        <f t="shared" si="26"/>
        <v>21</v>
      </c>
      <c r="L26" s="116">
        <f t="shared" si="26"/>
        <v>25.2</v>
      </c>
      <c r="M26" s="115">
        <f t="shared" si="26"/>
        <v>27.72</v>
      </c>
      <c r="N26" s="115">
        <f t="shared" si="26"/>
        <v>30.492</v>
      </c>
      <c r="O26" s="115">
        <f t="shared" si="26"/>
        <v>33.5412</v>
      </c>
      <c r="P26" s="115">
        <f t="shared" si="26"/>
        <v>36.89532</v>
      </c>
      <c r="Q26" s="115">
        <f t="shared" si="26"/>
        <v>40.584852</v>
      </c>
      <c r="R26" s="109"/>
      <c r="S26" s="316"/>
      <c r="T26" s="45"/>
      <c r="U26" s="45"/>
      <c r="V26" s="45"/>
      <c r="W26" s="45"/>
      <c r="X26" s="45"/>
      <c r="Y26" s="45"/>
      <c r="Z26" s="45"/>
      <c r="AA26" s="45"/>
      <c r="AB26" s="45"/>
      <c r="AC26" s="45"/>
      <c r="AD26" s="45"/>
      <c r="AE26" s="45"/>
      <c r="AF26" s="45"/>
      <c r="AG26" s="45"/>
      <c r="AH26" s="45"/>
      <c r="AI26" s="45"/>
      <c r="AJ26" s="45"/>
      <c r="AK26" s="45"/>
    </row>
    <row r="27" ht="12.0" customHeight="1" outlineLevel="2">
      <c r="A27" s="45"/>
      <c r="B27" s="187" t="s">
        <v>12</v>
      </c>
      <c r="C27" s="49"/>
      <c r="D27" s="159"/>
      <c r="E27" s="159"/>
      <c r="F27" s="196"/>
      <c r="G27" s="122">
        <f t="shared" ref="G27:Q27" si="27">G26/G4</f>
        <v>0.05653771218</v>
      </c>
      <c r="H27" s="123">
        <f t="shared" si="27"/>
        <v>-0.0798816568</v>
      </c>
      <c r="I27" s="123">
        <f t="shared" si="27"/>
        <v>0.1066465763</v>
      </c>
      <c r="J27" s="122">
        <f t="shared" si="27"/>
        <v>0.2173913043</v>
      </c>
      <c r="K27" s="123">
        <f t="shared" si="27"/>
        <v>0.2173913043</v>
      </c>
      <c r="L27" s="124">
        <f t="shared" si="27"/>
        <v>0.2173913043</v>
      </c>
      <c r="M27" s="123">
        <f t="shared" si="27"/>
        <v>0.2173913043</v>
      </c>
      <c r="N27" s="123">
        <f t="shared" si="27"/>
        <v>0.2173913043</v>
      </c>
      <c r="O27" s="123">
        <f t="shared" si="27"/>
        <v>0.2173913043</v>
      </c>
      <c r="P27" s="123">
        <f t="shared" si="27"/>
        <v>0.2173913043</v>
      </c>
      <c r="Q27" s="123">
        <f t="shared" si="27"/>
        <v>0.2173913043</v>
      </c>
      <c r="R27" s="109"/>
      <c r="S27" s="321"/>
      <c r="T27" s="45"/>
      <c r="U27" s="45"/>
      <c r="V27" s="45"/>
      <c r="W27" s="45"/>
      <c r="X27" s="45"/>
      <c r="Y27" s="45"/>
      <c r="Z27" s="45"/>
      <c r="AA27" s="45"/>
      <c r="AB27" s="45"/>
      <c r="AC27" s="45"/>
      <c r="AD27" s="45"/>
      <c r="AE27" s="45"/>
      <c r="AF27" s="45"/>
      <c r="AG27" s="45"/>
      <c r="AH27" s="45"/>
      <c r="AI27" s="45"/>
      <c r="AJ27" s="45"/>
      <c r="AK27" s="45"/>
    </row>
    <row r="28" ht="12.0" customHeight="1" outlineLevel="2">
      <c r="A28" s="45"/>
      <c r="B28" s="194"/>
      <c r="C28" s="49"/>
      <c r="D28" s="129"/>
      <c r="E28" s="129"/>
      <c r="F28" s="196"/>
      <c r="G28" s="122"/>
      <c r="H28" s="198"/>
      <c r="I28" s="198"/>
      <c r="J28" s="197"/>
      <c r="K28" s="198"/>
      <c r="L28" s="199"/>
      <c r="M28" s="198"/>
      <c r="N28" s="198"/>
      <c r="O28" s="198"/>
      <c r="P28" s="198"/>
      <c r="Q28" s="198"/>
      <c r="R28" s="109"/>
      <c r="S28" s="321"/>
      <c r="T28" s="45"/>
      <c r="U28" s="45"/>
      <c r="V28" s="45"/>
      <c r="W28" s="45"/>
      <c r="X28" s="45"/>
      <c r="Y28" s="45"/>
      <c r="Z28" s="45"/>
      <c r="AA28" s="45"/>
      <c r="AB28" s="45"/>
      <c r="AC28" s="45"/>
      <c r="AD28" s="45"/>
      <c r="AE28" s="45"/>
      <c r="AF28" s="45"/>
      <c r="AG28" s="45"/>
      <c r="AH28" s="45"/>
      <c r="AI28" s="45"/>
      <c r="AJ28" s="45"/>
      <c r="AK28" s="45"/>
    </row>
    <row r="29" ht="12.0" customHeight="1" outlineLevel="7">
      <c r="A29" s="78"/>
      <c r="B29" s="201" t="s">
        <v>23</v>
      </c>
      <c r="C29" s="49"/>
      <c r="D29" s="136"/>
      <c r="E29" s="202"/>
      <c r="F29" s="203">
        <f>'mgmt '!I86</f>
        <v>0.99483639</v>
      </c>
      <c r="G29" s="527">
        <f>'Standalone Case'!G29</f>
        <v>2.2</v>
      </c>
      <c r="H29" s="526">
        <f>JILL!H29</f>
        <v>1.28</v>
      </c>
      <c r="I29" s="526">
        <f>JILL!I29</f>
        <v>1.3</v>
      </c>
      <c r="J29" s="526">
        <f>JILL!J29</f>
        <v>2.8</v>
      </c>
      <c r="K29" s="204">
        <f t="shared" ref="K29:Q29" si="28">K4*K30</f>
        <v>5.064</v>
      </c>
      <c r="L29" s="205">
        <f t="shared" si="28"/>
        <v>6.0768</v>
      </c>
      <c r="M29" s="204">
        <f t="shared" si="28"/>
        <v>6.68448</v>
      </c>
      <c r="N29" s="204">
        <f t="shared" si="28"/>
        <v>7.352928</v>
      </c>
      <c r="O29" s="204">
        <f t="shared" si="28"/>
        <v>8.0882208</v>
      </c>
      <c r="P29" s="204">
        <f t="shared" si="28"/>
        <v>8.89704288</v>
      </c>
      <c r="Q29" s="204">
        <f t="shared" si="28"/>
        <v>9.786747168</v>
      </c>
      <c r="R29" s="212"/>
      <c r="S29" s="315"/>
      <c r="T29" s="45"/>
      <c r="U29" s="45"/>
      <c r="V29" s="45"/>
      <c r="W29" s="45"/>
      <c r="X29" s="45"/>
      <c r="Y29" s="45"/>
      <c r="Z29" s="45"/>
      <c r="AA29" s="45"/>
      <c r="AB29" s="45"/>
      <c r="AC29" s="45"/>
      <c r="AD29" s="45"/>
      <c r="AE29" s="45"/>
      <c r="AF29" s="45"/>
      <c r="AG29" s="45"/>
      <c r="AH29" s="45"/>
      <c r="AI29" s="45"/>
      <c r="AJ29" s="45"/>
      <c r="AK29" s="45"/>
    </row>
    <row r="30" ht="12.0" customHeight="1" outlineLevel="7">
      <c r="A30" s="78"/>
      <c r="B30" s="167" t="s">
        <v>10</v>
      </c>
      <c r="C30" s="207">
        <f>C36</f>
        <v>0.05242236025</v>
      </c>
      <c r="D30" s="207">
        <f>C30</f>
        <v>0.05242236025</v>
      </c>
      <c r="E30" s="208"/>
      <c r="F30" s="156">
        <f t="shared" ref="F30:J30" si="29">F29/F4</f>
        <v>0.04287614772</v>
      </c>
      <c r="G30" s="147">
        <f t="shared" si="29"/>
        <v>0.08118081181</v>
      </c>
      <c r="H30" s="148">
        <f t="shared" si="29"/>
        <v>0.03786982249</v>
      </c>
      <c r="I30" s="148">
        <f t="shared" si="29"/>
        <v>0.0217646074</v>
      </c>
      <c r="J30" s="209">
        <f t="shared" si="29"/>
        <v>0.0347826087</v>
      </c>
      <c r="K30" s="157">
        <f>C30</f>
        <v>0.05242236025</v>
      </c>
      <c r="L30" s="210">
        <f>K30</f>
        <v>0.05242236025</v>
      </c>
      <c r="M30" s="157">
        <f>D30</f>
        <v>0.05242236025</v>
      </c>
      <c r="N30" s="157">
        <f t="shared" ref="N30:Q30" si="30">M30</f>
        <v>0.05242236025</v>
      </c>
      <c r="O30" s="157">
        <f t="shared" si="30"/>
        <v>0.05242236025</v>
      </c>
      <c r="P30" s="157">
        <f t="shared" si="30"/>
        <v>0.05242236025</v>
      </c>
      <c r="Q30" s="157">
        <f t="shared" si="30"/>
        <v>0.05242236025</v>
      </c>
      <c r="R30" s="157"/>
      <c r="S30" s="317"/>
      <c r="T30" s="45"/>
      <c r="U30" s="45"/>
      <c r="V30" s="45"/>
      <c r="W30" s="45"/>
      <c r="X30" s="45"/>
      <c r="Y30" s="45"/>
      <c r="Z30" s="45"/>
      <c r="AA30" s="45"/>
      <c r="AB30" s="45"/>
      <c r="AC30" s="45"/>
      <c r="AD30" s="45"/>
      <c r="AE30" s="45"/>
      <c r="AF30" s="45"/>
      <c r="AG30" s="45"/>
      <c r="AH30" s="45"/>
      <c r="AI30" s="45"/>
      <c r="AJ30" s="45"/>
      <c r="AK30" s="45"/>
    </row>
    <row r="31" ht="12.0" customHeight="1" outlineLevel="2">
      <c r="A31" s="80"/>
      <c r="B31" s="167"/>
      <c r="C31" s="49"/>
      <c r="D31" s="211"/>
      <c r="E31" s="208"/>
      <c r="F31" s="156"/>
      <c r="G31" s="147"/>
      <c r="H31" s="148"/>
      <c r="I31" s="157"/>
      <c r="J31" s="209"/>
      <c r="K31" s="157"/>
      <c r="L31" s="210"/>
      <c r="M31" s="157"/>
      <c r="N31" s="157"/>
      <c r="O31" s="157"/>
      <c r="P31" s="157"/>
      <c r="Q31" s="157"/>
      <c r="R31" s="212"/>
      <c r="S31" s="317"/>
      <c r="T31" s="45"/>
      <c r="U31" s="45"/>
      <c r="V31" s="45"/>
      <c r="W31" s="45"/>
      <c r="X31" s="45"/>
      <c r="Y31" s="45"/>
      <c r="Z31" s="45"/>
      <c r="AA31" s="45"/>
      <c r="AB31" s="45"/>
      <c r="AC31" s="45"/>
      <c r="AD31" s="45"/>
      <c r="AE31" s="45"/>
      <c r="AF31" s="45"/>
      <c r="AG31" s="45"/>
      <c r="AH31" s="45"/>
      <c r="AI31" s="45"/>
      <c r="AJ31" s="45"/>
      <c r="AK31" s="45"/>
    </row>
    <row r="32" ht="12.0" customHeight="1" outlineLevel="1">
      <c r="A32" s="45"/>
      <c r="B32" s="194" t="s">
        <v>24</v>
      </c>
      <c r="C32" s="195"/>
      <c r="D32" s="211"/>
      <c r="E32" s="211"/>
      <c r="F32" s="161">
        <f>F25+F29</f>
        <v>-0.3939237</v>
      </c>
      <c r="G32" s="162">
        <f t="shared" ref="G32:Q32" si="31">G26+G29</f>
        <v>3.732172</v>
      </c>
      <c r="H32" s="115">
        <f t="shared" si="31"/>
        <v>-1.42</v>
      </c>
      <c r="I32" s="115">
        <f t="shared" si="31"/>
        <v>7.67</v>
      </c>
      <c r="J32" s="162">
        <f t="shared" si="31"/>
        <v>20.3</v>
      </c>
      <c r="K32" s="115">
        <f t="shared" si="31"/>
        <v>26.064</v>
      </c>
      <c r="L32" s="116">
        <f t="shared" si="31"/>
        <v>31.2768</v>
      </c>
      <c r="M32" s="115">
        <f t="shared" si="31"/>
        <v>34.40448</v>
      </c>
      <c r="N32" s="115">
        <f t="shared" si="31"/>
        <v>37.844928</v>
      </c>
      <c r="O32" s="115">
        <f t="shared" si="31"/>
        <v>41.6294208</v>
      </c>
      <c r="P32" s="115">
        <f t="shared" si="31"/>
        <v>45.79236288</v>
      </c>
      <c r="Q32" s="115">
        <f t="shared" si="31"/>
        <v>50.37159917</v>
      </c>
      <c r="R32" s="109"/>
      <c r="S32" s="318"/>
      <c r="T32" s="45"/>
      <c r="U32" s="45"/>
      <c r="V32" s="45"/>
      <c r="W32" s="45"/>
      <c r="X32" s="45"/>
      <c r="Y32" s="45"/>
      <c r="Z32" s="45"/>
      <c r="AA32" s="45"/>
      <c r="AB32" s="45"/>
      <c r="AC32" s="45"/>
      <c r="AD32" s="45"/>
      <c r="AE32" s="45"/>
      <c r="AF32" s="45"/>
      <c r="AG32" s="45"/>
      <c r="AH32" s="45"/>
      <c r="AI32" s="45"/>
      <c r="AJ32" s="45"/>
      <c r="AK32" s="45"/>
    </row>
    <row r="33" ht="12.0" customHeight="1" outlineLevel="1">
      <c r="A33" s="45"/>
      <c r="B33" s="187" t="s">
        <v>12</v>
      </c>
      <c r="C33" s="195"/>
      <c r="D33" s="211"/>
      <c r="E33" s="211"/>
      <c r="F33" s="121">
        <f t="shared" ref="F33:Q33" si="32">F32/F4</f>
        <v>-0.01697759644</v>
      </c>
      <c r="G33" s="122">
        <f t="shared" si="32"/>
        <v>0.137718524</v>
      </c>
      <c r="H33" s="123">
        <f t="shared" si="32"/>
        <v>-0.04201183432</v>
      </c>
      <c r="I33" s="123">
        <f t="shared" si="32"/>
        <v>0.1284111837</v>
      </c>
      <c r="J33" s="122">
        <f t="shared" si="32"/>
        <v>0.252173913</v>
      </c>
      <c r="K33" s="123">
        <f t="shared" si="32"/>
        <v>0.2698136646</v>
      </c>
      <c r="L33" s="124">
        <f t="shared" si="32"/>
        <v>0.2698136646</v>
      </c>
      <c r="M33" s="123">
        <f t="shared" si="32"/>
        <v>0.2698136646</v>
      </c>
      <c r="N33" s="123">
        <f t="shared" si="32"/>
        <v>0.2698136646</v>
      </c>
      <c r="O33" s="123">
        <f t="shared" si="32"/>
        <v>0.2698136646</v>
      </c>
      <c r="P33" s="123">
        <f t="shared" si="32"/>
        <v>0.2698136646</v>
      </c>
      <c r="Q33" s="123">
        <f t="shared" si="32"/>
        <v>0.2698136646</v>
      </c>
      <c r="R33" s="109"/>
      <c r="S33" s="318"/>
      <c r="T33" s="45"/>
      <c r="U33" s="45"/>
      <c r="V33" s="45"/>
      <c r="W33" s="45"/>
      <c r="X33" s="45"/>
      <c r="Y33" s="45"/>
      <c r="Z33" s="45"/>
      <c r="AA33" s="45"/>
      <c r="AB33" s="45"/>
      <c r="AC33" s="45"/>
      <c r="AD33" s="45"/>
      <c r="AE33" s="45"/>
      <c r="AF33" s="45"/>
      <c r="AG33" s="45"/>
      <c r="AH33" s="45"/>
      <c r="AI33" s="45"/>
      <c r="AJ33" s="45"/>
      <c r="AK33" s="45"/>
    </row>
    <row r="34" ht="12.0" customHeight="1" outlineLevel="3">
      <c r="A34" s="45"/>
      <c r="B34" s="194"/>
      <c r="C34" s="195"/>
      <c r="D34" s="211"/>
      <c r="E34" s="211"/>
      <c r="F34" s="213"/>
      <c r="G34" s="214"/>
      <c r="H34" s="215"/>
      <c r="I34" s="115"/>
      <c r="J34" s="162"/>
      <c r="K34" s="115"/>
      <c r="L34" s="116"/>
      <c r="M34" s="115"/>
      <c r="N34" s="115"/>
      <c r="O34" s="115"/>
      <c r="P34" s="115"/>
      <c r="Q34" s="115"/>
      <c r="R34" s="109"/>
      <c r="S34" s="318"/>
      <c r="T34" s="45"/>
      <c r="U34" s="45"/>
      <c r="V34" s="45"/>
      <c r="W34" s="45"/>
      <c r="X34" s="45"/>
      <c r="Y34" s="45"/>
      <c r="Z34" s="45"/>
      <c r="AA34" s="45"/>
      <c r="AB34" s="45"/>
      <c r="AC34" s="45"/>
      <c r="AD34" s="45"/>
      <c r="AE34" s="45"/>
      <c r="AF34" s="45"/>
      <c r="AG34" s="45"/>
      <c r="AH34" s="45"/>
      <c r="AI34" s="45"/>
      <c r="AJ34" s="45"/>
      <c r="AK34" s="45"/>
    </row>
    <row r="35" ht="12.0" customHeight="1" outlineLevel="3">
      <c r="A35" s="78"/>
      <c r="B35" s="194" t="s">
        <v>25</v>
      </c>
      <c r="C35" s="195"/>
      <c r="D35" s="211"/>
      <c r="E35" s="211"/>
      <c r="F35" s="138">
        <v>0.0</v>
      </c>
      <c r="G35" s="527">
        <f>JILL!G35</f>
        <v>1</v>
      </c>
      <c r="H35" s="526">
        <f>JILL!L29</f>
        <v>1.34</v>
      </c>
      <c r="I35" s="526">
        <f>JILL!M29</f>
        <v>2.42</v>
      </c>
      <c r="J35" s="526">
        <f>JILL!N29</f>
        <v>4.22</v>
      </c>
      <c r="K35" s="204">
        <f t="shared" ref="K35:Q35" si="33">K4*K36</f>
        <v>5.064</v>
      </c>
      <c r="L35" s="205">
        <f t="shared" si="33"/>
        <v>6.0768</v>
      </c>
      <c r="M35" s="204">
        <f t="shared" si="33"/>
        <v>6.68448</v>
      </c>
      <c r="N35" s="204">
        <f t="shared" si="33"/>
        <v>7.352928</v>
      </c>
      <c r="O35" s="204">
        <f t="shared" si="33"/>
        <v>8.0882208</v>
      </c>
      <c r="P35" s="204">
        <f t="shared" si="33"/>
        <v>8.89704288</v>
      </c>
      <c r="Q35" s="204">
        <f t="shared" si="33"/>
        <v>9.786747168</v>
      </c>
      <c r="R35" s="109"/>
      <c r="S35" s="318"/>
      <c r="T35" s="45"/>
      <c r="U35" s="45"/>
      <c r="V35" s="45"/>
      <c r="W35" s="45"/>
      <c r="X35" s="45"/>
      <c r="Y35" s="45"/>
      <c r="Z35" s="45"/>
      <c r="AA35" s="45"/>
      <c r="AB35" s="45"/>
      <c r="AC35" s="45"/>
      <c r="AD35" s="45"/>
      <c r="AE35" s="45"/>
      <c r="AF35" s="45"/>
      <c r="AG35" s="45"/>
      <c r="AH35" s="45"/>
      <c r="AI35" s="45"/>
      <c r="AJ35" s="45"/>
      <c r="AK35" s="45"/>
    </row>
    <row r="36" ht="12.0" customHeight="1" outlineLevel="3">
      <c r="A36" s="78"/>
      <c r="B36" s="187" t="s">
        <v>10</v>
      </c>
      <c r="C36" s="216">
        <f>J36</f>
        <v>0.05242236025</v>
      </c>
      <c r="D36" s="216">
        <f>C36</f>
        <v>0.05242236025</v>
      </c>
      <c r="E36" s="211"/>
      <c r="F36" s="156">
        <f t="shared" ref="F36:J36" si="34">F35/F4</f>
        <v>0</v>
      </c>
      <c r="G36" s="209">
        <f t="shared" si="34"/>
        <v>0.036900369</v>
      </c>
      <c r="H36" s="157">
        <f t="shared" si="34"/>
        <v>0.03964497041</v>
      </c>
      <c r="I36" s="157">
        <f t="shared" si="34"/>
        <v>0.04051565378</v>
      </c>
      <c r="J36" s="209">
        <f t="shared" si="34"/>
        <v>0.05242236025</v>
      </c>
      <c r="K36" s="157">
        <f>C36</f>
        <v>0.05242236025</v>
      </c>
      <c r="L36" s="210">
        <f>K36</f>
        <v>0.05242236025</v>
      </c>
      <c r="M36" s="157">
        <f>D36</f>
        <v>0.05242236025</v>
      </c>
      <c r="N36" s="157">
        <f t="shared" ref="N36:Q36" si="35">M36</f>
        <v>0.05242236025</v>
      </c>
      <c r="O36" s="157">
        <f t="shared" si="35"/>
        <v>0.05242236025</v>
      </c>
      <c r="P36" s="157">
        <f t="shared" si="35"/>
        <v>0.05242236025</v>
      </c>
      <c r="Q36" s="157">
        <f t="shared" si="35"/>
        <v>0.05242236025</v>
      </c>
      <c r="R36" s="109"/>
      <c r="S36" s="318"/>
      <c r="T36" s="45"/>
      <c r="U36" s="45"/>
      <c r="V36" s="45"/>
      <c r="W36" s="45"/>
      <c r="X36" s="45"/>
      <c r="Y36" s="45"/>
      <c r="Z36" s="45"/>
      <c r="AA36" s="45"/>
      <c r="AB36" s="45"/>
      <c r="AC36" s="45"/>
      <c r="AD36" s="45"/>
      <c r="AE36" s="45"/>
      <c r="AF36" s="45"/>
      <c r="AG36" s="45"/>
      <c r="AH36" s="45"/>
      <c r="AI36" s="45"/>
      <c r="AJ36" s="45"/>
      <c r="AK36" s="45"/>
    </row>
    <row r="37" ht="12.0" customHeight="1" outlineLevel="3">
      <c r="A37" s="530"/>
      <c r="B37" s="178"/>
      <c r="C37" s="531"/>
      <c r="D37" s="208"/>
      <c r="E37" s="208"/>
      <c r="F37" s="532"/>
      <c r="G37" s="80"/>
      <c r="H37" s="80"/>
      <c r="I37" s="80"/>
      <c r="J37" s="80"/>
      <c r="K37" s="279"/>
      <c r="L37" s="279"/>
      <c r="M37" s="279"/>
      <c r="N37" s="279"/>
      <c r="O37" s="279"/>
      <c r="P37" s="279"/>
      <c r="Q37" s="279"/>
      <c r="R37" s="212"/>
      <c r="S37" s="533"/>
      <c r="T37" s="80"/>
      <c r="U37" s="80"/>
      <c r="V37" s="80"/>
      <c r="W37" s="80"/>
      <c r="X37" s="80"/>
      <c r="Y37" s="80"/>
      <c r="Z37" s="80"/>
      <c r="AA37" s="80"/>
      <c r="AB37" s="80"/>
      <c r="AC37" s="80"/>
      <c r="AD37" s="80"/>
      <c r="AE37" s="80"/>
      <c r="AF37" s="80"/>
      <c r="AG37" s="80"/>
      <c r="AH37" s="80"/>
      <c r="AI37" s="80"/>
      <c r="AJ37" s="80"/>
      <c r="AK37" s="80"/>
    </row>
    <row r="38" ht="12.0" customHeight="1" outlineLevel="3">
      <c r="A38" s="45"/>
      <c r="B38" s="194"/>
      <c r="C38" s="195"/>
      <c r="D38" s="211"/>
      <c r="E38" s="211"/>
      <c r="F38" s="213"/>
      <c r="G38" s="215"/>
      <c r="H38" s="215"/>
      <c r="I38" s="115"/>
      <c r="J38" s="115"/>
      <c r="K38" s="115"/>
      <c r="L38" s="115"/>
      <c r="M38" s="115"/>
      <c r="N38" s="115"/>
      <c r="O38" s="115"/>
      <c r="P38" s="115"/>
      <c r="Q38" s="115"/>
      <c r="R38" s="109"/>
      <c r="S38" s="318"/>
      <c r="T38" s="45"/>
      <c r="U38" s="45"/>
      <c r="V38" s="45"/>
      <c r="W38" s="45"/>
      <c r="X38" s="45"/>
      <c r="Y38" s="45"/>
      <c r="Z38" s="45"/>
      <c r="AA38" s="45"/>
      <c r="AB38" s="45"/>
      <c r="AC38" s="45"/>
      <c r="AD38" s="45"/>
      <c r="AE38" s="45"/>
      <c r="AF38" s="45"/>
      <c r="AG38" s="45"/>
      <c r="AH38" s="45"/>
      <c r="AI38" s="45"/>
      <c r="AJ38" s="45"/>
      <c r="AK38" s="45"/>
    </row>
    <row r="39" ht="12.0" customHeight="1" outlineLevel="3">
      <c r="A39" s="217" t="s">
        <v>30</v>
      </c>
      <c r="B39" s="218"/>
      <c r="C39" s="219"/>
      <c r="D39" s="220"/>
      <c r="E39" s="220"/>
      <c r="F39" s="221"/>
      <c r="G39" s="534"/>
      <c r="H39" s="220"/>
      <c r="I39" s="223"/>
      <c r="J39" s="220"/>
      <c r="K39" s="220"/>
      <c r="L39" s="223"/>
      <c r="M39" s="220"/>
      <c r="N39" s="220"/>
      <c r="O39" s="220"/>
      <c r="P39" s="220"/>
      <c r="Q39" s="220"/>
      <c r="R39" s="109"/>
      <c r="S39" s="317"/>
      <c r="T39" s="45"/>
      <c r="U39" s="45"/>
      <c r="V39" s="45"/>
      <c r="W39" s="45"/>
      <c r="X39" s="45"/>
      <c r="Y39" s="45"/>
      <c r="Z39" s="45"/>
      <c r="AA39" s="45"/>
      <c r="AB39" s="45"/>
      <c r="AC39" s="45"/>
      <c r="AD39" s="45"/>
      <c r="AE39" s="45"/>
      <c r="AF39" s="45"/>
      <c r="AG39" s="45"/>
      <c r="AH39" s="45"/>
      <c r="AI39" s="45"/>
      <c r="AJ39" s="45"/>
      <c r="AK39" s="45"/>
    </row>
    <row r="40" ht="12.0" customHeight="1" outlineLevel="3">
      <c r="A40" s="45"/>
      <c r="B40" s="187"/>
      <c r="C40" s="45"/>
      <c r="D40" s="45"/>
      <c r="E40" s="45"/>
      <c r="F40" s="156"/>
      <c r="G40" s="224" t="s">
        <v>31</v>
      </c>
      <c r="H40" s="225">
        <v>1.0</v>
      </c>
      <c r="I40" s="225">
        <v>2.0</v>
      </c>
      <c r="J40" s="226">
        <v>3.0</v>
      </c>
      <c r="K40" s="225">
        <v>4.0</v>
      </c>
      <c r="L40" s="225">
        <v>5.0</v>
      </c>
      <c r="M40" s="227">
        <f t="shared" ref="M40:Q40" si="36">L40+1</f>
        <v>6</v>
      </c>
      <c r="N40" s="227">
        <f t="shared" si="36"/>
        <v>7</v>
      </c>
      <c r="O40" s="227">
        <f t="shared" si="36"/>
        <v>8</v>
      </c>
      <c r="P40" s="227">
        <f t="shared" si="36"/>
        <v>9</v>
      </c>
      <c r="Q40" s="228">
        <f t="shared" si="36"/>
        <v>10</v>
      </c>
      <c r="R40" s="109"/>
      <c r="S40" s="317"/>
      <c r="T40" s="45"/>
      <c r="U40" s="45"/>
      <c r="V40" s="45"/>
      <c r="W40" s="45"/>
      <c r="X40" s="45"/>
      <c r="Y40" s="45"/>
      <c r="Z40" s="45"/>
      <c r="AA40" s="45"/>
      <c r="AB40" s="45"/>
      <c r="AC40" s="45"/>
      <c r="AD40" s="45"/>
      <c r="AE40" s="45"/>
      <c r="AF40" s="45"/>
      <c r="AG40" s="45"/>
      <c r="AH40" s="45"/>
      <c r="AI40" s="45"/>
      <c r="AJ40" s="45"/>
      <c r="AK40" s="45"/>
    </row>
    <row r="41" ht="12.0" customHeight="1" outlineLevel="3">
      <c r="A41" s="45"/>
      <c r="B41" s="194" t="s">
        <v>26</v>
      </c>
      <c r="C41" s="322">
        <v>0.15</v>
      </c>
      <c r="D41" s="230"/>
      <c r="E41" s="45"/>
      <c r="F41" s="20"/>
      <c r="G41" s="231">
        <f t="shared" ref="G41:Q41" si="37">G4*$C$41</f>
        <v>4.065</v>
      </c>
      <c r="H41" s="140">
        <f t="shared" si="37"/>
        <v>5.07</v>
      </c>
      <c r="I41" s="140">
        <f t="shared" si="37"/>
        <v>8.9595</v>
      </c>
      <c r="J41" s="140">
        <f t="shared" si="37"/>
        <v>12.075</v>
      </c>
      <c r="K41" s="140">
        <f t="shared" si="37"/>
        <v>14.49</v>
      </c>
      <c r="L41" s="140">
        <f t="shared" si="37"/>
        <v>17.388</v>
      </c>
      <c r="M41" s="140">
        <f t="shared" si="37"/>
        <v>19.1268</v>
      </c>
      <c r="N41" s="140">
        <f t="shared" si="37"/>
        <v>21.03948</v>
      </c>
      <c r="O41" s="140">
        <f t="shared" si="37"/>
        <v>23.143428</v>
      </c>
      <c r="P41" s="140">
        <f t="shared" si="37"/>
        <v>25.4577708</v>
      </c>
      <c r="Q41" s="140">
        <f t="shared" si="37"/>
        <v>28.00354788</v>
      </c>
      <c r="R41" s="45"/>
      <c r="S41" s="317"/>
      <c r="T41" s="45"/>
      <c r="U41" s="45"/>
      <c r="V41" s="45"/>
      <c r="W41" s="45"/>
      <c r="X41" s="45"/>
      <c r="Y41" s="45"/>
      <c r="Z41" s="45"/>
      <c r="AA41" s="45"/>
      <c r="AB41" s="45"/>
      <c r="AC41" s="45"/>
      <c r="AD41" s="45"/>
      <c r="AE41" s="45"/>
      <c r="AF41" s="45"/>
      <c r="AG41" s="45"/>
      <c r="AH41" s="45"/>
      <c r="AI41" s="45"/>
      <c r="AJ41" s="45"/>
      <c r="AK41" s="45"/>
    </row>
    <row r="42" ht="12.0" customHeight="1" outlineLevel="3">
      <c r="A42" s="88"/>
      <c r="B42" s="187" t="s">
        <v>27</v>
      </c>
      <c r="C42" s="88"/>
      <c r="D42" s="88"/>
      <c r="E42" s="88"/>
      <c r="F42" s="232"/>
      <c r="G42" s="233"/>
      <c r="H42" s="234">
        <f t="shared" ref="H42:Q42" si="38">H41-G41</f>
        <v>1.005</v>
      </c>
      <c r="I42" s="234">
        <f t="shared" si="38"/>
        <v>3.8895</v>
      </c>
      <c r="J42" s="234">
        <f t="shared" si="38"/>
        <v>3.1155</v>
      </c>
      <c r="K42" s="234">
        <f t="shared" si="38"/>
        <v>2.415</v>
      </c>
      <c r="L42" s="234">
        <f t="shared" si="38"/>
        <v>2.898</v>
      </c>
      <c r="M42" s="234">
        <f t="shared" si="38"/>
        <v>1.7388</v>
      </c>
      <c r="N42" s="234">
        <f t="shared" si="38"/>
        <v>1.91268</v>
      </c>
      <c r="O42" s="234">
        <f t="shared" si="38"/>
        <v>2.103948</v>
      </c>
      <c r="P42" s="234">
        <f t="shared" si="38"/>
        <v>2.3143428</v>
      </c>
      <c r="Q42" s="234">
        <f t="shared" si="38"/>
        <v>2.54577708</v>
      </c>
      <c r="R42" s="88"/>
      <c r="S42" s="316"/>
      <c r="T42" s="88"/>
      <c r="U42" s="88"/>
      <c r="V42" s="88"/>
      <c r="W42" s="88"/>
      <c r="X42" s="88"/>
      <c r="Y42" s="88"/>
      <c r="Z42" s="88"/>
      <c r="AA42" s="88"/>
      <c r="AB42" s="88"/>
      <c r="AC42" s="88"/>
      <c r="AD42" s="88"/>
      <c r="AE42" s="88"/>
      <c r="AF42" s="88"/>
      <c r="AG42" s="88"/>
      <c r="AH42" s="88"/>
      <c r="AI42" s="88"/>
      <c r="AJ42" s="88"/>
      <c r="AK42" s="88"/>
    </row>
    <row r="43" ht="12.0" customHeight="1" outlineLevel="3">
      <c r="A43" s="45"/>
      <c r="B43" s="143"/>
      <c r="C43" s="45"/>
      <c r="D43" s="45"/>
      <c r="E43" s="45"/>
      <c r="F43" s="235"/>
      <c r="G43" s="236"/>
      <c r="H43" s="237"/>
      <c r="I43" s="237"/>
      <c r="J43" s="237"/>
      <c r="K43" s="237"/>
      <c r="L43" s="237"/>
      <c r="M43" s="237"/>
      <c r="N43" s="237"/>
      <c r="O43" s="237"/>
      <c r="P43" s="237"/>
      <c r="Q43" s="237"/>
      <c r="R43" s="45"/>
      <c r="S43" s="317"/>
      <c r="T43" s="45"/>
      <c r="U43" s="45"/>
      <c r="V43" s="45"/>
      <c r="W43" s="45"/>
      <c r="X43" s="45"/>
      <c r="Y43" s="45"/>
      <c r="Z43" s="45"/>
      <c r="AA43" s="45"/>
      <c r="AB43" s="45"/>
      <c r="AC43" s="45"/>
      <c r="AD43" s="45"/>
      <c r="AE43" s="45"/>
      <c r="AF43" s="45"/>
      <c r="AG43" s="45"/>
      <c r="AH43" s="45"/>
      <c r="AI43" s="45"/>
      <c r="AJ43" s="45"/>
      <c r="AK43" s="45"/>
    </row>
    <row r="44" ht="12.0" customHeight="1" outlineLevel="3">
      <c r="A44" s="45"/>
      <c r="B44" s="136" t="s">
        <v>32</v>
      </c>
      <c r="C44" s="238"/>
      <c r="D44" s="238"/>
      <c r="E44" s="238"/>
      <c r="F44" s="239"/>
      <c r="G44" s="240"/>
      <c r="H44" s="140">
        <f t="shared" ref="H44:Q44" si="39">H26</f>
        <v>-2.7</v>
      </c>
      <c r="I44" s="140">
        <f t="shared" si="39"/>
        <v>6.37</v>
      </c>
      <c r="J44" s="140">
        <f t="shared" si="39"/>
        <v>17.5</v>
      </c>
      <c r="K44" s="140">
        <f t="shared" si="39"/>
        <v>21</v>
      </c>
      <c r="L44" s="140">
        <f t="shared" si="39"/>
        <v>25.2</v>
      </c>
      <c r="M44" s="140">
        <f t="shared" si="39"/>
        <v>27.72</v>
      </c>
      <c r="N44" s="140">
        <f t="shared" si="39"/>
        <v>30.492</v>
      </c>
      <c r="O44" s="140">
        <f t="shared" si="39"/>
        <v>33.5412</v>
      </c>
      <c r="P44" s="140">
        <f t="shared" si="39"/>
        <v>36.89532</v>
      </c>
      <c r="Q44" s="140">
        <f t="shared" si="39"/>
        <v>40.584852</v>
      </c>
      <c r="R44" s="45"/>
      <c r="S44" s="324"/>
      <c r="T44" s="45"/>
      <c r="U44" s="45"/>
      <c r="V44" s="45"/>
      <c r="W44" s="45"/>
      <c r="X44" s="45"/>
      <c r="Y44" s="45"/>
      <c r="Z44" s="45"/>
      <c r="AA44" s="45"/>
      <c r="AB44" s="45"/>
      <c r="AC44" s="45"/>
      <c r="AD44" s="45"/>
      <c r="AE44" s="45"/>
      <c r="AF44" s="45"/>
      <c r="AG44" s="45"/>
      <c r="AH44" s="45"/>
      <c r="AI44" s="45"/>
      <c r="AJ44" s="45"/>
      <c r="AK44" s="45"/>
    </row>
    <row r="45" ht="12.0" customHeight="1" outlineLevel="3">
      <c r="A45" s="45"/>
      <c r="B45" s="242" t="s">
        <v>33</v>
      </c>
      <c r="C45" s="535">
        <v>0.2</v>
      </c>
      <c r="D45" s="243"/>
      <c r="E45" s="243"/>
      <c r="F45" s="244"/>
      <c r="G45" s="148"/>
      <c r="H45" s="170">
        <f>H44*$C$45</f>
        <v>-0.54</v>
      </c>
      <c r="I45" s="140">
        <f t="shared" ref="I45:Q45" si="40">-I44*$C$45</f>
        <v>-1.274</v>
      </c>
      <c r="J45" s="140">
        <f t="shared" si="40"/>
        <v>-3.5</v>
      </c>
      <c r="K45" s="140">
        <f t="shared" si="40"/>
        <v>-4.2</v>
      </c>
      <c r="L45" s="140">
        <f t="shared" si="40"/>
        <v>-5.04</v>
      </c>
      <c r="M45" s="140">
        <f t="shared" si="40"/>
        <v>-5.544</v>
      </c>
      <c r="N45" s="140">
        <f t="shared" si="40"/>
        <v>-6.0984</v>
      </c>
      <c r="O45" s="140">
        <f t="shared" si="40"/>
        <v>-6.70824</v>
      </c>
      <c r="P45" s="140">
        <f t="shared" si="40"/>
        <v>-7.379064</v>
      </c>
      <c r="Q45" s="140">
        <f t="shared" si="40"/>
        <v>-8.1169704</v>
      </c>
      <c r="R45" s="45"/>
      <c r="S45" s="317"/>
      <c r="T45" s="45"/>
      <c r="U45" s="45"/>
      <c r="V45" s="45"/>
      <c r="W45" s="45"/>
      <c r="X45" s="45"/>
      <c r="Y45" s="45"/>
      <c r="Z45" s="45"/>
      <c r="AA45" s="45"/>
      <c r="AB45" s="45"/>
      <c r="AC45" s="45"/>
      <c r="AD45" s="45"/>
      <c r="AE45" s="45"/>
      <c r="AF45" s="45"/>
      <c r="AG45" s="45"/>
      <c r="AH45" s="45"/>
      <c r="AI45" s="45"/>
      <c r="AJ45" s="45"/>
      <c r="AK45" s="45"/>
    </row>
    <row r="46" ht="12.0" customHeight="1" outlineLevel="3">
      <c r="A46" s="45"/>
      <c r="B46" s="242" t="s">
        <v>34</v>
      </c>
      <c r="C46" s="536">
        <v>1.0</v>
      </c>
      <c r="D46" s="243"/>
      <c r="E46" s="243"/>
      <c r="F46" s="245"/>
      <c r="G46" s="148"/>
      <c r="H46" s="140">
        <f t="shared" ref="H46:Q46" si="41">IF(-H45&lt;=$C$46,-H45,($C$46))</f>
        <v>0.54</v>
      </c>
      <c r="I46" s="140">
        <f t="shared" si="41"/>
        <v>1</v>
      </c>
      <c r="J46" s="140">
        <f t="shared" si="41"/>
        <v>1</v>
      </c>
      <c r="K46" s="140">
        <f t="shared" si="41"/>
        <v>1</v>
      </c>
      <c r="L46" s="140">
        <f t="shared" si="41"/>
        <v>1</v>
      </c>
      <c r="M46" s="140">
        <f t="shared" si="41"/>
        <v>1</v>
      </c>
      <c r="N46" s="140">
        <f t="shared" si="41"/>
        <v>1</v>
      </c>
      <c r="O46" s="140">
        <f t="shared" si="41"/>
        <v>1</v>
      </c>
      <c r="P46" s="140">
        <f t="shared" si="41"/>
        <v>1</v>
      </c>
      <c r="Q46" s="140">
        <f t="shared" si="41"/>
        <v>1</v>
      </c>
      <c r="R46" s="45"/>
      <c r="S46" s="317"/>
      <c r="T46" s="45"/>
      <c r="U46" s="45"/>
      <c r="V46" s="45"/>
      <c r="W46" s="45"/>
      <c r="X46" s="45"/>
      <c r="Y46" s="45"/>
      <c r="Z46" s="45"/>
      <c r="AA46" s="45"/>
      <c r="AB46" s="45"/>
      <c r="AC46" s="45"/>
      <c r="AD46" s="45"/>
      <c r="AE46" s="45"/>
      <c r="AF46" s="45"/>
      <c r="AG46" s="45"/>
      <c r="AH46" s="45"/>
      <c r="AI46" s="45"/>
      <c r="AJ46" s="45"/>
      <c r="AK46" s="45"/>
    </row>
    <row r="47" ht="12.0" customHeight="1" outlineLevel="4">
      <c r="A47" s="45"/>
      <c r="B47" s="242" t="s">
        <v>35</v>
      </c>
      <c r="C47" s="238"/>
      <c r="D47" s="238"/>
      <c r="E47" s="238"/>
      <c r="F47" s="239"/>
      <c r="G47" s="240"/>
      <c r="H47" s="140">
        <f t="shared" ref="H47:Q47" si="42">-H35</f>
        <v>-1.34</v>
      </c>
      <c r="I47" s="140">
        <f t="shared" si="42"/>
        <v>-2.42</v>
      </c>
      <c r="J47" s="140">
        <f t="shared" si="42"/>
        <v>-4.22</v>
      </c>
      <c r="K47" s="140">
        <f t="shared" si="42"/>
        <v>-5.064</v>
      </c>
      <c r="L47" s="140">
        <f t="shared" si="42"/>
        <v>-6.0768</v>
      </c>
      <c r="M47" s="140">
        <f t="shared" si="42"/>
        <v>-6.68448</v>
      </c>
      <c r="N47" s="140">
        <f t="shared" si="42"/>
        <v>-7.352928</v>
      </c>
      <c r="O47" s="140">
        <f t="shared" si="42"/>
        <v>-8.0882208</v>
      </c>
      <c r="P47" s="140">
        <f t="shared" si="42"/>
        <v>-8.89704288</v>
      </c>
      <c r="Q47" s="140">
        <f t="shared" si="42"/>
        <v>-9.786747168</v>
      </c>
      <c r="R47" s="45"/>
      <c r="S47" s="325"/>
      <c r="T47" s="45"/>
      <c r="U47" s="45"/>
      <c r="V47" s="45"/>
      <c r="W47" s="45"/>
      <c r="X47" s="45"/>
      <c r="Y47" s="45"/>
      <c r="Z47" s="45"/>
      <c r="AA47" s="45"/>
      <c r="AB47" s="45"/>
      <c r="AC47" s="45"/>
      <c r="AD47" s="45"/>
      <c r="AE47" s="45"/>
      <c r="AF47" s="45"/>
      <c r="AG47" s="45"/>
      <c r="AH47" s="45"/>
      <c r="AI47" s="45"/>
      <c r="AJ47" s="45"/>
      <c r="AK47" s="45"/>
    </row>
    <row r="48" ht="12.0" customHeight="1" outlineLevel="4">
      <c r="A48" s="45"/>
      <c r="B48" s="242" t="s">
        <v>36</v>
      </c>
      <c r="C48" s="238"/>
      <c r="D48" s="238"/>
      <c r="E48" s="238"/>
      <c r="F48" s="239"/>
      <c r="G48" s="240"/>
      <c r="H48" s="140">
        <f t="shared" ref="H48:Q48" si="43">H29</f>
        <v>1.28</v>
      </c>
      <c r="I48" s="140">
        <f t="shared" si="43"/>
        <v>1.3</v>
      </c>
      <c r="J48" s="140">
        <f t="shared" si="43"/>
        <v>2.8</v>
      </c>
      <c r="K48" s="140">
        <f t="shared" si="43"/>
        <v>5.064</v>
      </c>
      <c r="L48" s="140">
        <f t="shared" si="43"/>
        <v>6.0768</v>
      </c>
      <c r="M48" s="140">
        <f t="shared" si="43"/>
        <v>6.68448</v>
      </c>
      <c r="N48" s="140">
        <f t="shared" si="43"/>
        <v>7.352928</v>
      </c>
      <c r="O48" s="140">
        <f t="shared" si="43"/>
        <v>8.0882208</v>
      </c>
      <c r="P48" s="140">
        <f t="shared" si="43"/>
        <v>8.89704288</v>
      </c>
      <c r="Q48" s="140">
        <f t="shared" si="43"/>
        <v>9.786747168</v>
      </c>
      <c r="R48" s="45"/>
      <c r="S48" s="324"/>
      <c r="T48" s="45"/>
      <c r="U48" s="45"/>
      <c r="V48" s="45"/>
      <c r="W48" s="45"/>
      <c r="X48" s="45"/>
      <c r="Y48" s="45"/>
      <c r="Z48" s="45"/>
      <c r="AA48" s="45"/>
      <c r="AB48" s="45"/>
      <c r="AC48" s="45"/>
      <c r="AD48" s="45"/>
      <c r="AE48" s="45"/>
      <c r="AF48" s="45"/>
      <c r="AG48" s="45"/>
      <c r="AH48" s="45"/>
      <c r="AI48" s="45"/>
      <c r="AJ48" s="45"/>
      <c r="AK48" s="45"/>
    </row>
    <row r="49" ht="12.0" customHeight="1" outlineLevel="3">
      <c r="A49" s="45"/>
      <c r="B49" s="251" t="s">
        <v>37</v>
      </c>
      <c r="C49" s="252"/>
      <c r="D49" s="252"/>
      <c r="E49" s="252"/>
      <c r="F49" s="253"/>
      <c r="G49" s="254"/>
      <c r="H49" s="173">
        <f t="shared" ref="H49:Q49" si="44">H42</f>
        <v>1.005</v>
      </c>
      <c r="I49" s="173">
        <f t="shared" si="44"/>
        <v>3.8895</v>
      </c>
      <c r="J49" s="173">
        <f t="shared" si="44"/>
        <v>3.1155</v>
      </c>
      <c r="K49" s="173">
        <f t="shared" si="44"/>
        <v>2.415</v>
      </c>
      <c r="L49" s="173">
        <f t="shared" si="44"/>
        <v>2.898</v>
      </c>
      <c r="M49" s="173">
        <f t="shared" si="44"/>
        <v>1.7388</v>
      </c>
      <c r="N49" s="173">
        <f t="shared" si="44"/>
        <v>1.91268</v>
      </c>
      <c r="O49" s="173">
        <f t="shared" si="44"/>
        <v>2.103948</v>
      </c>
      <c r="P49" s="173">
        <f t="shared" si="44"/>
        <v>2.3143428</v>
      </c>
      <c r="Q49" s="173">
        <f t="shared" si="44"/>
        <v>2.54577708</v>
      </c>
      <c r="R49" s="109"/>
      <c r="S49" s="326"/>
      <c r="T49" s="45"/>
      <c r="U49" s="45"/>
      <c r="V49" s="45"/>
      <c r="W49" s="45"/>
      <c r="X49" s="45"/>
      <c r="Y49" s="45"/>
      <c r="Z49" s="45"/>
      <c r="AA49" s="45"/>
      <c r="AB49" s="45"/>
      <c r="AC49" s="45"/>
      <c r="AD49" s="45"/>
      <c r="AE49" s="45"/>
      <c r="AF49" s="45"/>
      <c r="AG49" s="45"/>
      <c r="AH49" s="45"/>
      <c r="AI49" s="45"/>
      <c r="AJ49" s="45"/>
      <c r="AK49" s="45"/>
    </row>
    <row r="50" ht="12.0" customHeight="1" outlineLevel="3">
      <c r="A50" s="45"/>
      <c r="B50" s="159" t="s">
        <v>38</v>
      </c>
      <c r="C50" s="256"/>
      <c r="D50" s="256"/>
      <c r="E50" s="256"/>
      <c r="F50" s="257"/>
      <c r="G50" s="150"/>
      <c r="H50" s="115">
        <f t="shared" ref="H50:Q50" si="45">SUM(H44:H49)</f>
        <v>-1.755</v>
      </c>
      <c r="I50" s="115">
        <f t="shared" si="45"/>
        <v>8.8655</v>
      </c>
      <c r="J50" s="115">
        <f t="shared" si="45"/>
        <v>16.6955</v>
      </c>
      <c r="K50" s="115">
        <f t="shared" si="45"/>
        <v>20.215</v>
      </c>
      <c r="L50" s="115">
        <f t="shared" si="45"/>
        <v>24.058</v>
      </c>
      <c r="M50" s="115">
        <f t="shared" si="45"/>
        <v>24.9148</v>
      </c>
      <c r="N50" s="115">
        <f t="shared" si="45"/>
        <v>27.30628</v>
      </c>
      <c r="O50" s="115">
        <f t="shared" si="45"/>
        <v>29.936908</v>
      </c>
      <c r="P50" s="115">
        <f t="shared" si="45"/>
        <v>32.8305988</v>
      </c>
      <c r="Q50" s="115">
        <f t="shared" si="45"/>
        <v>36.01365868</v>
      </c>
      <c r="R50" s="109"/>
      <c r="S50" s="327"/>
      <c r="T50" s="45"/>
      <c r="U50" s="45"/>
      <c r="V50" s="45"/>
      <c r="W50" s="45"/>
      <c r="X50" s="45"/>
      <c r="Y50" s="45"/>
      <c r="Z50" s="45"/>
      <c r="AA50" s="45"/>
      <c r="AB50" s="45"/>
      <c r="AC50" s="45"/>
      <c r="AD50" s="45"/>
      <c r="AE50" s="45"/>
      <c r="AF50" s="45"/>
      <c r="AG50" s="45"/>
      <c r="AH50" s="45"/>
      <c r="AI50" s="45"/>
      <c r="AJ50" s="45"/>
      <c r="AK50" s="45"/>
    </row>
    <row r="51" ht="12.0" customHeight="1" outlineLevel="3">
      <c r="A51" s="45"/>
      <c r="B51" s="238"/>
      <c r="C51" s="238"/>
      <c r="D51" s="238"/>
      <c r="E51" s="238"/>
      <c r="F51" s="239"/>
      <c r="G51" s="240"/>
      <c r="H51" s="240"/>
      <c r="I51" s="240"/>
      <c r="J51" s="240"/>
      <c r="K51" s="240"/>
      <c r="L51" s="240"/>
      <c r="M51" s="240"/>
      <c r="N51" s="240"/>
      <c r="O51" s="240"/>
      <c r="P51" s="240"/>
      <c r="Q51" s="240"/>
      <c r="R51" s="45"/>
      <c r="S51" s="324"/>
      <c r="T51" s="45"/>
      <c r="U51" s="45"/>
      <c r="V51" s="45"/>
      <c r="W51" s="45"/>
      <c r="X51" s="45"/>
      <c r="Y51" s="45"/>
      <c r="Z51" s="45"/>
      <c r="AA51" s="45"/>
      <c r="AB51" s="45"/>
      <c r="AC51" s="45"/>
      <c r="AD51" s="45"/>
      <c r="AE51" s="45"/>
      <c r="AF51" s="45"/>
      <c r="AG51" s="45"/>
      <c r="AH51" s="45"/>
      <c r="AI51" s="45"/>
      <c r="AJ51" s="45"/>
      <c r="AK51" s="45"/>
    </row>
    <row r="52" ht="12.0" customHeight="1" outlineLevel="3">
      <c r="A52" s="45"/>
      <c r="B52" s="136" t="s">
        <v>39</v>
      </c>
      <c r="C52" s="238"/>
      <c r="D52" s="238"/>
      <c r="E52" s="238"/>
      <c r="F52" s="239"/>
      <c r="G52" s="240"/>
      <c r="H52" s="240">
        <v>1.0</v>
      </c>
      <c r="I52" s="240">
        <f t="shared" ref="I52:Q52" si="46">H52+1</f>
        <v>2</v>
      </c>
      <c r="J52" s="240">
        <f t="shared" si="46"/>
        <v>3</v>
      </c>
      <c r="K52" s="240">
        <f t="shared" si="46"/>
        <v>4</v>
      </c>
      <c r="L52" s="240">
        <f t="shared" si="46"/>
        <v>5</v>
      </c>
      <c r="M52" s="240">
        <f t="shared" si="46"/>
        <v>6</v>
      </c>
      <c r="N52" s="240">
        <f t="shared" si="46"/>
        <v>7</v>
      </c>
      <c r="O52" s="240">
        <f t="shared" si="46"/>
        <v>8</v>
      </c>
      <c r="P52" s="240">
        <f t="shared" si="46"/>
        <v>9</v>
      </c>
      <c r="Q52" s="240">
        <f t="shared" si="46"/>
        <v>10</v>
      </c>
      <c r="R52" s="259" t="s">
        <v>40</v>
      </c>
      <c r="S52" s="324"/>
      <c r="T52" s="45"/>
      <c r="U52" s="45"/>
      <c r="V52" s="45"/>
      <c r="W52" s="45"/>
      <c r="X52" s="45"/>
      <c r="Y52" s="45"/>
      <c r="Z52" s="45"/>
      <c r="AA52" s="45"/>
      <c r="AB52" s="45"/>
      <c r="AC52" s="45"/>
      <c r="AD52" s="45"/>
      <c r="AE52" s="45"/>
      <c r="AF52" s="45"/>
      <c r="AG52" s="45"/>
      <c r="AH52" s="45"/>
      <c r="AI52" s="45"/>
      <c r="AJ52" s="45"/>
      <c r="AK52" s="45"/>
    </row>
    <row r="53" ht="12.0" customHeight="1" outlineLevel="3">
      <c r="A53" s="45"/>
      <c r="B53" s="136" t="s">
        <v>41</v>
      </c>
      <c r="C53" s="229">
        <v>0.18</v>
      </c>
      <c r="D53" s="260"/>
      <c r="E53" s="243"/>
      <c r="F53" s="244"/>
      <c r="G53" s="148"/>
      <c r="H53" s="261">
        <f t="shared" ref="H53:Q53" si="47">1/((1+$C$53)^H52)</f>
        <v>0.8474576271</v>
      </c>
      <c r="I53" s="261">
        <f t="shared" si="47"/>
        <v>0.7181844298</v>
      </c>
      <c r="J53" s="261">
        <f t="shared" si="47"/>
        <v>0.6086308727</v>
      </c>
      <c r="K53" s="261">
        <f t="shared" si="47"/>
        <v>0.5157888752</v>
      </c>
      <c r="L53" s="261">
        <f t="shared" si="47"/>
        <v>0.4371092162</v>
      </c>
      <c r="M53" s="261">
        <f t="shared" si="47"/>
        <v>0.3704315392</v>
      </c>
      <c r="N53" s="261">
        <f t="shared" si="47"/>
        <v>0.3139250332</v>
      </c>
      <c r="O53" s="261">
        <f t="shared" si="47"/>
        <v>0.2660381637</v>
      </c>
      <c r="P53" s="261">
        <f t="shared" si="47"/>
        <v>0.225456071</v>
      </c>
      <c r="Q53" s="261">
        <f t="shared" si="47"/>
        <v>0.1910644669</v>
      </c>
      <c r="R53" s="262">
        <f>Q53</f>
        <v>0.1910644669</v>
      </c>
      <c r="S53" s="317"/>
      <c r="T53" s="45"/>
      <c r="U53" s="45"/>
      <c r="V53" s="45"/>
      <c r="W53" s="45"/>
      <c r="X53" s="45"/>
      <c r="Y53" s="45"/>
      <c r="Z53" s="45"/>
      <c r="AA53" s="45"/>
      <c r="AB53" s="45"/>
      <c r="AC53" s="45"/>
      <c r="AD53" s="45"/>
      <c r="AE53" s="45"/>
      <c r="AF53" s="45"/>
      <c r="AG53" s="45"/>
      <c r="AH53" s="45"/>
      <c r="AI53" s="45"/>
      <c r="AJ53" s="45"/>
      <c r="AK53" s="45"/>
    </row>
    <row r="54" ht="12.0" customHeight="1" outlineLevel="3">
      <c r="A54" s="45"/>
      <c r="B54" s="154" t="s">
        <v>42</v>
      </c>
      <c r="C54" s="229">
        <v>0.03</v>
      </c>
      <c r="D54" s="243"/>
      <c r="E54" s="245"/>
      <c r="F54" s="244"/>
      <c r="G54" s="240"/>
      <c r="H54" s="245"/>
      <c r="I54" s="245"/>
      <c r="J54" s="245"/>
      <c r="K54" s="245"/>
      <c r="L54" s="245"/>
      <c r="M54" s="245"/>
      <c r="N54" s="245"/>
      <c r="O54" s="245"/>
      <c r="P54" s="245"/>
      <c r="Q54" s="243"/>
      <c r="R54" s="261"/>
      <c r="S54" s="317"/>
      <c r="T54" s="45"/>
      <c r="U54" s="45"/>
      <c r="V54" s="45"/>
      <c r="W54" s="45"/>
      <c r="X54" s="45"/>
      <c r="Y54" s="45"/>
      <c r="Z54" s="45"/>
      <c r="AA54" s="45"/>
      <c r="AB54" s="45"/>
      <c r="AC54" s="45"/>
      <c r="AD54" s="45"/>
      <c r="AE54" s="45"/>
      <c r="AF54" s="45"/>
      <c r="AG54" s="45"/>
      <c r="AH54" s="45"/>
      <c r="AI54" s="45"/>
      <c r="AJ54" s="45"/>
      <c r="AK54" s="45"/>
    </row>
    <row r="55" ht="12.0" customHeight="1" outlineLevel="3">
      <c r="A55" s="45"/>
      <c r="B55" s="159"/>
      <c r="C55" s="263"/>
      <c r="D55" s="263"/>
      <c r="E55" s="264"/>
      <c r="F55" s="265"/>
      <c r="G55" s="240"/>
      <c r="H55" s="264"/>
      <c r="I55" s="264"/>
      <c r="J55" s="264"/>
      <c r="K55" s="264"/>
      <c r="L55" s="264"/>
      <c r="M55" s="264"/>
      <c r="N55" s="264"/>
      <c r="O55" s="264"/>
      <c r="P55" s="264"/>
      <c r="Q55" s="45"/>
      <c r="R55" s="109"/>
      <c r="S55" s="317"/>
      <c r="T55" s="45"/>
      <c r="U55" s="45"/>
      <c r="V55" s="45"/>
      <c r="W55" s="45"/>
      <c r="X55" s="45"/>
      <c r="Y55" s="45"/>
      <c r="Z55" s="45"/>
      <c r="AA55" s="45"/>
      <c r="AB55" s="45"/>
      <c r="AC55" s="45"/>
      <c r="AD55" s="45"/>
      <c r="AE55" s="45"/>
      <c r="AF55" s="45"/>
      <c r="AG55" s="45"/>
      <c r="AH55" s="45"/>
      <c r="AI55" s="45"/>
      <c r="AJ55" s="45"/>
      <c r="AK55" s="45"/>
    </row>
    <row r="56" ht="12.0" customHeight="1" outlineLevel="3">
      <c r="A56" s="45"/>
      <c r="B56" s="159" t="s">
        <v>43</v>
      </c>
      <c r="C56" s="256"/>
      <c r="D56" s="256"/>
      <c r="E56" s="256"/>
      <c r="F56" s="257"/>
      <c r="G56" s="150"/>
      <c r="H56" s="115">
        <f t="shared" ref="H56:Q56" si="48">H50*H53</f>
        <v>-1.487288136</v>
      </c>
      <c r="I56" s="115">
        <f t="shared" si="48"/>
        <v>6.367064062</v>
      </c>
      <c r="J56" s="115">
        <f t="shared" si="48"/>
        <v>10.16139673</v>
      </c>
      <c r="K56" s="115">
        <f t="shared" si="48"/>
        <v>10.42667211</v>
      </c>
      <c r="L56" s="115">
        <f t="shared" si="48"/>
        <v>10.51597352</v>
      </c>
      <c r="M56" s="115">
        <f t="shared" si="48"/>
        <v>9.229227712</v>
      </c>
      <c r="N56" s="115">
        <f t="shared" si="48"/>
        <v>8.572124856</v>
      </c>
      <c r="O56" s="115">
        <f t="shared" si="48"/>
        <v>7.964360032</v>
      </c>
      <c r="P56" s="115">
        <f t="shared" si="48"/>
        <v>7.401857813</v>
      </c>
      <c r="Q56" s="115">
        <f t="shared" si="48"/>
        <v>6.880930497</v>
      </c>
      <c r="R56" s="115">
        <f>((Q50*(1+C53))/(C53-C54))*Q53</f>
        <v>54.12998658</v>
      </c>
      <c r="S56" s="317"/>
      <c r="T56" s="45"/>
      <c r="U56" s="45"/>
      <c r="V56" s="9"/>
      <c r="W56" s="45"/>
      <c r="X56" s="45"/>
      <c r="Y56" s="45"/>
      <c r="Z56" s="45"/>
      <c r="AA56" s="45"/>
      <c r="AB56" s="45"/>
      <c r="AC56" s="45"/>
      <c r="AD56" s="45"/>
      <c r="AE56" s="45"/>
      <c r="AF56" s="45"/>
      <c r="AG56" s="45"/>
      <c r="AH56" s="45"/>
      <c r="AI56" s="45"/>
      <c r="AJ56" s="45"/>
      <c r="AK56" s="45"/>
    </row>
    <row r="57" ht="12.0" customHeight="1" outlineLevel="2">
      <c r="A57" s="45"/>
      <c r="B57" s="159"/>
      <c r="C57" s="256"/>
      <c r="D57" s="256"/>
      <c r="E57" s="256"/>
      <c r="F57" s="257"/>
      <c r="G57" s="150"/>
      <c r="H57" s="115"/>
      <c r="I57" s="115"/>
      <c r="J57" s="115"/>
      <c r="K57" s="115"/>
      <c r="L57" s="115"/>
      <c r="M57" s="115"/>
      <c r="N57" s="115"/>
      <c r="O57" s="115"/>
      <c r="P57" s="115"/>
      <c r="Q57" s="266" t="s">
        <v>44</v>
      </c>
      <c r="R57" s="267">
        <f>R56/H58</f>
        <v>0.4158653018</v>
      </c>
      <c r="S57" s="317"/>
      <c r="T57" s="45"/>
      <c r="U57" s="45"/>
      <c r="V57" s="9"/>
      <c r="W57" s="45"/>
      <c r="X57" s="45"/>
      <c r="Y57" s="45"/>
      <c r="Z57" s="45"/>
      <c r="AA57" s="45"/>
      <c r="AB57" s="45"/>
      <c r="AC57" s="45"/>
      <c r="AD57" s="45"/>
      <c r="AE57" s="45"/>
      <c r="AF57" s="45"/>
      <c r="AG57" s="45"/>
      <c r="AH57" s="45"/>
      <c r="AI57" s="45"/>
      <c r="AJ57" s="45"/>
      <c r="AK57" s="45"/>
    </row>
    <row r="58" ht="12.0" customHeight="1" outlineLevel="2">
      <c r="A58" s="45"/>
      <c r="B58" s="268" t="s">
        <v>45</v>
      </c>
      <c r="C58" s="269"/>
      <c r="D58" s="269"/>
      <c r="E58" s="269"/>
      <c r="F58" s="270"/>
      <c r="G58" s="537"/>
      <c r="H58" s="271">
        <f>SUM(H56:R56)</f>
        <v>130.1623058</v>
      </c>
      <c r="I58" s="272"/>
      <c r="J58" s="115"/>
      <c r="K58" s="115"/>
      <c r="L58" s="115"/>
      <c r="M58" s="115"/>
      <c r="N58" s="115"/>
      <c r="O58" s="115"/>
      <c r="P58" s="115"/>
      <c r="Q58" s="115"/>
      <c r="R58" s="109"/>
      <c r="S58" s="317"/>
      <c r="T58" s="45"/>
      <c r="U58" s="45"/>
      <c r="V58" s="61"/>
      <c r="W58" s="45"/>
      <c r="X58" s="45"/>
      <c r="Y58" s="45"/>
      <c r="Z58" s="45"/>
      <c r="AA58" s="45"/>
      <c r="AB58" s="45"/>
      <c r="AC58" s="45"/>
      <c r="AD58" s="45"/>
      <c r="AE58" s="45"/>
      <c r="AF58" s="45"/>
      <c r="AG58" s="45"/>
      <c r="AH58" s="45"/>
      <c r="AI58" s="45"/>
      <c r="AJ58" s="45"/>
      <c r="AK58" s="45"/>
    </row>
    <row r="59" ht="12.0" customHeight="1">
      <c r="A59" s="274"/>
      <c r="B59" s="273" t="s">
        <v>46</v>
      </c>
      <c r="C59" s="274"/>
      <c r="D59" s="274"/>
      <c r="E59" s="274"/>
      <c r="F59" s="275"/>
      <c r="G59" s="276"/>
      <c r="H59" s="277">
        <f>SUM(H56:Q56)</f>
        <v>76.03231921</v>
      </c>
      <c r="I59" s="276"/>
      <c r="J59" s="276"/>
      <c r="K59" s="276"/>
      <c r="L59" s="276"/>
      <c r="M59" s="276"/>
      <c r="N59" s="276"/>
      <c r="O59" s="276"/>
      <c r="P59" s="276"/>
      <c r="Q59" s="276"/>
      <c r="R59" s="276"/>
      <c r="S59" s="328"/>
      <c r="T59" s="274"/>
      <c r="U59" s="274"/>
      <c r="V59" s="88"/>
      <c r="W59" s="274"/>
      <c r="X59" s="274"/>
      <c r="Y59" s="274"/>
      <c r="Z59" s="274"/>
      <c r="AA59" s="274"/>
      <c r="AB59" s="274"/>
      <c r="AC59" s="274"/>
      <c r="AD59" s="274"/>
      <c r="AE59" s="274"/>
      <c r="AF59" s="274"/>
      <c r="AG59" s="274"/>
      <c r="AH59" s="274"/>
      <c r="AI59" s="274"/>
      <c r="AJ59" s="274"/>
      <c r="AK59" s="274"/>
    </row>
    <row r="60" ht="12.0" customHeight="1">
      <c r="A60" s="274"/>
      <c r="B60" s="273" t="s">
        <v>47</v>
      </c>
      <c r="C60" s="274"/>
      <c r="D60" s="274"/>
      <c r="E60" s="274"/>
      <c r="F60" s="275"/>
      <c r="G60" s="276"/>
      <c r="H60" s="277">
        <f>R56</f>
        <v>54.12998658</v>
      </c>
      <c r="I60" s="276"/>
      <c r="J60" s="276"/>
      <c r="K60" s="276"/>
      <c r="L60" s="276"/>
      <c r="M60" s="276"/>
      <c r="N60" s="276"/>
      <c r="O60" s="276"/>
      <c r="P60" s="276"/>
      <c r="Q60" s="276"/>
      <c r="R60" s="276"/>
      <c r="S60" s="328"/>
      <c r="T60" s="274"/>
      <c r="U60" s="274"/>
      <c r="V60" s="45"/>
      <c r="W60" s="274"/>
      <c r="X60" s="274"/>
      <c r="Y60" s="274"/>
      <c r="Z60" s="274"/>
      <c r="AA60" s="274"/>
      <c r="AB60" s="274"/>
      <c r="AC60" s="274"/>
      <c r="AD60" s="274"/>
      <c r="AE60" s="274"/>
      <c r="AF60" s="274"/>
      <c r="AG60" s="274"/>
      <c r="AH60" s="274"/>
      <c r="AI60" s="274"/>
      <c r="AJ60" s="274"/>
      <c r="AK60" s="274"/>
    </row>
    <row r="61" ht="12.0" customHeight="1">
      <c r="A61" s="274"/>
      <c r="B61" s="273" t="s">
        <v>48</v>
      </c>
      <c r="C61" s="274"/>
      <c r="D61" s="274"/>
      <c r="E61" s="274"/>
      <c r="F61" s="275"/>
      <c r="G61" s="276"/>
      <c r="H61" s="173">
        <f>SUM(H46:Q46)</f>
        <v>9.54</v>
      </c>
      <c r="I61" s="276"/>
      <c r="J61" s="276"/>
      <c r="K61" s="276"/>
      <c r="L61" s="276"/>
      <c r="M61" s="276"/>
      <c r="N61" s="276"/>
      <c r="O61" s="276"/>
      <c r="P61" s="276"/>
      <c r="Q61" s="276"/>
      <c r="R61" s="276"/>
      <c r="S61" s="328"/>
      <c r="T61" s="274"/>
      <c r="U61" s="274"/>
      <c r="V61" s="45"/>
      <c r="W61" s="274"/>
      <c r="X61" s="274"/>
      <c r="Y61" s="274"/>
      <c r="Z61" s="274"/>
      <c r="AA61" s="274"/>
      <c r="AB61" s="274"/>
      <c r="AC61" s="274"/>
      <c r="AD61" s="274"/>
      <c r="AE61" s="274"/>
      <c r="AF61" s="274"/>
      <c r="AG61" s="274"/>
      <c r="AH61" s="274"/>
      <c r="AI61" s="274"/>
      <c r="AJ61" s="274"/>
      <c r="AK61" s="274"/>
    </row>
    <row r="62" ht="16.5" customHeight="1">
      <c r="A62" s="274"/>
      <c r="B62" s="274"/>
      <c r="C62" s="274"/>
      <c r="D62" s="274"/>
      <c r="E62" s="274"/>
      <c r="F62" s="275"/>
      <c r="G62" s="104" t="s">
        <v>49</v>
      </c>
      <c r="H62" s="282">
        <f>H58-SUM(H59+H60)</f>
        <v>0</v>
      </c>
      <c r="I62" s="276"/>
      <c r="J62" s="276"/>
      <c r="K62" s="276"/>
      <c r="L62" s="276"/>
      <c r="M62" s="276"/>
      <c r="N62" s="276"/>
      <c r="O62" s="276"/>
      <c r="P62" s="276"/>
      <c r="Q62" s="276"/>
      <c r="R62" s="276"/>
      <c r="S62" s="328"/>
      <c r="T62" s="274"/>
      <c r="U62" s="283"/>
      <c r="V62" s="283"/>
      <c r="W62" s="538"/>
      <c r="X62" s="6"/>
      <c r="Y62" s="6"/>
      <c r="Z62" s="6"/>
      <c r="AA62" s="6"/>
      <c r="AB62" s="6"/>
      <c r="AC62" s="7"/>
      <c r="AD62" s="274"/>
      <c r="AE62" s="274"/>
      <c r="AF62" s="274"/>
      <c r="AG62" s="274"/>
      <c r="AH62" s="274"/>
      <c r="AI62" s="274"/>
      <c r="AJ62" s="274"/>
      <c r="AK62" s="274"/>
    </row>
    <row r="63" ht="15.75" customHeight="1">
      <c r="A63" s="274"/>
      <c r="B63" s="274"/>
      <c r="C63" s="274"/>
      <c r="D63" s="274"/>
      <c r="E63" s="274"/>
      <c r="F63" s="275"/>
      <c r="G63" s="104"/>
      <c r="H63" s="276"/>
      <c r="I63" s="276"/>
      <c r="J63" s="276"/>
      <c r="K63" s="276"/>
      <c r="L63" s="276"/>
      <c r="M63" s="276"/>
      <c r="N63" s="276"/>
      <c r="O63" s="276"/>
      <c r="P63" s="276"/>
      <c r="Q63" s="276"/>
      <c r="R63" s="276"/>
      <c r="S63" s="328"/>
      <c r="T63" s="274"/>
      <c r="U63" s="283"/>
      <c r="V63" s="49"/>
      <c r="W63" s="9"/>
      <c r="X63" s="118"/>
      <c r="Y63" s="36"/>
      <c r="Z63" s="36"/>
      <c r="AA63" s="36"/>
      <c r="AB63" s="36"/>
      <c r="AC63" s="36"/>
      <c r="AD63" s="274"/>
      <c r="AE63" s="274"/>
      <c r="AF63" s="274"/>
      <c r="AG63" s="274"/>
      <c r="AH63" s="274"/>
      <c r="AI63" s="274"/>
      <c r="AJ63" s="274"/>
      <c r="AK63" s="274"/>
    </row>
    <row r="64" ht="19.5" customHeight="1">
      <c r="A64" s="539"/>
      <c r="B64" s="539"/>
      <c r="C64" s="539"/>
      <c r="D64" s="539"/>
      <c r="E64" s="539"/>
      <c r="F64" s="540"/>
      <c r="G64" s="285"/>
      <c r="H64" s="539"/>
      <c r="I64" s="539"/>
      <c r="J64" s="539"/>
      <c r="K64" s="539"/>
      <c r="L64" s="539"/>
      <c r="M64" s="539"/>
      <c r="N64" s="539"/>
      <c r="O64" s="539"/>
      <c r="P64" s="539"/>
      <c r="Q64" s="539"/>
      <c r="R64" s="539"/>
      <c r="S64" s="541"/>
      <c r="T64" s="539"/>
      <c r="U64" s="542"/>
      <c r="V64" s="285"/>
      <c r="W64" s="286"/>
      <c r="X64" s="287" t="s">
        <v>50</v>
      </c>
      <c r="Y64" s="288"/>
      <c r="Z64" s="288"/>
      <c r="AA64" s="288"/>
      <c r="AB64" s="288"/>
      <c r="AC64" s="288"/>
      <c r="AD64" s="539"/>
      <c r="AE64" s="539"/>
      <c r="AF64" s="539"/>
      <c r="AG64" s="539"/>
      <c r="AH64" s="539"/>
      <c r="AI64" s="539"/>
      <c r="AJ64" s="539"/>
      <c r="AK64" s="539"/>
    </row>
    <row r="65" ht="17.25" customHeight="1">
      <c r="A65" s="543"/>
      <c r="B65" s="543"/>
      <c r="C65" s="543"/>
      <c r="D65" s="543"/>
      <c r="E65" s="543"/>
      <c r="F65" s="544"/>
      <c r="G65" s="545"/>
      <c r="H65" s="546"/>
      <c r="I65" s="546"/>
      <c r="J65" s="546"/>
      <c r="K65" s="546"/>
      <c r="L65" s="546"/>
      <c r="M65" s="546"/>
      <c r="N65" s="546"/>
      <c r="O65" s="546"/>
      <c r="P65" s="546"/>
      <c r="Q65" s="546"/>
      <c r="R65" s="546"/>
      <c r="S65" s="542"/>
      <c r="T65" s="543"/>
      <c r="U65" s="542"/>
      <c r="V65" s="289"/>
      <c r="W65" s="290"/>
      <c r="X65" s="291">
        <f>H58</f>
        <v>130.1623058</v>
      </c>
      <c r="Y65" s="292">
        <f t="shared" ref="Y65:Z65" si="49">Z65-$Y$73</f>
        <v>0.17</v>
      </c>
      <c r="Z65" s="292">
        <f t="shared" si="49"/>
        <v>0.175</v>
      </c>
      <c r="AA65" s="293">
        <v>0.18</v>
      </c>
      <c r="AB65" s="292">
        <f t="shared" ref="AB65:AC65" si="50">AA65+$Y$73</f>
        <v>0.185</v>
      </c>
      <c r="AC65" s="292">
        <f t="shared" si="50"/>
        <v>0.19</v>
      </c>
      <c r="AD65" s="543"/>
      <c r="AE65" s="543"/>
      <c r="AF65" s="543"/>
      <c r="AG65" s="543"/>
      <c r="AH65" s="543"/>
      <c r="AI65" s="543"/>
      <c r="AJ65" s="543"/>
      <c r="AK65" s="543"/>
    </row>
    <row r="66" ht="17.25" customHeight="1">
      <c r="A66" s="543"/>
      <c r="B66" s="543"/>
      <c r="C66" s="543"/>
      <c r="D66" s="543"/>
      <c r="E66" s="543"/>
      <c r="F66" s="544"/>
      <c r="G66" s="545"/>
      <c r="H66" s="546"/>
      <c r="I66" s="546"/>
      <c r="J66" s="546"/>
      <c r="K66" s="547"/>
      <c r="L66" s="543"/>
      <c r="M66" s="546"/>
      <c r="N66" s="546"/>
      <c r="O66" s="546"/>
      <c r="P66" s="546"/>
      <c r="Q66" s="546"/>
      <c r="R66" s="546"/>
      <c r="S66" s="542"/>
      <c r="T66" s="543"/>
      <c r="U66" s="542"/>
      <c r="V66" s="289"/>
      <c r="W66" s="294"/>
      <c r="X66" s="295">
        <f t="shared" ref="X66:X67" si="51">X67-$Y$74</f>
        <v>0.02</v>
      </c>
      <c r="Y66" s="296">
        <v>138.4203237383122</v>
      </c>
      <c r="Z66" s="296">
        <v>132.3981800850256</v>
      </c>
      <c r="AA66" s="296">
        <v>126.77918162413562</v>
      </c>
      <c r="AB66" s="296">
        <v>121.52627124936814</v>
      </c>
      <c r="AC66" s="296">
        <v>116.60674462643814</v>
      </c>
      <c r="AD66" s="543"/>
      <c r="AE66" s="543"/>
      <c r="AF66" s="543"/>
      <c r="AG66" s="543"/>
      <c r="AH66" s="543"/>
      <c r="AI66" s="543"/>
      <c r="AJ66" s="543"/>
      <c r="AK66" s="543"/>
    </row>
    <row r="67" ht="17.25" customHeight="1">
      <c r="A67" s="543"/>
      <c r="B67" s="543"/>
      <c r="C67" s="543"/>
      <c r="D67" s="543"/>
      <c r="E67" s="543"/>
      <c r="F67" s="544"/>
      <c r="G67" s="545"/>
      <c r="H67" s="546"/>
      <c r="I67" s="546"/>
      <c r="J67" s="546"/>
      <c r="K67" s="543"/>
      <c r="L67" s="543"/>
      <c r="M67" s="543"/>
      <c r="N67" s="543"/>
      <c r="O67" s="543"/>
      <c r="P67" s="543"/>
      <c r="Q67" s="543"/>
      <c r="R67" s="546"/>
      <c r="S67" s="542"/>
      <c r="T67" s="543"/>
      <c r="U67" s="542"/>
      <c r="V67" s="289"/>
      <c r="W67" s="294"/>
      <c r="X67" s="295">
        <f t="shared" si="51"/>
        <v>0.025</v>
      </c>
      <c r="Y67" s="296">
        <v>140.43546377457685</v>
      </c>
      <c r="Z67" s="296">
        <v>134.21233133289064</v>
      </c>
      <c r="AA67" s="296">
        <v>128.41617718599394</v>
      </c>
      <c r="AB67" s="296">
        <v>123.00663406773128</v>
      </c>
      <c r="AC67" s="296">
        <v>117.94821699148454</v>
      </c>
      <c r="AD67" s="543"/>
      <c r="AE67" s="543"/>
      <c r="AF67" s="543"/>
      <c r="AG67" s="543"/>
      <c r="AH67" s="543"/>
      <c r="AI67" s="543"/>
      <c r="AJ67" s="543"/>
      <c r="AK67" s="543"/>
    </row>
    <row r="68" ht="17.25" customHeight="1">
      <c r="A68" s="543"/>
      <c r="B68" s="543"/>
      <c r="C68" s="543"/>
      <c r="D68" s="543"/>
      <c r="E68" s="543"/>
      <c r="F68" s="544"/>
      <c r="G68" s="545"/>
      <c r="H68" s="546"/>
      <c r="I68" s="546"/>
      <c r="J68" s="546"/>
      <c r="K68" s="546"/>
      <c r="L68" s="543"/>
      <c r="M68" s="543"/>
      <c r="N68" s="543"/>
      <c r="O68" s="543"/>
      <c r="P68" s="543"/>
      <c r="Q68" s="543"/>
      <c r="R68" s="546"/>
      <c r="S68" s="542"/>
      <c r="T68" s="543"/>
      <c r="U68" s="542"/>
      <c r="V68" s="289"/>
      <c r="W68" s="294"/>
      <c r="X68" s="298">
        <v>0.03</v>
      </c>
      <c r="Y68" s="296">
        <v>142.5945423848604</v>
      </c>
      <c r="Z68" s="296">
        <v>136.15159645991884</v>
      </c>
      <c r="AA68" s="299">
        <v>130.16230578530948</v>
      </c>
      <c r="AB68" s="296">
        <v>124.58250416469849</v>
      </c>
      <c r="AC68" s="296">
        <v>119.37353137934636</v>
      </c>
      <c r="AD68" s="543"/>
      <c r="AE68" s="543"/>
      <c r="AF68" s="543"/>
      <c r="AG68" s="543"/>
      <c r="AH68" s="543"/>
      <c r="AI68" s="543"/>
      <c r="AJ68" s="543"/>
      <c r="AK68" s="543"/>
    </row>
    <row r="69" ht="17.25" customHeight="1">
      <c r="A69" s="543"/>
      <c r="B69" s="543"/>
      <c r="C69" s="543"/>
      <c r="D69" s="543"/>
      <c r="E69" s="543"/>
      <c r="F69" s="544"/>
      <c r="G69" s="545"/>
      <c r="H69" s="546"/>
      <c r="I69" s="546"/>
      <c r="J69" s="546"/>
      <c r="K69" s="546"/>
      <c r="L69" s="543"/>
      <c r="M69" s="543"/>
      <c r="N69" s="543"/>
      <c r="O69" s="543"/>
      <c r="P69" s="543"/>
      <c r="Q69" s="543"/>
      <c r="R69" s="546"/>
      <c r="S69" s="542"/>
      <c r="T69" s="543"/>
      <c r="U69" s="542"/>
      <c r="V69" s="289"/>
      <c r="W69" s="294"/>
      <c r="X69" s="295">
        <f t="shared" ref="X69:X70" si="52">X68+$Y$74</f>
        <v>0.035</v>
      </c>
      <c r="Y69" s="296">
        <v>144.91355274405385</v>
      </c>
      <c r="Z69" s="296">
        <v>138.22938052459187</v>
      </c>
      <c r="AA69" s="296">
        <v>132.0288570466468</v>
      </c>
      <c r="AB69" s="296">
        <v>126.26343226813019</v>
      </c>
      <c r="AC69" s="296">
        <v>120.890801534167</v>
      </c>
      <c r="AD69" s="543"/>
      <c r="AE69" s="543"/>
      <c r="AF69" s="543"/>
      <c r="AG69" s="543"/>
      <c r="AH69" s="543"/>
      <c r="AI69" s="543"/>
      <c r="AJ69" s="543"/>
      <c r="AK69" s="543"/>
    </row>
    <row r="70" ht="17.25" customHeight="1">
      <c r="A70" s="543"/>
      <c r="B70" s="543"/>
      <c r="C70" s="543"/>
      <c r="D70" s="543"/>
      <c r="E70" s="543"/>
      <c r="F70" s="544"/>
      <c r="G70" s="545"/>
      <c r="H70" s="546"/>
      <c r="I70" s="546"/>
      <c r="J70" s="546"/>
      <c r="K70" s="546"/>
      <c r="L70" s="543"/>
      <c r="M70" s="543"/>
      <c r="N70" s="543"/>
      <c r="O70" s="543"/>
      <c r="P70" s="543"/>
      <c r="Q70" s="543"/>
      <c r="R70" s="546"/>
      <c r="S70" s="542"/>
      <c r="T70" s="543"/>
      <c r="U70" s="548"/>
      <c r="V70" s="301"/>
      <c r="W70" s="294"/>
      <c r="X70" s="295">
        <f t="shared" si="52"/>
        <v>0.04</v>
      </c>
      <c r="Y70" s="296">
        <v>147.41094851549295</v>
      </c>
      <c r="Z70" s="296">
        <v>140.46107451998142</v>
      </c>
      <c r="AA70" s="296">
        <v>134.0287333980796</v>
      </c>
      <c r="AB70" s="296">
        <v>128.06028644766062</v>
      </c>
      <c r="AC70" s="296">
        <v>122.50922303264232</v>
      </c>
      <c r="AD70" s="543"/>
      <c r="AE70" s="543"/>
      <c r="AF70" s="543"/>
      <c r="AG70" s="543"/>
      <c r="AH70" s="543"/>
      <c r="AI70" s="543"/>
      <c r="AJ70" s="543"/>
      <c r="AK70" s="543"/>
    </row>
    <row r="71" ht="12.0" customHeight="1">
      <c r="A71" s="274"/>
      <c r="B71" s="274"/>
      <c r="C71" s="274"/>
      <c r="D71" s="274"/>
      <c r="E71" s="274"/>
      <c r="F71" s="275"/>
      <c r="G71" s="104"/>
      <c r="H71" s="276"/>
      <c r="I71" s="276"/>
      <c r="J71" s="276"/>
      <c r="K71" s="276"/>
      <c r="L71" s="274"/>
      <c r="M71" s="274"/>
      <c r="N71" s="274"/>
      <c r="O71" s="274"/>
      <c r="P71" s="274"/>
      <c r="Q71" s="274"/>
      <c r="R71" s="276"/>
      <c r="S71" s="328"/>
      <c r="T71" s="274"/>
      <c r="U71" s="283"/>
      <c r="V71" s="61"/>
      <c r="W71" s="61"/>
      <c r="X71" s="302"/>
      <c r="Y71" s="109"/>
      <c r="Z71" s="109"/>
      <c r="AA71" s="109"/>
      <c r="AB71" s="109"/>
      <c r="AC71" s="109"/>
      <c r="AD71" s="274"/>
      <c r="AE71" s="274"/>
      <c r="AF71" s="274"/>
      <c r="AG71" s="274"/>
      <c r="AH71" s="274"/>
      <c r="AI71" s="274"/>
      <c r="AJ71" s="274"/>
      <c r="AK71" s="274"/>
    </row>
    <row r="72" ht="12.0" customHeight="1">
      <c r="A72" s="274"/>
      <c r="B72" s="274"/>
      <c r="C72" s="274"/>
      <c r="D72" s="274"/>
      <c r="E72" s="274"/>
      <c r="F72" s="275"/>
      <c r="G72" s="104"/>
      <c r="H72" s="276"/>
      <c r="I72" s="276"/>
      <c r="J72" s="276"/>
      <c r="K72" s="276"/>
      <c r="L72" s="274"/>
      <c r="M72" s="274"/>
      <c r="N72" s="274"/>
      <c r="O72" s="274"/>
      <c r="P72" s="274"/>
      <c r="Q72" s="274"/>
      <c r="R72" s="276"/>
      <c r="S72" s="328"/>
      <c r="T72" s="274"/>
      <c r="U72" s="274"/>
      <c r="V72" s="61"/>
      <c r="W72" s="61"/>
      <c r="X72" s="302"/>
      <c r="Y72" s="109"/>
      <c r="Z72" s="109"/>
      <c r="AA72" s="109"/>
      <c r="AB72" s="109"/>
      <c r="AC72" s="109"/>
      <c r="AD72" s="274"/>
      <c r="AE72" s="274"/>
      <c r="AF72" s="274"/>
      <c r="AG72" s="274"/>
      <c r="AH72" s="274"/>
      <c r="AI72" s="274"/>
      <c r="AJ72" s="274"/>
      <c r="AK72" s="274"/>
    </row>
    <row r="73" ht="12.0" customHeight="1">
      <c r="A73" s="274"/>
      <c r="B73" s="274"/>
      <c r="C73" s="274"/>
      <c r="D73" s="274"/>
      <c r="E73" s="274"/>
      <c r="F73" s="275"/>
      <c r="G73" s="104"/>
      <c r="H73" s="276"/>
      <c r="I73" s="276"/>
      <c r="J73" s="276"/>
      <c r="K73" s="276"/>
      <c r="L73" s="274"/>
      <c r="M73" s="274"/>
      <c r="N73" s="274"/>
      <c r="O73" s="274"/>
      <c r="P73" s="274"/>
      <c r="Q73" s="274"/>
      <c r="R73" s="276"/>
      <c r="S73" s="328"/>
      <c r="T73" s="274"/>
      <c r="U73" s="274"/>
      <c r="V73" s="45"/>
      <c r="W73" s="45"/>
      <c r="X73" s="302" t="s">
        <v>51</v>
      </c>
      <c r="Y73" s="303">
        <v>0.005</v>
      </c>
      <c r="Z73" s="45"/>
      <c r="AA73" s="45"/>
      <c r="AB73" s="45"/>
      <c r="AC73" s="274"/>
      <c r="AD73" s="274"/>
      <c r="AE73" s="274"/>
      <c r="AF73" s="274"/>
      <c r="AG73" s="274"/>
      <c r="AH73" s="274"/>
      <c r="AI73" s="274"/>
      <c r="AJ73" s="274"/>
      <c r="AK73" s="274"/>
    </row>
    <row r="74" ht="12.0" customHeight="1">
      <c r="A74" s="274"/>
      <c r="B74" s="274"/>
      <c r="C74" s="274"/>
      <c r="D74" s="274"/>
      <c r="E74" s="274"/>
      <c r="F74" s="275"/>
      <c r="G74" s="104"/>
      <c r="H74" s="276"/>
      <c r="I74" s="276"/>
      <c r="J74" s="276"/>
      <c r="K74" s="276"/>
      <c r="L74" s="274"/>
      <c r="M74" s="274"/>
      <c r="N74" s="274"/>
      <c r="O74" s="274"/>
      <c r="P74" s="274"/>
      <c r="Q74" s="274"/>
      <c r="R74" s="276"/>
      <c r="S74" s="328"/>
      <c r="T74" s="274"/>
      <c r="U74" s="274"/>
      <c r="V74" s="45"/>
      <c r="W74" s="45"/>
      <c r="X74" s="14" t="s">
        <v>52</v>
      </c>
      <c r="Y74" s="303">
        <v>0.005</v>
      </c>
      <c r="Z74" s="49"/>
      <c r="AA74" s="49"/>
      <c r="AB74" s="49"/>
      <c r="AC74" s="274"/>
      <c r="AD74" s="274"/>
      <c r="AE74" s="274"/>
      <c r="AF74" s="274"/>
      <c r="AG74" s="274"/>
      <c r="AH74" s="274"/>
      <c r="AI74" s="274"/>
      <c r="AJ74" s="274"/>
      <c r="AK74" s="274"/>
    </row>
    <row r="75" ht="12.0" customHeight="1">
      <c r="A75" s="274"/>
      <c r="B75" s="274"/>
      <c r="C75" s="274"/>
      <c r="D75" s="274"/>
      <c r="E75" s="274"/>
      <c r="F75" s="275"/>
      <c r="G75" s="104"/>
      <c r="H75" s="276"/>
      <c r="I75" s="276"/>
      <c r="J75" s="276"/>
      <c r="K75" s="276"/>
      <c r="L75" s="274"/>
      <c r="M75" s="274"/>
      <c r="N75" s="274"/>
      <c r="O75" s="274"/>
      <c r="P75" s="274"/>
      <c r="Q75" s="274"/>
      <c r="R75" s="276"/>
      <c r="S75" s="328"/>
      <c r="T75" s="274"/>
      <c r="U75" s="274"/>
      <c r="V75" s="45"/>
      <c r="W75" s="45"/>
      <c r="X75" s="153"/>
      <c r="Y75" s="260"/>
      <c r="Z75" s="49"/>
      <c r="AA75" s="49"/>
      <c r="AB75" s="49"/>
      <c r="AC75" s="49"/>
      <c r="AD75" s="274"/>
      <c r="AE75" s="274"/>
      <c r="AF75" s="274"/>
      <c r="AG75" s="274"/>
      <c r="AH75" s="274"/>
      <c r="AI75" s="274"/>
      <c r="AJ75" s="274"/>
      <c r="AK75" s="274"/>
    </row>
    <row r="76" ht="12.0" customHeight="1">
      <c r="A76" s="274"/>
      <c r="B76" s="274"/>
      <c r="C76" s="274"/>
      <c r="D76" s="274"/>
      <c r="E76" s="274"/>
      <c r="F76" s="275"/>
      <c r="G76" s="104"/>
      <c r="H76" s="276" t="s">
        <v>53</v>
      </c>
      <c r="I76" s="276"/>
      <c r="J76" s="276"/>
      <c r="K76" s="276"/>
      <c r="L76" s="274"/>
      <c r="M76" s="274"/>
      <c r="N76" s="274"/>
      <c r="O76" s="274"/>
      <c r="P76" s="274"/>
      <c r="Q76" s="274"/>
      <c r="R76" s="276"/>
      <c r="S76" s="328"/>
      <c r="T76" s="274"/>
      <c r="U76" s="274"/>
      <c r="V76" s="180"/>
      <c r="W76" s="45"/>
      <c r="X76" s="302" t="s">
        <v>51</v>
      </c>
      <c r="Y76" s="304">
        <f t="shared" ref="Y76:AC76" si="53">Y65</f>
        <v>0.17</v>
      </c>
      <c r="Z76" s="304">
        <f t="shared" si="53"/>
        <v>0.175</v>
      </c>
      <c r="AA76" s="304">
        <f t="shared" si="53"/>
        <v>0.18</v>
      </c>
      <c r="AB76" s="304">
        <f t="shared" si="53"/>
        <v>0.185</v>
      </c>
      <c r="AC76" s="304">
        <f t="shared" si="53"/>
        <v>0.19</v>
      </c>
      <c r="AD76" s="274"/>
      <c r="AE76" s="274"/>
      <c r="AF76" s="274"/>
      <c r="AG76" s="274"/>
      <c r="AH76" s="274"/>
      <c r="AI76" s="274"/>
      <c r="AJ76" s="274"/>
      <c r="AK76" s="274"/>
    </row>
    <row r="77" ht="12.0" customHeight="1">
      <c r="A77" s="274"/>
      <c r="B77" s="274"/>
      <c r="C77" s="274"/>
      <c r="D77" s="274"/>
      <c r="E77" s="274"/>
      <c r="F77" s="275"/>
      <c r="G77" s="104"/>
      <c r="H77" s="276"/>
      <c r="I77" s="276"/>
      <c r="J77" s="276"/>
      <c r="K77" s="276"/>
      <c r="L77" s="274"/>
      <c r="M77" s="274"/>
      <c r="N77" s="274"/>
      <c r="O77" s="274"/>
      <c r="P77" s="274"/>
      <c r="Q77" s="274"/>
      <c r="R77" s="276"/>
      <c r="S77" s="328"/>
      <c r="T77" s="274"/>
      <c r="U77" s="274"/>
      <c r="V77" s="274"/>
      <c r="W77" s="45"/>
      <c r="X77" s="274"/>
      <c r="Y77" s="152">
        <f t="shared" ref="Y77:AC77" si="54">AVERAGE(Y66:Y70)</f>
        <v>142.7549662</v>
      </c>
      <c r="Z77" s="152">
        <f t="shared" si="54"/>
        <v>136.2905126</v>
      </c>
      <c r="AA77" s="152">
        <f t="shared" si="54"/>
        <v>130.283051</v>
      </c>
      <c r="AB77" s="152">
        <f t="shared" si="54"/>
        <v>124.6878256</v>
      </c>
      <c r="AC77" s="152">
        <f t="shared" si="54"/>
        <v>119.4657035</v>
      </c>
      <c r="AD77" s="274"/>
      <c r="AE77" s="274"/>
      <c r="AF77" s="274"/>
      <c r="AG77" s="274"/>
      <c r="AH77" s="274"/>
      <c r="AI77" s="274"/>
      <c r="AJ77" s="274"/>
      <c r="AK77" s="274"/>
    </row>
    <row r="78" ht="12.0" customHeight="1">
      <c r="A78" s="274"/>
      <c r="B78" s="274"/>
      <c r="C78" s="274"/>
      <c r="D78" s="274"/>
      <c r="E78" s="274"/>
      <c r="F78" s="275"/>
      <c r="G78" s="104"/>
      <c r="H78" s="276"/>
      <c r="I78" s="276"/>
      <c r="J78" s="276"/>
      <c r="K78" s="276"/>
      <c r="L78" s="274"/>
      <c r="M78" s="274"/>
      <c r="N78" s="274"/>
      <c r="O78" s="274"/>
      <c r="P78" s="274"/>
      <c r="Q78" s="274"/>
      <c r="R78" s="276"/>
      <c r="S78" s="328"/>
      <c r="T78" s="274"/>
      <c r="U78" s="274"/>
      <c r="V78" s="274"/>
      <c r="W78" s="49"/>
      <c r="X78" s="45"/>
      <c r="Y78" s="125" t="s">
        <v>54</v>
      </c>
      <c r="Z78" s="152">
        <f t="shared" ref="Z78:AC78" si="55">ABS(Z77-Y77)</f>
        <v>6.464453647</v>
      </c>
      <c r="AA78" s="152">
        <f t="shared" si="55"/>
        <v>6.007461576</v>
      </c>
      <c r="AB78" s="152">
        <f t="shared" si="55"/>
        <v>5.595225369</v>
      </c>
      <c r="AC78" s="152">
        <f t="shared" si="55"/>
        <v>5.222122127</v>
      </c>
      <c r="AD78" s="274"/>
      <c r="AE78" s="274"/>
      <c r="AF78" s="274"/>
      <c r="AG78" s="274"/>
      <c r="AH78" s="274"/>
      <c r="AI78" s="274"/>
      <c r="AJ78" s="274"/>
      <c r="AK78" s="274"/>
    </row>
    <row r="79" ht="12.0" customHeight="1">
      <c r="A79" s="274"/>
      <c r="B79" s="274"/>
      <c r="C79" s="274"/>
      <c r="D79" s="274"/>
      <c r="E79" s="274"/>
      <c r="F79" s="275"/>
      <c r="G79" s="104"/>
      <c r="H79" s="276"/>
      <c r="I79" s="276"/>
      <c r="J79" s="276"/>
      <c r="K79" s="276"/>
      <c r="L79" s="274"/>
      <c r="M79" s="274"/>
      <c r="N79" s="274"/>
      <c r="O79" s="274"/>
      <c r="P79" s="274"/>
      <c r="Q79" s="274"/>
      <c r="R79" s="276"/>
      <c r="S79" s="328"/>
      <c r="T79" s="274"/>
      <c r="U79" s="274"/>
      <c r="V79" s="274"/>
      <c r="W79" s="49"/>
      <c r="X79" s="109"/>
      <c r="Y79" s="306" t="s">
        <v>55</v>
      </c>
      <c r="Z79" s="307">
        <f>MEDIAN(Z78:AC78)</f>
        <v>5.801343472</v>
      </c>
      <c r="AA79" s="109"/>
      <c r="AB79" s="109"/>
      <c r="AC79" s="109"/>
      <c r="AD79" s="274"/>
      <c r="AE79" s="274"/>
      <c r="AF79" s="274"/>
      <c r="AG79" s="274"/>
      <c r="AH79" s="274"/>
      <c r="AI79" s="274"/>
      <c r="AJ79" s="274"/>
      <c r="AK79" s="274"/>
    </row>
    <row r="80" ht="12.0" customHeight="1">
      <c r="A80" s="274"/>
      <c r="B80" s="274"/>
      <c r="C80" s="274"/>
      <c r="D80" s="274"/>
      <c r="E80" s="274"/>
      <c r="F80" s="275"/>
      <c r="G80" s="104"/>
      <c r="H80" s="276"/>
      <c r="I80" s="276"/>
      <c r="J80" s="276"/>
      <c r="K80" s="276"/>
      <c r="L80" s="276"/>
      <c r="M80" s="276"/>
      <c r="N80" s="276"/>
      <c r="O80" s="276"/>
      <c r="P80" s="276"/>
      <c r="Q80" s="276"/>
      <c r="R80" s="276"/>
      <c r="S80" s="328"/>
      <c r="T80" s="274"/>
      <c r="U80" s="274"/>
      <c r="V80" s="274"/>
      <c r="W80" s="49"/>
      <c r="X80" s="49"/>
      <c r="Y80" s="49"/>
      <c r="Z80" s="49"/>
      <c r="AA80" s="49"/>
      <c r="AB80" s="49"/>
      <c r="AC80" s="49"/>
      <c r="AD80" s="274"/>
      <c r="AE80" s="274"/>
      <c r="AF80" s="274"/>
      <c r="AG80" s="274"/>
      <c r="AH80" s="274"/>
      <c r="AI80" s="274"/>
      <c r="AJ80" s="274"/>
      <c r="AK80" s="274"/>
    </row>
    <row r="81" ht="12.0" customHeight="1">
      <c r="A81" s="274"/>
      <c r="B81" s="274"/>
      <c r="C81" s="274"/>
      <c r="D81" s="274"/>
      <c r="E81" s="274"/>
      <c r="F81" s="275"/>
      <c r="G81" s="104"/>
      <c r="H81" s="276"/>
      <c r="I81" s="276"/>
      <c r="J81" s="276"/>
      <c r="K81" s="276"/>
      <c r="L81" s="276"/>
      <c r="M81" s="276"/>
      <c r="N81" s="276"/>
      <c r="O81" s="276"/>
      <c r="P81" s="276"/>
      <c r="Q81" s="276"/>
      <c r="R81" s="276"/>
      <c r="S81" s="328"/>
      <c r="T81" s="274"/>
      <c r="U81" s="274"/>
      <c r="V81" s="274"/>
      <c r="W81" s="49"/>
      <c r="X81" s="49"/>
      <c r="Y81" s="49"/>
      <c r="Z81" s="49"/>
      <c r="AA81" s="49"/>
      <c r="AB81" s="49"/>
      <c r="AC81" s="49"/>
      <c r="AD81" s="274"/>
      <c r="AE81" s="274"/>
      <c r="AF81" s="274"/>
      <c r="AG81" s="274"/>
      <c r="AH81" s="274"/>
      <c r="AI81" s="274"/>
      <c r="AJ81" s="274"/>
      <c r="AK81" s="274"/>
    </row>
    <row r="82" ht="12.0" customHeight="1">
      <c r="A82" s="274"/>
      <c r="B82" s="274"/>
      <c r="C82" s="274"/>
      <c r="D82" s="274"/>
      <c r="E82" s="274"/>
      <c r="F82" s="275"/>
      <c r="G82" s="104"/>
      <c r="H82" s="276"/>
      <c r="I82" s="276"/>
      <c r="J82" s="276"/>
      <c r="K82" s="276"/>
      <c r="L82" s="276"/>
      <c r="M82" s="276"/>
      <c r="N82" s="276"/>
      <c r="O82" s="276"/>
      <c r="P82" s="276"/>
      <c r="Q82" s="276"/>
      <c r="R82" s="276"/>
      <c r="S82" s="328"/>
      <c r="T82" s="274"/>
      <c r="U82" s="274"/>
      <c r="V82" s="274"/>
      <c r="W82" s="49"/>
      <c r="X82" s="49"/>
      <c r="Y82" s="304">
        <f>X66</f>
        <v>0.02</v>
      </c>
      <c r="Z82" s="304">
        <f>X67</f>
        <v>0.025</v>
      </c>
      <c r="AA82" s="305">
        <f>X68</f>
        <v>0.03</v>
      </c>
      <c r="AB82" s="304">
        <f>X69</f>
        <v>0.035</v>
      </c>
      <c r="AC82" s="304">
        <f>X70</f>
        <v>0.04</v>
      </c>
      <c r="AD82" s="274"/>
      <c r="AE82" s="274"/>
      <c r="AF82" s="274"/>
      <c r="AG82" s="274"/>
      <c r="AH82" s="274"/>
      <c r="AI82" s="274"/>
      <c r="AJ82" s="274"/>
      <c r="AK82" s="274"/>
    </row>
    <row r="83" ht="12.0" customHeight="1">
      <c r="A83" s="274"/>
      <c r="B83" s="274"/>
      <c r="C83" s="274"/>
      <c r="D83" s="274"/>
      <c r="E83" s="274"/>
      <c r="F83" s="275"/>
      <c r="G83" s="104"/>
      <c r="H83" s="276"/>
      <c r="I83" s="276"/>
      <c r="J83" s="276"/>
      <c r="K83" s="276"/>
      <c r="L83" s="276"/>
      <c r="M83" s="276"/>
      <c r="N83" s="276"/>
      <c r="O83" s="276"/>
      <c r="P83" s="276"/>
      <c r="Q83" s="276"/>
      <c r="R83" s="276"/>
      <c r="S83" s="328"/>
      <c r="T83" s="274"/>
      <c r="U83" s="274"/>
      <c r="V83" s="274"/>
      <c r="W83" s="45"/>
      <c r="X83" s="302" t="s">
        <v>52</v>
      </c>
      <c r="Y83" s="152">
        <f>AVERAGE(Y66:AC66)</f>
        <v>127.1461403</v>
      </c>
      <c r="Z83" s="152">
        <f>AVERAGE(Y67:AC67)</f>
        <v>128.8037647</v>
      </c>
      <c r="AA83" s="152">
        <f>AVERAGE(Y68:AC68)</f>
        <v>130.572896</v>
      </c>
      <c r="AB83" s="152">
        <f>AVERAGE(Y69:AC69)</f>
        <v>132.4652048</v>
      </c>
      <c r="AC83" s="152">
        <f>AVERAGE(Y70:AC70)</f>
        <v>134.4940532</v>
      </c>
      <c r="AD83" s="274"/>
      <c r="AE83" s="274"/>
      <c r="AF83" s="274"/>
      <c r="AG83" s="274"/>
      <c r="AH83" s="274"/>
      <c r="AI83" s="274"/>
      <c r="AJ83" s="274"/>
      <c r="AK83" s="274"/>
    </row>
    <row r="84" ht="12.0" customHeight="1">
      <c r="A84" s="274"/>
      <c r="B84" s="274"/>
      <c r="C84" s="274"/>
      <c r="D84" s="274"/>
      <c r="E84" s="274"/>
      <c r="F84" s="275"/>
      <c r="G84" s="104"/>
      <c r="H84" s="276"/>
      <c r="I84" s="276"/>
      <c r="J84" s="276"/>
      <c r="K84" s="276"/>
      <c r="L84" s="276"/>
      <c r="M84" s="276"/>
      <c r="N84" s="276"/>
      <c r="O84" s="276"/>
      <c r="P84" s="276"/>
      <c r="Q84" s="276"/>
      <c r="R84" s="276"/>
      <c r="S84" s="328"/>
      <c r="T84" s="274"/>
      <c r="U84" s="274"/>
      <c r="V84" s="274"/>
      <c r="W84" s="49"/>
      <c r="X84" s="45"/>
      <c r="Y84" s="125" t="s">
        <v>56</v>
      </c>
      <c r="Z84" s="152">
        <f t="shared" ref="Z84:AC84" si="56">ABS(Z83-Y83)</f>
        <v>1.657624406</v>
      </c>
      <c r="AA84" s="152">
        <f t="shared" si="56"/>
        <v>1.769131364</v>
      </c>
      <c r="AB84" s="152">
        <f t="shared" si="56"/>
        <v>1.892308789</v>
      </c>
      <c r="AC84" s="152">
        <f t="shared" si="56"/>
        <v>2.028848359</v>
      </c>
      <c r="AD84" s="274"/>
      <c r="AE84" s="274"/>
      <c r="AF84" s="274"/>
      <c r="AG84" s="274"/>
      <c r="AH84" s="274"/>
      <c r="AI84" s="274"/>
      <c r="AJ84" s="274"/>
      <c r="AK84" s="274"/>
    </row>
    <row r="85" ht="12.0" customHeight="1">
      <c r="A85" s="274"/>
      <c r="B85" s="274"/>
      <c r="C85" s="274"/>
      <c r="D85" s="274"/>
      <c r="E85" s="274"/>
      <c r="F85" s="275"/>
      <c r="G85" s="104"/>
      <c r="H85" s="276"/>
      <c r="I85" s="276"/>
      <c r="J85" s="276"/>
      <c r="K85" s="276"/>
      <c r="L85" s="276"/>
      <c r="M85" s="276"/>
      <c r="N85" s="276"/>
      <c r="O85" s="276"/>
      <c r="P85" s="276"/>
      <c r="Q85" s="276"/>
      <c r="R85" s="276"/>
      <c r="S85" s="328"/>
      <c r="T85" s="274"/>
      <c r="U85" s="274"/>
      <c r="V85" s="274"/>
      <c r="W85" s="274"/>
      <c r="X85" s="274"/>
      <c r="Y85" s="306" t="s">
        <v>57</v>
      </c>
      <c r="Z85" s="307">
        <f>MEDIAN(Z84:AC84)</f>
        <v>1.830720076</v>
      </c>
      <c r="AA85" s="274"/>
      <c r="AB85" s="274"/>
      <c r="AC85" s="274"/>
      <c r="AD85" s="274"/>
      <c r="AE85" s="274"/>
      <c r="AF85" s="274"/>
      <c r="AG85" s="274"/>
      <c r="AH85" s="274"/>
      <c r="AI85" s="274"/>
      <c r="AJ85" s="274"/>
      <c r="AK85" s="274"/>
    </row>
    <row r="86" ht="12.0" customHeight="1">
      <c r="A86" s="274"/>
      <c r="B86" s="274"/>
      <c r="C86" s="274"/>
      <c r="D86" s="274"/>
      <c r="E86" s="274"/>
      <c r="F86" s="275"/>
      <c r="G86" s="104"/>
      <c r="H86" s="276"/>
      <c r="I86" s="276"/>
      <c r="J86" s="276"/>
      <c r="K86" s="276"/>
      <c r="L86" s="276"/>
      <c r="M86" s="276"/>
      <c r="N86" s="276"/>
      <c r="O86" s="276"/>
      <c r="P86" s="276"/>
      <c r="Q86" s="276"/>
      <c r="R86" s="276"/>
      <c r="S86" s="328"/>
      <c r="T86" s="274"/>
      <c r="U86" s="274"/>
      <c r="V86" s="274"/>
      <c r="W86" s="274"/>
      <c r="X86" s="274"/>
      <c r="Y86" s="274"/>
      <c r="Z86" s="274"/>
      <c r="AA86" s="274"/>
      <c r="AB86" s="274"/>
      <c r="AC86" s="274"/>
      <c r="AD86" s="274"/>
      <c r="AE86" s="274"/>
      <c r="AF86" s="274"/>
      <c r="AG86" s="274"/>
      <c r="AH86" s="274"/>
      <c r="AI86" s="274"/>
      <c r="AJ86" s="274"/>
      <c r="AK86" s="274"/>
    </row>
    <row r="87" ht="12.0" customHeight="1">
      <c r="A87" s="274"/>
      <c r="B87" s="274"/>
      <c r="C87" s="274"/>
      <c r="D87" s="274"/>
      <c r="E87" s="274"/>
      <c r="F87" s="275"/>
      <c r="G87" s="104"/>
      <c r="H87" s="276"/>
      <c r="I87" s="276"/>
      <c r="J87" s="276"/>
      <c r="K87" s="276"/>
      <c r="L87" s="276"/>
      <c r="M87" s="276"/>
      <c r="N87" s="276"/>
      <c r="O87" s="276"/>
      <c r="P87" s="276"/>
      <c r="Q87" s="276"/>
      <c r="R87" s="276"/>
      <c r="S87" s="328"/>
      <c r="T87" s="274"/>
      <c r="U87" s="274"/>
      <c r="V87" s="274"/>
      <c r="W87" s="274"/>
      <c r="X87" s="274"/>
      <c r="Y87" s="274"/>
      <c r="Z87" s="274"/>
      <c r="AA87" s="274"/>
      <c r="AB87" s="274"/>
      <c r="AC87" s="274"/>
      <c r="AD87" s="274"/>
      <c r="AE87" s="274"/>
      <c r="AF87" s="274"/>
      <c r="AG87" s="274"/>
      <c r="AH87" s="274"/>
      <c r="AI87" s="274"/>
      <c r="AJ87" s="274"/>
      <c r="AK87" s="274"/>
    </row>
    <row r="88" ht="12.0" customHeight="1">
      <c r="A88" s="274"/>
      <c r="B88" s="274"/>
      <c r="C88" s="274"/>
      <c r="D88" s="274"/>
      <c r="E88" s="274"/>
      <c r="F88" s="275"/>
      <c r="G88" s="104"/>
      <c r="H88" s="276"/>
      <c r="I88" s="276"/>
      <c r="J88" s="276"/>
      <c r="K88" s="276"/>
      <c r="L88" s="276"/>
      <c r="M88" s="276"/>
      <c r="N88" s="276"/>
      <c r="O88" s="276"/>
      <c r="P88" s="276"/>
      <c r="Q88" s="276"/>
      <c r="R88" s="276"/>
      <c r="S88" s="328"/>
      <c r="T88" s="274"/>
      <c r="U88" s="274"/>
      <c r="V88" s="274"/>
      <c r="W88" s="274"/>
      <c r="X88" s="274"/>
      <c r="Y88" s="274"/>
      <c r="Z88" s="274"/>
      <c r="AA88" s="274"/>
      <c r="AB88" s="274"/>
      <c r="AC88" s="274"/>
      <c r="AD88" s="274"/>
      <c r="AE88" s="274"/>
      <c r="AF88" s="274"/>
      <c r="AG88" s="274"/>
      <c r="AH88" s="274"/>
      <c r="AI88" s="274"/>
      <c r="AJ88" s="274"/>
      <c r="AK88" s="274"/>
    </row>
    <row r="89" ht="12.0" customHeight="1">
      <c r="A89" s="274"/>
      <c r="B89" s="274"/>
      <c r="C89" s="274"/>
      <c r="D89" s="274"/>
      <c r="E89" s="274"/>
      <c r="F89" s="275"/>
      <c r="G89" s="104"/>
      <c r="H89" s="276"/>
      <c r="I89" s="276"/>
      <c r="J89" s="276"/>
      <c r="K89" s="276"/>
      <c r="L89" s="276"/>
      <c r="M89" s="276"/>
      <c r="N89" s="276"/>
      <c r="O89" s="276"/>
      <c r="P89" s="276"/>
      <c r="Q89" s="276"/>
      <c r="R89" s="276"/>
      <c r="S89" s="328"/>
      <c r="T89" s="274"/>
      <c r="U89" s="274"/>
      <c r="V89" s="274"/>
      <c r="W89" s="274"/>
      <c r="X89" s="274"/>
      <c r="Y89" s="274"/>
      <c r="Z89" s="274"/>
      <c r="AA89" s="274"/>
      <c r="AB89" s="274"/>
      <c r="AC89" s="274"/>
      <c r="AD89" s="274"/>
      <c r="AE89" s="274"/>
      <c r="AF89" s="274"/>
      <c r="AG89" s="274"/>
      <c r="AH89" s="274"/>
      <c r="AI89" s="274"/>
      <c r="AJ89" s="274"/>
      <c r="AK89" s="274"/>
    </row>
    <row r="90" ht="12.0" customHeight="1">
      <c r="A90" s="274"/>
      <c r="B90" s="274"/>
      <c r="C90" s="274"/>
      <c r="D90" s="274"/>
      <c r="E90" s="274"/>
      <c r="F90" s="275"/>
      <c r="G90" s="104"/>
      <c r="H90" s="276"/>
      <c r="I90" s="276"/>
      <c r="J90" s="276"/>
      <c r="K90" s="276"/>
      <c r="L90" s="276"/>
      <c r="M90" s="276"/>
      <c r="N90" s="276"/>
      <c r="O90" s="276"/>
      <c r="P90" s="276"/>
      <c r="Q90" s="276"/>
      <c r="R90" s="276"/>
      <c r="S90" s="328"/>
      <c r="T90" s="274"/>
      <c r="U90" s="274"/>
      <c r="V90" s="274"/>
      <c r="W90" s="274"/>
      <c r="X90" s="274"/>
      <c r="Y90" s="274"/>
      <c r="Z90" s="274"/>
      <c r="AA90" s="274"/>
      <c r="AB90" s="274"/>
      <c r="AC90" s="274"/>
      <c r="AD90" s="274"/>
      <c r="AE90" s="274"/>
      <c r="AF90" s="274"/>
      <c r="AG90" s="274"/>
      <c r="AH90" s="274"/>
      <c r="AI90" s="274"/>
      <c r="AJ90" s="274"/>
      <c r="AK90" s="274"/>
    </row>
    <row r="91" ht="12.0" customHeight="1">
      <c r="A91" s="274"/>
      <c r="B91" s="274"/>
      <c r="C91" s="274"/>
      <c r="D91" s="274"/>
      <c r="E91" s="274"/>
      <c r="F91" s="275"/>
      <c r="G91" s="104"/>
      <c r="H91" s="276"/>
      <c r="I91" s="276"/>
      <c r="J91" s="276"/>
      <c r="K91" s="276"/>
      <c r="L91" s="276"/>
      <c r="M91" s="276"/>
      <c r="N91" s="276"/>
      <c r="O91" s="276"/>
      <c r="P91" s="276"/>
      <c r="Q91" s="276"/>
      <c r="R91" s="276"/>
      <c r="S91" s="328"/>
      <c r="T91" s="274"/>
      <c r="U91" s="274"/>
      <c r="V91" s="274"/>
      <c r="W91" s="274"/>
      <c r="X91" s="274"/>
      <c r="Y91" s="274"/>
      <c r="Z91" s="274"/>
      <c r="AA91" s="274"/>
      <c r="AB91" s="274"/>
      <c r="AC91" s="274"/>
      <c r="AD91" s="274"/>
      <c r="AE91" s="274"/>
      <c r="AF91" s="274"/>
      <c r="AG91" s="274"/>
      <c r="AH91" s="274"/>
      <c r="AI91" s="274"/>
      <c r="AJ91" s="274"/>
      <c r="AK91" s="274"/>
    </row>
    <row r="92" ht="12.0" customHeight="1">
      <c r="A92" s="274"/>
      <c r="B92" s="274"/>
      <c r="C92" s="274"/>
      <c r="D92" s="274"/>
      <c r="E92" s="274"/>
      <c r="F92" s="275"/>
      <c r="G92" s="104"/>
      <c r="H92" s="276"/>
      <c r="I92" s="276"/>
      <c r="J92" s="276"/>
      <c r="K92" s="276"/>
      <c r="L92" s="276"/>
      <c r="M92" s="276"/>
      <c r="N92" s="276"/>
      <c r="O92" s="276"/>
      <c r="P92" s="276"/>
      <c r="Q92" s="276"/>
      <c r="R92" s="276"/>
      <c r="S92" s="328"/>
      <c r="T92" s="274"/>
      <c r="U92" s="274"/>
      <c r="V92" s="274"/>
      <c r="W92" s="274"/>
      <c r="X92" s="274"/>
      <c r="Y92" s="274"/>
      <c r="Z92" s="274"/>
      <c r="AA92" s="274"/>
      <c r="AB92" s="274"/>
      <c r="AC92" s="274"/>
      <c r="AD92" s="274"/>
      <c r="AE92" s="274"/>
      <c r="AF92" s="274"/>
      <c r="AG92" s="274"/>
      <c r="AH92" s="274"/>
      <c r="AI92" s="274"/>
      <c r="AJ92" s="274"/>
      <c r="AK92" s="274"/>
    </row>
    <row r="93" ht="12.0" customHeight="1">
      <c r="A93" s="274"/>
      <c r="B93" s="274"/>
      <c r="C93" s="274"/>
      <c r="D93" s="274"/>
      <c r="E93" s="274"/>
      <c r="F93" s="275"/>
      <c r="G93" s="104"/>
      <c r="H93" s="276"/>
      <c r="I93" s="276"/>
      <c r="J93" s="276"/>
      <c r="K93" s="276"/>
      <c r="L93" s="276"/>
      <c r="M93" s="276"/>
      <c r="N93" s="276"/>
      <c r="O93" s="276"/>
      <c r="P93" s="276"/>
      <c r="Q93" s="276"/>
      <c r="R93" s="276"/>
      <c r="S93" s="328"/>
      <c r="T93" s="274"/>
      <c r="U93" s="274"/>
      <c r="V93" s="274"/>
      <c r="W93" s="274"/>
      <c r="X93" s="274"/>
      <c r="Y93" s="274"/>
      <c r="Z93" s="274"/>
      <c r="AA93" s="274"/>
      <c r="AB93" s="274"/>
      <c r="AC93" s="274"/>
      <c r="AD93" s="274"/>
      <c r="AE93" s="274"/>
      <c r="AF93" s="274"/>
      <c r="AG93" s="274"/>
      <c r="AH93" s="274"/>
      <c r="AI93" s="274"/>
      <c r="AJ93" s="274"/>
      <c r="AK93" s="274"/>
    </row>
    <row r="94" ht="12.0" customHeight="1">
      <c r="A94" s="274"/>
      <c r="B94" s="274"/>
      <c r="C94" s="274"/>
      <c r="D94" s="274"/>
      <c r="E94" s="274"/>
      <c r="F94" s="275"/>
      <c r="G94" s="104"/>
      <c r="H94" s="276"/>
      <c r="I94" s="276"/>
      <c r="J94" s="276"/>
      <c r="K94" s="276"/>
      <c r="L94" s="276"/>
      <c r="M94" s="276"/>
      <c r="N94" s="276"/>
      <c r="O94" s="276"/>
      <c r="P94" s="276"/>
      <c r="Q94" s="276"/>
      <c r="R94" s="276"/>
      <c r="S94" s="328"/>
      <c r="T94" s="274"/>
      <c r="U94" s="274"/>
      <c r="V94" s="274"/>
      <c r="W94" s="274"/>
      <c r="X94" s="274"/>
      <c r="Y94" s="274"/>
      <c r="Z94" s="274"/>
      <c r="AA94" s="274"/>
      <c r="AB94" s="274"/>
      <c r="AC94" s="274"/>
      <c r="AD94" s="274"/>
      <c r="AE94" s="274"/>
      <c r="AF94" s="274"/>
      <c r="AG94" s="274"/>
      <c r="AH94" s="274"/>
      <c r="AI94" s="274"/>
      <c r="AJ94" s="274"/>
      <c r="AK94" s="274"/>
    </row>
    <row r="95" ht="12.0" customHeight="1">
      <c r="A95" s="274"/>
      <c r="B95" s="274"/>
      <c r="C95" s="274"/>
      <c r="D95" s="274"/>
      <c r="E95" s="274"/>
      <c r="F95" s="275"/>
      <c r="G95" s="104"/>
      <c r="H95" s="276"/>
      <c r="I95" s="276"/>
      <c r="J95" s="276"/>
      <c r="K95" s="276"/>
      <c r="L95" s="276"/>
      <c r="M95" s="276"/>
      <c r="N95" s="276"/>
      <c r="O95" s="276"/>
      <c r="P95" s="276"/>
      <c r="Q95" s="276"/>
      <c r="R95" s="276"/>
      <c r="S95" s="328"/>
      <c r="T95" s="274"/>
      <c r="U95" s="274"/>
      <c r="V95" s="274"/>
      <c r="W95" s="274"/>
      <c r="X95" s="274"/>
      <c r="Y95" s="274"/>
      <c r="Z95" s="274"/>
      <c r="AA95" s="274"/>
      <c r="AB95" s="274"/>
      <c r="AC95" s="274"/>
      <c r="AD95" s="274"/>
      <c r="AE95" s="274"/>
      <c r="AF95" s="274"/>
      <c r="AG95" s="274"/>
      <c r="AH95" s="274"/>
      <c r="AI95" s="274"/>
      <c r="AJ95" s="274"/>
      <c r="AK95" s="274"/>
    </row>
    <row r="96" ht="12.0" customHeight="1">
      <c r="A96" s="274"/>
      <c r="B96" s="274"/>
      <c r="C96" s="274"/>
      <c r="D96" s="274"/>
      <c r="E96" s="274"/>
      <c r="F96" s="275"/>
      <c r="G96" s="104"/>
      <c r="H96" s="276"/>
      <c r="I96" s="276"/>
      <c r="J96" s="276"/>
      <c r="K96" s="276"/>
      <c r="L96" s="276"/>
      <c r="M96" s="276"/>
      <c r="N96" s="276"/>
      <c r="O96" s="276"/>
      <c r="P96" s="276"/>
      <c r="Q96" s="276"/>
      <c r="R96" s="276"/>
      <c r="S96" s="328"/>
      <c r="T96" s="274"/>
      <c r="U96" s="274"/>
      <c r="V96" s="274"/>
      <c r="W96" s="274"/>
      <c r="X96" s="274"/>
      <c r="Y96" s="274"/>
      <c r="Z96" s="274"/>
      <c r="AA96" s="274"/>
      <c r="AB96" s="274"/>
      <c r="AC96" s="274"/>
      <c r="AD96" s="274"/>
      <c r="AE96" s="274"/>
      <c r="AF96" s="274"/>
      <c r="AG96" s="274"/>
      <c r="AH96" s="274"/>
      <c r="AI96" s="274"/>
      <c r="AJ96" s="274"/>
      <c r="AK96" s="274"/>
    </row>
    <row r="97" ht="12.0" customHeight="1">
      <c r="A97" s="274"/>
      <c r="B97" s="274"/>
      <c r="C97" s="274"/>
      <c r="D97" s="274"/>
      <c r="E97" s="274"/>
      <c r="F97" s="275"/>
      <c r="G97" s="104"/>
      <c r="H97" s="276"/>
      <c r="I97" s="276"/>
      <c r="J97" s="276"/>
      <c r="K97" s="276"/>
      <c r="L97" s="276"/>
      <c r="M97" s="276"/>
      <c r="N97" s="276"/>
      <c r="O97" s="276"/>
      <c r="P97" s="276"/>
      <c r="Q97" s="276"/>
      <c r="R97" s="276"/>
      <c r="S97" s="328"/>
      <c r="T97" s="274"/>
      <c r="U97" s="274"/>
      <c r="V97" s="274"/>
      <c r="W97" s="274"/>
      <c r="X97" s="274"/>
      <c r="Y97" s="274"/>
      <c r="Z97" s="274"/>
      <c r="AA97" s="274"/>
      <c r="AB97" s="274"/>
      <c r="AC97" s="274"/>
      <c r="AD97" s="274"/>
      <c r="AE97" s="274"/>
      <c r="AF97" s="274"/>
      <c r="AG97" s="274"/>
      <c r="AH97" s="274"/>
      <c r="AI97" s="274"/>
      <c r="AJ97" s="274"/>
      <c r="AK97" s="274"/>
    </row>
    <row r="98" ht="12.0" customHeight="1">
      <c r="A98" s="274"/>
      <c r="B98" s="274"/>
      <c r="C98" s="274"/>
      <c r="D98" s="274"/>
      <c r="E98" s="274"/>
      <c r="F98" s="275"/>
      <c r="G98" s="104"/>
      <c r="H98" s="276"/>
      <c r="I98" s="276"/>
      <c r="J98" s="276"/>
      <c r="K98" s="276"/>
      <c r="L98" s="276"/>
      <c r="M98" s="276"/>
      <c r="N98" s="276"/>
      <c r="O98" s="276"/>
      <c r="P98" s="276"/>
      <c r="Q98" s="276"/>
      <c r="R98" s="276"/>
      <c r="S98" s="328"/>
      <c r="T98" s="274"/>
      <c r="U98" s="274"/>
      <c r="V98" s="274"/>
      <c r="W98" s="274"/>
      <c r="X98" s="274"/>
      <c r="Y98" s="274"/>
      <c r="Z98" s="274"/>
      <c r="AA98" s="274"/>
      <c r="AB98" s="274"/>
      <c r="AC98" s="274"/>
      <c r="AD98" s="274"/>
      <c r="AE98" s="274"/>
      <c r="AF98" s="274"/>
      <c r="AG98" s="274"/>
      <c r="AH98" s="274"/>
      <c r="AI98" s="274"/>
      <c r="AJ98" s="274"/>
      <c r="AK98" s="274"/>
    </row>
    <row r="99" ht="12.0" customHeight="1">
      <c r="A99" s="274"/>
      <c r="B99" s="274"/>
      <c r="C99" s="274"/>
      <c r="D99" s="274"/>
      <c r="E99" s="274"/>
      <c r="F99" s="275"/>
      <c r="G99" s="104"/>
      <c r="H99" s="276"/>
      <c r="I99" s="276"/>
      <c r="J99" s="276"/>
      <c r="K99" s="276"/>
      <c r="L99" s="276"/>
      <c r="M99" s="276"/>
      <c r="N99" s="276"/>
      <c r="O99" s="276"/>
      <c r="P99" s="276"/>
      <c r="Q99" s="276"/>
      <c r="R99" s="276"/>
      <c r="S99" s="328"/>
      <c r="T99" s="274"/>
      <c r="U99" s="274"/>
      <c r="V99" s="274"/>
      <c r="W99" s="274"/>
      <c r="X99" s="274"/>
      <c r="Y99" s="274"/>
      <c r="Z99" s="274"/>
      <c r="AA99" s="274"/>
      <c r="AB99" s="274"/>
      <c r="AC99" s="274"/>
      <c r="AD99" s="274"/>
      <c r="AE99" s="274"/>
      <c r="AF99" s="274"/>
      <c r="AG99" s="274"/>
      <c r="AH99" s="274"/>
      <c r="AI99" s="274"/>
      <c r="AJ99" s="274"/>
      <c r="AK99" s="274"/>
    </row>
    <row r="100" ht="12.0" customHeight="1">
      <c r="A100" s="274"/>
      <c r="B100" s="274"/>
      <c r="C100" s="274"/>
      <c r="D100" s="274"/>
      <c r="E100" s="274"/>
      <c r="F100" s="275"/>
      <c r="G100" s="104"/>
      <c r="H100" s="276"/>
      <c r="I100" s="276"/>
      <c r="J100" s="276"/>
      <c r="K100" s="276"/>
      <c r="L100" s="276"/>
      <c r="M100" s="276"/>
      <c r="N100" s="276"/>
      <c r="O100" s="276"/>
      <c r="P100" s="276"/>
      <c r="Q100" s="276"/>
      <c r="R100" s="276"/>
      <c r="S100" s="328"/>
      <c r="T100" s="274"/>
      <c r="U100" s="274"/>
      <c r="V100" s="274"/>
      <c r="W100" s="274"/>
      <c r="X100" s="274"/>
      <c r="Y100" s="274"/>
      <c r="Z100" s="274"/>
      <c r="AA100" s="274"/>
      <c r="AB100" s="274"/>
      <c r="AC100" s="274"/>
      <c r="AD100" s="274"/>
      <c r="AE100" s="274"/>
      <c r="AF100" s="274"/>
      <c r="AG100" s="274"/>
      <c r="AH100" s="274"/>
      <c r="AI100" s="274"/>
      <c r="AJ100" s="274"/>
      <c r="AK100" s="274"/>
    </row>
    <row r="101" ht="12.0" customHeight="1">
      <c r="A101" s="274"/>
      <c r="B101" s="274"/>
      <c r="C101" s="274"/>
      <c r="D101" s="274"/>
      <c r="E101" s="274"/>
      <c r="F101" s="275"/>
      <c r="G101" s="104"/>
      <c r="H101" s="276"/>
      <c r="I101" s="276"/>
      <c r="J101" s="276"/>
      <c r="K101" s="276"/>
      <c r="L101" s="276"/>
      <c r="M101" s="276"/>
      <c r="N101" s="276"/>
      <c r="O101" s="276"/>
      <c r="P101" s="276"/>
      <c r="Q101" s="276"/>
      <c r="R101" s="276"/>
      <c r="S101" s="328"/>
      <c r="T101" s="274"/>
      <c r="U101" s="274"/>
      <c r="V101" s="274"/>
      <c r="W101" s="274"/>
      <c r="X101" s="274"/>
      <c r="Y101" s="274"/>
      <c r="Z101" s="274"/>
      <c r="AA101" s="274"/>
      <c r="AB101" s="274"/>
      <c r="AC101" s="274"/>
      <c r="AD101" s="274"/>
      <c r="AE101" s="274"/>
      <c r="AF101" s="274"/>
      <c r="AG101" s="274"/>
      <c r="AH101" s="274"/>
      <c r="AI101" s="274"/>
      <c r="AJ101" s="274"/>
      <c r="AK101" s="274"/>
    </row>
    <row r="102" ht="12.0" customHeight="1">
      <c r="A102" s="274"/>
      <c r="B102" s="274"/>
      <c r="C102" s="274"/>
      <c r="D102" s="274"/>
      <c r="E102" s="274"/>
      <c r="F102" s="275"/>
      <c r="G102" s="104"/>
      <c r="H102" s="276"/>
      <c r="I102" s="276"/>
      <c r="J102" s="276"/>
      <c r="K102" s="276"/>
      <c r="L102" s="276"/>
      <c r="M102" s="276"/>
      <c r="N102" s="276"/>
      <c r="O102" s="276"/>
      <c r="P102" s="276"/>
      <c r="Q102" s="276"/>
      <c r="R102" s="276"/>
      <c r="S102" s="328"/>
      <c r="T102" s="274"/>
      <c r="U102" s="274"/>
      <c r="V102" s="274"/>
      <c r="W102" s="274"/>
      <c r="X102" s="274"/>
      <c r="Y102" s="274"/>
      <c r="Z102" s="274"/>
      <c r="AA102" s="274"/>
      <c r="AB102" s="274"/>
      <c r="AC102" s="274"/>
      <c r="AD102" s="274"/>
      <c r="AE102" s="274"/>
      <c r="AF102" s="274"/>
      <c r="AG102" s="274"/>
      <c r="AH102" s="274"/>
      <c r="AI102" s="274"/>
      <c r="AJ102" s="274"/>
      <c r="AK102" s="274"/>
    </row>
    <row r="103" ht="12.0" customHeight="1">
      <c r="A103" s="274"/>
      <c r="B103" s="274"/>
      <c r="C103" s="274"/>
      <c r="D103" s="274"/>
      <c r="E103" s="274"/>
      <c r="F103" s="275"/>
      <c r="G103" s="104"/>
      <c r="H103" s="276"/>
      <c r="I103" s="276"/>
      <c r="J103" s="276"/>
      <c r="K103" s="276"/>
      <c r="L103" s="276"/>
      <c r="M103" s="276"/>
      <c r="N103" s="276"/>
      <c r="O103" s="276"/>
      <c r="P103" s="276"/>
      <c r="Q103" s="276"/>
      <c r="R103" s="276"/>
      <c r="S103" s="328"/>
      <c r="T103" s="274"/>
      <c r="U103" s="274"/>
      <c r="V103" s="274"/>
      <c r="W103" s="274"/>
      <c r="X103" s="274"/>
      <c r="Y103" s="274"/>
      <c r="Z103" s="274"/>
      <c r="AA103" s="274"/>
      <c r="AB103" s="274"/>
      <c r="AC103" s="274"/>
      <c r="AD103" s="274"/>
      <c r="AE103" s="274"/>
      <c r="AF103" s="274"/>
      <c r="AG103" s="274"/>
      <c r="AH103" s="274"/>
      <c r="AI103" s="274"/>
      <c r="AJ103" s="274"/>
      <c r="AK103" s="274"/>
    </row>
    <row r="104" ht="12.0" customHeight="1">
      <c r="A104" s="274"/>
      <c r="B104" s="274"/>
      <c r="C104" s="274"/>
      <c r="D104" s="274"/>
      <c r="E104" s="274"/>
      <c r="F104" s="275"/>
      <c r="G104" s="104"/>
      <c r="H104" s="276"/>
      <c r="I104" s="276"/>
      <c r="J104" s="276"/>
      <c r="K104" s="276"/>
      <c r="L104" s="276"/>
      <c r="M104" s="276"/>
      <c r="N104" s="276"/>
      <c r="O104" s="276"/>
      <c r="P104" s="276"/>
      <c r="Q104" s="276"/>
      <c r="R104" s="276"/>
      <c r="S104" s="328"/>
      <c r="T104" s="274"/>
      <c r="U104" s="274"/>
      <c r="V104" s="274"/>
      <c r="W104" s="274"/>
      <c r="X104" s="274"/>
      <c r="Y104" s="274"/>
      <c r="Z104" s="274"/>
      <c r="AA104" s="274"/>
      <c r="AB104" s="274"/>
      <c r="AC104" s="274"/>
      <c r="AD104" s="274"/>
      <c r="AE104" s="274"/>
      <c r="AF104" s="274"/>
      <c r="AG104" s="274"/>
      <c r="AH104" s="274"/>
      <c r="AI104" s="274"/>
      <c r="AJ104" s="274"/>
      <c r="AK104" s="274"/>
    </row>
    <row r="105" ht="12.0" customHeight="1">
      <c r="A105" s="274"/>
      <c r="B105" s="274"/>
      <c r="C105" s="274"/>
      <c r="D105" s="274"/>
      <c r="E105" s="274"/>
      <c r="F105" s="275"/>
      <c r="G105" s="104"/>
      <c r="H105" s="276"/>
      <c r="I105" s="276"/>
      <c r="J105" s="276"/>
      <c r="K105" s="276"/>
      <c r="L105" s="276"/>
      <c r="M105" s="276"/>
      <c r="N105" s="276"/>
      <c r="O105" s="276"/>
      <c r="P105" s="276"/>
      <c r="Q105" s="276"/>
      <c r="R105" s="276"/>
      <c r="S105" s="328"/>
      <c r="T105" s="274"/>
      <c r="U105" s="274"/>
      <c r="V105" s="274"/>
      <c r="W105" s="274"/>
      <c r="X105" s="274"/>
      <c r="Y105" s="274"/>
      <c r="Z105" s="274"/>
      <c r="AA105" s="274"/>
      <c r="AB105" s="274"/>
      <c r="AC105" s="274"/>
      <c r="AD105" s="274"/>
      <c r="AE105" s="274"/>
      <c r="AF105" s="274"/>
      <c r="AG105" s="274"/>
      <c r="AH105" s="274"/>
      <c r="AI105" s="274"/>
      <c r="AJ105" s="274"/>
      <c r="AK105" s="274"/>
    </row>
    <row r="106" ht="12.0" customHeight="1">
      <c r="A106" s="274"/>
      <c r="B106" s="274"/>
      <c r="C106" s="274"/>
      <c r="D106" s="274"/>
      <c r="E106" s="274"/>
      <c r="F106" s="275"/>
      <c r="G106" s="104"/>
      <c r="H106" s="276"/>
      <c r="I106" s="276"/>
      <c r="J106" s="276"/>
      <c r="K106" s="276"/>
      <c r="L106" s="276"/>
      <c r="M106" s="276"/>
      <c r="N106" s="276"/>
      <c r="O106" s="276"/>
      <c r="P106" s="276"/>
      <c r="Q106" s="276"/>
      <c r="R106" s="276"/>
      <c r="S106" s="328"/>
      <c r="T106" s="274"/>
      <c r="U106" s="274"/>
      <c r="V106" s="274"/>
      <c r="W106" s="274"/>
      <c r="X106" s="274"/>
      <c r="Y106" s="274"/>
      <c r="Z106" s="274"/>
      <c r="AA106" s="274"/>
      <c r="AB106" s="274"/>
      <c r="AC106" s="274"/>
      <c r="AD106" s="274"/>
      <c r="AE106" s="274"/>
      <c r="AF106" s="274"/>
      <c r="AG106" s="274"/>
      <c r="AH106" s="274"/>
      <c r="AI106" s="274"/>
      <c r="AJ106" s="274"/>
      <c r="AK106" s="274"/>
    </row>
    <row r="107" ht="12.0" customHeight="1">
      <c r="A107" s="274"/>
      <c r="B107" s="274"/>
      <c r="C107" s="274"/>
      <c r="D107" s="274"/>
      <c r="E107" s="274"/>
      <c r="F107" s="275"/>
      <c r="G107" s="104"/>
      <c r="H107" s="276"/>
      <c r="I107" s="276"/>
      <c r="J107" s="276"/>
      <c r="K107" s="276"/>
      <c r="L107" s="276"/>
      <c r="M107" s="276"/>
      <c r="N107" s="276"/>
      <c r="O107" s="276"/>
      <c r="P107" s="276"/>
      <c r="Q107" s="276"/>
      <c r="R107" s="276"/>
      <c r="S107" s="328"/>
      <c r="T107" s="274"/>
      <c r="U107" s="274"/>
      <c r="V107" s="274"/>
      <c r="W107" s="274"/>
      <c r="X107" s="274"/>
      <c r="Y107" s="274"/>
      <c r="Z107" s="274"/>
      <c r="AA107" s="274"/>
      <c r="AB107" s="274"/>
      <c r="AC107" s="274"/>
      <c r="AD107" s="274"/>
      <c r="AE107" s="274"/>
      <c r="AF107" s="274"/>
      <c r="AG107" s="274"/>
      <c r="AH107" s="274"/>
      <c r="AI107" s="274"/>
      <c r="AJ107" s="274"/>
      <c r="AK107" s="274"/>
    </row>
    <row r="108" ht="12.0" customHeight="1">
      <c r="A108" s="274"/>
      <c r="B108" s="274"/>
      <c r="C108" s="274"/>
      <c r="D108" s="274"/>
      <c r="E108" s="274"/>
      <c r="F108" s="275"/>
      <c r="G108" s="104"/>
      <c r="H108" s="276"/>
      <c r="I108" s="276"/>
      <c r="J108" s="276"/>
      <c r="K108" s="276"/>
      <c r="L108" s="276"/>
      <c r="M108" s="276"/>
      <c r="N108" s="276"/>
      <c r="O108" s="276"/>
      <c r="P108" s="276"/>
      <c r="Q108" s="276"/>
      <c r="R108" s="276"/>
      <c r="S108" s="328"/>
      <c r="T108" s="274"/>
      <c r="U108" s="274"/>
      <c r="V108" s="274"/>
      <c r="W108" s="274"/>
      <c r="X108" s="274"/>
      <c r="Y108" s="274"/>
      <c r="Z108" s="274"/>
      <c r="AA108" s="274"/>
      <c r="AB108" s="274"/>
      <c r="AC108" s="274"/>
      <c r="AD108" s="274"/>
      <c r="AE108" s="274"/>
      <c r="AF108" s="274"/>
      <c r="AG108" s="274"/>
      <c r="AH108" s="274"/>
      <c r="AI108" s="274"/>
      <c r="AJ108" s="274"/>
      <c r="AK108" s="274"/>
    </row>
    <row r="109" ht="12.0" customHeight="1">
      <c r="A109" s="274"/>
      <c r="B109" s="274"/>
      <c r="C109" s="274"/>
      <c r="D109" s="274"/>
      <c r="E109" s="274"/>
      <c r="F109" s="275"/>
      <c r="G109" s="104"/>
      <c r="H109" s="276"/>
      <c r="I109" s="276"/>
      <c r="J109" s="276"/>
      <c r="K109" s="276"/>
      <c r="L109" s="276"/>
      <c r="M109" s="276"/>
      <c r="N109" s="276"/>
      <c r="O109" s="276"/>
      <c r="P109" s="276"/>
      <c r="Q109" s="276"/>
      <c r="R109" s="276"/>
      <c r="S109" s="328"/>
      <c r="T109" s="274"/>
      <c r="U109" s="274"/>
      <c r="V109" s="274"/>
      <c r="W109" s="274"/>
      <c r="X109" s="274"/>
      <c r="Y109" s="274"/>
      <c r="Z109" s="274"/>
      <c r="AA109" s="274"/>
      <c r="AB109" s="274"/>
      <c r="AC109" s="274"/>
      <c r="AD109" s="274"/>
      <c r="AE109" s="274"/>
      <c r="AF109" s="274"/>
      <c r="AG109" s="274"/>
      <c r="AH109" s="274"/>
      <c r="AI109" s="274"/>
      <c r="AJ109" s="274"/>
      <c r="AK109" s="274"/>
    </row>
    <row r="110" ht="12.0" customHeight="1">
      <c r="A110" s="274"/>
      <c r="B110" s="274"/>
      <c r="C110" s="274"/>
      <c r="D110" s="274"/>
      <c r="E110" s="274"/>
      <c r="F110" s="275"/>
      <c r="G110" s="104"/>
      <c r="H110" s="276"/>
      <c r="I110" s="276"/>
      <c r="J110" s="276"/>
      <c r="K110" s="276"/>
      <c r="L110" s="276"/>
      <c r="M110" s="276"/>
      <c r="N110" s="276"/>
      <c r="O110" s="276"/>
      <c r="P110" s="276"/>
      <c r="Q110" s="276"/>
      <c r="R110" s="276"/>
      <c r="S110" s="328"/>
      <c r="T110" s="274"/>
      <c r="U110" s="274"/>
      <c r="V110" s="274"/>
      <c r="W110" s="274"/>
      <c r="X110" s="274"/>
      <c r="Y110" s="274"/>
      <c r="Z110" s="274"/>
      <c r="AA110" s="274"/>
      <c r="AB110" s="274"/>
      <c r="AC110" s="274"/>
      <c r="AD110" s="274"/>
      <c r="AE110" s="274"/>
      <c r="AF110" s="274"/>
      <c r="AG110" s="274"/>
      <c r="AH110" s="274"/>
      <c r="AI110" s="274"/>
      <c r="AJ110" s="274"/>
      <c r="AK110" s="274"/>
    </row>
    <row r="111" ht="12.0" customHeight="1">
      <c r="A111" s="274"/>
      <c r="B111" s="274"/>
      <c r="C111" s="274"/>
      <c r="D111" s="274"/>
      <c r="E111" s="274"/>
      <c r="F111" s="275"/>
      <c r="G111" s="104"/>
      <c r="H111" s="276"/>
      <c r="I111" s="276"/>
      <c r="J111" s="276"/>
      <c r="K111" s="276"/>
      <c r="L111" s="276"/>
      <c r="M111" s="276"/>
      <c r="N111" s="276"/>
      <c r="O111" s="276"/>
      <c r="P111" s="276"/>
      <c r="Q111" s="276"/>
      <c r="R111" s="276"/>
      <c r="S111" s="328"/>
      <c r="T111" s="274"/>
      <c r="U111" s="274"/>
      <c r="V111" s="274"/>
      <c r="W111" s="274"/>
      <c r="X111" s="274"/>
      <c r="Y111" s="274"/>
      <c r="Z111" s="274"/>
      <c r="AA111" s="274"/>
      <c r="AB111" s="274"/>
      <c r="AC111" s="274"/>
      <c r="AD111" s="274"/>
      <c r="AE111" s="274"/>
      <c r="AF111" s="274"/>
      <c r="AG111" s="274"/>
      <c r="AH111" s="274"/>
      <c r="AI111" s="274"/>
      <c r="AJ111" s="274"/>
      <c r="AK111" s="274"/>
    </row>
    <row r="112" ht="12.0" customHeight="1">
      <c r="A112" s="274"/>
      <c r="B112" s="274"/>
      <c r="C112" s="274"/>
      <c r="D112" s="274"/>
      <c r="E112" s="274"/>
      <c r="F112" s="275"/>
      <c r="G112" s="104"/>
      <c r="H112" s="276"/>
      <c r="I112" s="276"/>
      <c r="J112" s="276"/>
      <c r="K112" s="276"/>
      <c r="L112" s="276"/>
      <c r="M112" s="276"/>
      <c r="N112" s="276"/>
      <c r="O112" s="276"/>
      <c r="P112" s="276"/>
      <c r="Q112" s="276"/>
      <c r="R112" s="276"/>
      <c r="S112" s="328"/>
      <c r="T112" s="274"/>
      <c r="U112" s="274"/>
      <c r="V112" s="274"/>
      <c r="W112" s="274"/>
      <c r="X112" s="274"/>
      <c r="Y112" s="274"/>
      <c r="Z112" s="274"/>
      <c r="AA112" s="274"/>
      <c r="AB112" s="274"/>
      <c r="AC112" s="274"/>
      <c r="AD112" s="274"/>
      <c r="AE112" s="274"/>
      <c r="AF112" s="274"/>
      <c r="AG112" s="274"/>
      <c r="AH112" s="274"/>
      <c r="AI112" s="274"/>
      <c r="AJ112" s="274"/>
      <c r="AK112" s="274"/>
    </row>
    <row r="113" ht="12.0" customHeight="1">
      <c r="A113" s="274"/>
      <c r="B113" s="274"/>
      <c r="C113" s="274"/>
      <c r="D113" s="274"/>
      <c r="E113" s="274"/>
      <c r="F113" s="275"/>
      <c r="G113" s="104"/>
      <c r="H113" s="276"/>
      <c r="I113" s="276"/>
      <c r="J113" s="276"/>
      <c r="K113" s="276"/>
      <c r="L113" s="276"/>
      <c r="M113" s="276"/>
      <c r="N113" s="276"/>
      <c r="O113" s="276"/>
      <c r="P113" s="276"/>
      <c r="Q113" s="276"/>
      <c r="R113" s="276"/>
      <c r="S113" s="328"/>
      <c r="T113" s="274"/>
      <c r="U113" s="274"/>
      <c r="V113" s="274"/>
      <c r="W113" s="274"/>
      <c r="X113" s="274"/>
      <c r="Y113" s="274"/>
      <c r="Z113" s="274"/>
      <c r="AA113" s="274"/>
      <c r="AB113" s="274"/>
      <c r="AC113" s="274"/>
      <c r="AD113" s="274"/>
      <c r="AE113" s="274"/>
      <c r="AF113" s="274"/>
      <c r="AG113" s="274"/>
      <c r="AH113" s="274"/>
      <c r="AI113" s="274"/>
      <c r="AJ113" s="274"/>
      <c r="AK113" s="274"/>
    </row>
    <row r="114" ht="12.0" customHeight="1">
      <c r="A114" s="274"/>
      <c r="B114" s="274"/>
      <c r="C114" s="274"/>
      <c r="D114" s="274"/>
      <c r="E114" s="274"/>
      <c r="F114" s="275"/>
      <c r="G114" s="104"/>
      <c r="H114" s="276"/>
      <c r="I114" s="276"/>
      <c r="J114" s="276"/>
      <c r="K114" s="276"/>
      <c r="L114" s="276"/>
      <c r="M114" s="276"/>
      <c r="N114" s="276"/>
      <c r="O114" s="276"/>
      <c r="P114" s="276"/>
      <c r="Q114" s="276"/>
      <c r="R114" s="276"/>
      <c r="S114" s="328"/>
      <c r="T114" s="274"/>
      <c r="U114" s="274"/>
      <c r="V114" s="274"/>
      <c r="W114" s="274"/>
      <c r="X114" s="274"/>
      <c r="Y114" s="274"/>
      <c r="Z114" s="274"/>
      <c r="AA114" s="274"/>
      <c r="AB114" s="274"/>
      <c r="AC114" s="274"/>
      <c r="AD114" s="274"/>
      <c r="AE114" s="274"/>
      <c r="AF114" s="274"/>
      <c r="AG114" s="274"/>
      <c r="AH114" s="274"/>
      <c r="AI114" s="274"/>
      <c r="AJ114" s="274"/>
      <c r="AK114" s="274"/>
    </row>
    <row r="115" ht="12.0" customHeight="1">
      <c r="A115" s="274"/>
      <c r="B115" s="274"/>
      <c r="C115" s="274"/>
      <c r="D115" s="274"/>
      <c r="E115" s="274"/>
      <c r="F115" s="275"/>
      <c r="G115" s="104"/>
      <c r="H115" s="276"/>
      <c r="I115" s="276"/>
      <c r="J115" s="276"/>
      <c r="K115" s="276"/>
      <c r="L115" s="276"/>
      <c r="M115" s="276"/>
      <c r="N115" s="276"/>
      <c r="O115" s="276"/>
      <c r="P115" s="276"/>
      <c r="Q115" s="276"/>
      <c r="R115" s="276"/>
      <c r="S115" s="328"/>
      <c r="T115" s="274"/>
      <c r="U115" s="274"/>
      <c r="V115" s="274"/>
      <c r="W115" s="274"/>
      <c r="X115" s="274"/>
      <c r="Y115" s="274"/>
      <c r="Z115" s="274"/>
      <c r="AA115" s="274"/>
      <c r="AB115" s="274"/>
      <c r="AC115" s="274"/>
      <c r="AD115" s="274"/>
      <c r="AE115" s="274"/>
      <c r="AF115" s="274"/>
      <c r="AG115" s="274"/>
      <c r="AH115" s="274"/>
      <c r="AI115" s="274"/>
      <c r="AJ115" s="274"/>
      <c r="AK115" s="274"/>
    </row>
    <row r="116" ht="12.0" customHeight="1">
      <c r="A116" s="274"/>
      <c r="B116" s="274"/>
      <c r="C116" s="274"/>
      <c r="D116" s="274"/>
      <c r="E116" s="274"/>
      <c r="F116" s="275"/>
      <c r="G116" s="104"/>
      <c r="H116" s="276"/>
      <c r="I116" s="276"/>
      <c r="J116" s="276"/>
      <c r="K116" s="276"/>
      <c r="L116" s="276"/>
      <c r="M116" s="276"/>
      <c r="N116" s="276"/>
      <c r="O116" s="276"/>
      <c r="P116" s="276"/>
      <c r="Q116" s="276"/>
      <c r="R116" s="276"/>
      <c r="S116" s="328"/>
      <c r="T116" s="274"/>
      <c r="U116" s="274"/>
      <c r="V116" s="274"/>
      <c r="W116" s="274"/>
      <c r="X116" s="274"/>
      <c r="Y116" s="274"/>
      <c r="Z116" s="274"/>
      <c r="AA116" s="274"/>
      <c r="AB116" s="274"/>
      <c r="AC116" s="274"/>
      <c r="AD116" s="274"/>
      <c r="AE116" s="274"/>
      <c r="AF116" s="274"/>
      <c r="AG116" s="274"/>
      <c r="AH116" s="274"/>
      <c r="AI116" s="274"/>
      <c r="AJ116" s="274"/>
      <c r="AK116" s="274"/>
    </row>
    <row r="117" ht="12.0" customHeight="1">
      <c r="A117" s="274"/>
      <c r="B117" s="274"/>
      <c r="C117" s="274"/>
      <c r="D117" s="274"/>
      <c r="E117" s="274"/>
      <c r="F117" s="275"/>
      <c r="G117" s="104"/>
      <c r="H117" s="276"/>
      <c r="I117" s="276"/>
      <c r="J117" s="276"/>
      <c r="K117" s="276"/>
      <c r="L117" s="276"/>
      <c r="M117" s="274"/>
      <c r="N117" s="276"/>
      <c r="O117" s="276"/>
      <c r="P117" s="276"/>
      <c r="Q117" s="276"/>
      <c r="R117" s="276"/>
      <c r="S117" s="328"/>
      <c r="T117" s="274"/>
      <c r="U117" s="274"/>
      <c r="V117" s="274"/>
      <c r="W117" s="274"/>
      <c r="X117" s="274"/>
      <c r="Y117" s="274"/>
      <c r="Z117" s="274"/>
      <c r="AA117" s="274"/>
      <c r="AB117" s="274"/>
      <c r="AC117" s="274"/>
      <c r="AD117" s="274"/>
      <c r="AE117" s="274"/>
      <c r="AF117" s="274"/>
      <c r="AG117" s="274"/>
      <c r="AH117" s="274"/>
      <c r="AI117" s="274"/>
      <c r="AJ117" s="274"/>
      <c r="AK117" s="274"/>
    </row>
    <row r="118" ht="12.0" customHeight="1">
      <c r="A118" s="274"/>
      <c r="B118" s="274"/>
      <c r="C118" s="274"/>
      <c r="D118" s="274"/>
      <c r="E118" s="274"/>
      <c r="F118" s="275"/>
      <c r="G118" s="104"/>
      <c r="H118" s="276"/>
      <c r="I118" s="276"/>
      <c r="J118" s="276"/>
      <c r="K118" s="276"/>
      <c r="L118" s="308"/>
      <c r="M118" s="276"/>
      <c r="N118" s="276"/>
      <c r="O118" s="276"/>
      <c r="P118" s="276"/>
      <c r="Q118" s="276"/>
      <c r="R118" s="276"/>
      <c r="S118" s="328"/>
      <c r="T118" s="274"/>
      <c r="U118" s="274"/>
      <c r="V118" s="274"/>
      <c r="W118" s="274"/>
      <c r="X118" s="274"/>
      <c r="Y118" s="274"/>
      <c r="Z118" s="274"/>
      <c r="AA118" s="274"/>
      <c r="AB118" s="274"/>
      <c r="AC118" s="274"/>
      <c r="AD118" s="274"/>
      <c r="AE118" s="274"/>
      <c r="AF118" s="274"/>
      <c r="AG118" s="274"/>
      <c r="AH118" s="274"/>
      <c r="AI118" s="274"/>
      <c r="AJ118" s="274"/>
      <c r="AK118" s="274"/>
    </row>
    <row r="119" ht="12.0" customHeight="1">
      <c r="A119" s="274"/>
      <c r="B119" s="274"/>
      <c r="C119" s="274"/>
      <c r="D119" s="274"/>
      <c r="E119" s="274"/>
      <c r="F119" s="275"/>
      <c r="G119" s="104"/>
      <c r="H119" s="276"/>
      <c r="I119" s="276"/>
      <c r="J119" s="276"/>
      <c r="K119" s="276"/>
      <c r="L119" s="276"/>
      <c r="M119" s="276"/>
      <c r="N119" s="276"/>
      <c r="O119" s="276"/>
      <c r="P119" s="276"/>
      <c r="Q119" s="276"/>
      <c r="R119" s="276"/>
      <c r="S119" s="328"/>
      <c r="T119" s="274"/>
      <c r="U119" s="274"/>
      <c r="V119" s="274"/>
      <c r="W119" s="274"/>
      <c r="X119" s="274"/>
      <c r="Y119" s="274"/>
      <c r="Z119" s="274"/>
      <c r="AA119" s="274"/>
      <c r="AB119" s="274"/>
      <c r="AC119" s="274"/>
      <c r="AD119" s="274"/>
      <c r="AE119" s="274"/>
      <c r="AF119" s="274"/>
      <c r="AG119" s="274"/>
      <c r="AH119" s="274"/>
      <c r="AI119" s="274"/>
      <c r="AJ119" s="274"/>
      <c r="AK119" s="274"/>
    </row>
    <row r="120" ht="12.0" customHeight="1">
      <c r="A120" s="274"/>
      <c r="B120" s="274"/>
      <c r="C120" s="274"/>
      <c r="D120" s="274"/>
      <c r="E120" s="274"/>
      <c r="F120" s="275"/>
      <c r="G120" s="104"/>
      <c r="H120" s="276"/>
      <c r="I120" s="276"/>
      <c r="J120" s="276"/>
      <c r="K120" s="276"/>
      <c r="L120" s="276"/>
      <c r="M120" s="308"/>
      <c r="N120" s="308"/>
      <c r="O120" s="308"/>
      <c r="P120" s="308"/>
      <c r="Q120" s="276"/>
      <c r="R120" s="276"/>
      <c r="S120" s="328"/>
      <c r="T120" s="274"/>
      <c r="U120" s="274"/>
      <c r="V120" s="274"/>
      <c r="W120" s="274"/>
      <c r="X120" s="274"/>
      <c r="Y120" s="274"/>
      <c r="Z120" s="274"/>
      <c r="AA120" s="274"/>
      <c r="AB120" s="274"/>
      <c r="AC120" s="274"/>
      <c r="AD120" s="274"/>
      <c r="AE120" s="274"/>
      <c r="AF120" s="274"/>
      <c r="AG120" s="274"/>
      <c r="AH120" s="274"/>
      <c r="AI120" s="274"/>
      <c r="AJ120" s="274"/>
      <c r="AK120" s="274"/>
    </row>
    <row r="121" ht="12.0" customHeight="1">
      <c r="A121" s="274"/>
      <c r="B121" s="274"/>
      <c r="C121" s="274"/>
      <c r="D121" s="274"/>
      <c r="E121" s="274"/>
      <c r="F121" s="275"/>
      <c r="G121" s="104"/>
      <c r="H121" s="276"/>
      <c r="I121" s="276"/>
      <c r="J121" s="276"/>
      <c r="K121" s="276"/>
      <c r="L121" s="276"/>
      <c r="M121" s="276"/>
      <c r="N121" s="276"/>
      <c r="O121" s="276"/>
      <c r="P121" s="276"/>
      <c r="Q121" s="276"/>
      <c r="R121" s="276"/>
      <c r="S121" s="328"/>
      <c r="T121" s="274"/>
      <c r="U121" s="274"/>
      <c r="V121" s="274"/>
      <c r="W121" s="274"/>
      <c r="X121" s="274"/>
      <c r="Y121" s="274"/>
      <c r="Z121" s="274"/>
      <c r="AA121" s="274"/>
      <c r="AB121" s="274"/>
      <c r="AC121" s="274"/>
      <c r="AD121" s="274"/>
      <c r="AE121" s="274"/>
      <c r="AF121" s="274"/>
      <c r="AG121" s="274"/>
      <c r="AH121" s="274"/>
      <c r="AI121" s="274"/>
      <c r="AJ121" s="274"/>
      <c r="AK121" s="274"/>
    </row>
    <row r="122" ht="12.0" customHeight="1">
      <c r="A122" s="274"/>
      <c r="B122" s="274"/>
      <c r="C122" s="274"/>
      <c r="D122" s="274"/>
      <c r="E122" s="274"/>
      <c r="F122" s="275"/>
      <c r="G122" s="104"/>
      <c r="H122" s="276"/>
      <c r="I122" s="276"/>
      <c r="J122" s="276"/>
      <c r="K122" s="276"/>
      <c r="L122" s="276"/>
      <c r="M122" s="276"/>
      <c r="N122" s="276"/>
      <c r="O122" s="276"/>
      <c r="P122" s="276"/>
      <c r="Q122" s="276"/>
      <c r="R122" s="276"/>
      <c r="S122" s="328"/>
      <c r="T122" s="274"/>
      <c r="U122" s="274"/>
      <c r="V122" s="274"/>
      <c r="W122" s="274"/>
      <c r="X122" s="274"/>
      <c r="Y122" s="274"/>
      <c r="Z122" s="274"/>
      <c r="AA122" s="274"/>
      <c r="AB122" s="274"/>
      <c r="AC122" s="274"/>
      <c r="AD122" s="274"/>
      <c r="AE122" s="274"/>
      <c r="AF122" s="274"/>
      <c r="AG122" s="274"/>
      <c r="AH122" s="274"/>
      <c r="AI122" s="274"/>
      <c r="AJ122" s="274"/>
      <c r="AK122" s="274"/>
    </row>
    <row r="123" ht="12.0" customHeight="1">
      <c r="A123" s="274"/>
      <c r="B123" s="274"/>
      <c r="C123" s="274"/>
      <c r="D123" s="274"/>
      <c r="E123" s="274"/>
      <c r="F123" s="275"/>
      <c r="G123" s="104"/>
      <c r="H123" s="276"/>
      <c r="I123" s="276"/>
      <c r="J123" s="276"/>
      <c r="K123" s="276"/>
      <c r="L123" s="276"/>
      <c r="M123" s="276"/>
      <c r="N123" s="276"/>
      <c r="O123" s="276"/>
      <c r="P123" s="276"/>
      <c r="Q123" s="276"/>
      <c r="R123" s="276"/>
      <c r="S123" s="328"/>
      <c r="T123" s="274"/>
      <c r="U123" s="274"/>
      <c r="V123" s="274"/>
      <c r="W123" s="274"/>
      <c r="X123" s="274"/>
      <c r="Y123" s="274"/>
      <c r="Z123" s="274"/>
      <c r="AA123" s="274"/>
      <c r="AB123" s="274"/>
      <c r="AC123" s="274"/>
      <c r="AD123" s="274"/>
      <c r="AE123" s="274"/>
      <c r="AF123" s="274"/>
      <c r="AG123" s="274"/>
      <c r="AH123" s="274"/>
      <c r="AI123" s="274"/>
      <c r="AJ123" s="274"/>
      <c r="AK123" s="274"/>
    </row>
    <row r="124" ht="12.0" customHeight="1">
      <c r="A124" s="274"/>
      <c r="B124" s="274"/>
      <c r="C124" s="274"/>
      <c r="D124" s="274"/>
      <c r="E124" s="274"/>
      <c r="F124" s="275"/>
      <c r="G124" s="104"/>
      <c r="H124" s="276"/>
      <c r="I124" s="276"/>
      <c r="J124" s="276"/>
      <c r="K124" s="276"/>
      <c r="L124" s="276"/>
      <c r="M124" s="276"/>
      <c r="N124" s="276"/>
      <c r="O124" s="276"/>
      <c r="P124" s="276"/>
      <c r="Q124" s="276"/>
      <c r="R124" s="276"/>
      <c r="S124" s="328"/>
      <c r="T124" s="274"/>
      <c r="U124" s="274"/>
      <c r="V124" s="274"/>
      <c r="W124" s="274"/>
      <c r="X124" s="274"/>
      <c r="Y124" s="274"/>
      <c r="Z124" s="274"/>
      <c r="AA124" s="274"/>
      <c r="AB124" s="274"/>
      <c r="AC124" s="274"/>
      <c r="AD124" s="274"/>
      <c r="AE124" s="274"/>
      <c r="AF124" s="274"/>
      <c r="AG124" s="274"/>
      <c r="AH124" s="274"/>
      <c r="AI124" s="274"/>
      <c r="AJ124" s="274"/>
      <c r="AK124" s="274"/>
    </row>
    <row r="125" ht="12.0" customHeight="1">
      <c r="A125" s="274"/>
      <c r="B125" s="274"/>
      <c r="C125" s="274"/>
      <c r="D125" s="274"/>
      <c r="E125" s="274"/>
      <c r="F125" s="275"/>
      <c r="G125" s="104"/>
      <c r="H125" s="276"/>
      <c r="I125" s="276"/>
      <c r="J125" s="276"/>
      <c r="K125" s="276"/>
      <c r="L125" s="276"/>
      <c r="M125" s="276"/>
      <c r="N125" s="276"/>
      <c r="O125" s="276"/>
      <c r="P125" s="276"/>
      <c r="Q125" s="276"/>
      <c r="R125" s="276"/>
      <c r="S125" s="328"/>
      <c r="T125" s="274"/>
      <c r="U125" s="274"/>
      <c r="V125" s="274"/>
      <c r="W125" s="274"/>
      <c r="X125" s="274"/>
      <c r="Y125" s="274"/>
      <c r="Z125" s="274"/>
      <c r="AA125" s="274"/>
      <c r="AB125" s="274"/>
      <c r="AC125" s="274"/>
      <c r="AD125" s="274"/>
      <c r="AE125" s="274"/>
      <c r="AF125" s="274"/>
      <c r="AG125" s="274"/>
      <c r="AH125" s="274"/>
      <c r="AI125" s="274"/>
      <c r="AJ125" s="274"/>
      <c r="AK125" s="274"/>
    </row>
    <row r="126" ht="12.0" customHeight="1">
      <c r="A126" s="274"/>
      <c r="B126" s="274"/>
      <c r="C126" s="274"/>
      <c r="D126" s="274"/>
      <c r="E126" s="274"/>
      <c r="F126" s="275"/>
      <c r="G126" s="104"/>
      <c r="H126" s="276"/>
      <c r="I126" s="276"/>
      <c r="J126" s="276"/>
      <c r="K126" s="276"/>
      <c r="L126" s="276"/>
      <c r="M126" s="276"/>
      <c r="N126" s="276"/>
      <c r="O126" s="276"/>
      <c r="P126" s="276"/>
      <c r="Q126" s="276"/>
      <c r="R126" s="276"/>
      <c r="S126" s="328"/>
      <c r="T126" s="274"/>
      <c r="U126" s="274"/>
      <c r="V126" s="274"/>
      <c r="W126" s="274"/>
      <c r="X126" s="274"/>
      <c r="Y126" s="274"/>
      <c r="Z126" s="274"/>
      <c r="AA126" s="274"/>
      <c r="AB126" s="274"/>
      <c r="AC126" s="274"/>
      <c r="AD126" s="274"/>
      <c r="AE126" s="274"/>
      <c r="AF126" s="274"/>
      <c r="AG126" s="274"/>
      <c r="AH126" s="274"/>
      <c r="AI126" s="274"/>
      <c r="AJ126" s="274"/>
      <c r="AK126" s="274"/>
    </row>
    <row r="127" ht="12.0" customHeight="1">
      <c r="A127" s="274"/>
      <c r="B127" s="274"/>
      <c r="C127" s="274"/>
      <c r="D127" s="274"/>
      <c r="E127" s="274"/>
      <c r="F127" s="275"/>
      <c r="G127" s="104"/>
      <c r="H127" s="276"/>
      <c r="I127" s="276"/>
      <c r="J127" s="276"/>
      <c r="K127" s="276"/>
      <c r="L127" s="276"/>
      <c r="M127" s="276"/>
      <c r="N127" s="276"/>
      <c r="O127" s="276"/>
      <c r="P127" s="276"/>
      <c r="Q127" s="276"/>
      <c r="R127" s="276"/>
      <c r="S127" s="328"/>
      <c r="T127" s="274"/>
      <c r="U127" s="274"/>
      <c r="V127" s="274"/>
      <c r="W127" s="274"/>
      <c r="X127" s="274"/>
      <c r="Y127" s="274"/>
      <c r="Z127" s="274"/>
      <c r="AA127" s="274"/>
      <c r="AB127" s="274"/>
      <c r="AC127" s="274"/>
      <c r="AD127" s="274"/>
      <c r="AE127" s="274"/>
      <c r="AF127" s="274"/>
      <c r="AG127" s="274"/>
      <c r="AH127" s="274"/>
      <c r="AI127" s="274"/>
      <c r="AJ127" s="274"/>
      <c r="AK127" s="274"/>
    </row>
    <row r="128" ht="12.0" customHeight="1">
      <c r="A128" s="274"/>
      <c r="B128" s="274"/>
      <c r="C128" s="274"/>
      <c r="D128" s="274"/>
      <c r="E128" s="274"/>
      <c r="F128" s="275"/>
      <c r="G128" s="104"/>
      <c r="H128" s="276"/>
      <c r="I128" s="276"/>
      <c r="J128" s="276"/>
      <c r="K128" s="276"/>
      <c r="L128" s="276"/>
      <c r="M128" s="276"/>
      <c r="N128" s="276"/>
      <c r="O128" s="276"/>
      <c r="P128" s="276"/>
      <c r="Q128" s="276"/>
      <c r="R128" s="276"/>
      <c r="S128" s="328"/>
      <c r="T128" s="274"/>
      <c r="U128" s="274"/>
      <c r="V128" s="274"/>
      <c r="W128" s="274"/>
      <c r="X128" s="274"/>
      <c r="Y128" s="274"/>
      <c r="Z128" s="274"/>
      <c r="AA128" s="274"/>
      <c r="AB128" s="274"/>
      <c r="AC128" s="274"/>
      <c r="AD128" s="274"/>
      <c r="AE128" s="274"/>
      <c r="AF128" s="274"/>
      <c r="AG128" s="274"/>
      <c r="AH128" s="274"/>
      <c r="AI128" s="274"/>
      <c r="AJ128" s="274"/>
      <c r="AK128" s="274"/>
    </row>
    <row r="129" ht="12.0" customHeight="1">
      <c r="A129" s="274"/>
      <c r="B129" s="274"/>
      <c r="C129" s="274"/>
      <c r="D129" s="274"/>
      <c r="E129" s="274"/>
      <c r="F129" s="275"/>
      <c r="G129" s="104"/>
      <c r="H129" s="276"/>
      <c r="I129" s="276"/>
      <c r="J129" s="276"/>
      <c r="K129" s="276"/>
      <c r="L129" s="276"/>
      <c r="M129" s="276"/>
      <c r="N129" s="276"/>
      <c r="O129" s="276"/>
      <c r="P129" s="276"/>
      <c r="Q129" s="276"/>
      <c r="R129" s="276"/>
      <c r="S129" s="328"/>
      <c r="T129" s="274"/>
      <c r="U129" s="274"/>
      <c r="V129" s="274"/>
      <c r="W129" s="274"/>
      <c r="X129" s="274"/>
      <c r="Y129" s="274"/>
      <c r="Z129" s="274"/>
      <c r="AA129" s="274"/>
      <c r="AB129" s="274"/>
      <c r="AC129" s="274"/>
      <c r="AD129" s="274"/>
      <c r="AE129" s="274"/>
      <c r="AF129" s="274"/>
      <c r="AG129" s="274"/>
      <c r="AH129" s="274"/>
      <c r="AI129" s="274"/>
      <c r="AJ129" s="274"/>
      <c r="AK129" s="274"/>
    </row>
    <row r="130" ht="12.0" customHeight="1">
      <c r="A130" s="274"/>
      <c r="B130" s="274"/>
      <c r="C130" s="274"/>
      <c r="D130" s="274"/>
      <c r="E130" s="274"/>
      <c r="F130" s="275"/>
      <c r="G130" s="104"/>
      <c r="H130" s="276"/>
      <c r="I130" s="276"/>
      <c r="J130" s="276"/>
      <c r="K130" s="276"/>
      <c r="L130" s="276"/>
      <c r="M130" s="276"/>
      <c r="N130" s="276"/>
      <c r="O130" s="276"/>
      <c r="P130" s="276"/>
      <c r="Q130" s="276"/>
      <c r="R130" s="276"/>
      <c r="S130" s="328"/>
      <c r="T130" s="274"/>
      <c r="U130" s="274"/>
      <c r="V130" s="274"/>
      <c r="W130" s="274"/>
      <c r="X130" s="274"/>
      <c r="Y130" s="274"/>
      <c r="Z130" s="274"/>
      <c r="AA130" s="274"/>
      <c r="AB130" s="274"/>
      <c r="AC130" s="274"/>
      <c r="AD130" s="274"/>
      <c r="AE130" s="274"/>
      <c r="AF130" s="274"/>
      <c r="AG130" s="274"/>
      <c r="AH130" s="274"/>
      <c r="AI130" s="274"/>
      <c r="AJ130" s="274"/>
      <c r="AK130" s="274"/>
    </row>
    <row r="131" ht="12.0" customHeight="1">
      <c r="A131" s="274"/>
      <c r="B131" s="274"/>
      <c r="C131" s="274"/>
      <c r="D131" s="274"/>
      <c r="E131" s="274"/>
      <c r="F131" s="275"/>
      <c r="G131" s="104"/>
      <c r="H131" s="276"/>
      <c r="I131" s="276"/>
      <c r="J131" s="276"/>
      <c r="K131" s="276"/>
      <c r="L131" s="276"/>
      <c r="M131" s="276"/>
      <c r="N131" s="276"/>
      <c r="O131" s="276"/>
      <c r="P131" s="276"/>
      <c r="Q131" s="276"/>
      <c r="R131" s="276"/>
      <c r="S131" s="328"/>
      <c r="T131" s="274"/>
      <c r="U131" s="274"/>
      <c r="V131" s="274"/>
      <c r="W131" s="274"/>
      <c r="X131" s="274"/>
      <c r="Y131" s="274"/>
      <c r="Z131" s="274"/>
      <c r="AA131" s="274"/>
      <c r="AB131" s="274"/>
      <c r="AC131" s="274"/>
      <c r="AD131" s="274"/>
      <c r="AE131" s="274"/>
      <c r="AF131" s="274"/>
      <c r="AG131" s="274"/>
      <c r="AH131" s="274"/>
      <c r="AI131" s="274"/>
      <c r="AJ131" s="274"/>
      <c r="AK131" s="274"/>
    </row>
    <row r="132" ht="12.0" customHeight="1">
      <c r="A132" s="274"/>
      <c r="B132" s="274"/>
      <c r="C132" s="274"/>
      <c r="D132" s="274"/>
      <c r="E132" s="274"/>
      <c r="F132" s="275"/>
      <c r="G132" s="104"/>
      <c r="H132" s="276"/>
      <c r="I132" s="276"/>
      <c r="J132" s="276"/>
      <c r="K132" s="276"/>
      <c r="L132" s="276"/>
      <c r="M132" s="276"/>
      <c r="N132" s="276"/>
      <c r="O132" s="276"/>
      <c r="P132" s="276"/>
      <c r="Q132" s="276"/>
      <c r="R132" s="276"/>
      <c r="S132" s="328"/>
      <c r="T132" s="274"/>
      <c r="U132" s="274"/>
      <c r="V132" s="274"/>
      <c r="W132" s="274"/>
      <c r="X132" s="274"/>
      <c r="Y132" s="274"/>
      <c r="Z132" s="274"/>
      <c r="AA132" s="274"/>
      <c r="AB132" s="274"/>
      <c r="AC132" s="274"/>
      <c r="AD132" s="274"/>
      <c r="AE132" s="274"/>
      <c r="AF132" s="274"/>
      <c r="AG132" s="274"/>
      <c r="AH132" s="274"/>
      <c r="AI132" s="274"/>
      <c r="AJ132" s="274"/>
      <c r="AK132" s="274"/>
    </row>
    <row r="133" ht="12.0" customHeight="1">
      <c r="A133" s="274"/>
      <c r="B133" s="274"/>
      <c r="C133" s="274"/>
      <c r="D133" s="274"/>
      <c r="E133" s="274"/>
      <c r="F133" s="275"/>
      <c r="G133" s="104"/>
      <c r="H133" s="276"/>
      <c r="I133" s="276"/>
      <c r="J133" s="276"/>
      <c r="K133" s="276"/>
      <c r="L133" s="276"/>
      <c r="M133" s="276"/>
      <c r="N133" s="276"/>
      <c r="O133" s="276"/>
      <c r="P133" s="276"/>
      <c r="Q133" s="276"/>
      <c r="R133" s="276"/>
      <c r="S133" s="328"/>
      <c r="T133" s="274"/>
      <c r="U133" s="274"/>
      <c r="V133" s="274"/>
      <c r="W133" s="274"/>
      <c r="X133" s="274"/>
      <c r="Y133" s="274"/>
      <c r="Z133" s="274"/>
      <c r="AA133" s="274"/>
      <c r="AB133" s="274"/>
      <c r="AC133" s="274"/>
      <c r="AD133" s="274"/>
      <c r="AE133" s="274"/>
      <c r="AF133" s="274"/>
      <c r="AG133" s="274"/>
      <c r="AH133" s="274"/>
      <c r="AI133" s="274"/>
      <c r="AJ133" s="274"/>
      <c r="AK133" s="274"/>
    </row>
    <row r="134" ht="12.0" customHeight="1">
      <c r="A134" s="274"/>
      <c r="B134" s="274"/>
      <c r="C134" s="274"/>
      <c r="D134" s="274"/>
      <c r="E134" s="274"/>
      <c r="F134" s="275"/>
      <c r="G134" s="104"/>
      <c r="H134" s="276"/>
      <c r="I134" s="276"/>
      <c r="J134" s="276"/>
      <c r="K134" s="276"/>
      <c r="L134" s="276"/>
      <c r="M134" s="276"/>
      <c r="N134" s="276"/>
      <c r="O134" s="276"/>
      <c r="P134" s="276"/>
      <c r="Q134" s="276"/>
      <c r="R134" s="276"/>
      <c r="S134" s="328"/>
      <c r="T134" s="274"/>
      <c r="U134" s="274"/>
      <c r="V134" s="274"/>
      <c r="W134" s="274"/>
      <c r="X134" s="274"/>
      <c r="Y134" s="274"/>
      <c r="Z134" s="274"/>
      <c r="AA134" s="274"/>
      <c r="AB134" s="274"/>
      <c r="AC134" s="274"/>
      <c r="AD134" s="274"/>
      <c r="AE134" s="274"/>
      <c r="AF134" s="274"/>
      <c r="AG134" s="274"/>
      <c r="AH134" s="274"/>
      <c r="AI134" s="274"/>
      <c r="AJ134" s="274"/>
      <c r="AK134" s="274"/>
    </row>
    <row r="135" ht="12.0" customHeight="1">
      <c r="A135" s="274"/>
      <c r="B135" s="274"/>
      <c r="C135" s="274"/>
      <c r="D135" s="274"/>
      <c r="E135" s="274"/>
      <c r="F135" s="275"/>
      <c r="G135" s="104"/>
      <c r="H135" s="276"/>
      <c r="I135" s="276"/>
      <c r="J135" s="276"/>
      <c r="K135" s="276"/>
      <c r="L135" s="276"/>
      <c r="M135" s="276"/>
      <c r="N135" s="276"/>
      <c r="O135" s="276"/>
      <c r="P135" s="276"/>
      <c r="Q135" s="276"/>
      <c r="R135" s="276"/>
      <c r="S135" s="328"/>
      <c r="T135" s="274"/>
      <c r="U135" s="274"/>
      <c r="V135" s="274"/>
      <c r="W135" s="274"/>
      <c r="X135" s="274"/>
      <c r="Y135" s="274"/>
      <c r="Z135" s="274"/>
      <c r="AA135" s="274"/>
      <c r="AB135" s="274"/>
      <c r="AC135" s="274"/>
      <c r="AD135" s="274"/>
      <c r="AE135" s="274"/>
      <c r="AF135" s="274"/>
      <c r="AG135" s="274"/>
      <c r="AH135" s="274"/>
      <c r="AI135" s="274"/>
      <c r="AJ135" s="274"/>
      <c r="AK135" s="274"/>
    </row>
    <row r="136" ht="12.0" customHeight="1">
      <c r="A136" s="274"/>
      <c r="B136" s="274"/>
      <c r="C136" s="274"/>
      <c r="D136" s="274"/>
      <c r="E136" s="274"/>
      <c r="F136" s="275"/>
      <c r="G136" s="104"/>
      <c r="H136" s="276"/>
      <c r="I136" s="276"/>
      <c r="J136" s="276"/>
      <c r="K136" s="276"/>
      <c r="L136" s="276"/>
      <c r="M136" s="276"/>
      <c r="N136" s="276"/>
      <c r="O136" s="276"/>
      <c r="P136" s="276"/>
      <c r="Q136" s="276"/>
      <c r="R136" s="276"/>
      <c r="S136" s="328"/>
      <c r="T136" s="274"/>
      <c r="U136" s="274"/>
      <c r="V136" s="274"/>
      <c r="W136" s="274"/>
      <c r="X136" s="274"/>
      <c r="Y136" s="274"/>
      <c r="Z136" s="274"/>
      <c r="AA136" s="274"/>
      <c r="AB136" s="274"/>
      <c r="AC136" s="274"/>
      <c r="AD136" s="274"/>
      <c r="AE136" s="274"/>
      <c r="AF136" s="274"/>
      <c r="AG136" s="274"/>
      <c r="AH136" s="274"/>
      <c r="AI136" s="274"/>
      <c r="AJ136" s="274"/>
      <c r="AK136" s="274"/>
    </row>
    <row r="137" ht="12.0" customHeight="1">
      <c r="A137" s="274"/>
      <c r="B137" s="274"/>
      <c r="C137" s="274"/>
      <c r="D137" s="274"/>
      <c r="E137" s="274"/>
      <c r="F137" s="275"/>
      <c r="G137" s="104"/>
      <c r="H137" s="276"/>
      <c r="I137" s="276"/>
      <c r="J137" s="276"/>
      <c r="K137" s="276"/>
      <c r="L137" s="276"/>
      <c r="M137" s="276"/>
      <c r="N137" s="276"/>
      <c r="O137" s="276"/>
      <c r="P137" s="276"/>
      <c r="Q137" s="276"/>
      <c r="R137" s="276"/>
      <c r="S137" s="328"/>
      <c r="T137" s="274"/>
      <c r="U137" s="274"/>
      <c r="V137" s="274"/>
      <c r="W137" s="274"/>
      <c r="X137" s="274"/>
      <c r="Y137" s="274"/>
      <c r="Z137" s="274"/>
      <c r="AA137" s="274"/>
      <c r="AB137" s="274"/>
      <c r="AC137" s="274"/>
      <c r="AD137" s="274"/>
      <c r="AE137" s="274"/>
      <c r="AF137" s="274"/>
      <c r="AG137" s="274"/>
      <c r="AH137" s="274"/>
      <c r="AI137" s="274"/>
      <c r="AJ137" s="274"/>
      <c r="AK137" s="274"/>
    </row>
    <row r="138" ht="12.0" customHeight="1">
      <c r="A138" s="274"/>
      <c r="B138" s="274"/>
      <c r="C138" s="274"/>
      <c r="D138" s="274"/>
      <c r="E138" s="274"/>
      <c r="F138" s="275"/>
      <c r="G138" s="104"/>
      <c r="H138" s="276"/>
      <c r="I138" s="276"/>
      <c r="J138" s="276"/>
      <c r="K138" s="276"/>
      <c r="L138" s="276"/>
      <c r="M138" s="276"/>
      <c r="N138" s="276"/>
      <c r="O138" s="276"/>
      <c r="P138" s="276"/>
      <c r="Q138" s="276"/>
      <c r="R138" s="276"/>
      <c r="S138" s="328"/>
      <c r="T138" s="274"/>
      <c r="U138" s="274"/>
      <c r="V138" s="274"/>
      <c r="W138" s="274"/>
      <c r="X138" s="274"/>
      <c r="Y138" s="274"/>
      <c r="Z138" s="274"/>
      <c r="AA138" s="274"/>
      <c r="AB138" s="274"/>
      <c r="AC138" s="274"/>
      <c r="AD138" s="274"/>
      <c r="AE138" s="274"/>
      <c r="AF138" s="274"/>
      <c r="AG138" s="274"/>
      <c r="AH138" s="274"/>
      <c r="AI138" s="274"/>
      <c r="AJ138" s="274"/>
      <c r="AK138" s="274"/>
    </row>
    <row r="139" ht="12.0" customHeight="1">
      <c r="A139" s="274"/>
      <c r="B139" s="274"/>
      <c r="C139" s="274"/>
      <c r="D139" s="274"/>
      <c r="E139" s="274"/>
      <c r="F139" s="275"/>
      <c r="G139" s="104"/>
      <c r="H139" s="276"/>
      <c r="I139" s="276"/>
      <c r="J139" s="276"/>
      <c r="K139" s="276"/>
      <c r="L139" s="276"/>
      <c r="M139" s="276"/>
      <c r="N139" s="276"/>
      <c r="O139" s="276"/>
      <c r="P139" s="276"/>
      <c r="Q139" s="276"/>
      <c r="R139" s="276"/>
      <c r="S139" s="328"/>
      <c r="T139" s="274"/>
      <c r="U139" s="274"/>
      <c r="V139" s="274"/>
      <c r="W139" s="274"/>
      <c r="X139" s="274"/>
      <c r="Y139" s="274"/>
      <c r="Z139" s="274"/>
      <c r="AA139" s="274"/>
      <c r="AB139" s="274"/>
      <c r="AC139" s="274"/>
      <c r="AD139" s="274"/>
      <c r="AE139" s="274"/>
      <c r="AF139" s="274"/>
      <c r="AG139" s="274"/>
      <c r="AH139" s="274"/>
      <c r="AI139" s="274"/>
      <c r="AJ139" s="274"/>
      <c r="AK139" s="274"/>
    </row>
    <row r="140" ht="12.0" customHeight="1">
      <c r="A140" s="274"/>
      <c r="B140" s="274"/>
      <c r="C140" s="274"/>
      <c r="D140" s="274"/>
      <c r="E140" s="274"/>
      <c r="F140" s="275"/>
      <c r="G140" s="104"/>
      <c r="H140" s="276"/>
      <c r="I140" s="276"/>
      <c r="J140" s="276"/>
      <c r="K140" s="276"/>
      <c r="L140" s="276"/>
      <c r="M140" s="276"/>
      <c r="N140" s="276"/>
      <c r="O140" s="276"/>
      <c r="P140" s="276"/>
      <c r="Q140" s="276"/>
      <c r="R140" s="276"/>
      <c r="S140" s="328"/>
      <c r="T140" s="274"/>
      <c r="U140" s="274"/>
      <c r="V140" s="274"/>
      <c r="W140" s="274"/>
      <c r="X140" s="274"/>
      <c r="Y140" s="274"/>
      <c r="Z140" s="274"/>
      <c r="AA140" s="274"/>
      <c r="AB140" s="274"/>
      <c r="AC140" s="274"/>
      <c r="AD140" s="274"/>
      <c r="AE140" s="274"/>
      <c r="AF140" s="274"/>
      <c r="AG140" s="274"/>
      <c r="AH140" s="274"/>
      <c r="AI140" s="274"/>
      <c r="AJ140" s="274"/>
      <c r="AK140" s="274"/>
    </row>
    <row r="141" ht="12.0" customHeight="1">
      <c r="A141" s="274"/>
      <c r="B141" s="274"/>
      <c r="C141" s="274"/>
      <c r="D141" s="274"/>
      <c r="E141" s="274"/>
      <c r="F141" s="275"/>
      <c r="G141" s="104"/>
      <c r="H141" s="276"/>
      <c r="I141" s="276"/>
      <c r="J141" s="276"/>
      <c r="K141" s="276"/>
      <c r="L141" s="276"/>
      <c r="M141" s="276"/>
      <c r="N141" s="276"/>
      <c r="O141" s="276"/>
      <c r="P141" s="276"/>
      <c r="Q141" s="276"/>
      <c r="R141" s="276"/>
      <c r="S141" s="328"/>
      <c r="T141" s="274"/>
      <c r="U141" s="274"/>
      <c r="V141" s="274"/>
      <c r="W141" s="274"/>
      <c r="X141" s="274"/>
      <c r="Y141" s="274"/>
      <c r="Z141" s="274"/>
      <c r="AA141" s="274"/>
      <c r="AB141" s="274"/>
      <c r="AC141" s="274"/>
      <c r="AD141" s="274"/>
      <c r="AE141" s="274"/>
      <c r="AF141" s="274"/>
      <c r="AG141" s="274"/>
      <c r="AH141" s="274"/>
      <c r="AI141" s="274"/>
      <c r="AJ141" s="274"/>
      <c r="AK141" s="274"/>
    </row>
    <row r="142" ht="12.0" customHeight="1">
      <c r="A142" s="274"/>
      <c r="B142" s="274"/>
      <c r="C142" s="274"/>
      <c r="D142" s="274"/>
      <c r="E142" s="274"/>
      <c r="F142" s="275"/>
      <c r="G142" s="104"/>
      <c r="H142" s="276"/>
      <c r="I142" s="276"/>
      <c r="J142" s="276"/>
      <c r="K142" s="276"/>
      <c r="L142" s="276"/>
      <c r="M142" s="276"/>
      <c r="N142" s="276"/>
      <c r="O142" s="276"/>
      <c r="P142" s="276"/>
      <c r="Q142" s="276"/>
      <c r="R142" s="276"/>
      <c r="S142" s="328"/>
      <c r="T142" s="274"/>
      <c r="U142" s="274"/>
      <c r="V142" s="274"/>
      <c r="W142" s="274"/>
      <c r="X142" s="274"/>
      <c r="Y142" s="274"/>
      <c r="Z142" s="274"/>
      <c r="AA142" s="274"/>
      <c r="AB142" s="274"/>
      <c r="AC142" s="274"/>
      <c r="AD142" s="274"/>
      <c r="AE142" s="274"/>
      <c r="AF142" s="274"/>
      <c r="AG142" s="274"/>
      <c r="AH142" s="274"/>
      <c r="AI142" s="274"/>
      <c r="AJ142" s="274"/>
      <c r="AK142" s="274"/>
    </row>
    <row r="143" ht="12.0" customHeight="1">
      <c r="A143" s="274"/>
      <c r="B143" s="274"/>
      <c r="C143" s="274"/>
      <c r="D143" s="274"/>
      <c r="E143" s="274"/>
      <c r="F143" s="275"/>
      <c r="G143" s="104"/>
      <c r="H143" s="276"/>
      <c r="I143" s="276"/>
      <c r="J143" s="276"/>
      <c r="K143" s="276"/>
      <c r="L143" s="276"/>
      <c r="M143" s="276"/>
      <c r="N143" s="276"/>
      <c r="O143" s="276"/>
      <c r="P143" s="276"/>
      <c r="Q143" s="276"/>
      <c r="R143" s="276"/>
      <c r="S143" s="328"/>
      <c r="T143" s="274"/>
      <c r="U143" s="274"/>
      <c r="V143" s="274"/>
      <c r="W143" s="274"/>
      <c r="X143" s="274"/>
      <c r="Y143" s="274"/>
      <c r="Z143" s="274"/>
      <c r="AA143" s="274"/>
      <c r="AB143" s="274"/>
      <c r="AC143" s="274"/>
      <c r="AD143" s="274"/>
      <c r="AE143" s="274"/>
      <c r="AF143" s="274"/>
      <c r="AG143" s="274"/>
      <c r="AH143" s="274"/>
      <c r="AI143" s="274"/>
      <c r="AJ143" s="274"/>
      <c r="AK143" s="274"/>
    </row>
    <row r="144" ht="12.0" customHeight="1">
      <c r="A144" s="274"/>
      <c r="B144" s="274"/>
      <c r="C144" s="274"/>
      <c r="D144" s="274"/>
      <c r="E144" s="274"/>
      <c r="F144" s="275"/>
      <c r="G144" s="104"/>
      <c r="H144" s="276"/>
      <c r="I144" s="276"/>
      <c r="J144" s="276"/>
      <c r="K144" s="276"/>
      <c r="L144" s="276"/>
      <c r="M144" s="276"/>
      <c r="N144" s="276"/>
      <c r="O144" s="276"/>
      <c r="P144" s="276"/>
      <c r="Q144" s="276"/>
      <c r="R144" s="276"/>
      <c r="S144" s="328"/>
      <c r="T144" s="274"/>
      <c r="U144" s="274"/>
      <c r="V144" s="274"/>
      <c r="W144" s="274"/>
      <c r="X144" s="274"/>
      <c r="Y144" s="274"/>
      <c r="Z144" s="274"/>
      <c r="AA144" s="274"/>
      <c r="AB144" s="274"/>
      <c r="AC144" s="274"/>
      <c r="AD144" s="274"/>
      <c r="AE144" s="274"/>
      <c r="AF144" s="274"/>
      <c r="AG144" s="274"/>
      <c r="AH144" s="274"/>
      <c r="AI144" s="274"/>
      <c r="AJ144" s="274"/>
      <c r="AK144" s="274"/>
    </row>
    <row r="145" ht="12.0" customHeight="1">
      <c r="A145" s="274"/>
      <c r="B145" s="274"/>
      <c r="C145" s="274"/>
      <c r="D145" s="274"/>
      <c r="E145" s="274"/>
      <c r="F145" s="275"/>
      <c r="G145" s="104"/>
      <c r="H145" s="276"/>
      <c r="I145" s="276"/>
      <c r="J145" s="276"/>
      <c r="K145" s="276"/>
      <c r="L145" s="276"/>
      <c r="M145" s="276"/>
      <c r="N145" s="276"/>
      <c r="O145" s="276"/>
      <c r="P145" s="276"/>
      <c r="Q145" s="276"/>
      <c r="R145" s="276"/>
      <c r="S145" s="328"/>
      <c r="T145" s="274"/>
      <c r="U145" s="274"/>
      <c r="V145" s="274"/>
      <c r="W145" s="274"/>
      <c r="X145" s="274"/>
      <c r="Y145" s="274"/>
      <c r="Z145" s="274"/>
      <c r="AA145" s="274"/>
      <c r="AB145" s="274"/>
      <c r="AC145" s="274"/>
      <c r="AD145" s="274"/>
      <c r="AE145" s="274"/>
      <c r="AF145" s="274"/>
      <c r="AG145" s="274"/>
      <c r="AH145" s="274"/>
      <c r="AI145" s="274"/>
      <c r="AJ145" s="274"/>
      <c r="AK145" s="274"/>
    </row>
    <row r="146" ht="12.0" customHeight="1">
      <c r="A146" s="274"/>
      <c r="B146" s="274"/>
      <c r="C146" s="274"/>
      <c r="D146" s="274"/>
      <c r="E146" s="274"/>
      <c r="F146" s="275"/>
      <c r="G146" s="104"/>
      <c r="H146" s="276"/>
      <c r="I146" s="276"/>
      <c r="J146" s="276"/>
      <c r="K146" s="276"/>
      <c r="L146" s="276"/>
      <c r="M146" s="276"/>
      <c r="N146" s="276"/>
      <c r="O146" s="276"/>
      <c r="P146" s="276"/>
      <c r="Q146" s="276"/>
      <c r="R146" s="276"/>
      <c r="S146" s="328"/>
      <c r="T146" s="274"/>
      <c r="U146" s="274"/>
      <c r="V146" s="274"/>
      <c r="W146" s="274"/>
      <c r="X146" s="274"/>
      <c r="Y146" s="274"/>
      <c r="Z146" s="274"/>
      <c r="AA146" s="274"/>
      <c r="AB146" s="274"/>
      <c r="AC146" s="274"/>
      <c r="AD146" s="274"/>
      <c r="AE146" s="274"/>
      <c r="AF146" s="274"/>
      <c r="AG146" s="274"/>
      <c r="AH146" s="274"/>
      <c r="AI146" s="274"/>
      <c r="AJ146" s="274"/>
      <c r="AK146" s="274"/>
    </row>
    <row r="147" ht="12.0" customHeight="1">
      <c r="A147" s="274"/>
      <c r="B147" s="274"/>
      <c r="C147" s="274"/>
      <c r="D147" s="274"/>
      <c r="E147" s="274"/>
      <c r="F147" s="275"/>
      <c r="G147" s="104"/>
      <c r="H147" s="276"/>
      <c r="I147" s="276"/>
      <c r="J147" s="276"/>
      <c r="K147" s="276"/>
      <c r="L147" s="276"/>
      <c r="M147" s="276"/>
      <c r="N147" s="276"/>
      <c r="O147" s="276"/>
      <c r="P147" s="276"/>
      <c r="Q147" s="276"/>
      <c r="R147" s="276"/>
      <c r="S147" s="328"/>
      <c r="T147" s="274"/>
      <c r="U147" s="274"/>
      <c r="V147" s="274"/>
      <c r="W147" s="274"/>
      <c r="X147" s="274"/>
      <c r="Y147" s="274"/>
      <c r="Z147" s="274"/>
      <c r="AA147" s="274"/>
      <c r="AB147" s="274"/>
      <c r="AC147" s="274"/>
      <c r="AD147" s="274"/>
      <c r="AE147" s="274"/>
      <c r="AF147" s="274"/>
      <c r="AG147" s="274"/>
      <c r="AH147" s="274"/>
      <c r="AI147" s="274"/>
      <c r="AJ147" s="274"/>
      <c r="AK147" s="274"/>
    </row>
    <row r="148" ht="12.0" customHeight="1">
      <c r="A148" s="274"/>
      <c r="B148" s="274"/>
      <c r="C148" s="274"/>
      <c r="D148" s="274"/>
      <c r="E148" s="274"/>
      <c r="F148" s="275"/>
      <c r="G148" s="104"/>
      <c r="H148" s="276"/>
      <c r="I148" s="276"/>
      <c r="J148" s="276"/>
      <c r="K148" s="276"/>
      <c r="L148" s="276"/>
      <c r="M148" s="276"/>
      <c r="N148" s="276"/>
      <c r="O148" s="276"/>
      <c r="P148" s="276"/>
      <c r="Q148" s="276"/>
      <c r="R148" s="276"/>
      <c r="S148" s="328"/>
      <c r="T148" s="274"/>
      <c r="U148" s="274"/>
      <c r="V148" s="274"/>
      <c r="W148" s="274"/>
      <c r="X148" s="274"/>
      <c r="Y148" s="274"/>
      <c r="Z148" s="274"/>
      <c r="AA148" s="274"/>
      <c r="AB148" s="274"/>
      <c r="AC148" s="274"/>
      <c r="AD148" s="274"/>
      <c r="AE148" s="274"/>
      <c r="AF148" s="274"/>
      <c r="AG148" s="274"/>
      <c r="AH148" s="274"/>
      <c r="AI148" s="274"/>
      <c r="AJ148" s="274"/>
      <c r="AK148" s="274"/>
    </row>
    <row r="149" ht="12.0" customHeight="1">
      <c r="A149" s="274"/>
      <c r="B149" s="274"/>
      <c r="C149" s="274"/>
      <c r="D149" s="274"/>
      <c r="E149" s="274"/>
      <c r="F149" s="275"/>
      <c r="G149" s="104"/>
      <c r="H149" s="276"/>
      <c r="I149" s="276"/>
      <c r="J149" s="276"/>
      <c r="K149" s="276"/>
      <c r="L149" s="276"/>
      <c r="M149" s="276"/>
      <c r="N149" s="276"/>
      <c r="O149" s="276"/>
      <c r="P149" s="276"/>
      <c r="Q149" s="276"/>
      <c r="R149" s="276"/>
      <c r="S149" s="328"/>
      <c r="T149" s="274"/>
      <c r="U149" s="274"/>
      <c r="V149" s="274"/>
      <c r="W149" s="274"/>
      <c r="X149" s="274"/>
      <c r="Y149" s="274"/>
      <c r="Z149" s="274"/>
      <c r="AA149" s="274"/>
      <c r="AB149" s="274"/>
      <c r="AC149" s="274"/>
      <c r="AD149" s="274"/>
      <c r="AE149" s="274"/>
      <c r="AF149" s="274"/>
      <c r="AG149" s="274"/>
      <c r="AH149" s="274"/>
      <c r="AI149" s="274"/>
      <c r="AJ149" s="274"/>
      <c r="AK149" s="274"/>
    </row>
    <row r="150" ht="12.0" customHeight="1">
      <c r="A150" s="274"/>
      <c r="B150" s="274"/>
      <c r="C150" s="274"/>
      <c r="D150" s="274"/>
      <c r="E150" s="274"/>
      <c r="F150" s="275"/>
      <c r="G150" s="104"/>
      <c r="H150" s="276"/>
      <c r="I150" s="276"/>
      <c r="J150" s="276"/>
      <c r="K150" s="276"/>
      <c r="L150" s="276"/>
      <c r="M150" s="276"/>
      <c r="N150" s="276"/>
      <c r="O150" s="276"/>
      <c r="P150" s="276"/>
      <c r="Q150" s="276"/>
      <c r="R150" s="276"/>
      <c r="S150" s="328"/>
      <c r="T150" s="274"/>
      <c r="U150" s="274"/>
      <c r="V150" s="274"/>
      <c r="W150" s="274"/>
      <c r="X150" s="274"/>
      <c r="Y150" s="274"/>
      <c r="Z150" s="274"/>
      <c r="AA150" s="274"/>
      <c r="AB150" s="274"/>
      <c r="AC150" s="274"/>
      <c r="AD150" s="274"/>
      <c r="AE150" s="274"/>
      <c r="AF150" s="274"/>
      <c r="AG150" s="274"/>
      <c r="AH150" s="274"/>
      <c r="AI150" s="274"/>
      <c r="AJ150" s="274"/>
      <c r="AK150" s="274"/>
    </row>
    <row r="151" ht="12.0" customHeight="1">
      <c r="A151" s="274"/>
      <c r="B151" s="274"/>
      <c r="C151" s="274"/>
      <c r="D151" s="274"/>
      <c r="E151" s="274"/>
      <c r="F151" s="275"/>
      <c r="G151" s="104"/>
      <c r="H151" s="276"/>
      <c r="I151" s="276"/>
      <c r="J151" s="276"/>
      <c r="K151" s="276"/>
      <c r="L151" s="276"/>
      <c r="M151" s="276"/>
      <c r="N151" s="276"/>
      <c r="O151" s="276"/>
      <c r="P151" s="276"/>
      <c r="Q151" s="276"/>
      <c r="R151" s="276"/>
      <c r="S151" s="328"/>
      <c r="T151" s="274"/>
      <c r="U151" s="274"/>
      <c r="V151" s="274"/>
      <c r="W151" s="274"/>
      <c r="X151" s="274"/>
      <c r="Y151" s="274"/>
      <c r="Z151" s="274"/>
      <c r="AA151" s="274"/>
      <c r="AB151" s="274"/>
      <c r="AC151" s="274"/>
      <c r="AD151" s="274"/>
      <c r="AE151" s="274"/>
      <c r="AF151" s="274"/>
      <c r="AG151" s="274"/>
      <c r="AH151" s="274"/>
      <c r="AI151" s="274"/>
      <c r="AJ151" s="274"/>
      <c r="AK151" s="274"/>
    </row>
    <row r="152" ht="12.0" customHeight="1">
      <c r="A152" s="274"/>
      <c r="B152" s="274"/>
      <c r="C152" s="274"/>
      <c r="D152" s="274"/>
      <c r="E152" s="274"/>
      <c r="F152" s="275"/>
      <c r="G152" s="104"/>
      <c r="H152" s="276"/>
      <c r="I152" s="276"/>
      <c r="J152" s="276"/>
      <c r="K152" s="276"/>
      <c r="L152" s="276"/>
      <c r="M152" s="276"/>
      <c r="N152" s="276"/>
      <c r="O152" s="276"/>
      <c r="P152" s="276"/>
      <c r="Q152" s="276"/>
      <c r="R152" s="276"/>
      <c r="S152" s="328"/>
      <c r="T152" s="274"/>
      <c r="U152" s="274"/>
      <c r="V152" s="274"/>
      <c r="W152" s="274"/>
      <c r="X152" s="274"/>
      <c r="Y152" s="274"/>
      <c r="Z152" s="274"/>
      <c r="AA152" s="274"/>
      <c r="AB152" s="274"/>
      <c r="AC152" s="274"/>
      <c r="AD152" s="274"/>
      <c r="AE152" s="274"/>
      <c r="AF152" s="274"/>
      <c r="AG152" s="274"/>
      <c r="AH152" s="274"/>
      <c r="AI152" s="274"/>
      <c r="AJ152" s="274"/>
      <c r="AK152" s="274"/>
    </row>
    <row r="153" ht="12.0" customHeight="1">
      <c r="A153" s="274"/>
      <c r="B153" s="274"/>
      <c r="C153" s="274"/>
      <c r="D153" s="274"/>
      <c r="E153" s="274"/>
      <c r="F153" s="275"/>
      <c r="G153" s="104"/>
      <c r="H153" s="276"/>
      <c r="I153" s="276"/>
      <c r="J153" s="276"/>
      <c r="K153" s="276"/>
      <c r="L153" s="276"/>
      <c r="M153" s="276"/>
      <c r="N153" s="276"/>
      <c r="O153" s="276"/>
      <c r="P153" s="276"/>
      <c r="Q153" s="276"/>
      <c r="R153" s="276"/>
      <c r="S153" s="328"/>
      <c r="T153" s="274"/>
      <c r="U153" s="274"/>
      <c r="V153" s="274"/>
      <c r="W153" s="274"/>
      <c r="X153" s="274"/>
      <c r="Y153" s="274"/>
      <c r="Z153" s="274"/>
      <c r="AA153" s="274"/>
      <c r="AB153" s="274"/>
      <c r="AC153" s="274"/>
      <c r="AD153" s="274"/>
      <c r="AE153" s="274"/>
      <c r="AF153" s="274"/>
      <c r="AG153" s="274"/>
      <c r="AH153" s="274"/>
      <c r="AI153" s="274"/>
      <c r="AJ153" s="274"/>
      <c r="AK153" s="274"/>
    </row>
    <row r="154" ht="12.0" customHeight="1">
      <c r="A154" s="274"/>
      <c r="B154" s="274"/>
      <c r="C154" s="274"/>
      <c r="D154" s="274"/>
      <c r="E154" s="274"/>
      <c r="F154" s="275"/>
      <c r="G154" s="104"/>
      <c r="H154" s="276"/>
      <c r="I154" s="276"/>
      <c r="J154" s="276"/>
      <c r="K154" s="276"/>
      <c r="L154" s="276"/>
      <c r="M154" s="276"/>
      <c r="N154" s="276"/>
      <c r="O154" s="276"/>
      <c r="P154" s="276"/>
      <c r="Q154" s="276"/>
      <c r="R154" s="276"/>
      <c r="S154" s="328"/>
      <c r="T154" s="274"/>
      <c r="U154" s="274"/>
      <c r="V154" s="274"/>
      <c r="W154" s="274"/>
      <c r="X154" s="274"/>
      <c r="Y154" s="274"/>
      <c r="Z154" s="274"/>
      <c r="AA154" s="274"/>
      <c r="AB154" s="274"/>
      <c r="AC154" s="274"/>
      <c r="AD154" s="274"/>
      <c r="AE154" s="274"/>
      <c r="AF154" s="274"/>
      <c r="AG154" s="274"/>
      <c r="AH154" s="274"/>
      <c r="AI154" s="274"/>
      <c r="AJ154" s="274"/>
      <c r="AK154" s="274"/>
    </row>
    <row r="155" ht="12.0" customHeight="1">
      <c r="A155" s="274"/>
      <c r="B155" s="274"/>
      <c r="C155" s="274"/>
      <c r="D155" s="274"/>
      <c r="E155" s="274"/>
      <c r="F155" s="275"/>
      <c r="G155" s="104"/>
      <c r="H155" s="276"/>
      <c r="I155" s="276"/>
      <c r="J155" s="276"/>
      <c r="K155" s="276"/>
      <c r="L155" s="276"/>
      <c r="M155" s="276"/>
      <c r="N155" s="276"/>
      <c r="O155" s="276"/>
      <c r="P155" s="276"/>
      <c r="Q155" s="276"/>
      <c r="R155" s="276"/>
      <c r="S155" s="328"/>
      <c r="T155" s="274"/>
      <c r="U155" s="274"/>
      <c r="V155" s="274"/>
      <c r="W155" s="274"/>
      <c r="X155" s="274"/>
      <c r="Y155" s="274"/>
      <c r="Z155" s="274"/>
      <c r="AA155" s="274"/>
      <c r="AB155" s="274"/>
      <c r="AC155" s="274"/>
      <c r="AD155" s="274"/>
      <c r="AE155" s="274"/>
      <c r="AF155" s="274"/>
      <c r="AG155" s="274"/>
      <c r="AH155" s="274"/>
      <c r="AI155" s="274"/>
      <c r="AJ155" s="274"/>
      <c r="AK155" s="274"/>
    </row>
    <row r="156" ht="12.0" customHeight="1">
      <c r="A156" s="274"/>
      <c r="B156" s="274"/>
      <c r="C156" s="274"/>
      <c r="D156" s="274"/>
      <c r="E156" s="274"/>
      <c r="F156" s="275"/>
      <c r="G156" s="104"/>
      <c r="H156" s="276"/>
      <c r="I156" s="276"/>
      <c r="J156" s="276"/>
      <c r="K156" s="276"/>
      <c r="L156" s="276"/>
      <c r="M156" s="276"/>
      <c r="N156" s="276"/>
      <c r="O156" s="276"/>
      <c r="P156" s="276"/>
      <c r="Q156" s="276"/>
      <c r="R156" s="276"/>
      <c r="S156" s="328"/>
      <c r="T156" s="274"/>
      <c r="U156" s="274"/>
      <c r="V156" s="274"/>
      <c r="W156" s="274"/>
      <c r="X156" s="274"/>
      <c r="Y156" s="274"/>
      <c r="Z156" s="274"/>
      <c r="AA156" s="274"/>
      <c r="AB156" s="274"/>
      <c r="AC156" s="274"/>
      <c r="AD156" s="274"/>
      <c r="AE156" s="274"/>
      <c r="AF156" s="274"/>
      <c r="AG156" s="274"/>
      <c r="AH156" s="274"/>
      <c r="AI156" s="274"/>
      <c r="AJ156" s="274"/>
      <c r="AK156" s="274"/>
    </row>
    <row r="157" ht="12.0" customHeight="1">
      <c r="A157" s="274"/>
      <c r="B157" s="274"/>
      <c r="C157" s="274"/>
      <c r="D157" s="274"/>
      <c r="E157" s="274"/>
      <c r="F157" s="275"/>
      <c r="G157" s="104"/>
      <c r="H157" s="276"/>
      <c r="I157" s="276"/>
      <c r="J157" s="276"/>
      <c r="K157" s="276"/>
      <c r="L157" s="276"/>
      <c r="M157" s="276"/>
      <c r="N157" s="276"/>
      <c r="O157" s="276"/>
      <c r="P157" s="276"/>
      <c r="Q157" s="276"/>
      <c r="R157" s="276"/>
      <c r="S157" s="328"/>
      <c r="T157" s="274"/>
      <c r="U157" s="274"/>
      <c r="V157" s="274"/>
      <c r="W157" s="274"/>
      <c r="X157" s="274"/>
      <c r="Y157" s="274"/>
      <c r="Z157" s="274"/>
      <c r="AA157" s="274"/>
      <c r="AB157" s="274"/>
      <c r="AC157" s="274"/>
      <c r="AD157" s="274"/>
      <c r="AE157" s="274"/>
      <c r="AF157" s="274"/>
      <c r="AG157" s="274"/>
      <c r="AH157" s="274"/>
      <c r="AI157" s="274"/>
      <c r="AJ157" s="274"/>
      <c r="AK157" s="274"/>
    </row>
    <row r="158" ht="12.0" customHeight="1">
      <c r="A158" s="45"/>
      <c r="B158" s="45"/>
      <c r="C158" s="45"/>
      <c r="D158" s="45"/>
      <c r="E158" s="45"/>
      <c r="F158" s="309"/>
      <c r="G158" s="104"/>
      <c r="H158" s="109"/>
      <c r="I158" s="109"/>
      <c r="J158" s="109"/>
      <c r="K158" s="109"/>
      <c r="L158" s="109"/>
      <c r="M158" s="109"/>
      <c r="N158" s="109"/>
      <c r="O158" s="109"/>
      <c r="P158" s="109"/>
      <c r="Q158" s="109"/>
      <c r="R158" s="109"/>
      <c r="S158" s="328"/>
      <c r="T158" s="45"/>
      <c r="U158" s="45"/>
      <c r="V158" s="274"/>
      <c r="W158" s="274"/>
      <c r="X158" s="274"/>
      <c r="Y158" s="274"/>
      <c r="Z158" s="274"/>
      <c r="AA158" s="274"/>
      <c r="AB158" s="274"/>
      <c r="AC158" s="274"/>
      <c r="AD158" s="45"/>
      <c r="AE158" s="45"/>
      <c r="AF158" s="45"/>
      <c r="AG158" s="45"/>
      <c r="AH158" s="45"/>
      <c r="AI158" s="45"/>
      <c r="AJ158" s="45"/>
      <c r="AK158" s="45"/>
    </row>
    <row r="159" ht="12.0" customHeight="1">
      <c r="A159" s="45"/>
      <c r="B159" s="45"/>
      <c r="C159" s="45"/>
      <c r="D159" s="45"/>
      <c r="E159" s="45"/>
      <c r="F159" s="309"/>
      <c r="G159" s="104"/>
      <c r="H159" s="109"/>
      <c r="I159" s="109"/>
      <c r="J159" s="109"/>
      <c r="K159" s="109"/>
      <c r="L159" s="109"/>
      <c r="M159" s="109"/>
      <c r="N159" s="109"/>
      <c r="O159" s="109"/>
      <c r="P159" s="109"/>
      <c r="Q159" s="109"/>
      <c r="R159" s="109"/>
      <c r="S159" s="328"/>
      <c r="T159" s="45"/>
      <c r="U159" s="45"/>
      <c r="V159" s="274"/>
      <c r="W159" s="274"/>
      <c r="X159" s="274"/>
      <c r="Y159" s="274"/>
      <c r="Z159" s="274"/>
      <c r="AA159" s="274"/>
      <c r="AB159" s="274"/>
      <c r="AC159" s="274"/>
      <c r="AD159" s="45"/>
      <c r="AE159" s="45"/>
      <c r="AF159" s="45"/>
      <c r="AG159" s="45"/>
      <c r="AH159" s="45"/>
      <c r="AI159" s="45"/>
      <c r="AJ159" s="45"/>
      <c r="AK159" s="45"/>
    </row>
    <row r="160" ht="12.0" customHeight="1">
      <c r="A160" s="45"/>
      <c r="B160" s="45"/>
      <c r="C160" s="45"/>
      <c r="D160" s="45"/>
      <c r="E160" s="45"/>
      <c r="F160" s="309"/>
      <c r="G160" s="104"/>
      <c r="H160" s="109"/>
      <c r="I160" s="109"/>
      <c r="J160" s="109"/>
      <c r="K160" s="109"/>
      <c r="L160" s="109"/>
      <c r="M160" s="109"/>
      <c r="N160" s="109"/>
      <c r="O160" s="109"/>
      <c r="P160" s="109"/>
      <c r="Q160" s="109"/>
      <c r="R160" s="109"/>
      <c r="S160" s="328"/>
      <c r="T160" s="45"/>
      <c r="U160" s="45"/>
      <c r="V160" s="45"/>
      <c r="W160" s="45"/>
      <c r="X160" s="45"/>
      <c r="Y160" s="45"/>
      <c r="Z160" s="45"/>
      <c r="AA160" s="45"/>
      <c r="AB160" s="45"/>
      <c r="AC160" s="45"/>
      <c r="AD160" s="45"/>
      <c r="AE160" s="45"/>
      <c r="AF160" s="45"/>
      <c r="AG160" s="45"/>
      <c r="AH160" s="45"/>
      <c r="AI160" s="45"/>
      <c r="AJ160" s="45"/>
      <c r="AK160" s="45"/>
    </row>
    <row r="161" ht="12.0" customHeight="1">
      <c r="A161" s="45"/>
      <c r="B161" s="45"/>
      <c r="C161" s="45"/>
      <c r="D161" s="45"/>
      <c r="E161" s="45"/>
      <c r="F161" s="309"/>
      <c r="G161" s="104"/>
      <c r="H161" s="109"/>
      <c r="I161" s="109"/>
      <c r="J161" s="109"/>
      <c r="K161" s="109"/>
      <c r="L161" s="109"/>
      <c r="M161" s="109"/>
      <c r="N161" s="109"/>
      <c r="O161" s="109"/>
      <c r="P161" s="109"/>
      <c r="Q161" s="109"/>
      <c r="R161" s="109"/>
      <c r="S161" s="328"/>
      <c r="T161" s="45"/>
      <c r="U161" s="45"/>
      <c r="V161" s="45"/>
      <c r="W161" s="45"/>
      <c r="X161" s="45"/>
      <c r="Y161" s="45"/>
      <c r="Z161" s="45"/>
      <c r="AA161" s="45"/>
      <c r="AB161" s="45"/>
      <c r="AC161" s="45"/>
      <c r="AD161" s="45"/>
      <c r="AE161" s="45"/>
      <c r="AF161" s="45"/>
      <c r="AG161" s="45"/>
      <c r="AH161" s="45"/>
      <c r="AI161" s="45"/>
      <c r="AJ161" s="45"/>
      <c r="AK161" s="45"/>
    </row>
    <row r="162" ht="12.0" customHeight="1">
      <c r="A162" s="45"/>
      <c r="B162" s="45"/>
      <c r="C162" s="45"/>
      <c r="D162" s="45"/>
      <c r="E162" s="45"/>
      <c r="F162" s="309"/>
      <c r="G162" s="104"/>
      <c r="H162" s="109"/>
      <c r="I162" s="109"/>
      <c r="J162" s="109"/>
      <c r="K162" s="109"/>
      <c r="L162" s="109"/>
      <c r="M162" s="109"/>
      <c r="N162" s="109"/>
      <c r="O162" s="109"/>
      <c r="P162" s="109"/>
      <c r="Q162" s="109"/>
      <c r="R162" s="109"/>
      <c r="S162" s="328"/>
      <c r="T162" s="45"/>
      <c r="U162" s="45"/>
      <c r="V162" s="45"/>
      <c r="W162" s="45"/>
      <c r="X162" s="45"/>
      <c r="Y162" s="45"/>
      <c r="Z162" s="45"/>
      <c r="AA162" s="45"/>
      <c r="AB162" s="45"/>
      <c r="AC162" s="45"/>
      <c r="AD162" s="45"/>
      <c r="AE162" s="45"/>
      <c r="AF162" s="45"/>
      <c r="AG162" s="45"/>
      <c r="AH162" s="45"/>
      <c r="AI162" s="45"/>
      <c r="AJ162" s="45"/>
      <c r="AK162" s="45"/>
    </row>
    <row r="163" ht="12.0" customHeight="1">
      <c r="A163" s="45"/>
      <c r="B163" s="45"/>
      <c r="C163" s="45"/>
      <c r="D163" s="45"/>
      <c r="E163" s="45"/>
      <c r="F163" s="309"/>
      <c r="G163" s="104"/>
      <c r="H163" s="109"/>
      <c r="I163" s="109"/>
      <c r="J163" s="109"/>
      <c r="K163" s="109"/>
      <c r="L163" s="109"/>
      <c r="M163" s="109"/>
      <c r="N163" s="109"/>
      <c r="O163" s="109"/>
      <c r="P163" s="109"/>
      <c r="Q163" s="109"/>
      <c r="R163" s="109"/>
      <c r="S163" s="328"/>
      <c r="T163" s="45"/>
      <c r="U163" s="45"/>
      <c r="V163" s="45"/>
      <c r="W163" s="45"/>
      <c r="X163" s="45"/>
      <c r="Y163" s="45"/>
      <c r="Z163" s="45"/>
      <c r="AA163" s="45"/>
      <c r="AB163" s="45"/>
      <c r="AC163" s="45"/>
      <c r="AD163" s="45"/>
      <c r="AE163" s="45"/>
      <c r="AF163" s="45"/>
      <c r="AG163" s="45"/>
      <c r="AH163" s="45"/>
      <c r="AI163" s="45"/>
      <c r="AJ163" s="45"/>
      <c r="AK163" s="45"/>
    </row>
    <row r="164" ht="12.0" customHeight="1">
      <c r="A164" s="45"/>
      <c r="B164" s="45"/>
      <c r="C164" s="45"/>
      <c r="D164" s="45"/>
      <c r="E164" s="45"/>
      <c r="F164" s="309"/>
      <c r="G164" s="104"/>
      <c r="H164" s="109"/>
      <c r="I164" s="109"/>
      <c r="J164" s="109"/>
      <c r="K164" s="109"/>
      <c r="L164" s="109"/>
      <c r="M164" s="109"/>
      <c r="N164" s="109"/>
      <c r="O164" s="109"/>
      <c r="P164" s="109"/>
      <c r="Q164" s="109"/>
      <c r="R164" s="109"/>
      <c r="S164" s="328"/>
      <c r="T164" s="45"/>
      <c r="U164" s="45"/>
      <c r="V164" s="45"/>
      <c r="W164" s="45"/>
      <c r="X164" s="45"/>
      <c r="Y164" s="45"/>
      <c r="Z164" s="45"/>
      <c r="AA164" s="45"/>
      <c r="AB164" s="45"/>
      <c r="AC164" s="45"/>
      <c r="AD164" s="45"/>
      <c r="AE164" s="45"/>
      <c r="AF164" s="45"/>
      <c r="AG164" s="45"/>
      <c r="AH164" s="45"/>
      <c r="AI164" s="45"/>
      <c r="AJ164" s="45"/>
      <c r="AK164" s="45"/>
    </row>
    <row r="165" ht="12.0" customHeight="1">
      <c r="A165" s="45"/>
      <c r="B165" s="45"/>
      <c r="C165" s="45"/>
      <c r="D165" s="45"/>
      <c r="E165" s="45"/>
      <c r="F165" s="309"/>
      <c r="G165" s="104"/>
      <c r="H165" s="109"/>
      <c r="I165" s="109"/>
      <c r="J165" s="109"/>
      <c r="K165" s="109"/>
      <c r="L165" s="109"/>
      <c r="M165" s="109"/>
      <c r="N165" s="109"/>
      <c r="O165" s="109"/>
      <c r="P165" s="109"/>
      <c r="Q165" s="109"/>
      <c r="R165" s="109"/>
      <c r="S165" s="328"/>
      <c r="T165" s="45"/>
      <c r="U165" s="45"/>
      <c r="V165" s="45"/>
      <c r="W165" s="45"/>
      <c r="X165" s="45"/>
      <c r="Y165" s="45"/>
      <c r="Z165" s="45"/>
      <c r="AA165" s="45"/>
      <c r="AB165" s="45"/>
      <c r="AC165" s="45"/>
      <c r="AD165" s="45"/>
      <c r="AE165" s="45"/>
      <c r="AF165" s="45"/>
      <c r="AG165" s="45"/>
      <c r="AH165" s="45"/>
      <c r="AI165" s="45"/>
      <c r="AJ165" s="45"/>
      <c r="AK165" s="45"/>
    </row>
    <row r="166" ht="12.0" customHeight="1">
      <c r="A166" s="45"/>
      <c r="B166" s="45"/>
      <c r="C166" s="45"/>
      <c r="D166" s="45"/>
      <c r="E166" s="45"/>
      <c r="F166" s="309"/>
      <c r="G166" s="104"/>
      <c r="H166" s="109"/>
      <c r="I166" s="109"/>
      <c r="J166" s="109"/>
      <c r="K166" s="109"/>
      <c r="L166" s="109"/>
      <c r="M166" s="109"/>
      <c r="N166" s="109"/>
      <c r="O166" s="109"/>
      <c r="P166" s="109"/>
      <c r="Q166" s="109"/>
      <c r="R166" s="109"/>
      <c r="S166" s="328"/>
      <c r="T166" s="45"/>
      <c r="U166" s="45"/>
      <c r="V166" s="45"/>
      <c r="W166" s="45"/>
      <c r="X166" s="45"/>
      <c r="Y166" s="45"/>
      <c r="Z166" s="45"/>
      <c r="AA166" s="45"/>
      <c r="AB166" s="45"/>
      <c r="AC166" s="45"/>
      <c r="AD166" s="45"/>
      <c r="AE166" s="45"/>
      <c r="AF166" s="45"/>
      <c r="AG166" s="45"/>
      <c r="AH166" s="45"/>
      <c r="AI166" s="45"/>
      <c r="AJ166" s="45"/>
      <c r="AK166" s="45"/>
    </row>
    <row r="167" ht="12.0" customHeight="1">
      <c r="A167" s="45"/>
      <c r="B167" s="45"/>
      <c r="C167" s="45"/>
      <c r="D167" s="45"/>
      <c r="E167" s="45"/>
      <c r="F167" s="309"/>
      <c r="G167" s="104"/>
      <c r="H167" s="109"/>
      <c r="I167" s="109"/>
      <c r="J167" s="109"/>
      <c r="K167" s="109"/>
      <c r="L167" s="109"/>
      <c r="M167" s="109"/>
      <c r="N167" s="109"/>
      <c r="O167" s="109"/>
      <c r="P167" s="109"/>
      <c r="Q167" s="109"/>
      <c r="R167" s="109"/>
      <c r="S167" s="328"/>
      <c r="T167" s="45"/>
      <c r="U167" s="45"/>
      <c r="V167" s="45"/>
      <c r="W167" s="45"/>
      <c r="X167" s="45"/>
      <c r="Y167" s="45"/>
      <c r="Z167" s="45"/>
      <c r="AA167" s="45"/>
      <c r="AB167" s="45"/>
      <c r="AC167" s="45"/>
      <c r="AD167" s="45"/>
      <c r="AE167" s="45"/>
      <c r="AF167" s="45"/>
      <c r="AG167" s="45"/>
      <c r="AH167" s="45"/>
      <c r="AI167" s="45"/>
      <c r="AJ167" s="45"/>
      <c r="AK167" s="45"/>
    </row>
    <row r="168" ht="12.0" customHeight="1">
      <c r="A168" s="45"/>
      <c r="B168" s="45"/>
      <c r="C168" s="45"/>
      <c r="D168" s="45"/>
      <c r="E168" s="45"/>
      <c r="F168" s="309"/>
      <c r="G168" s="104"/>
      <c r="H168" s="109"/>
      <c r="I168" s="109"/>
      <c r="J168" s="109"/>
      <c r="K168" s="109"/>
      <c r="L168" s="109"/>
      <c r="M168" s="109"/>
      <c r="N168" s="109"/>
      <c r="O168" s="109"/>
      <c r="P168" s="109"/>
      <c r="Q168" s="109"/>
      <c r="R168" s="109"/>
      <c r="S168" s="328"/>
      <c r="T168" s="45"/>
      <c r="U168" s="45"/>
      <c r="V168" s="45"/>
      <c r="W168" s="45"/>
      <c r="X168" s="45"/>
      <c r="Y168" s="45"/>
      <c r="Z168" s="45"/>
      <c r="AA168" s="45"/>
      <c r="AB168" s="45"/>
      <c r="AC168" s="45"/>
      <c r="AD168" s="45"/>
      <c r="AE168" s="45"/>
      <c r="AF168" s="45"/>
      <c r="AG168" s="45"/>
      <c r="AH168" s="45"/>
      <c r="AI168" s="45"/>
      <c r="AJ168" s="45"/>
      <c r="AK168" s="45"/>
    </row>
    <row r="169" ht="12.0" customHeight="1">
      <c r="A169" s="45"/>
      <c r="B169" s="45"/>
      <c r="C169" s="45"/>
      <c r="D169" s="45"/>
      <c r="E169" s="45"/>
      <c r="F169" s="309"/>
      <c r="G169" s="104"/>
      <c r="H169" s="109"/>
      <c r="I169" s="109"/>
      <c r="J169" s="109"/>
      <c r="K169" s="109"/>
      <c r="L169" s="109"/>
      <c r="M169" s="109"/>
      <c r="N169" s="109"/>
      <c r="O169" s="109"/>
      <c r="P169" s="109"/>
      <c r="Q169" s="109"/>
      <c r="R169" s="109"/>
      <c r="S169" s="328"/>
      <c r="T169" s="45"/>
      <c r="U169" s="45"/>
      <c r="V169" s="45"/>
      <c r="W169" s="45"/>
      <c r="X169" s="45"/>
      <c r="Y169" s="45"/>
      <c r="Z169" s="45"/>
      <c r="AA169" s="45"/>
      <c r="AB169" s="45"/>
      <c r="AC169" s="45"/>
      <c r="AD169" s="45"/>
      <c r="AE169" s="45"/>
      <c r="AF169" s="45"/>
      <c r="AG169" s="45"/>
      <c r="AH169" s="45"/>
      <c r="AI169" s="45"/>
      <c r="AJ169" s="45"/>
      <c r="AK169" s="45"/>
    </row>
    <row r="170" ht="12.0" customHeight="1">
      <c r="A170" s="45"/>
      <c r="B170" s="45"/>
      <c r="C170" s="45"/>
      <c r="D170" s="45"/>
      <c r="E170" s="45"/>
      <c r="F170" s="309"/>
      <c r="G170" s="104"/>
      <c r="H170" s="109"/>
      <c r="I170" s="109"/>
      <c r="J170" s="109"/>
      <c r="K170" s="109"/>
      <c r="L170" s="109"/>
      <c r="M170" s="109"/>
      <c r="N170" s="109"/>
      <c r="O170" s="109"/>
      <c r="P170" s="109"/>
      <c r="Q170" s="109"/>
      <c r="R170" s="109"/>
      <c r="S170" s="328"/>
      <c r="T170" s="45"/>
      <c r="U170" s="45"/>
      <c r="V170" s="45"/>
      <c r="W170" s="45"/>
      <c r="X170" s="45"/>
      <c r="Y170" s="45"/>
      <c r="Z170" s="45"/>
      <c r="AA170" s="45"/>
      <c r="AB170" s="45"/>
      <c r="AC170" s="45"/>
      <c r="AD170" s="45"/>
      <c r="AE170" s="45"/>
      <c r="AF170" s="45"/>
      <c r="AG170" s="45"/>
      <c r="AH170" s="45"/>
      <c r="AI170" s="45"/>
      <c r="AJ170" s="45"/>
      <c r="AK170" s="45"/>
    </row>
    <row r="171" ht="12.0" customHeight="1">
      <c r="A171" s="45"/>
      <c r="B171" s="45"/>
      <c r="C171" s="45"/>
      <c r="D171" s="45"/>
      <c r="E171" s="45"/>
      <c r="F171" s="309"/>
      <c r="G171" s="104"/>
      <c r="H171" s="109"/>
      <c r="I171" s="109"/>
      <c r="J171" s="109"/>
      <c r="K171" s="109"/>
      <c r="L171" s="109"/>
      <c r="M171" s="109"/>
      <c r="N171" s="109"/>
      <c r="O171" s="109"/>
      <c r="P171" s="109"/>
      <c r="Q171" s="109"/>
      <c r="R171" s="109"/>
      <c r="S171" s="328"/>
      <c r="T171" s="45"/>
      <c r="U171" s="45"/>
      <c r="V171" s="45"/>
      <c r="W171" s="45"/>
      <c r="X171" s="45"/>
      <c r="Y171" s="45"/>
      <c r="Z171" s="45"/>
      <c r="AA171" s="45"/>
      <c r="AB171" s="45"/>
      <c r="AC171" s="45"/>
      <c r="AD171" s="45"/>
      <c r="AE171" s="45"/>
      <c r="AF171" s="45"/>
      <c r="AG171" s="45"/>
      <c r="AH171" s="45"/>
      <c r="AI171" s="45"/>
      <c r="AJ171" s="45"/>
      <c r="AK171" s="45"/>
    </row>
    <row r="172" ht="12.0" customHeight="1">
      <c r="A172" s="45"/>
      <c r="B172" s="45"/>
      <c r="C172" s="45"/>
      <c r="D172" s="45"/>
      <c r="E172" s="45"/>
      <c r="F172" s="309"/>
      <c r="G172" s="104"/>
      <c r="H172" s="109"/>
      <c r="I172" s="109"/>
      <c r="J172" s="109"/>
      <c r="K172" s="109"/>
      <c r="L172" s="109"/>
      <c r="M172" s="109"/>
      <c r="N172" s="109"/>
      <c r="O172" s="109"/>
      <c r="P172" s="109"/>
      <c r="Q172" s="109"/>
      <c r="R172" s="109"/>
      <c r="S172" s="328"/>
      <c r="T172" s="45"/>
      <c r="U172" s="45"/>
      <c r="V172" s="45"/>
      <c r="W172" s="45"/>
      <c r="X172" s="45"/>
      <c r="Y172" s="45"/>
      <c r="Z172" s="45"/>
      <c r="AA172" s="45"/>
      <c r="AB172" s="45"/>
      <c r="AC172" s="45"/>
      <c r="AD172" s="45"/>
      <c r="AE172" s="45"/>
      <c r="AF172" s="45"/>
      <c r="AG172" s="45"/>
      <c r="AH172" s="45"/>
      <c r="AI172" s="45"/>
      <c r="AJ172" s="45"/>
      <c r="AK172" s="45"/>
    </row>
    <row r="173" ht="12.0" customHeight="1">
      <c r="A173" s="45"/>
      <c r="B173" s="45"/>
      <c r="C173" s="45"/>
      <c r="D173" s="45"/>
      <c r="E173" s="45"/>
      <c r="F173" s="309"/>
      <c r="G173" s="104"/>
      <c r="H173" s="109"/>
      <c r="I173" s="109"/>
      <c r="J173" s="109"/>
      <c r="K173" s="109"/>
      <c r="L173" s="109"/>
      <c r="M173" s="109"/>
      <c r="N173" s="109"/>
      <c r="O173" s="109"/>
      <c r="P173" s="109"/>
      <c r="Q173" s="109"/>
      <c r="R173" s="109"/>
      <c r="S173" s="328"/>
      <c r="T173" s="45"/>
      <c r="U173" s="45"/>
      <c r="V173" s="45"/>
      <c r="W173" s="45"/>
      <c r="X173" s="45"/>
      <c r="Y173" s="45"/>
      <c r="Z173" s="45"/>
      <c r="AA173" s="45"/>
      <c r="AB173" s="45"/>
      <c r="AC173" s="45"/>
      <c r="AD173" s="45"/>
      <c r="AE173" s="45"/>
      <c r="AF173" s="45"/>
      <c r="AG173" s="45"/>
      <c r="AH173" s="45"/>
      <c r="AI173" s="45"/>
      <c r="AJ173" s="45"/>
      <c r="AK173" s="45"/>
    </row>
    <row r="174" ht="12.0" customHeight="1">
      <c r="A174" s="45"/>
      <c r="B174" s="45"/>
      <c r="C174" s="45"/>
      <c r="D174" s="45"/>
      <c r="E174" s="45"/>
      <c r="F174" s="309"/>
      <c r="G174" s="104"/>
      <c r="H174" s="109"/>
      <c r="I174" s="109"/>
      <c r="J174" s="109"/>
      <c r="K174" s="109"/>
      <c r="L174" s="109"/>
      <c r="M174" s="109"/>
      <c r="N174" s="109"/>
      <c r="O174" s="109"/>
      <c r="P174" s="109"/>
      <c r="Q174" s="109"/>
      <c r="R174" s="109"/>
      <c r="S174" s="328"/>
      <c r="T174" s="45"/>
      <c r="U174" s="45"/>
      <c r="V174" s="45"/>
      <c r="W174" s="45"/>
      <c r="X174" s="45"/>
      <c r="Y174" s="45"/>
      <c r="Z174" s="45"/>
      <c r="AA174" s="45"/>
      <c r="AB174" s="45"/>
      <c r="AC174" s="45"/>
      <c r="AD174" s="45"/>
      <c r="AE174" s="45"/>
      <c r="AF174" s="45"/>
      <c r="AG174" s="45"/>
      <c r="AH174" s="45"/>
      <c r="AI174" s="45"/>
      <c r="AJ174" s="45"/>
      <c r="AK174" s="45"/>
    </row>
    <row r="175" ht="12.0" customHeight="1">
      <c r="A175" s="45"/>
      <c r="B175" s="45"/>
      <c r="C175" s="45"/>
      <c r="D175" s="45"/>
      <c r="E175" s="45"/>
      <c r="F175" s="309"/>
      <c r="G175" s="104"/>
      <c r="H175" s="109"/>
      <c r="I175" s="109"/>
      <c r="J175" s="109"/>
      <c r="K175" s="109"/>
      <c r="L175" s="109"/>
      <c r="M175" s="109"/>
      <c r="N175" s="109"/>
      <c r="O175" s="109"/>
      <c r="P175" s="109"/>
      <c r="Q175" s="109"/>
      <c r="R175" s="109"/>
      <c r="S175" s="328"/>
      <c r="T175" s="45"/>
      <c r="U175" s="45"/>
      <c r="V175" s="45"/>
      <c r="W175" s="45"/>
      <c r="X175" s="45"/>
      <c r="Y175" s="45"/>
      <c r="Z175" s="45"/>
      <c r="AA175" s="45"/>
      <c r="AB175" s="45"/>
      <c r="AC175" s="45"/>
      <c r="AD175" s="45"/>
      <c r="AE175" s="45"/>
      <c r="AF175" s="45"/>
      <c r="AG175" s="45"/>
      <c r="AH175" s="45"/>
      <c r="AI175" s="45"/>
      <c r="AJ175" s="45"/>
      <c r="AK175" s="45"/>
    </row>
    <row r="176" ht="12.0" customHeight="1">
      <c r="A176" s="45"/>
      <c r="B176" s="45"/>
      <c r="C176" s="45"/>
      <c r="D176" s="45"/>
      <c r="E176" s="45"/>
      <c r="F176" s="309"/>
      <c r="G176" s="104"/>
      <c r="H176" s="109"/>
      <c r="I176" s="109"/>
      <c r="J176" s="109"/>
      <c r="K176" s="109"/>
      <c r="L176" s="109"/>
      <c r="M176" s="109"/>
      <c r="N176" s="109"/>
      <c r="O176" s="109"/>
      <c r="P176" s="109"/>
      <c r="Q176" s="109"/>
      <c r="R176" s="109"/>
      <c r="S176" s="328"/>
      <c r="T176" s="45"/>
      <c r="U176" s="45"/>
      <c r="V176" s="45"/>
      <c r="W176" s="45"/>
      <c r="X176" s="45"/>
      <c r="Y176" s="45"/>
      <c r="Z176" s="45"/>
      <c r="AA176" s="45"/>
      <c r="AB176" s="45"/>
      <c r="AC176" s="45"/>
      <c r="AD176" s="45"/>
      <c r="AE176" s="45"/>
      <c r="AF176" s="45"/>
      <c r="AG176" s="45"/>
      <c r="AH176" s="45"/>
      <c r="AI176" s="45"/>
      <c r="AJ176" s="45"/>
      <c r="AK176" s="45"/>
    </row>
    <row r="177" ht="12.0" customHeight="1">
      <c r="A177" s="45"/>
      <c r="B177" s="45"/>
      <c r="C177" s="45"/>
      <c r="D177" s="45"/>
      <c r="E177" s="45"/>
      <c r="F177" s="309"/>
      <c r="G177" s="104"/>
      <c r="H177" s="109"/>
      <c r="I177" s="109"/>
      <c r="J177" s="109"/>
      <c r="K177" s="109"/>
      <c r="L177" s="109"/>
      <c r="M177" s="109"/>
      <c r="N177" s="109"/>
      <c r="O177" s="109"/>
      <c r="P177" s="109"/>
      <c r="Q177" s="109"/>
      <c r="R177" s="109"/>
      <c r="S177" s="328"/>
      <c r="T177" s="45"/>
      <c r="U177" s="45"/>
      <c r="V177" s="45"/>
      <c r="W177" s="45"/>
      <c r="X177" s="45"/>
      <c r="Y177" s="45"/>
      <c r="Z177" s="45"/>
      <c r="AA177" s="45"/>
      <c r="AB177" s="45"/>
      <c r="AC177" s="45"/>
      <c r="AD177" s="45"/>
      <c r="AE177" s="45"/>
      <c r="AF177" s="45"/>
      <c r="AG177" s="45"/>
      <c r="AH177" s="45"/>
      <c r="AI177" s="45"/>
      <c r="AJ177" s="45"/>
      <c r="AK177" s="45"/>
    </row>
    <row r="178" ht="12.0" customHeight="1">
      <c r="A178" s="45"/>
      <c r="B178" s="45"/>
      <c r="C178" s="45"/>
      <c r="D178" s="45"/>
      <c r="E178" s="45"/>
      <c r="F178" s="309"/>
      <c r="G178" s="104"/>
      <c r="H178" s="109"/>
      <c r="I178" s="109"/>
      <c r="J178" s="109"/>
      <c r="K178" s="109"/>
      <c r="L178" s="109"/>
      <c r="M178" s="109"/>
      <c r="N178" s="109"/>
      <c r="O178" s="109"/>
      <c r="P178" s="109"/>
      <c r="Q178" s="109"/>
      <c r="R178" s="109"/>
      <c r="S178" s="328"/>
      <c r="T178" s="45"/>
      <c r="U178" s="45"/>
      <c r="V178" s="45"/>
      <c r="W178" s="45"/>
      <c r="X178" s="45"/>
      <c r="Y178" s="45"/>
      <c r="Z178" s="45"/>
      <c r="AA178" s="45"/>
      <c r="AB178" s="45"/>
      <c r="AC178" s="45"/>
      <c r="AD178" s="45"/>
      <c r="AE178" s="45"/>
      <c r="AF178" s="45"/>
      <c r="AG178" s="45"/>
      <c r="AH178" s="45"/>
      <c r="AI178" s="45"/>
      <c r="AJ178" s="45"/>
      <c r="AK178" s="45"/>
    </row>
    <row r="179" ht="12.0" customHeight="1">
      <c r="A179" s="45"/>
      <c r="B179" s="45"/>
      <c r="C179" s="45"/>
      <c r="D179" s="45"/>
      <c r="E179" s="45"/>
      <c r="F179" s="309"/>
      <c r="G179" s="104"/>
      <c r="H179" s="109"/>
      <c r="I179" s="109"/>
      <c r="J179" s="109"/>
      <c r="K179" s="109"/>
      <c r="L179" s="109"/>
      <c r="M179" s="109"/>
      <c r="N179" s="109"/>
      <c r="O179" s="109"/>
      <c r="P179" s="109"/>
      <c r="Q179" s="109"/>
      <c r="R179" s="109"/>
      <c r="S179" s="328"/>
      <c r="T179" s="45"/>
      <c r="U179" s="45"/>
      <c r="V179" s="45"/>
      <c r="W179" s="45"/>
      <c r="X179" s="45"/>
      <c r="Y179" s="45"/>
      <c r="Z179" s="45"/>
      <c r="AA179" s="45"/>
      <c r="AB179" s="45"/>
      <c r="AC179" s="45"/>
      <c r="AD179" s="45"/>
      <c r="AE179" s="45"/>
      <c r="AF179" s="45"/>
      <c r="AG179" s="45"/>
      <c r="AH179" s="45"/>
      <c r="AI179" s="45"/>
      <c r="AJ179" s="45"/>
      <c r="AK179" s="45"/>
    </row>
    <row r="180" ht="12.0" customHeight="1">
      <c r="A180" s="45"/>
      <c r="B180" s="45"/>
      <c r="C180" s="45"/>
      <c r="D180" s="45"/>
      <c r="E180" s="45"/>
      <c r="F180" s="309"/>
      <c r="G180" s="104"/>
      <c r="H180" s="109"/>
      <c r="I180" s="109"/>
      <c r="J180" s="109"/>
      <c r="K180" s="109"/>
      <c r="L180" s="109"/>
      <c r="M180" s="109"/>
      <c r="N180" s="109"/>
      <c r="O180" s="109"/>
      <c r="P180" s="109"/>
      <c r="Q180" s="109"/>
      <c r="R180" s="109"/>
      <c r="S180" s="328"/>
      <c r="T180" s="45"/>
      <c r="U180" s="45"/>
      <c r="V180" s="45"/>
      <c r="W180" s="45"/>
      <c r="X180" s="45"/>
      <c r="Y180" s="45"/>
      <c r="Z180" s="45"/>
      <c r="AA180" s="45"/>
      <c r="AB180" s="45"/>
      <c r="AC180" s="45"/>
      <c r="AD180" s="45"/>
      <c r="AE180" s="45"/>
      <c r="AF180" s="45"/>
      <c r="AG180" s="45"/>
      <c r="AH180" s="45"/>
      <c r="AI180" s="45"/>
      <c r="AJ180" s="45"/>
      <c r="AK180" s="45"/>
    </row>
    <row r="181" ht="12.0" customHeight="1">
      <c r="A181" s="45"/>
      <c r="B181" s="45"/>
      <c r="C181" s="45"/>
      <c r="D181" s="45"/>
      <c r="E181" s="45"/>
      <c r="F181" s="309"/>
      <c r="G181" s="104"/>
      <c r="H181" s="109"/>
      <c r="I181" s="109"/>
      <c r="J181" s="109"/>
      <c r="K181" s="109"/>
      <c r="L181" s="109"/>
      <c r="M181" s="109"/>
      <c r="N181" s="109"/>
      <c r="O181" s="109"/>
      <c r="P181" s="109"/>
      <c r="Q181" s="109"/>
      <c r="R181" s="109"/>
      <c r="S181" s="328"/>
      <c r="T181" s="45"/>
      <c r="U181" s="45"/>
      <c r="V181" s="45"/>
      <c r="W181" s="45"/>
      <c r="X181" s="45"/>
      <c r="Y181" s="45"/>
      <c r="Z181" s="45"/>
      <c r="AA181" s="45"/>
      <c r="AB181" s="45"/>
      <c r="AC181" s="45"/>
      <c r="AD181" s="45"/>
      <c r="AE181" s="45"/>
      <c r="AF181" s="45"/>
      <c r="AG181" s="45"/>
      <c r="AH181" s="45"/>
      <c r="AI181" s="45"/>
      <c r="AJ181" s="45"/>
      <c r="AK181" s="45"/>
    </row>
    <row r="182" ht="12.0" customHeight="1">
      <c r="A182" s="45"/>
      <c r="B182" s="45"/>
      <c r="C182" s="45"/>
      <c r="D182" s="45"/>
      <c r="E182" s="45"/>
      <c r="F182" s="309"/>
      <c r="G182" s="104"/>
      <c r="H182" s="109"/>
      <c r="I182" s="109"/>
      <c r="J182" s="109"/>
      <c r="K182" s="109"/>
      <c r="L182" s="109"/>
      <c r="M182" s="109"/>
      <c r="N182" s="109"/>
      <c r="O182" s="109"/>
      <c r="P182" s="109"/>
      <c r="Q182" s="109"/>
      <c r="R182" s="109"/>
      <c r="S182" s="328"/>
      <c r="T182" s="45"/>
      <c r="U182" s="45"/>
      <c r="V182" s="45"/>
      <c r="W182" s="45"/>
      <c r="X182" s="45"/>
      <c r="Y182" s="45"/>
      <c r="Z182" s="45"/>
      <c r="AA182" s="45"/>
      <c r="AB182" s="45"/>
      <c r="AC182" s="45"/>
      <c r="AD182" s="45"/>
      <c r="AE182" s="45"/>
      <c r="AF182" s="45"/>
      <c r="AG182" s="45"/>
      <c r="AH182" s="45"/>
      <c r="AI182" s="45"/>
      <c r="AJ182" s="45"/>
      <c r="AK182" s="45"/>
    </row>
    <row r="183" ht="12.0" customHeight="1">
      <c r="A183" s="45"/>
      <c r="B183" s="45"/>
      <c r="C183" s="45"/>
      <c r="D183" s="45"/>
      <c r="E183" s="45"/>
      <c r="F183" s="309"/>
      <c r="G183" s="104"/>
      <c r="H183" s="109"/>
      <c r="I183" s="109"/>
      <c r="J183" s="109"/>
      <c r="K183" s="109"/>
      <c r="L183" s="109"/>
      <c r="M183" s="109"/>
      <c r="N183" s="109"/>
      <c r="O183" s="109"/>
      <c r="P183" s="109"/>
      <c r="Q183" s="109"/>
      <c r="R183" s="109"/>
      <c r="S183" s="328"/>
      <c r="T183" s="45"/>
      <c r="U183" s="45"/>
      <c r="V183" s="45"/>
      <c r="W183" s="45"/>
      <c r="X183" s="45"/>
      <c r="Y183" s="45"/>
      <c r="Z183" s="45"/>
      <c r="AA183" s="45"/>
      <c r="AB183" s="45"/>
      <c r="AC183" s="45"/>
      <c r="AD183" s="45"/>
      <c r="AE183" s="45"/>
      <c r="AF183" s="45"/>
      <c r="AG183" s="45"/>
      <c r="AH183" s="45"/>
      <c r="AI183" s="45"/>
      <c r="AJ183" s="45"/>
      <c r="AK183" s="45"/>
    </row>
    <row r="184" ht="12.0" customHeight="1">
      <c r="A184" s="45"/>
      <c r="B184" s="45"/>
      <c r="C184" s="45"/>
      <c r="D184" s="45"/>
      <c r="E184" s="45"/>
      <c r="F184" s="309"/>
      <c r="G184" s="104"/>
      <c r="H184" s="109"/>
      <c r="I184" s="109"/>
      <c r="J184" s="109"/>
      <c r="K184" s="109"/>
      <c r="L184" s="109"/>
      <c r="M184" s="109"/>
      <c r="N184" s="109"/>
      <c r="O184" s="109"/>
      <c r="P184" s="109"/>
      <c r="Q184" s="109"/>
      <c r="R184" s="109"/>
      <c r="S184" s="328"/>
      <c r="T184" s="45"/>
      <c r="U184" s="45"/>
      <c r="V184" s="45"/>
      <c r="W184" s="45"/>
      <c r="X184" s="45"/>
      <c r="Y184" s="45"/>
      <c r="Z184" s="45"/>
      <c r="AA184" s="45"/>
      <c r="AB184" s="45"/>
      <c r="AC184" s="45"/>
      <c r="AD184" s="45"/>
      <c r="AE184" s="45"/>
      <c r="AF184" s="45"/>
      <c r="AG184" s="45"/>
      <c r="AH184" s="45"/>
      <c r="AI184" s="45"/>
      <c r="AJ184" s="45"/>
      <c r="AK184" s="45"/>
    </row>
    <row r="185" ht="12.0" customHeight="1">
      <c r="A185" s="45"/>
      <c r="B185" s="45"/>
      <c r="C185" s="45"/>
      <c r="D185" s="45"/>
      <c r="E185" s="45"/>
      <c r="F185" s="309"/>
      <c r="G185" s="104"/>
      <c r="H185" s="109"/>
      <c r="I185" s="109"/>
      <c r="J185" s="109"/>
      <c r="K185" s="109"/>
      <c r="L185" s="109"/>
      <c r="M185" s="109"/>
      <c r="N185" s="109"/>
      <c r="O185" s="109"/>
      <c r="P185" s="109"/>
      <c r="Q185" s="109"/>
      <c r="R185" s="109"/>
      <c r="S185" s="328"/>
      <c r="T185" s="45"/>
      <c r="U185" s="45"/>
      <c r="V185" s="45"/>
      <c r="W185" s="45"/>
      <c r="X185" s="45"/>
      <c r="Y185" s="45"/>
      <c r="Z185" s="45"/>
      <c r="AA185" s="45"/>
      <c r="AB185" s="45"/>
      <c r="AC185" s="45"/>
      <c r="AD185" s="45"/>
      <c r="AE185" s="45"/>
      <c r="AF185" s="45"/>
      <c r="AG185" s="45"/>
      <c r="AH185" s="45"/>
      <c r="AI185" s="45"/>
      <c r="AJ185" s="45"/>
      <c r="AK185" s="45"/>
    </row>
    <row r="186" ht="12.0" customHeight="1">
      <c r="A186" s="45"/>
      <c r="B186" s="45"/>
      <c r="C186" s="45"/>
      <c r="D186" s="45"/>
      <c r="E186" s="45"/>
      <c r="F186" s="309"/>
      <c r="G186" s="104"/>
      <c r="H186" s="109"/>
      <c r="I186" s="109"/>
      <c r="J186" s="109"/>
      <c r="K186" s="109"/>
      <c r="L186" s="109"/>
      <c r="M186" s="109"/>
      <c r="N186" s="109"/>
      <c r="O186" s="109"/>
      <c r="P186" s="109"/>
      <c r="Q186" s="109"/>
      <c r="R186" s="109"/>
      <c r="S186" s="328"/>
      <c r="T186" s="45"/>
      <c r="U186" s="45"/>
      <c r="V186" s="45"/>
      <c r="W186" s="45"/>
      <c r="X186" s="45"/>
      <c r="Y186" s="45"/>
      <c r="Z186" s="45"/>
      <c r="AA186" s="45"/>
      <c r="AB186" s="45"/>
      <c r="AC186" s="45"/>
      <c r="AD186" s="45"/>
      <c r="AE186" s="45"/>
      <c r="AF186" s="45"/>
      <c r="AG186" s="45"/>
      <c r="AH186" s="45"/>
      <c r="AI186" s="45"/>
      <c r="AJ186" s="45"/>
      <c r="AK186" s="45"/>
    </row>
    <row r="187" ht="12.0" customHeight="1">
      <c r="A187" s="45"/>
      <c r="B187" s="45"/>
      <c r="C187" s="45"/>
      <c r="D187" s="45"/>
      <c r="E187" s="45"/>
      <c r="F187" s="309"/>
      <c r="G187" s="104"/>
      <c r="H187" s="109"/>
      <c r="I187" s="109"/>
      <c r="J187" s="109"/>
      <c r="K187" s="109"/>
      <c r="L187" s="109"/>
      <c r="M187" s="109"/>
      <c r="N187" s="109"/>
      <c r="O187" s="109"/>
      <c r="P187" s="109"/>
      <c r="Q187" s="109"/>
      <c r="R187" s="109"/>
      <c r="S187" s="328"/>
      <c r="T187" s="45"/>
      <c r="U187" s="45"/>
      <c r="V187" s="45"/>
      <c r="W187" s="45"/>
      <c r="X187" s="45"/>
      <c r="Y187" s="45"/>
      <c r="Z187" s="45"/>
      <c r="AA187" s="45"/>
      <c r="AB187" s="45"/>
      <c r="AC187" s="45"/>
      <c r="AD187" s="45"/>
      <c r="AE187" s="45"/>
      <c r="AF187" s="45"/>
      <c r="AG187" s="45"/>
      <c r="AH187" s="45"/>
      <c r="AI187" s="45"/>
      <c r="AJ187" s="45"/>
      <c r="AK187" s="45"/>
    </row>
    <row r="188" ht="12.0" customHeight="1">
      <c r="A188" s="45"/>
      <c r="B188" s="45"/>
      <c r="C188" s="45"/>
      <c r="D188" s="45"/>
      <c r="E188" s="45"/>
      <c r="F188" s="309"/>
      <c r="G188" s="104"/>
      <c r="H188" s="109"/>
      <c r="I188" s="109"/>
      <c r="J188" s="109"/>
      <c r="K188" s="109"/>
      <c r="L188" s="109"/>
      <c r="M188" s="109"/>
      <c r="N188" s="109"/>
      <c r="O188" s="109"/>
      <c r="P188" s="109"/>
      <c r="Q188" s="109"/>
      <c r="R188" s="109"/>
      <c r="S188" s="328"/>
      <c r="T188" s="45"/>
      <c r="U188" s="45"/>
      <c r="V188" s="45"/>
      <c r="W188" s="45"/>
      <c r="X188" s="45"/>
      <c r="Y188" s="45"/>
      <c r="Z188" s="45"/>
      <c r="AA188" s="45"/>
      <c r="AB188" s="45"/>
      <c r="AC188" s="45"/>
      <c r="AD188" s="45"/>
      <c r="AE188" s="45"/>
      <c r="AF188" s="45"/>
      <c r="AG188" s="45"/>
      <c r="AH188" s="45"/>
      <c r="AI188" s="45"/>
      <c r="AJ188" s="45"/>
      <c r="AK188" s="45"/>
    </row>
    <row r="189" ht="12.0" customHeight="1">
      <c r="A189" s="45"/>
      <c r="B189" s="45"/>
      <c r="C189" s="45"/>
      <c r="D189" s="45"/>
      <c r="E189" s="45"/>
      <c r="F189" s="309"/>
      <c r="G189" s="104"/>
      <c r="H189" s="109"/>
      <c r="I189" s="109"/>
      <c r="J189" s="109"/>
      <c r="K189" s="109"/>
      <c r="L189" s="109"/>
      <c r="M189" s="109"/>
      <c r="N189" s="109"/>
      <c r="O189" s="109"/>
      <c r="P189" s="109"/>
      <c r="Q189" s="109"/>
      <c r="R189" s="109"/>
      <c r="S189" s="328"/>
      <c r="T189" s="45"/>
      <c r="U189" s="45"/>
      <c r="V189" s="45"/>
      <c r="W189" s="45"/>
      <c r="X189" s="45"/>
      <c r="Y189" s="45"/>
      <c r="Z189" s="45"/>
      <c r="AA189" s="45"/>
      <c r="AB189" s="45"/>
      <c r="AC189" s="45"/>
      <c r="AD189" s="45"/>
      <c r="AE189" s="45"/>
      <c r="AF189" s="45"/>
      <c r="AG189" s="45"/>
      <c r="AH189" s="45"/>
      <c r="AI189" s="45"/>
      <c r="AJ189" s="45"/>
      <c r="AK189" s="45"/>
    </row>
    <row r="190" ht="12.0" customHeight="1">
      <c r="A190" s="45"/>
      <c r="B190" s="45"/>
      <c r="C190" s="45"/>
      <c r="D190" s="45"/>
      <c r="E190" s="45"/>
      <c r="F190" s="309"/>
      <c r="G190" s="104"/>
      <c r="H190" s="109"/>
      <c r="I190" s="109"/>
      <c r="J190" s="109"/>
      <c r="K190" s="109"/>
      <c r="L190" s="109"/>
      <c r="M190" s="109"/>
      <c r="N190" s="109"/>
      <c r="O190" s="109"/>
      <c r="P190" s="109"/>
      <c r="Q190" s="109"/>
      <c r="R190" s="109"/>
      <c r="S190" s="328"/>
      <c r="T190" s="45"/>
      <c r="U190" s="45"/>
      <c r="V190" s="45"/>
      <c r="W190" s="45"/>
      <c r="X190" s="45"/>
      <c r="Y190" s="45"/>
      <c r="Z190" s="45"/>
      <c r="AA190" s="45"/>
      <c r="AB190" s="45"/>
      <c r="AC190" s="45"/>
      <c r="AD190" s="45"/>
      <c r="AE190" s="45"/>
      <c r="AF190" s="45"/>
      <c r="AG190" s="45"/>
      <c r="AH190" s="45"/>
      <c r="AI190" s="45"/>
      <c r="AJ190" s="45"/>
      <c r="AK190" s="45"/>
    </row>
    <row r="191" ht="12.0" customHeight="1">
      <c r="A191" s="45"/>
      <c r="B191" s="45"/>
      <c r="C191" s="45"/>
      <c r="D191" s="45"/>
      <c r="E191" s="45"/>
      <c r="F191" s="309"/>
      <c r="G191" s="104"/>
      <c r="H191" s="109"/>
      <c r="I191" s="109"/>
      <c r="J191" s="109"/>
      <c r="K191" s="109"/>
      <c r="L191" s="109"/>
      <c r="M191" s="109"/>
      <c r="N191" s="109"/>
      <c r="O191" s="109"/>
      <c r="P191" s="109"/>
      <c r="Q191" s="109"/>
      <c r="R191" s="109"/>
      <c r="S191" s="328"/>
      <c r="T191" s="45"/>
      <c r="U191" s="45"/>
      <c r="V191" s="45"/>
      <c r="W191" s="45"/>
      <c r="X191" s="45"/>
      <c r="Y191" s="45"/>
      <c r="Z191" s="45"/>
      <c r="AA191" s="45"/>
      <c r="AB191" s="45"/>
      <c r="AC191" s="45"/>
      <c r="AD191" s="45"/>
      <c r="AE191" s="45"/>
      <c r="AF191" s="45"/>
      <c r="AG191" s="45"/>
      <c r="AH191" s="45"/>
      <c r="AI191" s="45"/>
      <c r="AJ191" s="45"/>
      <c r="AK191" s="45"/>
    </row>
    <row r="192" ht="12.0" customHeight="1">
      <c r="A192" s="45"/>
      <c r="B192" s="45"/>
      <c r="C192" s="45"/>
      <c r="D192" s="45"/>
      <c r="E192" s="45"/>
      <c r="F192" s="309"/>
      <c r="G192" s="104"/>
      <c r="H192" s="109"/>
      <c r="I192" s="109"/>
      <c r="J192" s="109"/>
      <c r="K192" s="109"/>
      <c r="L192" s="109"/>
      <c r="M192" s="109"/>
      <c r="N192" s="109"/>
      <c r="O192" s="109"/>
      <c r="P192" s="109"/>
      <c r="Q192" s="109"/>
      <c r="R192" s="109"/>
      <c r="S192" s="328"/>
      <c r="T192" s="45"/>
      <c r="U192" s="45"/>
      <c r="V192" s="45"/>
      <c r="W192" s="45"/>
      <c r="X192" s="45"/>
      <c r="Y192" s="45"/>
      <c r="Z192" s="45"/>
      <c r="AA192" s="45"/>
      <c r="AB192" s="45"/>
      <c r="AC192" s="45"/>
      <c r="AD192" s="45"/>
      <c r="AE192" s="45"/>
      <c r="AF192" s="45"/>
      <c r="AG192" s="45"/>
      <c r="AH192" s="45"/>
      <c r="AI192" s="45"/>
      <c r="AJ192" s="45"/>
      <c r="AK192" s="45"/>
    </row>
    <row r="193" ht="12.0" customHeight="1">
      <c r="A193" s="45"/>
      <c r="B193" s="45"/>
      <c r="C193" s="45"/>
      <c r="D193" s="45"/>
      <c r="E193" s="45"/>
      <c r="F193" s="309"/>
      <c r="G193" s="104"/>
      <c r="H193" s="109"/>
      <c r="I193" s="109"/>
      <c r="J193" s="109"/>
      <c r="K193" s="109"/>
      <c r="L193" s="109"/>
      <c r="M193" s="109"/>
      <c r="N193" s="109"/>
      <c r="O193" s="109"/>
      <c r="P193" s="109"/>
      <c r="Q193" s="109"/>
      <c r="R193" s="109"/>
      <c r="S193" s="328"/>
      <c r="T193" s="45"/>
      <c r="U193" s="45"/>
      <c r="V193" s="45"/>
      <c r="W193" s="45"/>
      <c r="X193" s="45"/>
      <c r="Y193" s="45"/>
      <c r="Z193" s="45"/>
      <c r="AA193" s="45"/>
      <c r="AB193" s="45"/>
      <c r="AC193" s="45"/>
      <c r="AD193" s="45"/>
      <c r="AE193" s="45"/>
      <c r="AF193" s="45"/>
      <c r="AG193" s="45"/>
      <c r="AH193" s="45"/>
      <c r="AI193" s="45"/>
      <c r="AJ193" s="45"/>
      <c r="AK193" s="45"/>
    </row>
    <row r="194" ht="12.0" customHeight="1">
      <c r="A194" s="45"/>
      <c r="B194" s="45"/>
      <c r="C194" s="45"/>
      <c r="D194" s="45"/>
      <c r="E194" s="45"/>
      <c r="F194" s="309"/>
      <c r="G194" s="104"/>
      <c r="H194" s="109"/>
      <c r="I194" s="109"/>
      <c r="J194" s="109"/>
      <c r="K194" s="109"/>
      <c r="L194" s="109"/>
      <c r="M194" s="109"/>
      <c r="N194" s="109"/>
      <c r="O194" s="109"/>
      <c r="P194" s="109"/>
      <c r="Q194" s="109"/>
      <c r="R194" s="109"/>
      <c r="S194" s="328"/>
      <c r="T194" s="45"/>
      <c r="U194" s="45"/>
      <c r="V194" s="45"/>
      <c r="W194" s="45"/>
      <c r="X194" s="45"/>
      <c r="Y194" s="45"/>
      <c r="Z194" s="45"/>
      <c r="AA194" s="45"/>
      <c r="AB194" s="45"/>
      <c r="AC194" s="45"/>
      <c r="AD194" s="45"/>
      <c r="AE194" s="45"/>
      <c r="AF194" s="45"/>
      <c r="AG194" s="45"/>
      <c r="AH194" s="45"/>
      <c r="AI194" s="45"/>
      <c r="AJ194" s="45"/>
      <c r="AK194" s="45"/>
    </row>
    <row r="195" ht="12.0" customHeight="1">
      <c r="A195" s="45"/>
      <c r="B195" s="45"/>
      <c r="C195" s="45"/>
      <c r="D195" s="45"/>
      <c r="E195" s="45"/>
      <c r="F195" s="309"/>
      <c r="G195" s="104"/>
      <c r="H195" s="109"/>
      <c r="I195" s="109"/>
      <c r="J195" s="109"/>
      <c r="K195" s="109"/>
      <c r="L195" s="109"/>
      <c r="M195" s="109"/>
      <c r="N195" s="109"/>
      <c r="O195" s="109"/>
      <c r="P195" s="109"/>
      <c r="Q195" s="109"/>
      <c r="R195" s="109"/>
      <c r="S195" s="328"/>
      <c r="T195" s="45"/>
      <c r="U195" s="45"/>
      <c r="V195" s="45"/>
      <c r="W195" s="45"/>
      <c r="X195" s="45"/>
      <c r="Y195" s="45"/>
      <c r="Z195" s="45"/>
      <c r="AA195" s="45"/>
      <c r="AB195" s="45"/>
      <c r="AC195" s="45"/>
      <c r="AD195" s="45"/>
      <c r="AE195" s="45"/>
      <c r="AF195" s="45"/>
      <c r="AG195" s="45"/>
      <c r="AH195" s="45"/>
      <c r="AI195" s="45"/>
      <c r="AJ195" s="45"/>
      <c r="AK195" s="45"/>
    </row>
    <row r="196" ht="12.0" customHeight="1">
      <c r="A196" s="45"/>
      <c r="B196" s="45"/>
      <c r="C196" s="45"/>
      <c r="D196" s="45"/>
      <c r="E196" s="45"/>
      <c r="F196" s="309"/>
      <c r="G196" s="104"/>
      <c r="H196" s="109"/>
      <c r="I196" s="109"/>
      <c r="J196" s="109"/>
      <c r="K196" s="109"/>
      <c r="L196" s="109"/>
      <c r="M196" s="109"/>
      <c r="N196" s="109"/>
      <c r="O196" s="109"/>
      <c r="P196" s="109"/>
      <c r="Q196" s="109"/>
      <c r="R196" s="109"/>
      <c r="S196" s="328"/>
      <c r="T196" s="45"/>
      <c r="U196" s="45"/>
      <c r="V196" s="45"/>
      <c r="W196" s="45"/>
      <c r="X196" s="45"/>
      <c r="Y196" s="45"/>
      <c r="Z196" s="45"/>
      <c r="AA196" s="45"/>
      <c r="AB196" s="45"/>
      <c r="AC196" s="45"/>
      <c r="AD196" s="45"/>
      <c r="AE196" s="45"/>
      <c r="AF196" s="45"/>
      <c r="AG196" s="45"/>
      <c r="AH196" s="45"/>
      <c r="AI196" s="45"/>
      <c r="AJ196" s="45"/>
      <c r="AK196" s="45"/>
    </row>
    <row r="197" ht="12.0" customHeight="1">
      <c r="A197" s="45"/>
      <c r="B197" s="45"/>
      <c r="C197" s="45"/>
      <c r="D197" s="45"/>
      <c r="E197" s="45"/>
      <c r="F197" s="309"/>
      <c r="G197" s="104"/>
      <c r="H197" s="109"/>
      <c r="I197" s="109"/>
      <c r="J197" s="109"/>
      <c r="K197" s="109"/>
      <c r="L197" s="109"/>
      <c r="M197" s="109"/>
      <c r="N197" s="109"/>
      <c r="O197" s="109"/>
      <c r="P197" s="109"/>
      <c r="Q197" s="109"/>
      <c r="R197" s="109"/>
      <c r="S197" s="328"/>
      <c r="T197" s="45"/>
      <c r="U197" s="45"/>
      <c r="V197" s="45"/>
      <c r="W197" s="45"/>
      <c r="X197" s="45"/>
      <c r="Y197" s="45"/>
      <c r="Z197" s="45"/>
      <c r="AA197" s="45"/>
      <c r="AB197" s="45"/>
      <c r="AC197" s="45"/>
      <c r="AD197" s="45"/>
      <c r="AE197" s="45"/>
      <c r="AF197" s="45"/>
      <c r="AG197" s="45"/>
      <c r="AH197" s="45"/>
      <c r="AI197" s="45"/>
      <c r="AJ197" s="45"/>
      <c r="AK197" s="45"/>
    </row>
    <row r="198" ht="12.0" customHeight="1">
      <c r="A198" s="45"/>
      <c r="B198" s="45"/>
      <c r="C198" s="45"/>
      <c r="D198" s="45"/>
      <c r="E198" s="45"/>
      <c r="F198" s="309"/>
      <c r="G198" s="104"/>
      <c r="H198" s="109"/>
      <c r="I198" s="109"/>
      <c r="J198" s="109"/>
      <c r="K198" s="109"/>
      <c r="L198" s="109"/>
      <c r="M198" s="109"/>
      <c r="N198" s="109"/>
      <c r="O198" s="109"/>
      <c r="P198" s="109"/>
      <c r="Q198" s="109"/>
      <c r="R198" s="109"/>
      <c r="S198" s="328"/>
      <c r="T198" s="45"/>
      <c r="U198" s="45"/>
      <c r="V198" s="45"/>
      <c r="W198" s="45"/>
      <c r="X198" s="45"/>
      <c r="Y198" s="45"/>
      <c r="Z198" s="45"/>
      <c r="AA198" s="45"/>
      <c r="AB198" s="45"/>
      <c r="AC198" s="45"/>
      <c r="AD198" s="45"/>
      <c r="AE198" s="45"/>
      <c r="AF198" s="45"/>
      <c r="AG198" s="45"/>
      <c r="AH198" s="45"/>
      <c r="AI198" s="45"/>
      <c r="AJ198" s="45"/>
      <c r="AK198" s="45"/>
    </row>
    <row r="199" ht="12.0" customHeight="1">
      <c r="A199" s="45"/>
      <c r="B199" s="45"/>
      <c r="C199" s="45"/>
      <c r="D199" s="45"/>
      <c r="E199" s="45"/>
      <c r="F199" s="309"/>
      <c r="G199" s="104"/>
      <c r="H199" s="109"/>
      <c r="I199" s="109"/>
      <c r="J199" s="109"/>
      <c r="K199" s="109"/>
      <c r="L199" s="109"/>
      <c r="M199" s="109"/>
      <c r="N199" s="109"/>
      <c r="O199" s="109"/>
      <c r="P199" s="109"/>
      <c r="Q199" s="109"/>
      <c r="R199" s="109"/>
      <c r="S199" s="328"/>
      <c r="T199" s="45"/>
      <c r="U199" s="45"/>
      <c r="V199" s="45"/>
      <c r="W199" s="45"/>
      <c r="X199" s="45"/>
      <c r="Y199" s="45"/>
      <c r="Z199" s="45"/>
      <c r="AA199" s="45"/>
      <c r="AB199" s="45"/>
      <c r="AC199" s="45"/>
      <c r="AD199" s="45"/>
      <c r="AE199" s="45"/>
      <c r="AF199" s="45"/>
      <c r="AG199" s="45"/>
      <c r="AH199" s="45"/>
      <c r="AI199" s="45"/>
      <c r="AJ199" s="45"/>
      <c r="AK199" s="45"/>
    </row>
    <row r="200" ht="12.0" customHeight="1">
      <c r="A200" s="45"/>
      <c r="B200" s="45"/>
      <c r="C200" s="45"/>
      <c r="D200" s="45"/>
      <c r="E200" s="45"/>
      <c r="F200" s="309"/>
      <c r="G200" s="104"/>
      <c r="H200" s="109"/>
      <c r="I200" s="109"/>
      <c r="J200" s="109"/>
      <c r="K200" s="109"/>
      <c r="L200" s="109"/>
      <c r="M200" s="109"/>
      <c r="N200" s="109"/>
      <c r="O200" s="109"/>
      <c r="P200" s="109"/>
      <c r="Q200" s="109"/>
      <c r="R200" s="109"/>
      <c r="S200" s="328"/>
      <c r="T200" s="45"/>
      <c r="U200" s="45"/>
      <c r="V200" s="45"/>
      <c r="W200" s="45"/>
      <c r="X200" s="45"/>
      <c r="Y200" s="45"/>
      <c r="Z200" s="45"/>
      <c r="AA200" s="45"/>
      <c r="AB200" s="45"/>
      <c r="AC200" s="45"/>
      <c r="AD200" s="45"/>
      <c r="AE200" s="45"/>
      <c r="AF200" s="45"/>
      <c r="AG200" s="45"/>
      <c r="AH200" s="45"/>
      <c r="AI200" s="45"/>
      <c r="AJ200" s="45"/>
      <c r="AK200" s="45"/>
    </row>
    <row r="201" ht="12.0" customHeight="1">
      <c r="A201" s="45"/>
      <c r="B201" s="45"/>
      <c r="C201" s="45"/>
      <c r="D201" s="45"/>
      <c r="E201" s="45"/>
      <c r="F201" s="309"/>
      <c r="G201" s="104"/>
      <c r="H201" s="109"/>
      <c r="I201" s="109"/>
      <c r="J201" s="109"/>
      <c r="K201" s="109"/>
      <c r="L201" s="109"/>
      <c r="M201" s="109"/>
      <c r="N201" s="109"/>
      <c r="O201" s="109"/>
      <c r="P201" s="109"/>
      <c r="Q201" s="109"/>
      <c r="R201" s="109"/>
      <c r="S201" s="328"/>
      <c r="T201" s="45"/>
      <c r="U201" s="45"/>
      <c r="V201" s="45"/>
      <c r="W201" s="45"/>
      <c r="X201" s="45"/>
      <c r="Y201" s="45"/>
      <c r="Z201" s="45"/>
      <c r="AA201" s="45"/>
      <c r="AB201" s="45"/>
      <c r="AC201" s="45"/>
      <c r="AD201" s="45"/>
      <c r="AE201" s="45"/>
      <c r="AF201" s="45"/>
      <c r="AG201" s="45"/>
      <c r="AH201" s="45"/>
      <c r="AI201" s="45"/>
      <c r="AJ201" s="45"/>
      <c r="AK201" s="45"/>
    </row>
    <row r="202" ht="12.0" customHeight="1">
      <c r="A202" s="45"/>
      <c r="B202" s="45"/>
      <c r="C202" s="45"/>
      <c r="D202" s="45"/>
      <c r="E202" s="45"/>
      <c r="F202" s="309"/>
      <c r="G202" s="104"/>
      <c r="H202" s="109"/>
      <c r="I202" s="109"/>
      <c r="J202" s="109"/>
      <c r="K202" s="109"/>
      <c r="L202" s="109"/>
      <c r="M202" s="109"/>
      <c r="N202" s="109"/>
      <c r="O202" s="109"/>
      <c r="P202" s="109"/>
      <c r="Q202" s="109"/>
      <c r="R202" s="109"/>
      <c r="S202" s="328"/>
      <c r="T202" s="45"/>
      <c r="U202" s="45"/>
      <c r="V202" s="45"/>
      <c r="W202" s="45"/>
      <c r="X202" s="45"/>
      <c r="Y202" s="45"/>
      <c r="Z202" s="45"/>
      <c r="AA202" s="45"/>
      <c r="AB202" s="45"/>
      <c r="AC202" s="45"/>
      <c r="AD202" s="45"/>
      <c r="AE202" s="45"/>
      <c r="AF202" s="45"/>
      <c r="AG202" s="45"/>
      <c r="AH202" s="45"/>
      <c r="AI202" s="45"/>
      <c r="AJ202" s="45"/>
      <c r="AK202" s="45"/>
    </row>
    <row r="203" ht="12.0" customHeight="1">
      <c r="A203" s="45"/>
      <c r="B203" s="45"/>
      <c r="C203" s="45"/>
      <c r="D203" s="45"/>
      <c r="E203" s="45"/>
      <c r="F203" s="309"/>
      <c r="G203" s="104"/>
      <c r="H203" s="109"/>
      <c r="I203" s="109"/>
      <c r="J203" s="109"/>
      <c r="K203" s="109"/>
      <c r="L203" s="109"/>
      <c r="M203" s="109"/>
      <c r="N203" s="109"/>
      <c r="O203" s="109"/>
      <c r="P203" s="109"/>
      <c r="Q203" s="109"/>
      <c r="R203" s="109"/>
      <c r="S203" s="328"/>
      <c r="T203" s="45"/>
      <c r="U203" s="45"/>
      <c r="V203" s="45"/>
      <c r="W203" s="45"/>
      <c r="X203" s="45"/>
      <c r="Y203" s="45"/>
      <c r="Z203" s="45"/>
      <c r="AA203" s="45"/>
      <c r="AB203" s="45"/>
      <c r="AC203" s="45"/>
      <c r="AD203" s="45"/>
      <c r="AE203" s="45"/>
      <c r="AF203" s="45"/>
      <c r="AG203" s="45"/>
      <c r="AH203" s="45"/>
      <c r="AI203" s="45"/>
      <c r="AJ203" s="45"/>
      <c r="AK203" s="45"/>
    </row>
    <row r="204" ht="12.0" customHeight="1">
      <c r="A204" s="45"/>
      <c r="B204" s="45"/>
      <c r="C204" s="45"/>
      <c r="D204" s="45"/>
      <c r="E204" s="45"/>
      <c r="F204" s="309"/>
      <c r="G204" s="104"/>
      <c r="H204" s="109"/>
      <c r="I204" s="109"/>
      <c r="J204" s="109"/>
      <c r="K204" s="109"/>
      <c r="L204" s="109"/>
      <c r="M204" s="109"/>
      <c r="N204" s="109"/>
      <c r="O204" s="109"/>
      <c r="P204" s="109"/>
      <c r="Q204" s="109"/>
      <c r="R204" s="109"/>
      <c r="S204" s="328"/>
      <c r="T204" s="45"/>
      <c r="U204" s="45"/>
      <c r="V204" s="45"/>
      <c r="W204" s="45"/>
      <c r="X204" s="45"/>
      <c r="Y204" s="45"/>
      <c r="Z204" s="45"/>
      <c r="AA204" s="45"/>
      <c r="AB204" s="45"/>
      <c r="AC204" s="45"/>
      <c r="AD204" s="45"/>
      <c r="AE204" s="45"/>
      <c r="AF204" s="45"/>
      <c r="AG204" s="45"/>
      <c r="AH204" s="45"/>
      <c r="AI204" s="45"/>
      <c r="AJ204" s="45"/>
      <c r="AK204" s="45"/>
    </row>
    <row r="205" ht="12.0" customHeight="1">
      <c r="A205" s="45"/>
      <c r="B205" s="45"/>
      <c r="C205" s="45"/>
      <c r="D205" s="45"/>
      <c r="E205" s="45"/>
      <c r="F205" s="309"/>
      <c r="G205" s="104"/>
      <c r="H205" s="109"/>
      <c r="I205" s="109"/>
      <c r="J205" s="109"/>
      <c r="K205" s="109"/>
      <c r="L205" s="109"/>
      <c r="M205" s="109"/>
      <c r="N205" s="109"/>
      <c r="O205" s="109"/>
      <c r="P205" s="109"/>
      <c r="Q205" s="109"/>
      <c r="R205" s="109"/>
      <c r="S205" s="328"/>
      <c r="T205" s="45"/>
      <c r="U205" s="45"/>
      <c r="V205" s="45"/>
      <c r="W205" s="45"/>
      <c r="X205" s="45"/>
      <c r="Y205" s="45"/>
      <c r="Z205" s="45"/>
      <c r="AA205" s="45"/>
      <c r="AB205" s="45"/>
      <c r="AC205" s="45"/>
      <c r="AD205" s="45"/>
      <c r="AE205" s="45"/>
      <c r="AF205" s="45"/>
      <c r="AG205" s="45"/>
      <c r="AH205" s="45"/>
      <c r="AI205" s="45"/>
      <c r="AJ205" s="45"/>
      <c r="AK205" s="45"/>
    </row>
    <row r="206" ht="12.0" customHeight="1">
      <c r="A206" s="45"/>
      <c r="B206" s="45"/>
      <c r="C206" s="45"/>
      <c r="D206" s="45"/>
      <c r="E206" s="45"/>
      <c r="F206" s="309"/>
      <c r="G206" s="104"/>
      <c r="H206" s="109"/>
      <c r="I206" s="109"/>
      <c r="J206" s="109"/>
      <c r="K206" s="109"/>
      <c r="L206" s="109"/>
      <c r="M206" s="109"/>
      <c r="N206" s="109"/>
      <c r="O206" s="109"/>
      <c r="P206" s="109"/>
      <c r="Q206" s="109"/>
      <c r="R206" s="109"/>
      <c r="S206" s="328"/>
      <c r="T206" s="45"/>
      <c r="U206" s="45"/>
      <c r="V206" s="45"/>
      <c r="W206" s="45"/>
      <c r="X206" s="45"/>
      <c r="Y206" s="45"/>
      <c r="Z206" s="45"/>
      <c r="AA206" s="45"/>
      <c r="AB206" s="45"/>
      <c r="AC206" s="45"/>
      <c r="AD206" s="45"/>
      <c r="AE206" s="45"/>
      <c r="AF206" s="45"/>
      <c r="AG206" s="45"/>
      <c r="AH206" s="45"/>
      <c r="AI206" s="45"/>
      <c r="AJ206" s="45"/>
      <c r="AK206" s="45"/>
    </row>
    <row r="207" ht="12.0" customHeight="1">
      <c r="A207" s="45"/>
      <c r="B207" s="45"/>
      <c r="C207" s="45"/>
      <c r="D207" s="45"/>
      <c r="E207" s="45"/>
      <c r="F207" s="309"/>
      <c r="G207" s="104"/>
      <c r="H207" s="109"/>
      <c r="I207" s="109"/>
      <c r="J207" s="109"/>
      <c r="K207" s="109"/>
      <c r="L207" s="109"/>
      <c r="M207" s="109"/>
      <c r="N207" s="109"/>
      <c r="O207" s="109"/>
      <c r="P207" s="109"/>
      <c r="Q207" s="109"/>
      <c r="R207" s="109"/>
      <c r="S207" s="328"/>
      <c r="T207" s="45"/>
      <c r="U207" s="45"/>
      <c r="V207" s="45"/>
      <c r="W207" s="45"/>
      <c r="X207" s="45"/>
      <c r="Y207" s="45"/>
      <c r="Z207" s="45"/>
      <c r="AA207" s="45"/>
      <c r="AB207" s="45"/>
      <c r="AC207" s="45"/>
      <c r="AD207" s="45"/>
      <c r="AE207" s="45"/>
      <c r="AF207" s="45"/>
      <c r="AG207" s="45"/>
      <c r="AH207" s="45"/>
      <c r="AI207" s="45"/>
      <c r="AJ207" s="45"/>
      <c r="AK207" s="45"/>
    </row>
    <row r="208" ht="12.0" customHeight="1">
      <c r="A208" s="45"/>
      <c r="B208" s="45"/>
      <c r="C208" s="45"/>
      <c r="D208" s="45"/>
      <c r="E208" s="45"/>
      <c r="F208" s="309"/>
      <c r="G208" s="104"/>
      <c r="H208" s="109"/>
      <c r="I208" s="109"/>
      <c r="J208" s="109"/>
      <c r="K208" s="109"/>
      <c r="L208" s="109"/>
      <c r="M208" s="109"/>
      <c r="N208" s="109"/>
      <c r="O208" s="109"/>
      <c r="P208" s="109"/>
      <c r="Q208" s="109"/>
      <c r="R208" s="109"/>
      <c r="S208" s="328"/>
      <c r="T208" s="45"/>
      <c r="U208" s="45"/>
      <c r="V208" s="45"/>
      <c r="W208" s="45"/>
      <c r="X208" s="45"/>
      <c r="Y208" s="45"/>
      <c r="Z208" s="45"/>
      <c r="AA208" s="45"/>
      <c r="AB208" s="45"/>
      <c r="AC208" s="45"/>
      <c r="AD208" s="45"/>
      <c r="AE208" s="45"/>
      <c r="AF208" s="45"/>
      <c r="AG208" s="45"/>
      <c r="AH208" s="45"/>
      <c r="AI208" s="45"/>
      <c r="AJ208" s="45"/>
      <c r="AK208" s="45"/>
    </row>
    <row r="209" ht="12.0" customHeight="1">
      <c r="A209" s="45"/>
      <c r="B209" s="45"/>
      <c r="C209" s="45"/>
      <c r="D209" s="45"/>
      <c r="E209" s="45"/>
      <c r="F209" s="309"/>
      <c r="G209" s="104"/>
      <c r="H209" s="109"/>
      <c r="I209" s="109"/>
      <c r="J209" s="109"/>
      <c r="K209" s="109"/>
      <c r="L209" s="109"/>
      <c r="M209" s="109"/>
      <c r="N209" s="109"/>
      <c r="O209" s="109"/>
      <c r="P209" s="109"/>
      <c r="Q209" s="109"/>
      <c r="R209" s="109"/>
      <c r="S209" s="328"/>
      <c r="T209" s="45"/>
      <c r="U209" s="45"/>
      <c r="V209" s="45"/>
      <c r="W209" s="45"/>
      <c r="X209" s="45"/>
      <c r="Y209" s="45"/>
      <c r="Z209" s="45"/>
      <c r="AA209" s="45"/>
      <c r="AB209" s="45"/>
      <c r="AC209" s="45"/>
      <c r="AD209" s="45"/>
      <c r="AE209" s="45"/>
      <c r="AF209" s="45"/>
      <c r="AG209" s="45"/>
      <c r="AH209" s="45"/>
      <c r="AI209" s="45"/>
      <c r="AJ209" s="45"/>
      <c r="AK209" s="45"/>
    </row>
    <row r="210" ht="12.0" customHeight="1">
      <c r="A210" s="45"/>
      <c r="B210" s="45"/>
      <c r="C210" s="45"/>
      <c r="D210" s="45"/>
      <c r="E210" s="45"/>
      <c r="F210" s="309"/>
      <c r="G210" s="104"/>
      <c r="H210" s="109"/>
      <c r="I210" s="109"/>
      <c r="J210" s="109"/>
      <c r="K210" s="109"/>
      <c r="L210" s="109"/>
      <c r="M210" s="109"/>
      <c r="N210" s="109"/>
      <c r="O210" s="109"/>
      <c r="P210" s="109"/>
      <c r="Q210" s="109"/>
      <c r="R210" s="109"/>
      <c r="S210" s="328"/>
      <c r="T210" s="45"/>
      <c r="U210" s="45"/>
      <c r="V210" s="45"/>
      <c r="W210" s="45"/>
      <c r="X210" s="45"/>
      <c r="Y210" s="45"/>
      <c r="Z210" s="45"/>
      <c r="AA210" s="45"/>
      <c r="AB210" s="45"/>
      <c r="AC210" s="45"/>
      <c r="AD210" s="45"/>
      <c r="AE210" s="45"/>
      <c r="AF210" s="45"/>
      <c r="AG210" s="45"/>
      <c r="AH210" s="45"/>
      <c r="AI210" s="45"/>
      <c r="AJ210" s="45"/>
      <c r="AK210" s="45"/>
    </row>
    <row r="211" ht="12.0" customHeight="1">
      <c r="A211" s="45"/>
      <c r="B211" s="45"/>
      <c r="C211" s="45"/>
      <c r="D211" s="45"/>
      <c r="E211" s="45"/>
      <c r="F211" s="309"/>
      <c r="G211" s="104"/>
      <c r="H211" s="109"/>
      <c r="I211" s="109"/>
      <c r="J211" s="109"/>
      <c r="K211" s="109"/>
      <c r="L211" s="109"/>
      <c r="M211" s="109"/>
      <c r="N211" s="109"/>
      <c r="O211" s="109"/>
      <c r="P211" s="109"/>
      <c r="Q211" s="109"/>
      <c r="R211" s="109"/>
      <c r="S211" s="328"/>
      <c r="T211" s="45"/>
      <c r="U211" s="45"/>
      <c r="V211" s="45"/>
      <c r="W211" s="45"/>
      <c r="X211" s="45"/>
      <c r="Y211" s="45"/>
      <c r="Z211" s="45"/>
      <c r="AA211" s="45"/>
      <c r="AB211" s="45"/>
      <c r="AC211" s="45"/>
      <c r="AD211" s="45"/>
      <c r="AE211" s="45"/>
      <c r="AF211" s="45"/>
      <c r="AG211" s="45"/>
      <c r="AH211" s="45"/>
      <c r="AI211" s="45"/>
      <c r="AJ211" s="45"/>
      <c r="AK211" s="45"/>
    </row>
    <row r="212" ht="12.0" customHeight="1">
      <c r="A212" s="45"/>
      <c r="B212" s="45"/>
      <c r="C212" s="45"/>
      <c r="D212" s="45"/>
      <c r="E212" s="45"/>
      <c r="F212" s="309"/>
      <c r="G212" s="104"/>
      <c r="H212" s="109"/>
      <c r="I212" s="109"/>
      <c r="J212" s="109"/>
      <c r="K212" s="109"/>
      <c r="L212" s="109"/>
      <c r="M212" s="109"/>
      <c r="N212" s="109"/>
      <c r="O212" s="109"/>
      <c r="P212" s="109"/>
      <c r="Q212" s="109"/>
      <c r="R212" s="109"/>
      <c r="S212" s="328"/>
      <c r="T212" s="45"/>
      <c r="U212" s="45"/>
      <c r="V212" s="45"/>
      <c r="W212" s="45"/>
      <c r="X212" s="45"/>
      <c r="Y212" s="45"/>
      <c r="Z212" s="45"/>
      <c r="AA212" s="45"/>
      <c r="AB212" s="45"/>
      <c r="AC212" s="45"/>
      <c r="AD212" s="45"/>
      <c r="AE212" s="45"/>
      <c r="AF212" s="45"/>
      <c r="AG212" s="45"/>
      <c r="AH212" s="45"/>
      <c r="AI212" s="45"/>
      <c r="AJ212" s="45"/>
      <c r="AK212" s="45"/>
    </row>
    <row r="213" ht="12.0" customHeight="1">
      <c r="A213" s="45"/>
      <c r="B213" s="45"/>
      <c r="C213" s="45"/>
      <c r="D213" s="45"/>
      <c r="E213" s="45"/>
      <c r="F213" s="309"/>
      <c r="G213" s="104"/>
      <c r="H213" s="109"/>
      <c r="I213" s="109"/>
      <c r="J213" s="109"/>
      <c r="K213" s="109"/>
      <c r="L213" s="109"/>
      <c r="M213" s="109"/>
      <c r="N213" s="109"/>
      <c r="O213" s="109"/>
      <c r="P213" s="109"/>
      <c r="Q213" s="109"/>
      <c r="R213" s="109"/>
      <c r="S213" s="328"/>
      <c r="T213" s="45"/>
      <c r="U213" s="45"/>
      <c r="V213" s="45"/>
      <c r="W213" s="45"/>
      <c r="X213" s="45"/>
      <c r="Y213" s="45"/>
      <c r="Z213" s="45"/>
      <c r="AA213" s="45"/>
      <c r="AB213" s="45"/>
      <c r="AC213" s="45"/>
      <c r="AD213" s="45"/>
      <c r="AE213" s="45"/>
      <c r="AF213" s="45"/>
      <c r="AG213" s="45"/>
      <c r="AH213" s="45"/>
      <c r="AI213" s="45"/>
      <c r="AJ213" s="45"/>
      <c r="AK213" s="45"/>
    </row>
    <row r="214" ht="12.0" customHeight="1">
      <c r="A214" s="45"/>
      <c r="B214" s="45"/>
      <c r="C214" s="45"/>
      <c r="D214" s="45"/>
      <c r="E214" s="45"/>
      <c r="F214" s="309"/>
      <c r="G214" s="104"/>
      <c r="H214" s="109"/>
      <c r="I214" s="109"/>
      <c r="J214" s="109"/>
      <c r="K214" s="109"/>
      <c r="L214" s="109"/>
      <c r="M214" s="109"/>
      <c r="N214" s="109"/>
      <c r="O214" s="109"/>
      <c r="P214" s="109"/>
      <c r="Q214" s="109"/>
      <c r="R214" s="109"/>
      <c r="S214" s="328"/>
      <c r="T214" s="45"/>
      <c r="U214" s="45"/>
      <c r="V214" s="45"/>
      <c r="W214" s="45"/>
      <c r="X214" s="45"/>
      <c r="Y214" s="45"/>
      <c r="Z214" s="45"/>
      <c r="AA214" s="45"/>
      <c r="AB214" s="45"/>
      <c r="AC214" s="45"/>
      <c r="AD214" s="45"/>
      <c r="AE214" s="45"/>
      <c r="AF214" s="45"/>
      <c r="AG214" s="45"/>
      <c r="AH214" s="45"/>
      <c r="AI214" s="45"/>
      <c r="AJ214" s="45"/>
      <c r="AK214" s="45"/>
    </row>
    <row r="215" ht="12.0" customHeight="1">
      <c r="A215" s="45"/>
      <c r="B215" s="45"/>
      <c r="C215" s="45"/>
      <c r="D215" s="45"/>
      <c r="E215" s="45"/>
      <c r="F215" s="309"/>
      <c r="G215" s="104"/>
      <c r="H215" s="109"/>
      <c r="I215" s="109"/>
      <c r="J215" s="109"/>
      <c r="K215" s="109"/>
      <c r="L215" s="109"/>
      <c r="M215" s="109"/>
      <c r="N215" s="109"/>
      <c r="O215" s="109"/>
      <c r="P215" s="109"/>
      <c r="Q215" s="109"/>
      <c r="R215" s="109"/>
      <c r="S215" s="328"/>
      <c r="T215" s="45"/>
      <c r="U215" s="45"/>
      <c r="V215" s="45"/>
      <c r="W215" s="45"/>
      <c r="X215" s="45"/>
      <c r="Y215" s="45"/>
      <c r="Z215" s="45"/>
      <c r="AA215" s="45"/>
      <c r="AB215" s="45"/>
      <c r="AC215" s="45"/>
      <c r="AD215" s="45"/>
      <c r="AE215" s="45"/>
      <c r="AF215" s="45"/>
      <c r="AG215" s="45"/>
      <c r="AH215" s="45"/>
      <c r="AI215" s="45"/>
      <c r="AJ215" s="45"/>
      <c r="AK215" s="45"/>
    </row>
    <row r="216" ht="12.0" customHeight="1">
      <c r="A216" s="45"/>
      <c r="B216" s="45"/>
      <c r="C216" s="45"/>
      <c r="D216" s="45"/>
      <c r="E216" s="45"/>
      <c r="F216" s="309"/>
      <c r="G216" s="104"/>
      <c r="H216" s="109"/>
      <c r="I216" s="109"/>
      <c r="J216" s="109"/>
      <c r="K216" s="109"/>
      <c r="L216" s="109"/>
      <c r="M216" s="109"/>
      <c r="N216" s="109"/>
      <c r="O216" s="109"/>
      <c r="P216" s="109"/>
      <c r="Q216" s="109"/>
      <c r="R216" s="109"/>
      <c r="S216" s="328"/>
      <c r="T216" s="45"/>
      <c r="U216" s="45"/>
      <c r="V216" s="45"/>
      <c r="W216" s="45"/>
      <c r="X216" s="45"/>
      <c r="Y216" s="45"/>
      <c r="Z216" s="45"/>
      <c r="AA216" s="45"/>
      <c r="AB216" s="45"/>
      <c r="AC216" s="45"/>
      <c r="AD216" s="45"/>
      <c r="AE216" s="45"/>
      <c r="AF216" s="45"/>
      <c r="AG216" s="45"/>
      <c r="AH216" s="45"/>
      <c r="AI216" s="45"/>
      <c r="AJ216" s="45"/>
      <c r="AK216" s="45"/>
    </row>
    <row r="217" ht="12.0" customHeight="1">
      <c r="A217" s="45"/>
      <c r="B217" s="45"/>
      <c r="C217" s="45"/>
      <c r="D217" s="45"/>
      <c r="E217" s="45"/>
      <c r="F217" s="309"/>
      <c r="G217" s="104"/>
      <c r="H217" s="109"/>
      <c r="I217" s="109"/>
      <c r="J217" s="109"/>
      <c r="K217" s="109"/>
      <c r="L217" s="109"/>
      <c r="M217" s="109"/>
      <c r="N217" s="109"/>
      <c r="O217" s="109"/>
      <c r="P217" s="109"/>
      <c r="Q217" s="109"/>
      <c r="R217" s="109"/>
      <c r="S217" s="328"/>
      <c r="T217" s="45"/>
      <c r="U217" s="45"/>
      <c r="V217" s="45"/>
      <c r="W217" s="45"/>
      <c r="X217" s="45"/>
      <c r="Y217" s="45"/>
      <c r="Z217" s="45"/>
      <c r="AA217" s="45"/>
      <c r="AB217" s="45"/>
      <c r="AC217" s="45"/>
      <c r="AD217" s="45"/>
      <c r="AE217" s="45"/>
      <c r="AF217" s="45"/>
      <c r="AG217" s="45"/>
      <c r="AH217" s="45"/>
      <c r="AI217" s="45"/>
      <c r="AJ217" s="45"/>
      <c r="AK217" s="45"/>
    </row>
    <row r="218" ht="12.0" customHeight="1">
      <c r="A218" s="45"/>
      <c r="B218" s="45"/>
      <c r="C218" s="45"/>
      <c r="D218" s="45"/>
      <c r="E218" s="45"/>
      <c r="F218" s="309"/>
      <c r="G218" s="104"/>
      <c r="H218" s="109"/>
      <c r="I218" s="109"/>
      <c r="J218" s="109"/>
      <c r="K218" s="109"/>
      <c r="L218" s="109"/>
      <c r="M218" s="109"/>
      <c r="N218" s="109"/>
      <c r="O218" s="109"/>
      <c r="P218" s="109"/>
      <c r="Q218" s="109"/>
      <c r="R218" s="109"/>
      <c r="S218" s="328"/>
      <c r="T218" s="45"/>
      <c r="U218" s="45"/>
      <c r="V218" s="45"/>
      <c r="W218" s="45"/>
      <c r="X218" s="45"/>
      <c r="Y218" s="45"/>
      <c r="Z218" s="45"/>
      <c r="AA218" s="45"/>
      <c r="AB218" s="45"/>
      <c r="AC218" s="45"/>
      <c r="AD218" s="45"/>
      <c r="AE218" s="45"/>
      <c r="AF218" s="45"/>
      <c r="AG218" s="45"/>
      <c r="AH218" s="45"/>
      <c r="AI218" s="45"/>
      <c r="AJ218" s="45"/>
      <c r="AK218" s="45"/>
    </row>
    <row r="219" ht="12.0" customHeight="1">
      <c r="A219" s="45"/>
      <c r="B219" s="45"/>
      <c r="C219" s="45"/>
      <c r="D219" s="45"/>
      <c r="E219" s="45"/>
      <c r="F219" s="309"/>
      <c r="G219" s="104"/>
      <c r="H219" s="109"/>
      <c r="I219" s="109"/>
      <c r="J219" s="109"/>
      <c r="K219" s="109"/>
      <c r="L219" s="109"/>
      <c r="M219" s="109"/>
      <c r="N219" s="109"/>
      <c r="O219" s="109"/>
      <c r="P219" s="109"/>
      <c r="Q219" s="109"/>
      <c r="R219" s="109"/>
      <c r="S219" s="328"/>
      <c r="T219" s="45"/>
      <c r="U219" s="45"/>
      <c r="V219" s="45"/>
      <c r="W219" s="45"/>
      <c r="X219" s="45"/>
      <c r="Y219" s="45"/>
      <c r="Z219" s="45"/>
      <c r="AA219" s="45"/>
      <c r="AB219" s="45"/>
      <c r="AC219" s="45"/>
      <c r="AD219" s="45"/>
      <c r="AE219" s="45"/>
      <c r="AF219" s="45"/>
      <c r="AG219" s="45"/>
      <c r="AH219" s="45"/>
      <c r="AI219" s="45"/>
      <c r="AJ219" s="45"/>
      <c r="AK219" s="45"/>
    </row>
    <row r="220" ht="12.0" customHeight="1">
      <c r="A220" s="45"/>
      <c r="B220" s="45"/>
      <c r="C220" s="45"/>
      <c r="D220" s="45"/>
      <c r="E220" s="45"/>
      <c r="F220" s="309"/>
      <c r="G220" s="104"/>
      <c r="H220" s="109"/>
      <c r="I220" s="109"/>
      <c r="J220" s="109"/>
      <c r="K220" s="109"/>
      <c r="L220" s="109"/>
      <c r="M220" s="109"/>
      <c r="N220" s="109"/>
      <c r="O220" s="109"/>
      <c r="P220" s="109"/>
      <c r="Q220" s="109"/>
      <c r="R220" s="109"/>
      <c r="S220" s="328"/>
      <c r="T220" s="45"/>
      <c r="U220" s="45"/>
      <c r="V220" s="45"/>
      <c r="W220" s="45"/>
      <c r="X220" s="45"/>
      <c r="Y220" s="45"/>
      <c r="Z220" s="45"/>
      <c r="AA220" s="45"/>
      <c r="AB220" s="45"/>
      <c r="AC220" s="45"/>
      <c r="AD220" s="45"/>
      <c r="AE220" s="45"/>
      <c r="AF220" s="45"/>
      <c r="AG220" s="45"/>
      <c r="AH220" s="45"/>
      <c r="AI220" s="45"/>
      <c r="AJ220" s="45"/>
      <c r="AK220" s="45"/>
    </row>
    <row r="221" ht="12.0" customHeight="1">
      <c r="A221" s="45"/>
      <c r="B221" s="45"/>
      <c r="C221" s="45"/>
      <c r="D221" s="45"/>
      <c r="E221" s="45"/>
      <c r="F221" s="309"/>
      <c r="G221" s="104"/>
      <c r="H221" s="109"/>
      <c r="I221" s="109"/>
      <c r="J221" s="109"/>
      <c r="K221" s="109"/>
      <c r="L221" s="109"/>
      <c r="M221" s="109"/>
      <c r="N221" s="109"/>
      <c r="O221" s="109"/>
      <c r="P221" s="109"/>
      <c r="Q221" s="109"/>
      <c r="R221" s="109"/>
      <c r="S221" s="328"/>
      <c r="T221" s="45"/>
      <c r="U221" s="45"/>
      <c r="V221" s="45"/>
      <c r="W221" s="45"/>
      <c r="X221" s="45"/>
      <c r="Y221" s="45"/>
      <c r="Z221" s="45"/>
      <c r="AA221" s="45"/>
      <c r="AB221" s="45"/>
      <c r="AC221" s="45"/>
      <c r="AD221" s="45"/>
      <c r="AE221" s="45"/>
      <c r="AF221" s="45"/>
      <c r="AG221" s="45"/>
      <c r="AH221" s="45"/>
      <c r="AI221" s="45"/>
      <c r="AJ221" s="45"/>
      <c r="AK221" s="45"/>
    </row>
    <row r="222" ht="12.0" customHeight="1">
      <c r="A222" s="45"/>
      <c r="B222" s="45"/>
      <c r="C222" s="45"/>
      <c r="D222" s="45"/>
      <c r="E222" s="45"/>
      <c r="F222" s="309"/>
      <c r="G222" s="104"/>
      <c r="H222" s="109"/>
      <c r="I222" s="109"/>
      <c r="J222" s="109"/>
      <c r="K222" s="109"/>
      <c r="L222" s="109"/>
      <c r="M222" s="109"/>
      <c r="N222" s="109"/>
      <c r="O222" s="109"/>
      <c r="P222" s="109"/>
      <c r="Q222" s="109"/>
      <c r="R222" s="109"/>
      <c r="S222" s="328"/>
      <c r="T222" s="45"/>
      <c r="U222" s="45"/>
      <c r="V222" s="45"/>
      <c r="W222" s="45"/>
      <c r="X222" s="45"/>
      <c r="Y222" s="45"/>
      <c r="Z222" s="45"/>
      <c r="AA222" s="45"/>
      <c r="AB222" s="45"/>
      <c r="AC222" s="45"/>
      <c r="AD222" s="45"/>
      <c r="AE222" s="45"/>
      <c r="AF222" s="45"/>
      <c r="AG222" s="45"/>
      <c r="AH222" s="45"/>
      <c r="AI222" s="45"/>
      <c r="AJ222" s="45"/>
      <c r="AK222" s="45"/>
    </row>
    <row r="223" ht="12.0" customHeight="1">
      <c r="A223" s="45"/>
      <c r="B223" s="45"/>
      <c r="C223" s="45"/>
      <c r="D223" s="45"/>
      <c r="E223" s="45"/>
      <c r="F223" s="309"/>
      <c r="G223" s="104"/>
      <c r="H223" s="109"/>
      <c r="I223" s="109"/>
      <c r="J223" s="109"/>
      <c r="K223" s="109"/>
      <c r="L223" s="109"/>
      <c r="M223" s="109"/>
      <c r="N223" s="109"/>
      <c r="O223" s="109"/>
      <c r="P223" s="109"/>
      <c r="Q223" s="109"/>
      <c r="R223" s="109"/>
      <c r="S223" s="328"/>
      <c r="T223" s="45"/>
      <c r="U223" s="45"/>
      <c r="V223" s="45"/>
      <c r="W223" s="45"/>
      <c r="X223" s="45"/>
      <c r="Y223" s="45"/>
      <c r="Z223" s="45"/>
      <c r="AA223" s="45"/>
      <c r="AB223" s="45"/>
      <c r="AC223" s="45"/>
      <c r="AD223" s="45"/>
      <c r="AE223" s="45"/>
      <c r="AF223" s="45"/>
      <c r="AG223" s="45"/>
      <c r="AH223" s="45"/>
      <c r="AI223" s="45"/>
      <c r="AJ223" s="45"/>
      <c r="AK223" s="45"/>
    </row>
    <row r="224" ht="12.0" customHeight="1">
      <c r="A224" s="45"/>
      <c r="B224" s="45"/>
      <c r="C224" s="45"/>
      <c r="D224" s="45"/>
      <c r="E224" s="45"/>
      <c r="F224" s="309"/>
      <c r="G224" s="104"/>
      <c r="H224" s="109"/>
      <c r="I224" s="109"/>
      <c r="J224" s="109"/>
      <c r="K224" s="109"/>
      <c r="L224" s="109"/>
      <c r="M224" s="109"/>
      <c r="N224" s="109"/>
      <c r="O224" s="109"/>
      <c r="P224" s="109"/>
      <c r="Q224" s="109"/>
      <c r="R224" s="109"/>
      <c r="S224" s="328"/>
      <c r="T224" s="45"/>
      <c r="U224" s="45"/>
      <c r="V224" s="45"/>
      <c r="W224" s="45"/>
      <c r="X224" s="45"/>
      <c r="Y224" s="45"/>
      <c r="Z224" s="45"/>
      <c r="AA224" s="45"/>
      <c r="AB224" s="45"/>
      <c r="AC224" s="45"/>
      <c r="AD224" s="45"/>
      <c r="AE224" s="45"/>
      <c r="AF224" s="45"/>
      <c r="AG224" s="45"/>
      <c r="AH224" s="45"/>
      <c r="AI224" s="45"/>
      <c r="AJ224" s="45"/>
      <c r="AK224" s="45"/>
    </row>
    <row r="225" ht="12.0" customHeight="1">
      <c r="A225" s="45"/>
      <c r="B225" s="45"/>
      <c r="C225" s="45"/>
      <c r="D225" s="45"/>
      <c r="E225" s="45"/>
      <c r="F225" s="309"/>
      <c r="G225" s="104"/>
      <c r="H225" s="109"/>
      <c r="I225" s="109"/>
      <c r="J225" s="109"/>
      <c r="K225" s="109"/>
      <c r="L225" s="109"/>
      <c r="M225" s="109"/>
      <c r="N225" s="109"/>
      <c r="O225" s="109"/>
      <c r="P225" s="109"/>
      <c r="Q225" s="109"/>
      <c r="R225" s="109"/>
      <c r="S225" s="328"/>
      <c r="T225" s="45"/>
      <c r="U225" s="45"/>
      <c r="V225" s="45"/>
      <c r="W225" s="45"/>
      <c r="X225" s="45"/>
      <c r="Y225" s="45"/>
      <c r="Z225" s="45"/>
      <c r="AA225" s="45"/>
      <c r="AB225" s="45"/>
      <c r="AC225" s="45"/>
      <c r="AD225" s="45"/>
      <c r="AE225" s="45"/>
      <c r="AF225" s="45"/>
      <c r="AG225" s="45"/>
      <c r="AH225" s="45"/>
      <c r="AI225" s="45"/>
      <c r="AJ225" s="45"/>
      <c r="AK225" s="45"/>
    </row>
    <row r="226" ht="12.0" customHeight="1">
      <c r="A226" s="45"/>
      <c r="B226" s="45"/>
      <c r="C226" s="45"/>
      <c r="D226" s="45"/>
      <c r="E226" s="45"/>
      <c r="F226" s="309"/>
      <c r="G226" s="104"/>
      <c r="H226" s="109"/>
      <c r="I226" s="109"/>
      <c r="J226" s="109"/>
      <c r="K226" s="109"/>
      <c r="L226" s="109"/>
      <c r="M226" s="109"/>
      <c r="N226" s="109"/>
      <c r="O226" s="109"/>
      <c r="P226" s="109"/>
      <c r="Q226" s="109"/>
      <c r="R226" s="109"/>
      <c r="S226" s="328"/>
      <c r="T226" s="45"/>
      <c r="U226" s="45"/>
      <c r="V226" s="45"/>
      <c r="W226" s="45"/>
      <c r="X226" s="45"/>
      <c r="Y226" s="45"/>
      <c r="Z226" s="45"/>
      <c r="AA226" s="45"/>
      <c r="AB226" s="45"/>
      <c r="AC226" s="45"/>
      <c r="AD226" s="45"/>
      <c r="AE226" s="45"/>
      <c r="AF226" s="45"/>
      <c r="AG226" s="45"/>
      <c r="AH226" s="45"/>
      <c r="AI226" s="45"/>
      <c r="AJ226" s="45"/>
      <c r="AK226" s="45"/>
    </row>
    <row r="227" ht="12.0" customHeight="1">
      <c r="A227" s="45"/>
      <c r="B227" s="45"/>
      <c r="C227" s="45"/>
      <c r="D227" s="45"/>
      <c r="E227" s="45"/>
      <c r="F227" s="309"/>
      <c r="G227" s="104"/>
      <c r="H227" s="109"/>
      <c r="I227" s="109"/>
      <c r="J227" s="109"/>
      <c r="K227" s="109"/>
      <c r="L227" s="109"/>
      <c r="M227" s="109"/>
      <c r="N227" s="109"/>
      <c r="O227" s="109"/>
      <c r="P227" s="109"/>
      <c r="Q227" s="109"/>
      <c r="R227" s="109"/>
      <c r="S227" s="328"/>
      <c r="T227" s="45"/>
      <c r="U227" s="45"/>
      <c r="V227" s="45"/>
      <c r="W227" s="45"/>
      <c r="X227" s="45"/>
      <c r="Y227" s="45"/>
      <c r="Z227" s="45"/>
      <c r="AA227" s="45"/>
      <c r="AB227" s="45"/>
      <c r="AC227" s="45"/>
      <c r="AD227" s="45"/>
      <c r="AE227" s="45"/>
      <c r="AF227" s="45"/>
      <c r="AG227" s="45"/>
      <c r="AH227" s="45"/>
      <c r="AI227" s="45"/>
      <c r="AJ227" s="45"/>
      <c r="AK227" s="45"/>
    </row>
    <row r="228" ht="12.0" customHeight="1">
      <c r="A228" s="45"/>
      <c r="B228" s="45"/>
      <c r="C228" s="45"/>
      <c r="D228" s="45"/>
      <c r="E228" s="45"/>
      <c r="F228" s="309"/>
      <c r="G228" s="104"/>
      <c r="H228" s="109"/>
      <c r="I228" s="109"/>
      <c r="J228" s="109"/>
      <c r="K228" s="109"/>
      <c r="L228" s="109"/>
      <c r="M228" s="109"/>
      <c r="N228" s="109"/>
      <c r="O228" s="109"/>
      <c r="P228" s="109"/>
      <c r="Q228" s="109"/>
      <c r="R228" s="109"/>
      <c r="S228" s="328"/>
      <c r="T228" s="45"/>
      <c r="U228" s="45"/>
      <c r="V228" s="45"/>
      <c r="W228" s="45"/>
      <c r="X228" s="45"/>
      <c r="Y228" s="45"/>
      <c r="Z228" s="45"/>
      <c r="AA228" s="45"/>
      <c r="AB228" s="45"/>
      <c r="AC228" s="45"/>
      <c r="AD228" s="45"/>
      <c r="AE228" s="45"/>
      <c r="AF228" s="45"/>
      <c r="AG228" s="45"/>
      <c r="AH228" s="45"/>
      <c r="AI228" s="45"/>
      <c r="AJ228" s="45"/>
      <c r="AK228" s="45"/>
    </row>
    <row r="229" ht="12.0" customHeight="1">
      <c r="A229" s="45"/>
      <c r="B229" s="45"/>
      <c r="C229" s="45"/>
      <c r="D229" s="45"/>
      <c r="E229" s="45"/>
      <c r="F229" s="309"/>
      <c r="G229" s="104"/>
      <c r="H229" s="109"/>
      <c r="I229" s="109"/>
      <c r="J229" s="109"/>
      <c r="K229" s="109"/>
      <c r="L229" s="109"/>
      <c r="M229" s="109"/>
      <c r="N229" s="109"/>
      <c r="O229" s="109"/>
      <c r="P229" s="109"/>
      <c r="Q229" s="109"/>
      <c r="R229" s="109"/>
      <c r="S229" s="328"/>
      <c r="T229" s="45"/>
      <c r="U229" s="45"/>
      <c r="V229" s="45"/>
      <c r="W229" s="45"/>
      <c r="X229" s="45"/>
      <c r="Y229" s="45"/>
      <c r="Z229" s="45"/>
      <c r="AA229" s="45"/>
      <c r="AB229" s="45"/>
      <c r="AC229" s="45"/>
      <c r="AD229" s="45"/>
      <c r="AE229" s="45"/>
      <c r="AF229" s="45"/>
      <c r="AG229" s="45"/>
      <c r="AH229" s="45"/>
      <c r="AI229" s="45"/>
      <c r="AJ229" s="45"/>
      <c r="AK229" s="45"/>
    </row>
    <row r="230" ht="12.0" customHeight="1">
      <c r="A230" s="45"/>
      <c r="B230" s="45"/>
      <c r="C230" s="45"/>
      <c r="D230" s="45"/>
      <c r="E230" s="45"/>
      <c r="F230" s="309"/>
      <c r="G230" s="104"/>
      <c r="H230" s="109"/>
      <c r="I230" s="109"/>
      <c r="J230" s="109"/>
      <c r="K230" s="109"/>
      <c r="L230" s="109"/>
      <c r="M230" s="109"/>
      <c r="N230" s="109"/>
      <c r="O230" s="109"/>
      <c r="P230" s="109"/>
      <c r="Q230" s="109"/>
      <c r="R230" s="109"/>
      <c r="S230" s="328"/>
      <c r="T230" s="45"/>
      <c r="U230" s="45"/>
      <c r="V230" s="45"/>
      <c r="W230" s="45"/>
      <c r="X230" s="45"/>
      <c r="Y230" s="45"/>
      <c r="Z230" s="45"/>
      <c r="AA230" s="45"/>
      <c r="AB230" s="45"/>
      <c r="AC230" s="45"/>
      <c r="AD230" s="45"/>
      <c r="AE230" s="45"/>
      <c r="AF230" s="45"/>
      <c r="AG230" s="45"/>
      <c r="AH230" s="45"/>
      <c r="AI230" s="45"/>
      <c r="AJ230" s="45"/>
      <c r="AK230" s="45"/>
    </row>
    <row r="231" ht="12.0" customHeight="1">
      <c r="A231" s="45"/>
      <c r="B231" s="45"/>
      <c r="C231" s="45"/>
      <c r="D231" s="45"/>
      <c r="E231" s="45"/>
      <c r="F231" s="309"/>
      <c r="G231" s="104"/>
      <c r="H231" s="109"/>
      <c r="I231" s="109"/>
      <c r="J231" s="109"/>
      <c r="K231" s="109"/>
      <c r="L231" s="109"/>
      <c r="M231" s="109"/>
      <c r="N231" s="109"/>
      <c r="O231" s="109"/>
      <c r="P231" s="109"/>
      <c r="Q231" s="109"/>
      <c r="R231" s="109"/>
      <c r="S231" s="328"/>
      <c r="T231" s="45"/>
      <c r="U231" s="45"/>
      <c r="V231" s="45"/>
      <c r="W231" s="45"/>
      <c r="X231" s="45"/>
      <c r="Y231" s="45"/>
      <c r="Z231" s="45"/>
      <c r="AA231" s="45"/>
      <c r="AB231" s="45"/>
      <c r="AC231" s="45"/>
      <c r="AD231" s="45"/>
      <c r="AE231" s="45"/>
      <c r="AF231" s="45"/>
      <c r="AG231" s="45"/>
      <c r="AH231" s="45"/>
      <c r="AI231" s="45"/>
      <c r="AJ231" s="45"/>
      <c r="AK231" s="45"/>
    </row>
    <row r="232" ht="12.0" customHeight="1">
      <c r="A232" s="45"/>
      <c r="B232" s="45"/>
      <c r="C232" s="45"/>
      <c r="D232" s="45"/>
      <c r="E232" s="45"/>
      <c r="F232" s="309"/>
      <c r="G232" s="104"/>
      <c r="H232" s="109"/>
      <c r="I232" s="109"/>
      <c r="J232" s="109"/>
      <c r="K232" s="109"/>
      <c r="L232" s="109"/>
      <c r="M232" s="109"/>
      <c r="N232" s="109"/>
      <c r="O232" s="109"/>
      <c r="P232" s="109"/>
      <c r="Q232" s="109"/>
      <c r="R232" s="109"/>
      <c r="S232" s="328"/>
      <c r="T232" s="45"/>
      <c r="U232" s="45"/>
      <c r="V232" s="45"/>
      <c r="W232" s="45"/>
      <c r="X232" s="45"/>
      <c r="Y232" s="45"/>
      <c r="Z232" s="45"/>
      <c r="AA232" s="45"/>
      <c r="AB232" s="45"/>
      <c r="AC232" s="45"/>
      <c r="AD232" s="45"/>
      <c r="AE232" s="45"/>
      <c r="AF232" s="45"/>
      <c r="AG232" s="45"/>
      <c r="AH232" s="45"/>
      <c r="AI232" s="45"/>
      <c r="AJ232" s="45"/>
      <c r="AK232" s="45"/>
    </row>
    <row r="233" ht="12.0" customHeight="1">
      <c r="A233" s="45"/>
      <c r="B233" s="45"/>
      <c r="C233" s="45"/>
      <c r="D233" s="45"/>
      <c r="E233" s="45"/>
      <c r="F233" s="309"/>
      <c r="G233" s="104"/>
      <c r="H233" s="109"/>
      <c r="I233" s="109"/>
      <c r="J233" s="109"/>
      <c r="K233" s="109"/>
      <c r="L233" s="109"/>
      <c r="M233" s="109"/>
      <c r="N233" s="109"/>
      <c r="O233" s="109"/>
      <c r="P233" s="109"/>
      <c r="Q233" s="109"/>
      <c r="R233" s="109"/>
      <c r="S233" s="328"/>
      <c r="T233" s="45"/>
      <c r="U233" s="45"/>
      <c r="V233" s="45"/>
      <c r="W233" s="45"/>
      <c r="X233" s="45"/>
      <c r="Y233" s="45"/>
      <c r="Z233" s="45"/>
      <c r="AA233" s="45"/>
      <c r="AB233" s="45"/>
      <c r="AC233" s="45"/>
      <c r="AD233" s="45"/>
      <c r="AE233" s="45"/>
      <c r="AF233" s="45"/>
      <c r="AG233" s="45"/>
      <c r="AH233" s="45"/>
      <c r="AI233" s="45"/>
      <c r="AJ233" s="45"/>
      <c r="AK233" s="45"/>
    </row>
    <row r="234" ht="12.0" customHeight="1">
      <c r="A234" s="45"/>
      <c r="B234" s="45"/>
      <c r="C234" s="45"/>
      <c r="D234" s="45"/>
      <c r="E234" s="45"/>
      <c r="F234" s="309"/>
      <c r="G234" s="104"/>
      <c r="H234" s="109"/>
      <c r="I234" s="109"/>
      <c r="J234" s="109"/>
      <c r="K234" s="109"/>
      <c r="L234" s="109"/>
      <c r="M234" s="109"/>
      <c r="N234" s="109"/>
      <c r="O234" s="109"/>
      <c r="P234" s="109"/>
      <c r="Q234" s="109"/>
      <c r="R234" s="109"/>
      <c r="S234" s="328"/>
      <c r="T234" s="45"/>
      <c r="U234" s="45"/>
      <c r="V234" s="45"/>
      <c r="W234" s="45"/>
      <c r="X234" s="45"/>
      <c r="Y234" s="45"/>
      <c r="Z234" s="45"/>
      <c r="AA234" s="45"/>
      <c r="AB234" s="45"/>
      <c r="AC234" s="45"/>
      <c r="AD234" s="45"/>
      <c r="AE234" s="45"/>
      <c r="AF234" s="45"/>
      <c r="AG234" s="45"/>
      <c r="AH234" s="45"/>
      <c r="AI234" s="45"/>
      <c r="AJ234" s="45"/>
      <c r="AK234" s="45"/>
    </row>
    <row r="235" ht="12.0" customHeight="1">
      <c r="A235" s="45"/>
      <c r="B235" s="45"/>
      <c r="C235" s="45"/>
      <c r="D235" s="45"/>
      <c r="E235" s="45"/>
      <c r="F235" s="309"/>
      <c r="G235" s="104"/>
      <c r="H235" s="109"/>
      <c r="I235" s="109"/>
      <c r="J235" s="109"/>
      <c r="K235" s="109"/>
      <c r="L235" s="109"/>
      <c r="M235" s="109"/>
      <c r="N235" s="109"/>
      <c r="O235" s="109"/>
      <c r="P235" s="109"/>
      <c r="Q235" s="109"/>
      <c r="R235" s="109"/>
      <c r="S235" s="328"/>
      <c r="T235" s="45"/>
      <c r="U235" s="45"/>
      <c r="V235" s="45"/>
      <c r="W235" s="45"/>
      <c r="X235" s="45"/>
      <c r="Y235" s="45"/>
      <c r="Z235" s="45"/>
      <c r="AA235" s="45"/>
      <c r="AB235" s="45"/>
      <c r="AC235" s="45"/>
      <c r="AD235" s="45"/>
      <c r="AE235" s="45"/>
      <c r="AF235" s="45"/>
      <c r="AG235" s="45"/>
      <c r="AH235" s="45"/>
      <c r="AI235" s="45"/>
      <c r="AJ235" s="45"/>
      <c r="AK235" s="45"/>
    </row>
    <row r="236" ht="12.0" customHeight="1">
      <c r="A236" s="45"/>
      <c r="B236" s="45"/>
      <c r="C236" s="45"/>
      <c r="D236" s="45"/>
      <c r="E236" s="45"/>
      <c r="F236" s="309"/>
      <c r="G236" s="104"/>
      <c r="H236" s="109"/>
      <c r="I236" s="109"/>
      <c r="J236" s="109"/>
      <c r="K236" s="109"/>
      <c r="L236" s="109"/>
      <c r="M236" s="109"/>
      <c r="N236" s="109"/>
      <c r="O236" s="109"/>
      <c r="P236" s="109"/>
      <c r="Q236" s="109"/>
      <c r="R236" s="109"/>
      <c r="S236" s="328"/>
      <c r="T236" s="45"/>
      <c r="U236" s="45"/>
      <c r="V236" s="45"/>
      <c r="W236" s="45"/>
      <c r="X236" s="45"/>
      <c r="Y236" s="45"/>
      <c r="Z236" s="45"/>
      <c r="AA236" s="45"/>
      <c r="AB236" s="45"/>
      <c r="AC236" s="45"/>
      <c r="AD236" s="45"/>
      <c r="AE236" s="45"/>
      <c r="AF236" s="45"/>
      <c r="AG236" s="45"/>
      <c r="AH236" s="45"/>
      <c r="AI236" s="45"/>
      <c r="AJ236" s="45"/>
      <c r="AK236" s="45"/>
    </row>
    <row r="237" ht="12.0" customHeight="1">
      <c r="A237" s="45"/>
      <c r="B237" s="45"/>
      <c r="C237" s="45"/>
      <c r="D237" s="45"/>
      <c r="E237" s="45"/>
      <c r="F237" s="309"/>
      <c r="G237" s="104"/>
      <c r="H237" s="109"/>
      <c r="I237" s="109"/>
      <c r="J237" s="109"/>
      <c r="K237" s="109"/>
      <c r="L237" s="109"/>
      <c r="M237" s="109"/>
      <c r="N237" s="109"/>
      <c r="O237" s="109"/>
      <c r="P237" s="109"/>
      <c r="Q237" s="109"/>
      <c r="R237" s="109"/>
      <c r="S237" s="328"/>
      <c r="T237" s="45"/>
      <c r="U237" s="45"/>
      <c r="V237" s="45"/>
      <c r="W237" s="45"/>
      <c r="X237" s="45"/>
      <c r="Y237" s="45"/>
      <c r="Z237" s="45"/>
      <c r="AA237" s="45"/>
      <c r="AB237" s="45"/>
      <c r="AC237" s="45"/>
      <c r="AD237" s="45"/>
      <c r="AE237" s="45"/>
      <c r="AF237" s="45"/>
      <c r="AG237" s="45"/>
      <c r="AH237" s="45"/>
      <c r="AI237" s="45"/>
      <c r="AJ237" s="45"/>
      <c r="AK237" s="45"/>
    </row>
    <row r="238" ht="12.0" customHeight="1">
      <c r="A238" s="45"/>
      <c r="B238" s="45"/>
      <c r="C238" s="45"/>
      <c r="D238" s="45"/>
      <c r="E238" s="45"/>
      <c r="F238" s="309"/>
      <c r="G238" s="104"/>
      <c r="H238" s="109"/>
      <c r="I238" s="109"/>
      <c r="J238" s="109"/>
      <c r="K238" s="109"/>
      <c r="L238" s="109"/>
      <c r="M238" s="109"/>
      <c r="N238" s="109"/>
      <c r="O238" s="109"/>
      <c r="P238" s="109"/>
      <c r="Q238" s="109"/>
      <c r="R238" s="109"/>
      <c r="S238" s="328"/>
      <c r="T238" s="45"/>
      <c r="U238" s="45"/>
      <c r="V238" s="45"/>
      <c r="W238" s="45"/>
      <c r="X238" s="45"/>
      <c r="Y238" s="45"/>
      <c r="Z238" s="45"/>
      <c r="AA238" s="45"/>
      <c r="AB238" s="45"/>
      <c r="AC238" s="45"/>
      <c r="AD238" s="45"/>
      <c r="AE238" s="45"/>
      <c r="AF238" s="45"/>
      <c r="AG238" s="45"/>
      <c r="AH238" s="45"/>
      <c r="AI238" s="45"/>
      <c r="AJ238" s="45"/>
      <c r="AK238" s="45"/>
    </row>
    <row r="239" ht="12.0" customHeight="1">
      <c r="A239" s="45"/>
      <c r="B239" s="45"/>
      <c r="C239" s="45"/>
      <c r="D239" s="45"/>
      <c r="E239" s="45"/>
      <c r="F239" s="309"/>
      <c r="G239" s="104"/>
      <c r="H239" s="109"/>
      <c r="I239" s="109"/>
      <c r="J239" s="109"/>
      <c r="K239" s="109"/>
      <c r="L239" s="109"/>
      <c r="M239" s="109"/>
      <c r="N239" s="109"/>
      <c r="O239" s="109"/>
      <c r="P239" s="109"/>
      <c r="Q239" s="109"/>
      <c r="R239" s="109"/>
      <c r="S239" s="328"/>
      <c r="T239" s="45"/>
      <c r="U239" s="45"/>
      <c r="V239" s="45"/>
      <c r="W239" s="45"/>
      <c r="X239" s="45"/>
      <c r="Y239" s="45"/>
      <c r="Z239" s="45"/>
      <c r="AA239" s="45"/>
      <c r="AB239" s="45"/>
      <c r="AC239" s="45"/>
      <c r="AD239" s="45"/>
      <c r="AE239" s="45"/>
      <c r="AF239" s="45"/>
      <c r="AG239" s="45"/>
      <c r="AH239" s="45"/>
      <c r="AI239" s="45"/>
      <c r="AJ239" s="45"/>
      <c r="AK239" s="45"/>
    </row>
    <row r="240" ht="12.0" customHeight="1">
      <c r="A240" s="45"/>
      <c r="B240" s="45"/>
      <c r="C240" s="45"/>
      <c r="D240" s="45"/>
      <c r="E240" s="45"/>
      <c r="F240" s="309"/>
      <c r="G240" s="104"/>
      <c r="H240" s="109"/>
      <c r="I240" s="109"/>
      <c r="J240" s="109"/>
      <c r="K240" s="109"/>
      <c r="L240" s="109"/>
      <c r="M240" s="109"/>
      <c r="N240" s="109"/>
      <c r="O240" s="109"/>
      <c r="P240" s="109"/>
      <c r="Q240" s="109"/>
      <c r="R240" s="109"/>
      <c r="S240" s="328"/>
      <c r="T240" s="45"/>
      <c r="U240" s="45"/>
      <c r="V240" s="45"/>
      <c r="W240" s="45"/>
      <c r="X240" s="45"/>
      <c r="Y240" s="45"/>
      <c r="Z240" s="45"/>
      <c r="AA240" s="45"/>
      <c r="AB240" s="45"/>
      <c r="AC240" s="45"/>
      <c r="AD240" s="45"/>
      <c r="AE240" s="45"/>
      <c r="AF240" s="45"/>
      <c r="AG240" s="45"/>
      <c r="AH240" s="45"/>
      <c r="AI240" s="45"/>
      <c r="AJ240" s="45"/>
      <c r="AK240" s="45"/>
    </row>
    <row r="241" ht="12.0" customHeight="1">
      <c r="A241" s="45"/>
      <c r="B241" s="45"/>
      <c r="C241" s="45"/>
      <c r="D241" s="45"/>
      <c r="E241" s="45"/>
      <c r="F241" s="309"/>
      <c r="G241" s="104"/>
      <c r="H241" s="109"/>
      <c r="I241" s="109"/>
      <c r="J241" s="109"/>
      <c r="K241" s="109"/>
      <c r="L241" s="109"/>
      <c r="M241" s="109"/>
      <c r="N241" s="109"/>
      <c r="O241" s="109"/>
      <c r="P241" s="109"/>
      <c r="Q241" s="109"/>
      <c r="R241" s="109"/>
      <c r="S241" s="328"/>
      <c r="T241" s="45"/>
      <c r="U241" s="45"/>
      <c r="V241" s="45"/>
      <c r="W241" s="45"/>
      <c r="X241" s="45"/>
      <c r="Y241" s="45"/>
      <c r="Z241" s="45"/>
      <c r="AA241" s="45"/>
      <c r="AB241" s="45"/>
      <c r="AC241" s="45"/>
      <c r="AD241" s="45"/>
      <c r="AE241" s="45"/>
      <c r="AF241" s="45"/>
      <c r="AG241" s="45"/>
      <c r="AH241" s="45"/>
      <c r="AI241" s="45"/>
      <c r="AJ241" s="45"/>
      <c r="AK241" s="45"/>
    </row>
    <row r="242" ht="12.0" customHeight="1">
      <c r="A242" s="45"/>
      <c r="B242" s="45"/>
      <c r="C242" s="45"/>
      <c r="D242" s="45"/>
      <c r="E242" s="45"/>
      <c r="F242" s="309"/>
      <c r="G242" s="104"/>
      <c r="H242" s="109"/>
      <c r="I242" s="109"/>
      <c r="J242" s="109"/>
      <c r="K242" s="109"/>
      <c r="L242" s="109"/>
      <c r="M242" s="109"/>
      <c r="N242" s="109"/>
      <c r="O242" s="109"/>
      <c r="P242" s="109"/>
      <c r="Q242" s="109"/>
      <c r="R242" s="109"/>
      <c r="S242" s="328"/>
      <c r="T242" s="45"/>
      <c r="U242" s="45"/>
      <c r="V242" s="45"/>
      <c r="W242" s="45"/>
      <c r="X242" s="45"/>
      <c r="Y242" s="45"/>
      <c r="Z242" s="45"/>
      <c r="AA242" s="45"/>
      <c r="AB242" s="45"/>
      <c r="AC242" s="45"/>
      <c r="AD242" s="45"/>
      <c r="AE242" s="45"/>
      <c r="AF242" s="45"/>
      <c r="AG242" s="45"/>
      <c r="AH242" s="45"/>
      <c r="AI242" s="45"/>
      <c r="AJ242" s="45"/>
      <c r="AK242" s="45"/>
    </row>
    <row r="243" ht="12.0" customHeight="1">
      <c r="A243" s="45"/>
      <c r="B243" s="45"/>
      <c r="C243" s="45"/>
      <c r="D243" s="45"/>
      <c r="E243" s="45"/>
      <c r="F243" s="309"/>
      <c r="G243" s="104"/>
      <c r="H243" s="109"/>
      <c r="I243" s="109"/>
      <c r="J243" s="109"/>
      <c r="K243" s="109"/>
      <c r="L243" s="109"/>
      <c r="M243" s="109"/>
      <c r="N243" s="109"/>
      <c r="O243" s="109"/>
      <c r="P243" s="109"/>
      <c r="Q243" s="109"/>
      <c r="R243" s="109"/>
      <c r="S243" s="328"/>
      <c r="T243" s="45"/>
      <c r="U243" s="45"/>
      <c r="V243" s="45"/>
      <c r="W243" s="45"/>
      <c r="X243" s="45"/>
      <c r="Y243" s="45"/>
      <c r="Z243" s="45"/>
      <c r="AA243" s="45"/>
      <c r="AB243" s="45"/>
      <c r="AC243" s="45"/>
      <c r="AD243" s="45"/>
      <c r="AE243" s="45"/>
      <c r="AF243" s="45"/>
      <c r="AG243" s="45"/>
      <c r="AH243" s="45"/>
      <c r="AI243" s="45"/>
      <c r="AJ243" s="45"/>
      <c r="AK243" s="45"/>
    </row>
    <row r="244" ht="12.0" customHeight="1">
      <c r="A244" s="45"/>
      <c r="B244" s="45"/>
      <c r="C244" s="45"/>
      <c r="D244" s="45"/>
      <c r="E244" s="45"/>
      <c r="F244" s="309"/>
      <c r="G244" s="104"/>
      <c r="H244" s="109"/>
      <c r="I244" s="109"/>
      <c r="J244" s="109"/>
      <c r="K244" s="109"/>
      <c r="L244" s="109"/>
      <c r="M244" s="109"/>
      <c r="N244" s="109"/>
      <c r="O244" s="109"/>
      <c r="P244" s="109"/>
      <c r="Q244" s="109"/>
      <c r="R244" s="109"/>
      <c r="S244" s="328"/>
      <c r="T244" s="45"/>
      <c r="U244" s="45"/>
      <c r="V244" s="45"/>
      <c r="W244" s="45"/>
      <c r="X244" s="45"/>
      <c r="Y244" s="45"/>
      <c r="Z244" s="45"/>
      <c r="AA244" s="45"/>
      <c r="AB244" s="45"/>
      <c r="AC244" s="45"/>
      <c r="AD244" s="45"/>
      <c r="AE244" s="45"/>
      <c r="AF244" s="45"/>
      <c r="AG244" s="45"/>
      <c r="AH244" s="45"/>
      <c r="AI244" s="45"/>
      <c r="AJ244" s="45"/>
      <c r="AK244" s="45"/>
    </row>
    <row r="245" ht="12.0" customHeight="1">
      <c r="A245" s="45"/>
      <c r="B245" s="45"/>
      <c r="C245" s="45"/>
      <c r="D245" s="45"/>
      <c r="E245" s="45"/>
      <c r="F245" s="309"/>
      <c r="G245" s="104"/>
      <c r="H245" s="109"/>
      <c r="I245" s="109"/>
      <c r="J245" s="109"/>
      <c r="K245" s="109"/>
      <c r="L245" s="109"/>
      <c r="M245" s="109"/>
      <c r="N245" s="109"/>
      <c r="O245" s="109"/>
      <c r="P245" s="109"/>
      <c r="Q245" s="109"/>
      <c r="R245" s="109"/>
      <c r="S245" s="328"/>
      <c r="T245" s="45"/>
      <c r="U245" s="45"/>
      <c r="V245" s="45"/>
      <c r="W245" s="45"/>
      <c r="X245" s="45"/>
      <c r="Y245" s="45"/>
      <c r="Z245" s="45"/>
      <c r="AA245" s="45"/>
      <c r="AB245" s="45"/>
      <c r="AC245" s="45"/>
      <c r="AD245" s="45"/>
      <c r="AE245" s="45"/>
      <c r="AF245" s="45"/>
      <c r="AG245" s="45"/>
      <c r="AH245" s="45"/>
      <c r="AI245" s="45"/>
      <c r="AJ245" s="45"/>
      <c r="AK245" s="45"/>
    </row>
    <row r="246" ht="12.0" customHeight="1">
      <c r="A246" s="45"/>
      <c r="B246" s="45"/>
      <c r="C246" s="45"/>
      <c r="D246" s="45"/>
      <c r="E246" s="45"/>
      <c r="F246" s="309"/>
      <c r="G246" s="104"/>
      <c r="H246" s="109"/>
      <c r="I246" s="109"/>
      <c r="J246" s="109"/>
      <c r="K246" s="109"/>
      <c r="L246" s="109"/>
      <c r="M246" s="109"/>
      <c r="N246" s="109"/>
      <c r="O246" s="109"/>
      <c r="P246" s="109"/>
      <c r="Q246" s="109"/>
      <c r="R246" s="109"/>
      <c r="S246" s="328"/>
      <c r="T246" s="45"/>
      <c r="U246" s="45"/>
      <c r="V246" s="45"/>
      <c r="W246" s="45"/>
      <c r="X246" s="45"/>
      <c r="Y246" s="45"/>
      <c r="Z246" s="45"/>
      <c r="AA246" s="45"/>
      <c r="AB246" s="45"/>
      <c r="AC246" s="45"/>
      <c r="AD246" s="45"/>
      <c r="AE246" s="45"/>
      <c r="AF246" s="45"/>
      <c r="AG246" s="45"/>
      <c r="AH246" s="45"/>
      <c r="AI246" s="45"/>
      <c r="AJ246" s="45"/>
      <c r="AK246" s="45"/>
    </row>
    <row r="247" ht="12.0" customHeight="1">
      <c r="A247" s="45"/>
      <c r="B247" s="45"/>
      <c r="C247" s="45"/>
      <c r="D247" s="45"/>
      <c r="E247" s="45"/>
      <c r="F247" s="309"/>
      <c r="G247" s="104"/>
      <c r="H247" s="109"/>
      <c r="I247" s="109"/>
      <c r="J247" s="109"/>
      <c r="K247" s="109"/>
      <c r="L247" s="109"/>
      <c r="M247" s="109"/>
      <c r="N247" s="109"/>
      <c r="O247" s="109"/>
      <c r="P247" s="109"/>
      <c r="Q247" s="109"/>
      <c r="R247" s="109"/>
      <c r="S247" s="328"/>
      <c r="T247" s="45"/>
      <c r="U247" s="45"/>
      <c r="V247" s="45"/>
      <c r="W247" s="45"/>
      <c r="X247" s="45"/>
      <c r="Y247" s="45"/>
      <c r="Z247" s="45"/>
      <c r="AA247" s="45"/>
      <c r="AB247" s="45"/>
      <c r="AC247" s="45"/>
      <c r="AD247" s="45"/>
      <c r="AE247" s="45"/>
      <c r="AF247" s="45"/>
      <c r="AG247" s="45"/>
      <c r="AH247" s="45"/>
      <c r="AI247" s="45"/>
      <c r="AJ247" s="45"/>
      <c r="AK247" s="45"/>
    </row>
    <row r="248" ht="12.0" customHeight="1">
      <c r="A248" s="45"/>
      <c r="B248" s="45"/>
      <c r="C248" s="45"/>
      <c r="D248" s="45"/>
      <c r="E248" s="45"/>
      <c r="F248" s="309"/>
      <c r="G248" s="104"/>
      <c r="H248" s="109"/>
      <c r="I248" s="109"/>
      <c r="J248" s="109"/>
      <c r="K248" s="109"/>
      <c r="L248" s="109"/>
      <c r="M248" s="109"/>
      <c r="N248" s="109"/>
      <c r="O248" s="109"/>
      <c r="P248" s="109"/>
      <c r="Q248" s="109"/>
      <c r="R248" s="109"/>
      <c r="S248" s="328"/>
      <c r="T248" s="45"/>
      <c r="U248" s="45"/>
      <c r="V248" s="45"/>
      <c r="W248" s="45"/>
      <c r="X248" s="45"/>
      <c r="Y248" s="45"/>
      <c r="Z248" s="45"/>
      <c r="AA248" s="45"/>
      <c r="AB248" s="45"/>
      <c r="AC248" s="45"/>
      <c r="AD248" s="45"/>
      <c r="AE248" s="45"/>
      <c r="AF248" s="45"/>
      <c r="AG248" s="45"/>
      <c r="AH248" s="45"/>
      <c r="AI248" s="45"/>
      <c r="AJ248" s="45"/>
      <c r="AK248" s="45"/>
    </row>
    <row r="249" ht="12.0" customHeight="1">
      <c r="A249" s="45"/>
      <c r="B249" s="45"/>
      <c r="C249" s="45"/>
      <c r="D249" s="45"/>
      <c r="E249" s="45"/>
      <c r="F249" s="309"/>
      <c r="G249" s="104"/>
      <c r="H249" s="109"/>
      <c r="I249" s="109"/>
      <c r="J249" s="109"/>
      <c r="K249" s="109"/>
      <c r="L249" s="109"/>
      <c r="M249" s="109"/>
      <c r="N249" s="109"/>
      <c r="O249" s="109"/>
      <c r="P249" s="109"/>
      <c r="Q249" s="109"/>
      <c r="R249" s="109"/>
      <c r="S249" s="328"/>
      <c r="T249" s="45"/>
      <c r="U249" s="45"/>
      <c r="V249" s="45"/>
      <c r="W249" s="45"/>
      <c r="X249" s="45"/>
      <c r="Y249" s="45"/>
      <c r="Z249" s="45"/>
      <c r="AA249" s="45"/>
      <c r="AB249" s="45"/>
      <c r="AC249" s="45"/>
      <c r="AD249" s="45"/>
      <c r="AE249" s="45"/>
      <c r="AF249" s="45"/>
      <c r="AG249" s="45"/>
      <c r="AH249" s="45"/>
      <c r="AI249" s="45"/>
      <c r="AJ249" s="45"/>
      <c r="AK249" s="45"/>
    </row>
    <row r="250" ht="12.0" customHeight="1">
      <c r="A250" s="45"/>
      <c r="B250" s="45"/>
      <c r="C250" s="45"/>
      <c r="D250" s="45"/>
      <c r="E250" s="45"/>
      <c r="F250" s="309"/>
      <c r="G250" s="104"/>
      <c r="H250" s="109"/>
      <c r="I250" s="109"/>
      <c r="J250" s="109"/>
      <c r="K250" s="109"/>
      <c r="L250" s="109"/>
      <c r="M250" s="109"/>
      <c r="N250" s="109"/>
      <c r="O250" s="109"/>
      <c r="P250" s="109"/>
      <c r="Q250" s="109"/>
      <c r="R250" s="109"/>
      <c r="S250" s="328"/>
      <c r="T250" s="45"/>
      <c r="U250" s="45"/>
      <c r="V250" s="45"/>
      <c r="W250" s="45"/>
      <c r="X250" s="45"/>
      <c r="Y250" s="45"/>
      <c r="Z250" s="45"/>
      <c r="AA250" s="45"/>
      <c r="AB250" s="45"/>
      <c r="AC250" s="45"/>
      <c r="AD250" s="45"/>
      <c r="AE250" s="45"/>
      <c r="AF250" s="45"/>
      <c r="AG250" s="45"/>
      <c r="AH250" s="45"/>
      <c r="AI250" s="45"/>
      <c r="AJ250" s="45"/>
      <c r="AK250" s="45"/>
    </row>
    <row r="251" ht="12.0" customHeight="1">
      <c r="A251" s="45"/>
      <c r="B251" s="45"/>
      <c r="C251" s="45"/>
      <c r="D251" s="45"/>
      <c r="E251" s="45"/>
      <c r="F251" s="309"/>
      <c r="G251" s="104"/>
      <c r="H251" s="109"/>
      <c r="I251" s="109"/>
      <c r="J251" s="109"/>
      <c r="K251" s="109"/>
      <c r="L251" s="109"/>
      <c r="M251" s="109"/>
      <c r="N251" s="109"/>
      <c r="O251" s="109"/>
      <c r="P251" s="109"/>
      <c r="Q251" s="109"/>
      <c r="R251" s="109"/>
      <c r="S251" s="328"/>
      <c r="T251" s="45"/>
      <c r="U251" s="45"/>
      <c r="V251" s="45"/>
      <c r="W251" s="45"/>
      <c r="X251" s="45"/>
      <c r="Y251" s="45"/>
      <c r="Z251" s="45"/>
      <c r="AA251" s="45"/>
      <c r="AB251" s="45"/>
      <c r="AC251" s="45"/>
      <c r="AD251" s="45"/>
      <c r="AE251" s="45"/>
      <c r="AF251" s="45"/>
      <c r="AG251" s="45"/>
      <c r="AH251" s="45"/>
      <c r="AI251" s="45"/>
      <c r="AJ251" s="45"/>
      <c r="AK251" s="45"/>
    </row>
    <row r="252" ht="12.0" customHeight="1">
      <c r="A252" s="45"/>
      <c r="B252" s="45"/>
      <c r="C252" s="45"/>
      <c r="D252" s="45"/>
      <c r="E252" s="45"/>
      <c r="F252" s="309"/>
      <c r="G252" s="104"/>
      <c r="H252" s="109"/>
      <c r="I252" s="109"/>
      <c r="J252" s="109"/>
      <c r="K252" s="109"/>
      <c r="L252" s="109"/>
      <c r="M252" s="109"/>
      <c r="N252" s="109"/>
      <c r="O252" s="109"/>
      <c r="P252" s="109"/>
      <c r="Q252" s="109"/>
      <c r="R252" s="109"/>
      <c r="S252" s="328"/>
      <c r="T252" s="45"/>
      <c r="U252" s="45"/>
      <c r="V252" s="45"/>
      <c r="W252" s="45"/>
      <c r="X252" s="45"/>
      <c r="Y252" s="45"/>
      <c r="Z252" s="45"/>
      <c r="AA252" s="45"/>
      <c r="AB252" s="45"/>
      <c r="AC252" s="45"/>
      <c r="AD252" s="45"/>
      <c r="AE252" s="45"/>
      <c r="AF252" s="45"/>
      <c r="AG252" s="45"/>
      <c r="AH252" s="45"/>
      <c r="AI252" s="45"/>
      <c r="AJ252" s="45"/>
      <c r="AK252" s="45"/>
    </row>
    <row r="253" ht="12.0" customHeight="1">
      <c r="A253" s="45"/>
      <c r="B253" s="45"/>
      <c r="C253" s="45"/>
      <c r="D253" s="45"/>
      <c r="E253" s="45"/>
      <c r="F253" s="309"/>
      <c r="G253" s="104"/>
      <c r="H253" s="109"/>
      <c r="I253" s="109"/>
      <c r="J253" s="109"/>
      <c r="K253" s="109"/>
      <c r="L253" s="109"/>
      <c r="M253" s="109"/>
      <c r="N253" s="109"/>
      <c r="O253" s="109"/>
      <c r="P253" s="109"/>
      <c r="Q253" s="109"/>
      <c r="R253" s="109"/>
      <c r="S253" s="328"/>
      <c r="T253" s="45"/>
      <c r="U253" s="45"/>
      <c r="V253" s="45"/>
      <c r="W253" s="45"/>
      <c r="X253" s="45"/>
      <c r="Y253" s="45"/>
      <c r="Z253" s="45"/>
      <c r="AA253" s="45"/>
      <c r="AB253" s="45"/>
      <c r="AC253" s="45"/>
      <c r="AD253" s="45"/>
      <c r="AE253" s="45"/>
      <c r="AF253" s="45"/>
      <c r="AG253" s="45"/>
      <c r="AH253" s="45"/>
      <c r="AI253" s="45"/>
      <c r="AJ253" s="45"/>
      <c r="AK253" s="45"/>
    </row>
    <row r="254" ht="12.0" customHeight="1">
      <c r="A254" s="45"/>
      <c r="B254" s="45"/>
      <c r="C254" s="45"/>
      <c r="D254" s="45"/>
      <c r="E254" s="45"/>
      <c r="F254" s="309"/>
      <c r="G254" s="104"/>
      <c r="H254" s="109"/>
      <c r="I254" s="109"/>
      <c r="J254" s="109"/>
      <c r="K254" s="109"/>
      <c r="L254" s="109"/>
      <c r="M254" s="109"/>
      <c r="N254" s="109"/>
      <c r="O254" s="109"/>
      <c r="P254" s="109"/>
      <c r="Q254" s="109"/>
      <c r="R254" s="109"/>
      <c r="S254" s="328"/>
      <c r="T254" s="45"/>
      <c r="U254" s="45"/>
      <c r="V254" s="45"/>
      <c r="W254" s="45"/>
      <c r="X254" s="45"/>
      <c r="Y254" s="45"/>
      <c r="Z254" s="45"/>
      <c r="AA254" s="45"/>
      <c r="AB254" s="45"/>
      <c r="AC254" s="45"/>
      <c r="AD254" s="45"/>
      <c r="AE254" s="45"/>
      <c r="AF254" s="45"/>
      <c r="AG254" s="45"/>
      <c r="AH254" s="45"/>
      <c r="AI254" s="45"/>
      <c r="AJ254" s="45"/>
      <c r="AK254" s="45"/>
    </row>
    <row r="255" ht="12.0" customHeight="1">
      <c r="A255" s="45"/>
      <c r="B255" s="45"/>
      <c r="C255" s="45"/>
      <c r="D255" s="45"/>
      <c r="E255" s="45"/>
      <c r="F255" s="309"/>
      <c r="G255" s="104"/>
      <c r="H255" s="109"/>
      <c r="I255" s="109"/>
      <c r="J255" s="109"/>
      <c r="K255" s="109"/>
      <c r="L255" s="109"/>
      <c r="M255" s="109"/>
      <c r="N255" s="109"/>
      <c r="O255" s="109"/>
      <c r="P255" s="109"/>
      <c r="Q255" s="109"/>
      <c r="R255" s="109"/>
      <c r="S255" s="328"/>
      <c r="T255" s="45"/>
      <c r="U255" s="45"/>
      <c r="V255" s="45"/>
      <c r="W255" s="45"/>
      <c r="X255" s="45"/>
      <c r="Y255" s="45"/>
      <c r="Z255" s="45"/>
      <c r="AA255" s="45"/>
      <c r="AB255" s="45"/>
      <c r="AC255" s="45"/>
      <c r="AD255" s="45"/>
      <c r="AE255" s="45"/>
      <c r="AF255" s="45"/>
      <c r="AG255" s="45"/>
      <c r="AH255" s="45"/>
      <c r="AI255" s="45"/>
      <c r="AJ255" s="45"/>
      <c r="AK255" s="45"/>
    </row>
    <row r="256" ht="12.0" customHeight="1">
      <c r="A256" s="45"/>
      <c r="B256" s="45"/>
      <c r="C256" s="45"/>
      <c r="D256" s="45"/>
      <c r="E256" s="45"/>
      <c r="F256" s="309"/>
      <c r="G256" s="104"/>
      <c r="H256" s="109"/>
      <c r="I256" s="109"/>
      <c r="J256" s="109"/>
      <c r="K256" s="109"/>
      <c r="L256" s="109"/>
      <c r="M256" s="109"/>
      <c r="N256" s="109"/>
      <c r="O256" s="109"/>
      <c r="P256" s="109"/>
      <c r="Q256" s="109"/>
      <c r="R256" s="109"/>
      <c r="S256" s="328"/>
      <c r="T256" s="45"/>
      <c r="U256" s="45"/>
      <c r="V256" s="45"/>
      <c r="W256" s="45"/>
      <c r="X256" s="45"/>
      <c r="Y256" s="45"/>
      <c r="Z256" s="45"/>
      <c r="AA256" s="45"/>
      <c r="AB256" s="45"/>
      <c r="AC256" s="45"/>
      <c r="AD256" s="45"/>
      <c r="AE256" s="45"/>
      <c r="AF256" s="45"/>
      <c r="AG256" s="45"/>
      <c r="AH256" s="45"/>
      <c r="AI256" s="45"/>
      <c r="AJ256" s="45"/>
      <c r="AK256" s="45"/>
    </row>
    <row r="257" ht="12.0" customHeight="1">
      <c r="A257" s="45"/>
      <c r="B257" s="45"/>
      <c r="C257" s="45"/>
      <c r="D257" s="45"/>
      <c r="E257" s="45"/>
      <c r="F257" s="309"/>
      <c r="G257" s="104"/>
      <c r="H257" s="109"/>
      <c r="I257" s="109"/>
      <c r="J257" s="109"/>
      <c r="K257" s="109"/>
      <c r="L257" s="109"/>
      <c r="M257" s="109"/>
      <c r="N257" s="109"/>
      <c r="O257" s="109"/>
      <c r="P257" s="109"/>
      <c r="Q257" s="109"/>
      <c r="R257" s="109"/>
      <c r="S257" s="328"/>
      <c r="T257" s="45"/>
      <c r="U257" s="45"/>
      <c r="V257" s="45"/>
      <c r="W257" s="45"/>
      <c r="X257" s="45"/>
      <c r="Y257" s="45"/>
      <c r="Z257" s="45"/>
      <c r="AA257" s="45"/>
      <c r="AB257" s="45"/>
      <c r="AC257" s="45"/>
      <c r="AD257" s="45"/>
      <c r="AE257" s="45"/>
      <c r="AF257" s="45"/>
      <c r="AG257" s="45"/>
      <c r="AH257" s="45"/>
      <c r="AI257" s="45"/>
      <c r="AJ257" s="45"/>
      <c r="AK257" s="45"/>
    </row>
    <row r="258" ht="12.0" customHeight="1">
      <c r="A258" s="45"/>
      <c r="B258" s="45"/>
      <c r="C258" s="45"/>
      <c r="D258" s="45"/>
      <c r="E258" s="45"/>
      <c r="F258" s="309"/>
      <c r="G258" s="104"/>
      <c r="H258" s="109"/>
      <c r="I258" s="109"/>
      <c r="J258" s="109"/>
      <c r="K258" s="109"/>
      <c r="L258" s="109"/>
      <c r="M258" s="109"/>
      <c r="N258" s="109"/>
      <c r="O258" s="109"/>
      <c r="P258" s="109"/>
      <c r="Q258" s="109"/>
      <c r="R258" s="109"/>
      <c r="S258" s="328"/>
      <c r="T258" s="45"/>
      <c r="U258" s="45"/>
      <c r="V258" s="45"/>
      <c r="W258" s="45"/>
      <c r="X258" s="45"/>
      <c r="Y258" s="45"/>
      <c r="Z258" s="45"/>
      <c r="AA258" s="45"/>
      <c r="AB258" s="45"/>
      <c r="AC258" s="45"/>
      <c r="AD258" s="45"/>
      <c r="AE258" s="45"/>
      <c r="AF258" s="45"/>
      <c r="AG258" s="45"/>
      <c r="AH258" s="45"/>
      <c r="AI258" s="45"/>
      <c r="AJ258" s="45"/>
      <c r="AK258" s="45"/>
    </row>
    <row r="259" ht="12.0" customHeight="1">
      <c r="A259" s="45"/>
      <c r="B259" s="45"/>
      <c r="C259" s="45"/>
      <c r="D259" s="45"/>
      <c r="E259" s="45"/>
      <c r="F259" s="309"/>
      <c r="G259" s="104"/>
      <c r="H259" s="109"/>
      <c r="I259" s="109"/>
      <c r="J259" s="109"/>
      <c r="K259" s="109"/>
      <c r="L259" s="109"/>
      <c r="M259" s="109"/>
      <c r="N259" s="109"/>
      <c r="O259" s="109"/>
      <c r="P259" s="109"/>
      <c r="Q259" s="109"/>
      <c r="R259" s="109"/>
      <c r="S259" s="328"/>
      <c r="T259" s="45"/>
      <c r="U259" s="45"/>
      <c r="V259" s="45"/>
      <c r="W259" s="45"/>
      <c r="X259" s="45"/>
      <c r="Y259" s="45"/>
      <c r="Z259" s="45"/>
      <c r="AA259" s="45"/>
      <c r="AB259" s="45"/>
      <c r="AC259" s="45"/>
      <c r="AD259" s="45"/>
      <c r="AE259" s="45"/>
      <c r="AF259" s="45"/>
      <c r="AG259" s="45"/>
      <c r="AH259" s="45"/>
      <c r="AI259" s="45"/>
      <c r="AJ259" s="45"/>
      <c r="AK259" s="45"/>
    </row>
    <row r="260" ht="12.0" customHeight="1">
      <c r="A260" s="45"/>
      <c r="B260" s="45"/>
      <c r="C260" s="45"/>
      <c r="D260" s="45"/>
      <c r="E260" s="45"/>
      <c r="F260" s="309"/>
      <c r="G260" s="104"/>
      <c r="H260" s="109"/>
      <c r="I260" s="109"/>
      <c r="J260" s="109"/>
      <c r="K260" s="109"/>
      <c r="L260" s="109"/>
      <c r="M260" s="109"/>
      <c r="N260" s="109"/>
      <c r="O260" s="109"/>
      <c r="P260" s="109"/>
      <c r="Q260" s="109"/>
      <c r="R260" s="109"/>
      <c r="S260" s="328"/>
      <c r="T260" s="45"/>
      <c r="U260" s="45"/>
      <c r="V260" s="45"/>
      <c r="W260" s="45"/>
      <c r="X260" s="45"/>
      <c r="Y260" s="45"/>
      <c r="Z260" s="45"/>
      <c r="AA260" s="45"/>
      <c r="AB260" s="45"/>
      <c r="AC260" s="45"/>
      <c r="AD260" s="45"/>
      <c r="AE260" s="45"/>
      <c r="AF260" s="45"/>
      <c r="AG260" s="45"/>
      <c r="AH260" s="45"/>
      <c r="AI260" s="45"/>
      <c r="AJ260" s="45"/>
      <c r="AK260" s="45"/>
    </row>
    <row r="261" ht="12.0" customHeight="1">
      <c r="A261" s="45"/>
      <c r="B261" s="45"/>
      <c r="C261" s="45"/>
      <c r="D261" s="45"/>
      <c r="E261" s="45"/>
      <c r="F261" s="309"/>
      <c r="G261" s="104"/>
      <c r="H261" s="109"/>
      <c r="I261" s="109"/>
      <c r="J261" s="109"/>
      <c r="K261" s="109"/>
      <c r="L261" s="109"/>
      <c r="M261" s="109"/>
      <c r="N261" s="109"/>
      <c r="O261" s="109"/>
      <c r="P261" s="109"/>
      <c r="Q261" s="109"/>
      <c r="R261" s="109"/>
      <c r="S261" s="328"/>
      <c r="T261" s="45"/>
      <c r="U261" s="45"/>
      <c r="V261" s="45"/>
      <c r="W261" s="45"/>
      <c r="X261" s="45"/>
      <c r="Y261" s="45"/>
      <c r="Z261" s="45"/>
      <c r="AA261" s="45"/>
      <c r="AB261" s="45"/>
      <c r="AC261" s="45"/>
      <c r="AD261" s="45"/>
      <c r="AE261" s="45"/>
      <c r="AF261" s="45"/>
      <c r="AG261" s="45"/>
      <c r="AH261" s="45"/>
      <c r="AI261" s="45"/>
      <c r="AJ261" s="45"/>
      <c r="AK261" s="45"/>
    </row>
    <row r="262" ht="12.0" customHeight="1">
      <c r="A262" s="45"/>
      <c r="B262" s="45"/>
      <c r="C262" s="45"/>
      <c r="D262" s="45"/>
      <c r="E262" s="45"/>
      <c r="F262" s="309"/>
      <c r="G262" s="104"/>
      <c r="H262" s="109"/>
      <c r="I262" s="109"/>
      <c r="J262" s="109"/>
      <c r="K262" s="109"/>
      <c r="L262" s="109"/>
      <c r="M262" s="109"/>
      <c r="N262" s="109"/>
      <c r="O262" s="109"/>
      <c r="P262" s="109"/>
      <c r="Q262" s="109"/>
      <c r="R262" s="109"/>
      <c r="S262" s="328"/>
      <c r="T262" s="45"/>
      <c r="U262" s="45"/>
      <c r="V262" s="45"/>
      <c r="W262" s="45"/>
      <c r="X262" s="45"/>
      <c r="Y262" s="45"/>
      <c r="Z262" s="45"/>
      <c r="AA262" s="45"/>
      <c r="AB262" s="45"/>
      <c r="AC262" s="45"/>
      <c r="AD262" s="45"/>
      <c r="AE262" s="45"/>
      <c r="AF262" s="45"/>
      <c r="AG262" s="45"/>
      <c r="AH262" s="45"/>
      <c r="AI262" s="45"/>
      <c r="AJ262" s="45"/>
      <c r="AK262" s="45"/>
    </row>
    <row r="263" ht="12.0" customHeight="1">
      <c r="A263" s="45"/>
      <c r="B263" s="45"/>
      <c r="C263" s="45"/>
      <c r="D263" s="45"/>
      <c r="E263" s="45"/>
      <c r="F263" s="309"/>
      <c r="G263" s="104"/>
      <c r="H263" s="109"/>
      <c r="I263" s="109"/>
      <c r="J263" s="109"/>
      <c r="K263" s="109"/>
      <c r="L263" s="109"/>
      <c r="M263" s="109"/>
      <c r="N263" s="109"/>
      <c r="O263" s="109"/>
      <c r="P263" s="109"/>
      <c r="Q263" s="109"/>
      <c r="R263" s="109"/>
      <c r="S263" s="328"/>
      <c r="T263" s="45"/>
      <c r="U263" s="45"/>
      <c r="V263" s="45"/>
      <c r="W263" s="45"/>
      <c r="X263" s="45"/>
      <c r="Y263" s="45"/>
      <c r="Z263" s="45"/>
      <c r="AA263" s="45"/>
      <c r="AB263" s="45"/>
      <c r="AC263" s="45"/>
      <c r="AD263" s="45"/>
      <c r="AE263" s="45"/>
      <c r="AF263" s="45"/>
      <c r="AG263" s="45"/>
      <c r="AH263" s="45"/>
      <c r="AI263" s="45"/>
      <c r="AJ263" s="45"/>
      <c r="AK263" s="45"/>
    </row>
    <row r="264" ht="12.0" customHeight="1">
      <c r="A264" s="45"/>
      <c r="B264" s="45"/>
      <c r="C264" s="45"/>
      <c r="D264" s="45"/>
      <c r="E264" s="45"/>
      <c r="F264" s="309"/>
      <c r="G264" s="104"/>
      <c r="H264" s="109"/>
      <c r="I264" s="109"/>
      <c r="J264" s="109"/>
      <c r="K264" s="109"/>
      <c r="L264" s="109"/>
      <c r="M264" s="109"/>
      <c r="N264" s="109"/>
      <c r="O264" s="109"/>
      <c r="P264" s="109"/>
      <c r="Q264" s="109"/>
      <c r="R264" s="109"/>
      <c r="S264" s="328"/>
      <c r="T264" s="45"/>
      <c r="U264" s="45"/>
      <c r="V264" s="45"/>
      <c r="W264" s="45"/>
      <c r="X264" s="45"/>
      <c r="Y264" s="45"/>
      <c r="Z264" s="45"/>
      <c r="AA264" s="45"/>
      <c r="AB264" s="45"/>
      <c r="AC264" s="45"/>
      <c r="AD264" s="45"/>
      <c r="AE264" s="45"/>
      <c r="AF264" s="45"/>
      <c r="AG264" s="45"/>
      <c r="AH264" s="45"/>
      <c r="AI264" s="45"/>
      <c r="AJ264" s="45"/>
      <c r="AK264" s="45"/>
    </row>
    <row r="265" ht="12.0" customHeight="1">
      <c r="A265" s="45"/>
      <c r="B265" s="45"/>
      <c r="C265" s="45"/>
      <c r="D265" s="45"/>
      <c r="E265" s="45"/>
      <c r="F265" s="309"/>
      <c r="G265" s="104"/>
      <c r="H265" s="109"/>
      <c r="I265" s="109"/>
      <c r="J265" s="109"/>
      <c r="K265" s="109"/>
      <c r="L265" s="109"/>
      <c r="M265" s="109"/>
      <c r="N265" s="109"/>
      <c r="O265" s="109"/>
      <c r="P265" s="109"/>
      <c r="Q265" s="109"/>
      <c r="R265" s="109"/>
      <c r="S265" s="328"/>
      <c r="T265" s="45"/>
      <c r="U265" s="45"/>
      <c r="V265" s="45"/>
      <c r="W265" s="45"/>
      <c r="X265" s="45"/>
      <c r="Y265" s="45"/>
      <c r="Z265" s="45"/>
      <c r="AA265" s="45"/>
      <c r="AB265" s="45"/>
      <c r="AC265" s="45"/>
      <c r="AD265" s="45"/>
      <c r="AE265" s="45"/>
      <c r="AF265" s="45"/>
      <c r="AG265" s="45"/>
      <c r="AH265" s="45"/>
      <c r="AI265" s="45"/>
      <c r="AJ265" s="45"/>
      <c r="AK265" s="45"/>
    </row>
    <row r="266" ht="12.0" customHeight="1">
      <c r="A266" s="45"/>
      <c r="B266" s="45"/>
      <c r="C266" s="45"/>
      <c r="D266" s="45"/>
      <c r="E266" s="45"/>
      <c r="F266" s="309"/>
      <c r="G266" s="104"/>
      <c r="H266" s="109"/>
      <c r="I266" s="109"/>
      <c r="J266" s="109"/>
      <c r="K266" s="109"/>
      <c r="L266" s="109"/>
      <c r="M266" s="109"/>
      <c r="N266" s="109"/>
      <c r="O266" s="109"/>
      <c r="P266" s="109"/>
      <c r="Q266" s="109"/>
      <c r="R266" s="109"/>
      <c r="S266" s="328"/>
      <c r="T266" s="45"/>
      <c r="U266" s="45"/>
      <c r="V266" s="45"/>
      <c r="W266" s="45"/>
      <c r="X266" s="45"/>
      <c r="Y266" s="45"/>
      <c r="Z266" s="45"/>
      <c r="AA266" s="45"/>
      <c r="AB266" s="45"/>
      <c r="AC266" s="45"/>
      <c r="AD266" s="45"/>
      <c r="AE266" s="45"/>
      <c r="AF266" s="45"/>
      <c r="AG266" s="45"/>
      <c r="AH266" s="45"/>
      <c r="AI266" s="45"/>
      <c r="AJ266" s="45"/>
      <c r="AK266" s="45"/>
    </row>
    <row r="267" ht="12.0" customHeight="1">
      <c r="A267" s="45"/>
      <c r="B267" s="45"/>
      <c r="C267" s="45"/>
      <c r="D267" s="45"/>
      <c r="E267" s="45"/>
      <c r="F267" s="309"/>
      <c r="G267" s="104"/>
      <c r="H267" s="109"/>
      <c r="I267" s="109"/>
      <c r="J267" s="109"/>
      <c r="K267" s="109"/>
      <c r="L267" s="109"/>
      <c r="M267" s="109"/>
      <c r="N267" s="109"/>
      <c r="O267" s="109"/>
      <c r="P267" s="109"/>
      <c r="Q267" s="109"/>
      <c r="R267" s="109"/>
      <c r="S267" s="328"/>
      <c r="T267" s="45"/>
      <c r="U267" s="45"/>
      <c r="V267" s="45"/>
      <c r="W267" s="45"/>
      <c r="X267" s="45"/>
      <c r="Y267" s="45"/>
      <c r="Z267" s="45"/>
      <c r="AA267" s="45"/>
      <c r="AB267" s="45"/>
      <c r="AC267" s="45"/>
      <c r="AD267" s="45"/>
      <c r="AE267" s="45"/>
      <c r="AF267" s="45"/>
      <c r="AG267" s="45"/>
      <c r="AH267" s="45"/>
      <c r="AI267" s="45"/>
      <c r="AJ267" s="45"/>
      <c r="AK267" s="45"/>
    </row>
    <row r="268" ht="12.0" customHeight="1">
      <c r="A268" s="45"/>
      <c r="B268" s="45"/>
      <c r="C268" s="45"/>
      <c r="D268" s="45"/>
      <c r="E268" s="45"/>
      <c r="F268" s="309"/>
      <c r="G268" s="104"/>
      <c r="H268" s="109"/>
      <c r="I268" s="109"/>
      <c r="J268" s="109"/>
      <c r="K268" s="109"/>
      <c r="L268" s="109"/>
      <c r="M268" s="109"/>
      <c r="N268" s="109"/>
      <c r="O268" s="109"/>
      <c r="P268" s="109"/>
      <c r="Q268" s="109"/>
      <c r="R268" s="109"/>
      <c r="S268" s="328"/>
      <c r="T268" s="45"/>
      <c r="U268" s="45"/>
      <c r="V268" s="45"/>
      <c r="W268" s="45"/>
      <c r="X268" s="45"/>
      <c r="Y268" s="45"/>
      <c r="Z268" s="45"/>
      <c r="AA268" s="45"/>
      <c r="AB268" s="45"/>
      <c r="AC268" s="45"/>
      <c r="AD268" s="45"/>
      <c r="AE268" s="45"/>
      <c r="AF268" s="45"/>
      <c r="AG268" s="45"/>
      <c r="AH268" s="45"/>
      <c r="AI268" s="45"/>
      <c r="AJ268" s="45"/>
      <c r="AK268" s="45"/>
    </row>
    <row r="269" ht="12.0" customHeight="1">
      <c r="A269" s="45"/>
      <c r="B269" s="45"/>
      <c r="C269" s="45"/>
      <c r="D269" s="45"/>
      <c r="E269" s="45"/>
      <c r="F269" s="309"/>
      <c r="G269" s="104"/>
      <c r="H269" s="109"/>
      <c r="I269" s="109"/>
      <c r="J269" s="109"/>
      <c r="K269" s="109"/>
      <c r="L269" s="109"/>
      <c r="M269" s="109"/>
      <c r="N269" s="109"/>
      <c r="O269" s="109"/>
      <c r="P269" s="109"/>
      <c r="Q269" s="109"/>
      <c r="R269" s="109"/>
      <c r="S269" s="328"/>
      <c r="T269" s="45"/>
      <c r="U269" s="45"/>
      <c r="V269" s="45"/>
      <c r="W269" s="45"/>
      <c r="X269" s="45"/>
      <c r="Y269" s="45"/>
      <c r="Z269" s="45"/>
      <c r="AA269" s="45"/>
      <c r="AB269" s="45"/>
      <c r="AC269" s="45"/>
      <c r="AD269" s="45"/>
      <c r="AE269" s="45"/>
      <c r="AF269" s="45"/>
      <c r="AG269" s="45"/>
      <c r="AH269" s="45"/>
      <c r="AI269" s="45"/>
      <c r="AJ269" s="45"/>
      <c r="AK269" s="45"/>
    </row>
    <row r="270" ht="12.0" customHeight="1">
      <c r="A270" s="45"/>
      <c r="B270" s="45"/>
      <c r="C270" s="45"/>
      <c r="D270" s="45"/>
      <c r="E270" s="45"/>
      <c r="F270" s="309"/>
      <c r="G270" s="104"/>
      <c r="H270" s="109"/>
      <c r="I270" s="109"/>
      <c r="J270" s="109"/>
      <c r="K270" s="109"/>
      <c r="L270" s="109"/>
      <c r="M270" s="109"/>
      <c r="N270" s="109"/>
      <c r="O270" s="109"/>
      <c r="P270" s="109"/>
      <c r="Q270" s="109"/>
      <c r="R270" s="109"/>
      <c r="S270" s="328"/>
      <c r="T270" s="45"/>
      <c r="U270" s="45"/>
      <c r="V270" s="45"/>
      <c r="W270" s="45"/>
      <c r="X270" s="45"/>
      <c r="Y270" s="45"/>
      <c r="Z270" s="45"/>
      <c r="AA270" s="45"/>
      <c r="AB270" s="45"/>
      <c r="AC270" s="45"/>
      <c r="AD270" s="45"/>
      <c r="AE270" s="45"/>
      <c r="AF270" s="45"/>
      <c r="AG270" s="45"/>
      <c r="AH270" s="45"/>
      <c r="AI270" s="45"/>
      <c r="AJ270" s="45"/>
      <c r="AK270" s="45"/>
    </row>
    <row r="271" ht="12.0" customHeight="1">
      <c r="A271" s="45"/>
      <c r="B271" s="45"/>
      <c r="C271" s="45"/>
      <c r="D271" s="45"/>
      <c r="E271" s="45"/>
      <c r="F271" s="309"/>
      <c r="G271" s="104"/>
      <c r="H271" s="109"/>
      <c r="I271" s="109"/>
      <c r="J271" s="109"/>
      <c r="K271" s="109"/>
      <c r="L271" s="109"/>
      <c r="M271" s="109"/>
      <c r="N271" s="109"/>
      <c r="O271" s="109"/>
      <c r="P271" s="109"/>
      <c r="Q271" s="109"/>
      <c r="R271" s="109"/>
      <c r="S271" s="328"/>
      <c r="T271" s="45"/>
      <c r="U271" s="45"/>
      <c r="V271" s="45"/>
      <c r="W271" s="45"/>
      <c r="X271" s="45"/>
      <c r="Y271" s="45"/>
      <c r="Z271" s="45"/>
      <c r="AA271" s="45"/>
      <c r="AB271" s="45"/>
      <c r="AC271" s="45"/>
      <c r="AD271" s="45"/>
      <c r="AE271" s="45"/>
      <c r="AF271" s="45"/>
      <c r="AG271" s="45"/>
      <c r="AH271" s="45"/>
      <c r="AI271" s="45"/>
      <c r="AJ271" s="45"/>
      <c r="AK271" s="45"/>
    </row>
    <row r="272" ht="12.0" customHeight="1">
      <c r="A272" s="45"/>
      <c r="B272" s="45"/>
      <c r="C272" s="45"/>
      <c r="D272" s="45"/>
      <c r="E272" s="45"/>
      <c r="F272" s="309"/>
      <c r="G272" s="104"/>
      <c r="H272" s="109"/>
      <c r="I272" s="109"/>
      <c r="J272" s="109"/>
      <c r="K272" s="109"/>
      <c r="L272" s="109"/>
      <c r="M272" s="109"/>
      <c r="N272" s="109"/>
      <c r="O272" s="109"/>
      <c r="P272" s="109"/>
      <c r="Q272" s="109"/>
      <c r="R272" s="109"/>
      <c r="S272" s="328"/>
      <c r="T272" s="45"/>
      <c r="U272" s="45"/>
      <c r="V272" s="45"/>
      <c r="W272" s="45"/>
      <c r="X272" s="45"/>
      <c r="Y272" s="45"/>
      <c r="Z272" s="45"/>
      <c r="AA272" s="45"/>
      <c r="AB272" s="45"/>
      <c r="AC272" s="45"/>
      <c r="AD272" s="45"/>
      <c r="AE272" s="45"/>
      <c r="AF272" s="45"/>
      <c r="AG272" s="45"/>
      <c r="AH272" s="45"/>
      <c r="AI272" s="45"/>
      <c r="AJ272" s="45"/>
      <c r="AK272" s="45"/>
    </row>
    <row r="273" ht="12.0" customHeight="1">
      <c r="A273" s="45"/>
      <c r="B273" s="45"/>
      <c r="C273" s="45"/>
      <c r="D273" s="45"/>
      <c r="E273" s="45"/>
      <c r="F273" s="309"/>
      <c r="G273" s="104"/>
      <c r="H273" s="109"/>
      <c r="I273" s="109"/>
      <c r="J273" s="109"/>
      <c r="K273" s="109"/>
      <c r="L273" s="109"/>
      <c r="M273" s="109"/>
      <c r="N273" s="109"/>
      <c r="O273" s="109"/>
      <c r="P273" s="109"/>
      <c r="Q273" s="109"/>
      <c r="R273" s="109"/>
      <c r="S273" s="328"/>
      <c r="T273" s="45"/>
      <c r="U273" s="45"/>
      <c r="V273" s="45"/>
      <c r="W273" s="45"/>
      <c r="X273" s="45"/>
      <c r="Y273" s="45"/>
      <c r="Z273" s="45"/>
      <c r="AA273" s="45"/>
      <c r="AB273" s="45"/>
      <c r="AC273" s="45"/>
      <c r="AD273" s="45"/>
      <c r="AE273" s="45"/>
      <c r="AF273" s="45"/>
      <c r="AG273" s="45"/>
      <c r="AH273" s="45"/>
      <c r="AI273" s="45"/>
      <c r="AJ273" s="45"/>
      <c r="AK273" s="45"/>
    </row>
    <row r="274" ht="12.0" customHeight="1">
      <c r="A274" s="45"/>
      <c r="B274" s="45"/>
      <c r="C274" s="45"/>
      <c r="D274" s="45"/>
      <c r="E274" s="45"/>
      <c r="F274" s="309"/>
      <c r="G274" s="104"/>
      <c r="H274" s="109"/>
      <c r="I274" s="109"/>
      <c r="J274" s="109"/>
      <c r="K274" s="109"/>
      <c r="L274" s="109"/>
      <c r="M274" s="109"/>
      <c r="N274" s="109"/>
      <c r="O274" s="109"/>
      <c r="P274" s="109"/>
      <c r="Q274" s="109"/>
      <c r="R274" s="109"/>
      <c r="S274" s="328"/>
      <c r="T274" s="45"/>
      <c r="U274" s="45"/>
      <c r="V274" s="45"/>
      <c r="W274" s="45"/>
      <c r="X274" s="45"/>
      <c r="Y274" s="45"/>
      <c r="Z274" s="45"/>
      <c r="AA274" s="45"/>
      <c r="AB274" s="45"/>
      <c r="AC274" s="45"/>
      <c r="AD274" s="45"/>
      <c r="AE274" s="45"/>
      <c r="AF274" s="45"/>
      <c r="AG274" s="45"/>
      <c r="AH274" s="45"/>
      <c r="AI274" s="45"/>
      <c r="AJ274" s="45"/>
      <c r="AK274" s="45"/>
    </row>
    <row r="275" ht="12.0" customHeight="1">
      <c r="A275" s="45"/>
      <c r="B275" s="45"/>
      <c r="C275" s="45"/>
      <c r="D275" s="45"/>
      <c r="E275" s="45"/>
      <c r="F275" s="309"/>
      <c r="G275" s="104"/>
      <c r="H275" s="109"/>
      <c r="I275" s="109"/>
      <c r="J275" s="109"/>
      <c r="K275" s="109"/>
      <c r="L275" s="109"/>
      <c r="M275" s="109"/>
      <c r="N275" s="109"/>
      <c r="O275" s="109"/>
      <c r="P275" s="109"/>
      <c r="Q275" s="109"/>
      <c r="R275" s="109"/>
      <c r="S275" s="328"/>
      <c r="T275" s="45"/>
      <c r="U275" s="45"/>
      <c r="V275" s="45"/>
      <c r="W275" s="45"/>
      <c r="X275" s="45"/>
      <c r="Y275" s="45"/>
      <c r="Z275" s="45"/>
      <c r="AA275" s="45"/>
      <c r="AB275" s="45"/>
      <c r="AC275" s="45"/>
      <c r="AD275" s="45"/>
      <c r="AE275" s="45"/>
      <c r="AF275" s="45"/>
      <c r="AG275" s="45"/>
      <c r="AH275" s="45"/>
      <c r="AI275" s="45"/>
      <c r="AJ275" s="45"/>
      <c r="AK275" s="45"/>
    </row>
    <row r="276" ht="12.0" customHeight="1">
      <c r="A276" s="45"/>
      <c r="B276" s="45"/>
      <c r="C276" s="45"/>
      <c r="D276" s="45"/>
      <c r="E276" s="45"/>
      <c r="F276" s="309"/>
      <c r="G276" s="104"/>
      <c r="H276" s="109"/>
      <c r="I276" s="109"/>
      <c r="J276" s="109"/>
      <c r="K276" s="109"/>
      <c r="L276" s="109"/>
      <c r="M276" s="109"/>
      <c r="N276" s="109"/>
      <c r="O276" s="109"/>
      <c r="P276" s="109"/>
      <c r="Q276" s="109"/>
      <c r="R276" s="109"/>
      <c r="S276" s="328"/>
      <c r="T276" s="45"/>
      <c r="U276" s="45"/>
      <c r="V276" s="45"/>
      <c r="W276" s="45"/>
      <c r="X276" s="45"/>
      <c r="Y276" s="45"/>
      <c r="Z276" s="45"/>
      <c r="AA276" s="45"/>
      <c r="AB276" s="45"/>
      <c r="AC276" s="45"/>
      <c r="AD276" s="45"/>
      <c r="AE276" s="45"/>
      <c r="AF276" s="45"/>
      <c r="AG276" s="45"/>
      <c r="AH276" s="45"/>
      <c r="AI276" s="45"/>
      <c r="AJ276" s="45"/>
      <c r="AK276" s="45"/>
    </row>
    <row r="277" ht="12.0" customHeight="1">
      <c r="A277" s="45"/>
      <c r="B277" s="45"/>
      <c r="C277" s="45"/>
      <c r="D277" s="45"/>
      <c r="E277" s="45"/>
      <c r="F277" s="309"/>
      <c r="G277" s="104"/>
      <c r="H277" s="109"/>
      <c r="I277" s="109"/>
      <c r="J277" s="109"/>
      <c r="K277" s="109"/>
      <c r="L277" s="109"/>
      <c r="M277" s="109"/>
      <c r="N277" s="109"/>
      <c r="O277" s="109"/>
      <c r="P277" s="109"/>
      <c r="Q277" s="109"/>
      <c r="R277" s="109"/>
      <c r="S277" s="328"/>
      <c r="T277" s="45"/>
      <c r="U277" s="45"/>
      <c r="V277" s="45"/>
      <c r="W277" s="45"/>
      <c r="X277" s="45"/>
      <c r="Y277" s="45"/>
      <c r="Z277" s="45"/>
      <c r="AA277" s="45"/>
      <c r="AB277" s="45"/>
      <c r="AC277" s="45"/>
      <c r="AD277" s="45"/>
      <c r="AE277" s="45"/>
      <c r="AF277" s="45"/>
      <c r="AG277" s="45"/>
      <c r="AH277" s="45"/>
      <c r="AI277" s="45"/>
      <c r="AJ277" s="45"/>
      <c r="AK277" s="45"/>
    </row>
    <row r="278" ht="12.0" customHeight="1">
      <c r="A278" s="45"/>
      <c r="B278" s="45"/>
      <c r="C278" s="45"/>
      <c r="D278" s="45"/>
      <c r="E278" s="45"/>
      <c r="F278" s="309"/>
      <c r="G278" s="104"/>
      <c r="H278" s="109"/>
      <c r="I278" s="109"/>
      <c r="J278" s="109"/>
      <c r="K278" s="109"/>
      <c r="L278" s="109"/>
      <c r="M278" s="109"/>
      <c r="N278" s="109"/>
      <c r="O278" s="109"/>
      <c r="P278" s="109"/>
      <c r="Q278" s="109"/>
      <c r="R278" s="109"/>
      <c r="S278" s="328"/>
      <c r="T278" s="45"/>
      <c r="U278" s="45"/>
      <c r="V278" s="45"/>
      <c r="W278" s="45"/>
      <c r="X278" s="45"/>
      <c r="Y278" s="45"/>
      <c r="Z278" s="45"/>
      <c r="AA278" s="45"/>
      <c r="AB278" s="45"/>
      <c r="AC278" s="45"/>
      <c r="AD278" s="45"/>
      <c r="AE278" s="45"/>
      <c r="AF278" s="45"/>
      <c r="AG278" s="45"/>
      <c r="AH278" s="45"/>
      <c r="AI278" s="45"/>
      <c r="AJ278" s="45"/>
      <c r="AK278" s="45"/>
    </row>
    <row r="279" ht="12.0" customHeight="1">
      <c r="A279" s="45"/>
      <c r="B279" s="45"/>
      <c r="C279" s="45"/>
      <c r="D279" s="45"/>
      <c r="E279" s="45"/>
      <c r="F279" s="309"/>
      <c r="G279" s="104"/>
      <c r="H279" s="109"/>
      <c r="I279" s="109"/>
      <c r="J279" s="109"/>
      <c r="K279" s="109"/>
      <c r="L279" s="109"/>
      <c r="M279" s="109"/>
      <c r="N279" s="109"/>
      <c r="O279" s="109"/>
      <c r="P279" s="109"/>
      <c r="Q279" s="109"/>
      <c r="R279" s="109"/>
      <c r="S279" s="328"/>
      <c r="T279" s="45"/>
      <c r="U279" s="45"/>
      <c r="V279" s="45"/>
      <c r="W279" s="45"/>
      <c r="X279" s="45"/>
      <c r="Y279" s="45"/>
      <c r="Z279" s="45"/>
      <c r="AA279" s="45"/>
      <c r="AB279" s="45"/>
      <c r="AC279" s="45"/>
      <c r="AD279" s="45"/>
      <c r="AE279" s="45"/>
      <c r="AF279" s="45"/>
      <c r="AG279" s="45"/>
      <c r="AH279" s="45"/>
      <c r="AI279" s="45"/>
      <c r="AJ279" s="45"/>
      <c r="AK279" s="45"/>
    </row>
    <row r="280" ht="12.0" customHeight="1">
      <c r="A280" s="45"/>
      <c r="B280" s="45"/>
      <c r="C280" s="45"/>
      <c r="D280" s="45"/>
      <c r="E280" s="45"/>
      <c r="F280" s="309"/>
      <c r="G280" s="104"/>
      <c r="H280" s="109"/>
      <c r="I280" s="109"/>
      <c r="J280" s="109"/>
      <c r="K280" s="109"/>
      <c r="L280" s="109"/>
      <c r="M280" s="109"/>
      <c r="N280" s="109"/>
      <c r="O280" s="109"/>
      <c r="P280" s="109"/>
      <c r="Q280" s="109"/>
      <c r="R280" s="109"/>
      <c r="S280" s="328"/>
      <c r="T280" s="45"/>
      <c r="U280" s="45"/>
      <c r="V280" s="45"/>
      <c r="W280" s="45"/>
      <c r="X280" s="45"/>
      <c r="Y280" s="45"/>
      <c r="Z280" s="45"/>
      <c r="AA280" s="45"/>
      <c r="AB280" s="45"/>
      <c r="AC280" s="45"/>
      <c r="AD280" s="45"/>
      <c r="AE280" s="45"/>
      <c r="AF280" s="45"/>
      <c r="AG280" s="45"/>
      <c r="AH280" s="45"/>
      <c r="AI280" s="45"/>
      <c r="AJ280" s="45"/>
      <c r="AK280" s="45"/>
    </row>
    <row r="281" ht="12.0" customHeight="1">
      <c r="A281" s="45"/>
      <c r="B281" s="45"/>
      <c r="C281" s="45"/>
      <c r="D281" s="45"/>
      <c r="E281" s="45"/>
      <c r="F281" s="309"/>
      <c r="G281" s="104"/>
      <c r="H281" s="109"/>
      <c r="I281" s="109"/>
      <c r="J281" s="109"/>
      <c r="K281" s="109"/>
      <c r="L281" s="109"/>
      <c r="M281" s="109"/>
      <c r="N281" s="109"/>
      <c r="O281" s="109"/>
      <c r="P281" s="109"/>
      <c r="Q281" s="109"/>
      <c r="R281" s="109"/>
      <c r="S281" s="328"/>
      <c r="T281" s="45"/>
      <c r="U281" s="45"/>
      <c r="V281" s="45"/>
      <c r="W281" s="45"/>
      <c r="X281" s="45"/>
      <c r="Y281" s="45"/>
      <c r="Z281" s="45"/>
      <c r="AA281" s="45"/>
      <c r="AB281" s="45"/>
      <c r="AC281" s="45"/>
      <c r="AD281" s="45"/>
      <c r="AE281" s="45"/>
      <c r="AF281" s="45"/>
      <c r="AG281" s="45"/>
      <c r="AH281" s="45"/>
      <c r="AI281" s="45"/>
      <c r="AJ281" s="45"/>
      <c r="AK281" s="45"/>
    </row>
    <row r="282" ht="12.0" customHeight="1">
      <c r="A282" s="45"/>
      <c r="B282" s="45"/>
      <c r="C282" s="45"/>
      <c r="D282" s="45"/>
      <c r="E282" s="45"/>
      <c r="F282" s="309"/>
      <c r="G282" s="104"/>
      <c r="H282" s="109"/>
      <c r="I282" s="109"/>
      <c r="J282" s="109"/>
      <c r="K282" s="109"/>
      <c r="L282" s="109"/>
      <c r="M282" s="109"/>
      <c r="N282" s="109"/>
      <c r="O282" s="109"/>
      <c r="P282" s="109"/>
      <c r="Q282" s="109"/>
      <c r="R282" s="109"/>
      <c r="S282" s="328"/>
      <c r="T282" s="45"/>
      <c r="U282" s="45"/>
      <c r="V282" s="45"/>
      <c r="W282" s="45"/>
      <c r="X282" s="45"/>
      <c r="Y282" s="45"/>
      <c r="Z282" s="45"/>
      <c r="AA282" s="45"/>
      <c r="AB282" s="45"/>
      <c r="AC282" s="45"/>
      <c r="AD282" s="45"/>
      <c r="AE282" s="45"/>
      <c r="AF282" s="45"/>
      <c r="AG282" s="45"/>
      <c r="AH282" s="45"/>
      <c r="AI282" s="45"/>
      <c r="AJ282" s="45"/>
      <c r="AK282" s="45"/>
    </row>
    <row r="283" ht="12.0" customHeight="1">
      <c r="A283" s="45"/>
      <c r="B283" s="45"/>
      <c r="C283" s="45"/>
      <c r="D283" s="45"/>
      <c r="E283" s="45"/>
      <c r="F283" s="309"/>
      <c r="G283" s="104"/>
      <c r="H283" s="109"/>
      <c r="I283" s="109"/>
      <c r="J283" s="109"/>
      <c r="K283" s="109"/>
      <c r="L283" s="109"/>
      <c r="M283" s="109"/>
      <c r="N283" s="109"/>
      <c r="O283" s="109"/>
      <c r="P283" s="109"/>
      <c r="Q283" s="109"/>
      <c r="R283" s="109"/>
      <c r="S283" s="328"/>
      <c r="T283" s="45"/>
      <c r="U283" s="45"/>
      <c r="V283" s="45"/>
      <c r="W283" s="45"/>
      <c r="X283" s="45"/>
      <c r="Y283" s="45"/>
      <c r="Z283" s="45"/>
      <c r="AA283" s="45"/>
      <c r="AB283" s="45"/>
      <c r="AC283" s="45"/>
      <c r="AD283" s="45"/>
      <c r="AE283" s="45"/>
      <c r="AF283" s="45"/>
      <c r="AG283" s="45"/>
      <c r="AH283" s="45"/>
      <c r="AI283" s="45"/>
      <c r="AJ283" s="45"/>
      <c r="AK283" s="45"/>
    </row>
    <row r="284" ht="12.0" customHeight="1">
      <c r="A284" s="45"/>
      <c r="B284" s="45"/>
      <c r="C284" s="45"/>
      <c r="D284" s="45"/>
      <c r="E284" s="45"/>
      <c r="F284" s="309"/>
      <c r="G284" s="104"/>
      <c r="H284" s="109"/>
      <c r="I284" s="109"/>
      <c r="J284" s="109"/>
      <c r="K284" s="109"/>
      <c r="L284" s="109"/>
      <c r="M284" s="109"/>
      <c r="N284" s="109"/>
      <c r="O284" s="109"/>
      <c r="P284" s="109"/>
      <c r="Q284" s="109"/>
      <c r="R284" s="109"/>
      <c r="S284" s="328"/>
      <c r="T284" s="45"/>
      <c r="U284" s="45"/>
      <c r="V284" s="45"/>
      <c r="W284" s="45"/>
      <c r="X284" s="45"/>
      <c r="Y284" s="45"/>
      <c r="Z284" s="45"/>
      <c r="AA284" s="45"/>
      <c r="AB284" s="45"/>
      <c r="AC284" s="45"/>
      <c r="AD284" s="45"/>
      <c r="AE284" s="45"/>
      <c r="AF284" s="45"/>
      <c r="AG284" s="45"/>
      <c r="AH284" s="45"/>
      <c r="AI284" s="45"/>
      <c r="AJ284" s="45"/>
      <c r="AK284" s="45"/>
    </row>
    <row r="285" ht="12.0" customHeight="1">
      <c r="A285" s="45"/>
      <c r="B285" s="45"/>
      <c r="C285" s="45"/>
      <c r="D285" s="45"/>
      <c r="E285" s="45"/>
      <c r="F285" s="309"/>
      <c r="G285" s="104"/>
      <c r="H285" s="109"/>
      <c r="I285" s="109"/>
      <c r="J285" s="109"/>
      <c r="K285" s="109"/>
      <c r="L285" s="109"/>
      <c r="M285" s="109"/>
      <c r="N285" s="109"/>
      <c r="O285" s="109"/>
      <c r="P285" s="109"/>
      <c r="Q285" s="109"/>
      <c r="R285" s="109"/>
      <c r="S285" s="328"/>
      <c r="T285" s="45"/>
      <c r="U285" s="45"/>
      <c r="V285" s="45"/>
      <c r="W285" s="45"/>
      <c r="X285" s="45"/>
      <c r="Y285" s="45"/>
      <c r="Z285" s="45"/>
      <c r="AA285" s="45"/>
      <c r="AB285" s="45"/>
      <c r="AC285" s="45"/>
      <c r="AD285" s="45"/>
      <c r="AE285" s="45"/>
      <c r="AF285" s="45"/>
      <c r="AG285" s="45"/>
      <c r="AH285" s="45"/>
      <c r="AI285" s="45"/>
      <c r="AJ285" s="45"/>
      <c r="AK285" s="45"/>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W62:AC62"/>
    <mergeCell ref="X64:AC64"/>
  </mergeCells>
  <printOptions/>
  <pageMargins bottom="0.75" footer="0.0" header="0.0" left="0.7" right="0.7" top="0.75"/>
  <pageSetup orientation="landscape"/>
  <headerFooter>
    <oddHeader>&amp;C&amp;D &amp;T&amp;R&amp;F</oddHeader>
    <oddFooter>&amp;CCONFIDENTIAL</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fitToPage="1"/>
  </sheetPr>
  <sheetViews>
    <sheetView showGridLines="0" workbookViewId="0"/>
  </sheetViews>
  <sheetFormatPr customHeight="1" defaultColWidth="14.43" defaultRowHeight="15.0" outlineLevelCol="2"/>
  <cols>
    <col customWidth="1" min="1" max="1" width="10.43"/>
    <col customWidth="1" min="2" max="2" width="3.14" outlineLevel="1"/>
    <col customWidth="1" min="3" max="3" width="11.29" outlineLevel="2"/>
    <col customWidth="1" min="4" max="4" width="3.0" outlineLevel="2"/>
    <col customWidth="1" min="5" max="5" width="11.0" outlineLevel="2"/>
    <col customWidth="1" min="6" max="6" width="3.14" outlineLevel="1"/>
    <col customWidth="1" min="7" max="7" width="41.14" outlineLevel="2"/>
    <col customWidth="1" min="8" max="8" width="3.14" outlineLevel="1"/>
    <col customWidth="1" min="9" max="9" width="11.29" outlineLevel="1"/>
    <col customWidth="1" min="10" max="10" width="3.14"/>
    <col customWidth="1" min="11" max="11" width="11.29"/>
    <col customWidth="1" hidden="1" min="12" max="12" width="1.71"/>
    <col customWidth="1" hidden="1" min="13" max="13" width="10.57"/>
    <col customWidth="1" hidden="1" min="14" max="14" width="1.71"/>
    <col customWidth="1" hidden="1" min="15" max="15" width="8.86"/>
    <col customWidth="1" min="16" max="16" width="3.14"/>
    <col customWidth="1" min="17" max="17" width="11.29"/>
    <col customWidth="1" hidden="1" min="18" max="18" width="1.71"/>
    <col customWidth="1" hidden="1" min="19" max="19" width="8.86"/>
    <col customWidth="1" hidden="1" min="20" max="20" width="1.71"/>
    <col customWidth="1" hidden="1" min="21" max="21" width="1.86"/>
    <col customWidth="1" min="22" max="22" width="1.14"/>
    <col customWidth="1" min="23" max="23" width="2.57"/>
    <col customWidth="1" min="24" max="31" width="9.14"/>
  </cols>
  <sheetData>
    <row r="1" ht="11.25" customHeight="1">
      <c r="A1" s="337"/>
      <c r="B1" s="337"/>
      <c r="C1" s="337"/>
      <c r="D1" s="337"/>
      <c r="E1" s="337"/>
      <c r="F1" s="337"/>
      <c r="G1" s="337"/>
      <c r="H1" s="337"/>
      <c r="I1" s="337"/>
      <c r="J1" s="337"/>
      <c r="K1" s="337"/>
      <c r="L1" s="337"/>
      <c r="M1" s="337"/>
      <c r="N1" s="337"/>
      <c r="O1" s="337"/>
      <c r="P1" s="337"/>
      <c r="Q1" s="337"/>
      <c r="R1" s="337"/>
      <c r="S1" s="337"/>
      <c r="T1" s="337"/>
      <c r="U1" s="337"/>
      <c r="V1" s="549"/>
      <c r="W1" s="550"/>
      <c r="X1" s="551"/>
      <c r="Y1" s="551"/>
      <c r="Z1" s="551"/>
      <c r="AA1" s="551"/>
      <c r="AB1" s="551"/>
      <c r="AC1" s="551"/>
      <c r="AD1" s="551"/>
      <c r="AE1" s="551"/>
    </row>
    <row r="2" ht="11.25" customHeight="1">
      <c r="A2" s="552" t="s">
        <v>111</v>
      </c>
      <c r="B2" s="552"/>
      <c r="C2" s="552"/>
      <c r="D2" s="552"/>
      <c r="E2" s="552"/>
      <c r="F2" s="552"/>
      <c r="G2" s="552"/>
      <c r="H2" s="552"/>
      <c r="I2" s="552"/>
      <c r="J2" s="552"/>
      <c r="K2" s="552"/>
      <c r="L2" s="552"/>
      <c r="M2" s="552"/>
      <c r="N2" s="552"/>
      <c r="O2" s="552"/>
      <c r="P2" s="552"/>
      <c r="Q2" s="552"/>
      <c r="R2" s="552"/>
      <c r="S2" s="552"/>
      <c r="T2" s="552"/>
      <c r="U2" s="552"/>
      <c r="V2" s="553"/>
      <c r="W2" s="554"/>
      <c r="X2" s="555"/>
      <c r="Y2" s="555"/>
      <c r="Z2" s="555"/>
      <c r="AA2" s="555"/>
      <c r="AB2" s="555"/>
      <c r="AC2" s="555"/>
      <c r="AD2" s="555"/>
      <c r="AE2" s="555"/>
    </row>
    <row r="3" ht="11.25" customHeight="1">
      <c r="A3" s="556"/>
      <c r="B3" s="556"/>
      <c r="C3" s="556"/>
      <c r="D3" s="556"/>
      <c r="E3" s="556"/>
      <c r="F3" s="556"/>
      <c r="G3" s="556"/>
      <c r="H3" s="556"/>
      <c r="I3" s="556"/>
      <c r="J3" s="556"/>
      <c r="K3" s="556"/>
      <c r="L3" s="556"/>
      <c r="M3" s="556"/>
      <c r="N3" s="556"/>
      <c r="O3" s="556"/>
      <c r="P3" s="556"/>
      <c r="Q3" s="556"/>
      <c r="R3" s="556"/>
      <c r="S3" s="556"/>
      <c r="T3" s="556"/>
      <c r="U3" s="556"/>
      <c r="V3" s="557"/>
      <c r="W3" s="558"/>
      <c r="X3" s="559"/>
      <c r="Y3" s="559"/>
      <c r="Z3" s="559"/>
      <c r="AA3" s="559"/>
      <c r="AB3" s="559"/>
      <c r="AC3" s="559"/>
      <c r="AD3" s="559"/>
      <c r="AE3" s="559"/>
    </row>
    <row r="4" ht="11.25" customHeight="1">
      <c r="A4" s="560" t="s">
        <v>112</v>
      </c>
      <c r="B4" s="561"/>
      <c r="C4" s="561"/>
      <c r="D4" s="561"/>
      <c r="E4" s="561"/>
      <c r="F4" s="561"/>
      <c r="G4" s="561"/>
      <c r="H4" s="561"/>
      <c r="I4" s="561"/>
      <c r="J4" s="561"/>
      <c r="K4" s="561"/>
      <c r="L4" s="561"/>
      <c r="M4" s="561"/>
      <c r="N4" s="561"/>
      <c r="O4" s="561"/>
      <c r="P4" s="561"/>
      <c r="Q4" s="561"/>
      <c r="R4" s="561"/>
      <c r="S4" s="561"/>
      <c r="T4" s="561"/>
      <c r="U4" s="561"/>
      <c r="V4" s="562"/>
      <c r="W4" s="563"/>
      <c r="X4" s="564"/>
      <c r="Y4" s="564"/>
      <c r="Z4" s="564"/>
      <c r="AA4" s="564"/>
      <c r="AB4" s="564"/>
      <c r="AC4" s="564"/>
      <c r="AD4" s="564"/>
      <c r="AE4" s="564"/>
    </row>
    <row r="5" ht="14.25" customHeight="1">
      <c r="A5" s="565"/>
      <c r="B5" s="565"/>
      <c r="C5" s="566"/>
      <c r="D5" s="566"/>
      <c r="E5" s="566"/>
      <c r="F5" s="565"/>
      <c r="G5" s="566"/>
      <c r="H5" s="565"/>
      <c r="I5" s="567" t="s">
        <v>113</v>
      </c>
      <c r="J5" s="565"/>
      <c r="K5" s="565"/>
      <c r="L5" s="565"/>
      <c r="M5" s="565"/>
      <c r="N5" s="565"/>
      <c r="O5" s="565"/>
      <c r="P5" s="565"/>
      <c r="Q5" s="568" t="s">
        <v>114</v>
      </c>
      <c r="R5" s="6"/>
      <c r="S5" s="6"/>
      <c r="T5" s="6"/>
      <c r="U5" s="7"/>
      <c r="V5" s="569"/>
      <c r="W5" s="570"/>
      <c r="X5" s="571"/>
      <c r="Y5" s="571"/>
      <c r="Z5" s="571"/>
      <c r="AA5" s="571"/>
      <c r="AB5" s="571"/>
      <c r="AC5" s="571"/>
      <c r="AD5" s="571"/>
      <c r="AE5" s="571"/>
    </row>
    <row r="6" ht="11.25" customHeight="1">
      <c r="A6" s="572" t="s">
        <v>115</v>
      </c>
      <c r="B6" s="345"/>
      <c r="C6" s="573" t="s">
        <v>116</v>
      </c>
      <c r="D6" s="574"/>
      <c r="E6" s="573" t="s">
        <v>117</v>
      </c>
      <c r="F6" s="345"/>
      <c r="G6" s="573" t="s">
        <v>118</v>
      </c>
      <c r="H6" s="345"/>
      <c r="I6" s="575" t="s">
        <v>119</v>
      </c>
      <c r="J6" s="345"/>
      <c r="K6" s="576" t="s">
        <v>120</v>
      </c>
      <c r="L6" s="345"/>
      <c r="M6" s="576" t="s">
        <v>121</v>
      </c>
      <c r="N6" s="345"/>
      <c r="O6" s="577" t="str">
        <f>U6</f>
        <v>EBITDA</v>
      </c>
      <c r="P6" s="345"/>
      <c r="Q6" s="576" t="s">
        <v>122</v>
      </c>
      <c r="R6" s="345"/>
      <c r="S6" s="576" t="s">
        <v>121</v>
      </c>
      <c r="T6" s="345"/>
      <c r="U6" s="576" t="s">
        <v>24</v>
      </c>
      <c r="V6" s="549"/>
      <c r="W6" s="550"/>
      <c r="X6" s="551"/>
      <c r="Y6" s="551"/>
      <c r="Z6" s="551"/>
      <c r="AA6" s="551"/>
      <c r="AB6" s="551"/>
      <c r="AC6" s="551"/>
      <c r="AD6" s="551"/>
      <c r="AE6" s="551"/>
    </row>
    <row r="7" ht="10.5" customHeight="1">
      <c r="A7" s="578"/>
      <c r="B7" s="579"/>
      <c r="C7" s="580"/>
      <c r="D7" s="580"/>
      <c r="E7" s="580"/>
      <c r="F7" s="579"/>
      <c r="G7" s="580"/>
      <c r="H7" s="579"/>
      <c r="I7" s="581"/>
      <c r="J7" s="579"/>
      <c r="K7" s="579"/>
      <c r="L7" s="579"/>
      <c r="M7" s="579"/>
      <c r="N7" s="579"/>
      <c r="O7" s="579"/>
      <c r="P7" s="579"/>
      <c r="Q7" s="579"/>
      <c r="R7" s="579"/>
      <c r="S7" s="579"/>
      <c r="T7" s="579"/>
      <c r="U7" s="579"/>
      <c r="V7" s="569"/>
      <c r="W7" s="570"/>
      <c r="X7" s="571"/>
      <c r="Y7" s="571"/>
      <c r="Z7" s="571"/>
      <c r="AA7" s="571"/>
      <c r="AB7" s="571"/>
      <c r="AC7" s="571"/>
      <c r="AD7" s="571"/>
      <c r="AE7" s="571"/>
    </row>
    <row r="8" ht="39.75" customHeight="1">
      <c r="A8" s="582" t="s">
        <v>123</v>
      </c>
      <c r="B8" s="583"/>
      <c r="C8" s="584" t="s">
        <v>124</v>
      </c>
      <c r="D8" s="584"/>
      <c r="E8" s="585" t="s">
        <v>125</v>
      </c>
      <c r="F8" s="583"/>
      <c r="G8" s="586" t="s">
        <v>126</v>
      </c>
      <c r="H8" s="583"/>
      <c r="I8" s="587">
        <v>239.0</v>
      </c>
      <c r="J8" s="583"/>
      <c r="K8" s="587">
        <v>114.0</v>
      </c>
      <c r="L8" s="588"/>
      <c r="M8" s="587">
        <f>K8*49%</f>
        <v>55.86</v>
      </c>
      <c r="N8" s="588"/>
      <c r="O8" s="587">
        <f>I8*5%</f>
        <v>11.95</v>
      </c>
      <c r="P8" s="589"/>
      <c r="Q8" s="590">
        <f t="shared" ref="Q8:Q11" si="1">$I8/K8</f>
        <v>2.096491228</v>
      </c>
      <c r="R8" s="591"/>
      <c r="S8" s="590">
        <f t="shared" ref="S8:S9" si="2">$I8/M8</f>
        <v>4.278553527</v>
      </c>
      <c r="T8" s="591"/>
      <c r="U8" s="590">
        <f t="shared" ref="U8:U9" si="3">$I8/O8</f>
        <v>20</v>
      </c>
      <c r="V8" s="592"/>
      <c r="W8" s="593"/>
      <c r="X8" s="571"/>
      <c r="Y8" s="571"/>
      <c r="Z8" s="571"/>
      <c r="AA8" s="571"/>
      <c r="AB8" s="571"/>
      <c r="AC8" s="571"/>
      <c r="AD8" s="571"/>
      <c r="AE8" s="571"/>
    </row>
    <row r="9" ht="39.75" customHeight="1">
      <c r="A9" s="582" t="s">
        <v>127</v>
      </c>
      <c r="B9" s="583"/>
      <c r="C9" s="584" t="s">
        <v>128</v>
      </c>
      <c r="D9" s="584"/>
      <c r="E9" s="585" t="s">
        <v>129</v>
      </c>
      <c r="F9" s="583"/>
      <c r="G9" s="586" t="s">
        <v>130</v>
      </c>
      <c r="H9" s="583"/>
      <c r="I9" s="587">
        <v>150.0</v>
      </c>
      <c r="J9" s="594"/>
      <c r="K9" s="587">
        <v>50.0</v>
      </c>
      <c r="L9" s="587"/>
      <c r="M9" s="587">
        <f>I9*56%</f>
        <v>84</v>
      </c>
      <c r="N9" s="587"/>
      <c r="O9" s="587">
        <f>I9*14%</f>
        <v>21</v>
      </c>
      <c r="P9" s="589"/>
      <c r="Q9" s="590">
        <f t="shared" si="1"/>
        <v>3</v>
      </c>
      <c r="R9" s="591"/>
      <c r="S9" s="590">
        <f t="shared" si="2"/>
        <v>1.785714286</v>
      </c>
      <c r="T9" s="591"/>
      <c r="U9" s="590">
        <f t="shared" si="3"/>
        <v>7.142857143</v>
      </c>
      <c r="V9" s="592"/>
      <c r="W9" s="593"/>
      <c r="X9" s="571"/>
      <c r="Y9" s="571"/>
      <c r="Z9" s="571"/>
      <c r="AA9" s="571"/>
      <c r="AB9" s="571"/>
      <c r="AC9" s="571"/>
      <c r="AD9" s="571"/>
      <c r="AE9" s="571"/>
    </row>
    <row r="10" ht="39.75" customHeight="1">
      <c r="A10" s="582" t="s">
        <v>131</v>
      </c>
      <c r="B10" s="583"/>
      <c r="C10" s="584" t="s">
        <v>132</v>
      </c>
      <c r="D10" s="584"/>
      <c r="E10" s="585" t="s">
        <v>133</v>
      </c>
      <c r="F10" s="583"/>
      <c r="G10" s="586" t="s">
        <v>134</v>
      </c>
      <c r="H10" s="583"/>
      <c r="I10" s="587">
        <v>200.0</v>
      </c>
      <c r="J10" s="594"/>
      <c r="K10" s="587">
        <v>37.0</v>
      </c>
      <c r="L10" s="587"/>
      <c r="M10" s="595" t="s">
        <v>74</v>
      </c>
      <c r="N10" s="595"/>
      <c r="O10" s="595" t="s">
        <v>74</v>
      </c>
      <c r="P10" s="589"/>
      <c r="Q10" s="596">
        <f t="shared" si="1"/>
        <v>5.405405405</v>
      </c>
      <c r="R10" s="591"/>
      <c r="S10" s="596" t="str">
        <f>M10</f>
        <v>NA</v>
      </c>
      <c r="T10" s="591"/>
      <c r="U10" s="596" t="str">
        <f>O10</f>
        <v>NA</v>
      </c>
      <c r="V10" s="592"/>
      <c r="W10" s="593"/>
      <c r="X10" s="571"/>
      <c r="Y10" s="571"/>
      <c r="Z10" s="571"/>
      <c r="AA10" s="571"/>
      <c r="AB10" s="571"/>
      <c r="AC10" s="571"/>
      <c r="AD10" s="571"/>
      <c r="AE10" s="571"/>
    </row>
    <row r="11" ht="11.25" customHeight="1">
      <c r="A11" s="582" t="s">
        <v>135</v>
      </c>
      <c r="B11" s="583"/>
      <c r="C11" s="584" t="s">
        <v>136</v>
      </c>
      <c r="D11" s="584"/>
      <c r="E11" s="585" t="s">
        <v>137</v>
      </c>
      <c r="F11" s="583"/>
      <c r="G11" s="586" t="s">
        <v>138</v>
      </c>
      <c r="H11" s="583"/>
      <c r="I11" s="587">
        <v>3600.0</v>
      </c>
      <c r="J11" s="594"/>
      <c r="K11" s="587">
        <v>1963.961</v>
      </c>
      <c r="L11" s="587"/>
      <c r="M11" s="587">
        <v>1327.185</v>
      </c>
      <c r="N11" s="587"/>
      <c r="O11" s="587">
        <v>470.071</v>
      </c>
      <c r="P11" s="589"/>
      <c r="Q11" s="590">
        <f t="shared" si="1"/>
        <v>1.833030289</v>
      </c>
      <c r="R11" s="591"/>
      <c r="S11" s="590">
        <f>$I11/M11</f>
        <v>2.712508053</v>
      </c>
      <c r="T11" s="591"/>
      <c r="U11" s="590">
        <f>$I11/O11</f>
        <v>7.658417558</v>
      </c>
      <c r="V11" s="592"/>
      <c r="W11" s="593"/>
      <c r="X11" s="571"/>
      <c r="Y11" s="571"/>
      <c r="Z11" s="571"/>
      <c r="AA11" s="571"/>
      <c r="AB11" s="571"/>
      <c r="AC11" s="571"/>
      <c r="AD11" s="571"/>
      <c r="AE11" s="571"/>
    </row>
    <row r="12" ht="11.25" customHeight="1">
      <c r="A12" s="597"/>
      <c r="B12" s="598"/>
      <c r="C12" s="599"/>
      <c r="D12" s="599"/>
      <c r="E12" s="600"/>
      <c r="F12" s="598"/>
      <c r="G12" s="599"/>
      <c r="H12" s="598"/>
      <c r="I12" s="599"/>
      <c r="J12" s="598"/>
      <c r="K12" s="601"/>
      <c r="L12" s="601"/>
      <c r="M12" s="601"/>
      <c r="N12" s="601"/>
      <c r="O12" s="601"/>
      <c r="P12" s="602"/>
      <c r="Q12" s="603"/>
      <c r="R12" s="604"/>
      <c r="S12" s="603"/>
      <c r="T12" s="604"/>
      <c r="U12" s="603"/>
      <c r="V12" s="549"/>
      <c r="W12" s="550"/>
      <c r="X12" s="551"/>
      <c r="Y12" s="551"/>
      <c r="Z12" s="551"/>
      <c r="AA12" s="551"/>
      <c r="AB12" s="551"/>
      <c r="AC12" s="551"/>
      <c r="AD12" s="551"/>
      <c r="AE12" s="551"/>
    </row>
    <row r="13" ht="6.0" customHeight="1">
      <c r="A13" s="597"/>
      <c r="B13" s="598"/>
      <c r="C13" s="599"/>
      <c r="D13" s="599"/>
      <c r="E13" s="600"/>
      <c r="F13" s="598"/>
      <c r="G13" s="599"/>
      <c r="H13" s="598"/>
      <c r="I13" s="605"/>
      <c r="J13" s="606"/>
      <c r="K13" s="607"/>
      <c r="L13" s="607"/>
      <c r="M13" s="607"/>
      <c r="N13" s="607"/>
      <c r="O13" s="607"/>
      <c r="P13" s="608"/>
      <c r="Q13" s="609"/>
      <c r="R13" s="610"/>
      <c r="S13" s="609"/>
      <c r="T13" s="610"/>
      <c r="U13" s="609"/>
      <c r="V13" s="611"/>
      <c r="W13" s="550"/>
      <c r="X13" s="551"/>
      <c r="Y13" s="551"/>
      <c r="Z13" s="551"/>
      <c r="AA13" s="551"/>
      <c r="AB13" s="551"/>
      <c r="AC13" s="551"/>
      <c r="AD13" s="551"/>
      <c r="AE13" s="551"/>
    </row>
    <row r="14" ht="11.25" customHeight="1">
      <c r="A14" s="337"/>
      <c r="B14" s="337"/>
      <c r="C14" s="337"/>
      <c r="D14" s="337"/>
      <c r="E14" s="612"/>
      <c r="F14" s="425"/>
      <c r="G14" s="337"/>
      <c r="H14" s="337"/>
      <c r="I14" s="613" t="s">
        <v>76</v>
      </c>
      <c r="J14" s="337"/>
      <c r="K14" s="337"/>
      <c r="L14" s="337"/>
      <c r="M14" s="337"/>
      <c r="N14" s="337"/>
      <c r="O14" s="337"/>
      <c r="P14" s="337"/>
      <c r="Q14" s="614">
        <f>PERCENTILE(Q8:Q11, 0.75)</f>
        <v>3.601351351</v>
      </c>
      <c r="R14" s="614"/>
      <c r="S14" s="614">
        <f>PERCENTILE(S8:S11, 0.75)</f>
        <v>3.49553079</v>
      </c>
      <c r="T14" s="614"/>
      <c r="U14" s="614">
        <f>PERCENTILE(U8:U11, 0.75)</f>
        <v>13.82920878</v>
      </c>
      <c r="V14" s="615"/>
      <c r="W14" s="550"/>
      <c r="X14" s="551"/>
      <c r="Y14" s="551"/>
      <c r="Z14" s="551"/>
      <c r="AA14" s="551"/>
      <c r="AB14" s="551"/>
      <c r="AC14" s="551"/>
      <c r="AD14" s="551"/>
      <c r="AE14" s="551"/>
    </row>
    <row r="15" ht="11.25" customHeight="1">
      <c r="A15" s="337"/>
      <c r="B15" s="337"/>
      <c r="C15" s="337"/>
      <c r="D15" s="337"/>
      <c r="E15" s="612"/>
      <c r="F15" s="425"/>
      <c r="G15" s="337"/>
      <c r="H15" s="337"/>
      <c r="I15" s="616" t="s">
        <v>77</v>
      </c>
      <c r="J15" s="337"/>
      <c r="K15" s="337"/>
      <c r="L15" s="337"/>
      <c r="M15" s="337"/>
      <c r="N15" s="337"/>
      <c r="O15" s="337"/>
      <c r="P15" s="337"/>
      <c r="Q15" s="614">
        <f>MEDIAN(Q8:Q11)</f>
        <v>2.548245614</v>
      </c>
      <c r="R15" s="614"/>
      <c r="S15" s="614">
        <f>MEDIAN(S8:S11)</f>
        <v>2.712508053</v>
      </c>
      <c r="T15" s="614"/>
      <c r="U15" s="614">
        <f>MEDIAN(U8:U11)</f>
        <v>7.658417558</v>
      </c>
      <c r="V15" s="615"/>
      <c r="W15" s="550"/>
      <c r="X15" s="551"/>
      <c r="Y15" s="551"/>
      <c r="Z15" s="551"/>
      <c r="AA15" s="551"/>
      <c r="AB15" s="551"/>
      <c r="AC15" s="551"/>
      <c r="AD15" s="551"/>
      <c r="AE15" s="551"/>
    </row>
    <row r="16" ht="11.25" customHeight="1">
      <c r="A16" s="337"/>
      <c r="B16" s="337"/>
      <c r="C16" s="337"/>
      <c r="D16" s="337"/>
      <c r="E16" s="612"/>
      <c r="F16" s="425"/>
      <c r="G16" s="337"/>
      <c r="H16" s="337"/>
      <c r="I16" s="617" t="s">
        <v>78</v>
      </c>
      <c r="J16" s="337"/>
      <c r="K16" s="337"/>
      <c r="L16" s="337"/>
      <c r="M16" s="337"/>
      <c r="N16" s="337"/>
      <c r="O16" s="337"/>
      <c r="P16" s="337"/>
      <c r="Q16" s="614">
        <f>PERCENTILE(Q8:Q11, 0.25)</f>
        <v>2.030625993</v>
      </c>
      <c r="R16" s="614"/>
      <c r="S16" s="614">
        <f>PERCENTILE(S8:S11, 0.25)</f>
        <v>2.249111169</v>
      </c>
      <c r="T16" s="614"/>
      <c r="U16" s="614">
        <f>PERCENTILE(U8:U11, 0.25)</f>
        <v>7.400637351</v>
      </c>
      <c r="V16" s="615"/>
      <c r="W16" s="550"/>
      <c r="X16" s="551"/>
      <c r="Y16" s="551"/>
      <c r="Z16" s="551"/>
      <c r="AA16" s="551"/>
      <c r="AB16" s="551"/>
      <c r="AC16" s="551"/>
      <c r="AD16" s="551"/>
      <c r="AE16" s="551"/>
    </row>
    <row r="17" ht="6.0" customHeight="1">
      <c r="A17" s="337"/>
      <c r="B17" s="337"/>
      <c r="C17" s="337"/>
      <c r="D17" s="337"/>
      <c r="E17" s="612"/>
      <c r="F17" s="337"/>
      <c r="G17" s="337"/>
      <c r="H17" s="337"/>
      <c r="I17" s="618"/>
      <c r="J17" s="619"/>
      <c r="K17" s="619"/>
      <c r="L17" s="619"/>
      <c r="M17" s="619"/>
      <c r="N17" s="619"/>
      <c r="O17" s="619"/>
      <c r="P17" s="619"/>
      <c r="Q17" s="619"/>
      <c r="R17" s="619"/>
      <c r="S17" s="619"/>
      <c r="T17" s="619"/>
      <c r="U17" s="619"/>
      <c r="V17" s="620"/>
      <c r="W17" s="550"/>
      <c r="X17" s="551"/>
      <c r="Y17" s="551"/>
      <c r="Z17" s="551"/>
      <c r="AA17" s="551"/>
      <c r="AB17" s="551"/>
      <c r="AC17" s="551"/>
      <c r="AD17" s="551"/>
      <c r="AE17" s="551"/>
    </row>
    <row r="18" ht="11.25" customHeight="1">
      <c r="A18" s="337"/>
      <c r="B18" s="337"/>
      <c r="C18" s="337"/>
      <c r="D18" s="337"/>
      <c r="E18" s="612"/>
      <c r="F18" s="337"/>
      <c r="G18" s="337"/>
      <c r="H18" s="337"/>
      <c r="I18" s="337"/>
      <c r="J18" s="337"/>
      <c r="K18" s="337"/>
      <c r="L18" s="337"/>
      <c r="M18" s="337"/>
      <c r="N18" s="337"/>
      <c r="O18" s="337"/>
      <c r="P18" s="337"/>
      <c r="Q18" s="337"/>
      <c r="R18" s="337"/>
      <c r="S18" s="337"/>
      <c r="T18" s="337"/>
      <c r="U18" s="337"/>
      <c r="V18" s="549"/>
      <c r="W18" s="550"/>
      <c r="X18" s="551"/>
      <c r="Y18" s="551"/>
      <c r="Z18" s="551"/>
      <c r="AA18" s="551"/>
      <c r="AB18" s="551"/>
      <c r="AC18" s="551"/>
      <c r="AD18" s="551"/>
      <c r="AE18" s="551"/>
    </row>
    <row r="19" ht="16.5" customHeight="1">
      <c r="A19" s="621"/>
      <c r="B19" s="621"/>
      <c r="C19" s="621"/>
      <c r="D19" s="621"/>
      <c r="E19" s="622" t="s">
        <v>139</v>
      </c>
      <c r="F19" s="623"/>
      <c r="G19" s="623"/>
      <c r="H19" s="623"/>
      <c r="I19" s="624"/>
      <c r="J19" s="625"/>
      <c r="K19" s="626">
        <f>'Standalone Case'!G4</f>
        <v>27.1</v>
      </c>
      <c r="L19" s="625"/>
      <c r="M19" s="627" t="str">
        <f>#REF!</f>
        <v>#REF!</v>
      </c>
      <c r="N19" s="627"/>
      <c r="O19" s="628" t="s">
        <v>80</v>
      </c>
      <c r="P19" s="623"/>
      <c r="Q19" s="623"/>
      <c r="R19" s="623"/>
      <c r="S19" s="623"/>
      <c r="T19" s="623"/>
      <c r="U19" s="623"/>
      <c r="V19" s="623"/>
      <c r="W19" s="621"/>
      <c r="X19" s="629"/>
      <c r="Y19" s="629"/>
      <c r="Z19" s="629"/>
      <c r="AA19" s="629"/>
      <c r="AB19" s="629"/>
      <c r="AC19" s="629"/>
      <c r="AD19" s="629"/>
      <c r="AE19" s="629"/>
    </row>
    <row r="20" ht="11.25" customHeight="1">
      <c r="A20" s="337"/>
      <c r="B20" s="337"/>
      <c r="C20" s="337"/>
      <c r="D20" s="337"/>
      <c r="E20" s="337"/>
      <c r="F20" s="337"/>
      <c r="G20" s="337"/>
      <c r="H20" s="337"/>
      <c r="I20" s="337"/>
      <c r="J20" s="337"/>
      <c r="K20" s="337"/>
      <c r="L20" s="337"/>
      <c r="M20" s="337"/>
      <c r="N20" s="337"/>
      <c r="O20" s="337"/>
      <c r="P20" s="337"/>
      <c r="Q20" s="337"/>
      <c r="R20" s="337"/>
      <c r="S20" s="337"/>
      <c r="T20" s="337"/>
      <c r="U20" s="337"/>
      <c r="V20" s="549"/>
      <c r="W20" s="550"/>
      <c r="X20" s="551"/>
      <c r="Y20" s="551"/>
      <c r="Z20" s="551"/>
      <c r="AA20" s="551"/>
      <c r="AB20" s="551"/>
      <c r="AC20" s="551"/>
      <c r="AD20" s="551"/>
      <c r="AE20" s="551"/>
    </row>
    <row r="21" ht="11.25" customHeight="1">
      <c r="A21" s="630" t="s">
        <v>140</v>
      </c>
      <c r="B21" s="337"/>
      <c r="C21" s="337"/>
      <c r="D21" s="337"/>
      <c r="E21" s="337"/>
      <c r="F21" s="337"/>
      <c r="G21" s="337"/>
      <c r="H21" s="337"/>
      <c r="I21" s="337"/>
      <c r="J21" s="337"/>
      <c r="K21" s="337"/>
      <c r="L21" s="337"/>
      <c r="M21" s="337"/>
      <c r="N21" s="337"/>
      <c r="O21" s="337"/>
      <c r="P21" s="337"/>
      <c r="Q21" s="337"/>
      <c r="R21" s="337"/>
      <c r="S21" s="337"/>
      <c r="T21" s="337"/>
      <c r="U21" s="337"/>
      <c r="V21" s="549"/>
      <c r="W21" s="550"/>
      <c r="X21" s="551"/>
      <c r="Y21" s="551"/>
      <c r="Z21" s="551"/>
      <c r="AA21" s="551"/>
      <c r="AB21" s="551"/>
      <c r="AC21" s="551"/>
      <c r="AD21" s="551"/>
      <c r="AE21" s="551"/>
    </row>
    <row r="22" ht="11.25" customHeight="1">
      <c r="A22" s="337"/>
      <c r="B22" s="337"/>
      <c r="C22" s="337"/>
      <c r="D22" s="337"/>
      <c r="E22" s="337"/>
      <c r="F22" s="337"/>
      <c r="G22" s="337"/>
      <c r="H22" s="337"/>
      <c r="I22" s="337"/>
      <c r="J22" s="337"/>
      <c r="K22" s="337"/>
      <c r="L22" s="337"/>
      <c r="M22" s="337"/>
      <c r="N22" s="337"/>
      <c r="O22" s="337"/>
      <c r="P22" s="337"/>
      <c r="Q22" s="337"/>
      <c r="R22" s="337"/>
      <c r="S22" s="337"/>
      <c r="T22" s="337"/>
      <c r="U22" s="337"/>
      <c r="V22" s="549"/>
      <c r="W22" s="550"/>
      <c r="X22" s="551"/>
      <c r="Y22" s="551"/>
      <c r="Z22" s="551"/>
      <c r="AA22" s="551"/>
      <c r="AB22" s="551"/>
      <c r="AC22" s="551"/>
      <c r="AD22" s="551"/>
      <c r="AE22" s="551"/>
    </row>
    <row r="23" ht="11.25" customHeight="1">
      <c r="A23" s="631"/>
      <c r="B23" s="631"/>
      <c r="C23" s="631"/>
      <c r="D23" s="631"/>
      <c r="E23" s="631"/>
      <c r="F23" s="631"/>
      <c r="G23" s="631"/>
      <c r="H23" s="631"/>
      <c r="I23" s="631"/>
      <c r="J23" s="631"/>
      <c r="K23" s="631"/>
      <c r="L23" s="631"/>
      <c r="M23" s="631"/>
      <c r="N23" s="631"/>
      <c r="O23" s="631"/>
      <c r="P23" s="631"/>
      <c r="Q23" s="631"/>
      <c r="R23" s="631"/>
      <c r="S23" s="631"/>
      <c r="T23" s="631"/>
      <c r="U23" s="631"/>
      <c r="V23" s="632"/>
      <c r="W23" s="631"/>
      <c r="X23" s="551"/>
      <c r="Y23" s="551"/>
      <c r="Z23" s="551"/>
      <c r="AA23" s="551"/>
      <c r="AB23" s="551"/>
      <c r="AC23" s="551"/>
      <c r="AD23" s="551"/>
      <c r="AE23" s="551"/>
    </row>
    <row r="24" ht="11.25" customHeight="1">
      <c r="A24" s="631"/>
      <c r="B24" s="631"/>
      <c r="C24" s="631"/>
      <c r="D24" s="631"/>
      <c r="E24" s="631"/>
      <c r="F24" s="631"/>
      <c r="G24" s="631"/>
      <c r="H24" s="631"/>
      <c r="I24" s="631"/>
      <c r="J24" s="631"/>
      <c r="K24" s="631"/>
      <c r="L24" s="631"/>
      <c r="M24" s="631"/>
      <c r="N24" s="631"/>
      <c r="O24" s="631"/>
      <c r="P24" s="631"/>
      <c r="Q24" s="631"/>
      <c r="R24" s="631"/>
      <c r="S24" s="631"/>
      <c r="T24" s="631"/>
      <c r="U24" s="631"/>
      <c r="V24" s="632"/>
      <c r="W24" s="631"/>
      <c r="X24" s="551"/>
      <c r="Y24" s="551"/>
      <c r="Z24" s="551"/>
      <c r="AA24" s="551"/>
      <c r="AB24" s="551"/>
      <c r="AC24" s="551"/>
      <c r="AD24" s="551"/>
      <c r="AE24" s="551"/>
    </row>
    <row r="25" ht="11.25" customHeight="1">
      <c r="A25" s="631"/>
      <c r="B25" s="631"/>
      <c r="C25" s="631"/>
      <c r="D25" s="631"/>
      <c r="E25" s="631"/>
      <c r="F25" s="631"/>
      <c r="G25" s="631"/>
      <c r="H25" s="631"/>
      <c r="I25" s="631"/>
      <c r="J25" s="631"/>
      <c r="K25" s="631"/>
      <c r="L25" s="631"/>
      <c r="M25" s="631"/>
      <c r="N25" s="631"/>
      <c r="O25" s="631"/>
      <c r="P25" s="631"/>
      <c r="Q25" s="631"/>
      <c r="R25" s="631"/>
      <c r="S25" s="631"/>
      <c r="T25" s="631"/>
      <c r="U25" s="631"/>
      <c r="V25" s="632"/>
      <c r="W25" s="631"/>
      <c r="X25" s="551"/>
      <c r="Y25" s="551"/>
      <c r="Z25" s="551"/>
      <c r="AA25" s="551"/>
      <c r="AB25" s="551"/>
      <c r="AC25" s="551"/>
      <c r="AD25" s="551"/>
      <c r="AE25" s="551"/>
    </row>
    <row r="26" ht="30.75" customHeight="1">
      <c r="A26" s="633" t="s">
        <v>141</v>
      </c>
      <c r="B26" s="634"/>
      <c r="C26" s="635" t="s">
        <v>142</v>
      </c>
      <c r="D26" s="635"/>
      <c r="E26" s="636" t="s">
        <v>143</v>
      </c>
      <c r="F26" s="634"/>
      <c r="G26" s="635"/>
      <c r="H26" s="634"/>
      <c r="I26" s="637">
        <v>62.1</v>
      </c>
      <c r="J26" s="634"/>
      <c r="K26" s="637">
        <v>40.464</v>
      </c>
      <c r="L26" s="637"/>
      <c r="M26" s="637">
        <v>19.852</v>
      </c>
      <c r="N26" s="637"/>
      <c r="O26" s="637">
        <v>0.593</v>
      </c>
      <c r="P26" s="638"/>
      <c r="Q26" s="639">
        <f>$I26/K26</f>
        <v>1.534697509</v>
      </c>
      <c r="R26" s="640"/>
      <c r="S26" s="639">
        <f>$I26/M26</f>
        <v>3.128148297</v>
      </c>
      <c r="T26" s="640"/>
      <c r="U26" s="639">
        <f>$I26/O26</f>
        <v>104.7217538</v>
      </c>
      <c r="V26" s="641"/>
      <c r="W26" s="642"/>
      <c r="X26" s="629"/>
      <c r="Y26" s="629"/>
      <c r="Z26" s="629"/>
      <c r="AA26" s="629"/>
      <c r="AB26" s="629"/>
      <c r="AC26" s="629"/>
      <c r="AD26" s="629"/>
      <c r="AE26" s="629"/>
    </row>
    <row r="27" ht="11.25" customHeight="1">
      <c r="A27" s="551"/>
      <c r="B27" s="551"/>
      <c r="C27" s="551"/>
      <c r="D27" s="551"/>
      <c r="E27" s="551"/>
      <c r="F27" s="551"/>
      <c r="G27" s="551"/>
      <c r="H27" s="551"/>
      <c r="I27" s="551"/>
      <c r="J27" s="551"/>
      <c r="K27" s="551"/>
      <c r="L27" s="551"/>
      <c r="M27" s="551"/>
      <c r="N27" s="551"/>
      <c r="O27" s="551"/>
      <c r="P27" s="551"/>
      <c r="Q27" s="551"/>
      <c r="R27" s="551"/>
      <c r="S27" s="551"/>
      <c r="T27" s="551"/>
      <c r="U27" s="551"/>
      <c r="V27" s="643"/>
      <c r="W27" s="551"/>
      <c r="X27" s="551"/>
      <c r="Y27" s="551"/>
      <c r="Z27" s="551"/>
      <c r="AA27" s="551"/>
      <c r="AB27" s="551"/>
      <c r="AC27" s="551"/>
      <c r="AD27" s="551"/>
      <c r="AE27" s="551"/>
    </row>
    <row r="28" ht="11.25" customHeight="1">
      <c r="A28" s="551"/>
      <c r="B28" s="551"/>
      <c r="C28" s="551"/>
      <c r="D28" s="551"/>
      <c r="E28" s="551"/>
      <c r="F28" s="551"/>
      <c r="G28" s="551"/>
      <c r="H28" s="551"/>
      <c r="I28" s="551"/>
      <c r="J28" s="551"/>
      <c r="K28" s="551"/>
      <c r="L28" s="551"/>
      <c r="M28" s="551"/>
      <c r="N28" s="551"/>
      <c r="O28" s="551"/>
      <c r="P28" s="551"/>
      <c r="Q28" s="551"/>
      <c r="R28" s="551"/>
      <c r="S28" s="551"/>
      <c r="T28" s="551"/>
      <c r="U28" s="551"/>
      <c r="V28" s="643"/>
      <c r="W28" s="551"/>
      <c r="X28" s="551"/>
      <c r="Y28" s="551"/>
      <c r="Z28" s="551"/>
      <c r="AA28" s="551"/>
      <c r="AB28" s="551"/>
      <c r="AC28" s="551"/>
      <c r="AD28" s="551"/>
      <c r="AE28" s="551"/>
    </row>
    <row r="29" ht="11.25" customHeight="1">
      <c r="A29" s="551"/>
      <c r="B29" s="551"/>
      <c r="C29" s="551"/>
      <c r="D29" s="551"/>
      <c r="E29" s="551"/>
      <c r="F29" s="551"/>
      <c r="G29" s="551"/>
      <c r="H29" s="551"/>
      <c r="I29" s="551"/>
      <c r="J29" s="551"/>
      <c r="K29" s="551"/>
      <c r="L29" s="551"/>
      <c r="M29" s="551"/>
      <c r="N29" s="551"/>
      <c r="O29" s="551"/>
      <c r="P29" s="551"/>
      <c r="Q29" s="551"/>
      <c r="R29" s="551"/>
      <c r="S29" s="551"/>
      <c r="T29" s="551"/>
      <c r="U29" s="551"/>
      <c r="V29" s="643"/>
      <c r="W29" s="551"/>
      <c r="X29" s="551"/>
      <c r="Y29" s="551"/>
      <c r="Z29" s="551"/>
      <c r="AA29" s="551"/>
      <c r="AB29" s="551"/>
      <c r="AC29" s="551"/>
      <c r="AD29" s="551"/>
      <c r="AE29" s="551"/>
    </row>
    <row r="30" ht="11.25" customHeight="1">
      <c r="A30" s="551"/>
      <c r="B30" s="551"/>
      <c r="C30" s="551"/>
      <c r="D30" s="551"/>
      <c r="E30" s="551"/>
      <c r="F30" s="551"/>
      <c r="G30" s="551"/>
      <c r="H30" s="551"/>
      <c r="I30" s="551"/>
      <c r="J30" s="551"/>
      <c r="K30" s="551"/>
      <c r="L30" s="551"/>
      <c r="M30" s="551"/>
      <c r="N30" s="551"/>
      <c r="O30" s="551"/>
      <c r="P30" s="551"/>
      <c r="Q30" s="551"/>
      <c r="R30" s="551"/>
      <c r="S30" s="551"/>
      <c r="T30" s="551"/>
      <c r="U30" s="551"/>
      <c r="V30" s="643"/>
      <c r="W30" s="551"/>
      <c r="X30" s="551"/>
      <c r="Y30" s="551"/>
      <c r="Z30" s="551"/>
      <c r="AA30" s="551"/>
      <c r="AB30" s="551"/>
      <c r="AC30" s="551"/>
      <c r="AD30" s="551"/>
      <c r="AE30" s="551"/>
    </row>
    <row r="31" ht="11.25" customHeight="1">
      <c r="A31" s="551"/>
      <c r="B31" s="551"/>
      <c r="C31" s="551"/>
      <c r="D31" s="551"/>
      <c r="E31" s="551"/>
      <c r="F31" s="551"/>
      <c r="G31" s="551"/>
      <c r="H31" s="551"/>
      <c r="I31" s="551"/>
      <c r="J31" s="551"/>
      <c r="K31" s="551"/>
      <c r="L31" s="551"/>
      <c r="M31" s="551"/>
      <c r="N31" s="551"/>
      <c r="O31" s="551"/>
      <c r="P31" s="551"/>
      <c r="Q31" s="551"/>
      <c r="R31" s="551"/>
      <c r="S31" s="551"/>
      <c r="T31" s="551"/>
      <c r="U31" s="551"/>
      <c r="V31" s="643"/>
      <c r="W31" s="551"/>
      <c r="X31" s="551"/>
      <c r="Y31" s="551"/>
      <c r="Z31" s="551"/>
      <c r="AA31" s="551"/>
      <c r="AB31" s="551"/>
      <c r="AC31" s="551"/>
      <c r="AD31" s="551"/>
      <c r="AE31" s="551"/>
    </row>
    <row r="32" ht="11.25" customHeight="1">
      <c r="A32" s="551"/>
      <c r="B32" s="551"/>
      <c r="C32" s="551"/>
      <c r="D32" s="551"/>
      <c r="E32" s="551"/>
      <c r="F32" s="551"/>
      <c r="G32" s="551"/>
      <c r="H32" s="551"/>
      <c r="I32" s="551"/>
      <c r="J32" s="551"/>
      <c r="K32" s="551"/>
      <c r="L32" s="551"/>
      <c r="M32" s="551"/>
      <c r="N32" s="551"/>
      <c r="O32" s="551"/>
      <c r="P32" s="551"/>
      <c r="Q32" s="551"/>
      <c r="R32" s="551"/>
      <c r="S32" s="551"/>
      <c r="T32" s="551"/>
      <c r="U32" s="551"/>
      <c r="V32" s="643"/>
      <c r="W32" s="551"/>
      <c r="X32" s="551"/>
      <c r="Y32" s="551"/>
      <c r="Z32" s="551"/>
      <c r="AA32" s="551"/>
      <c r="AB32" s="551"/>
      <c r="AC32" s="551"/>
      <c r="AD32" s="551"/>
      <c r="AE32" s="551"/>
    </row>
    <row r="33" ht="11.25" customHeight="1">
      <c r="A33" s="551"/>
      <c r="B33" s="551"/>
      <c r="C33" s="551"/>
      <c r="D33" s="551"/>
      <c r="E33" s="551"/>
      <c r="F33" s="551"/>
      <c r="G33" s="551"/>
      <c r="H33" s="551"/>
      <c r="I33" s="551"/>
      <c r="J33" s="551"/>
      <c r="K33" s="551"/>
      <c r="L33" s="551"/>
      <c r="M33" s="551"/>
      <c r="N33" s="551"/>
      <c r="O33" s="551"/>
      <c r="P33" s="551"/>
      <c r="Q33" s="551"/>
      <c r="R33" s="551"/>
      <c r="S33" s="551"/>
      <c r="T33" s="551"/>
      <c r="U33" s="551"/>
      <c r="V33" s="643"/>
      <c r="W33" s="551"/>
      <c r="X33" s="551"/>
      <c r="Y33" s="551"/>
      <c r="Z33" s="551"/>
      <c r="AA33" s="551"/>
      <c r="AB33" s="551"/>
      <c r="AC33" s="551"/>
      <c r="AD33" s="551"/>
      <c r="AE33" s="551"/>
    </row>
    <row r="34" ht="11.25" customHeight="1">
      <c r="A34" s="551"/>
      <c r="B34" s="551"/>
      <c r="C34" s="551"/>
      <c r="D34" s="551"/>
      <c r="E34" s="551"/>
      <c r="F34" s="551"/>
      <c r="G34" s="551"/>
      <c r="H34" s="551"/>
      <c r="I34" s="551"/>
      <c r="J34" s="551"/>
      <c r="K34" s="551"/>
      <c r="L34" s="551"/>
      <c r="M34" s="551"/>
      <c r="N34" s="551"/>
      <c r="O34" s="551"/>
      <c r="P34" s="551"/>
      <c r="Q34" s="551"/>
      <c r="R34" s="551"/>
      <c r="S34" s="551"/>
      <c r="T34" s="551"/>
      <c r="U34" s="551"/>
      <c r="V34" s="643"/>
      <c r="W34" s="551"/>
      <c r="X34" s="551"/>
      <c r="Y34" s="551"/>
      <c r="Z34" s="551"/>
      <c r="AA34" s="551"/>
      <c r="AB34" s="551"/>
      <c r="AC34" s="551"/>
      <c r="AD34" s="551"/>
      <c r="AE34" s="551"/>
    </row>
    <row r="35" ht="11.25" customHeight="1">
      <c r="A35" s="551"/>
      <c r="B35" s="551"/>
      <c r="C35" s="551"/>
      <c r="D35" s="551"/>
      <c r="E35" s="551"/>
      <c r="F35" s="551"/>
      <c r="G35" s="551"/>
      <c r="H35" s="551"/>
      <c r="I35" s="551"/>
      <c r="J35" s="551"/>
      <c r="K35" s="551"/>
      <c r="L35" s="551"/>
      <c r="M35" s="551"/>
      <c r="N35" s="551"/>
      <c r="O35" s="551"/>
      <c r="P35" s="551"/>
      <c r="Q35" s="551"/>
      <c r="R35" s="551"/>
      <c r="S35" s="551"/>
      <c r="T35" s="551"/>
      <c r="U35" s="551"/>
      <c r="V35" s="643"/>
      <c r="W35" s="551"/>
      <c r="X35" s="551"/>
      <c r="Y35" s="551"/>
      <c r="Z35" s="551"/>
      <c r="AA35" s="551"/>
      <c r="AB35" s="551"/>
      <c r="AC35" s="551"/>
      <c r="AD35" s="551"/>
      <c r="AE35" s="551"/>
    </row>
    <row r="36" ht="11.25" customHeight="1">
      <c r="A36" s="551"/>
      <c r="B36" s="551"/>
      <c r="C36" s="551"/>
      <c r="D36" s="551"/>
      <c r="E36" s="551"/>
      <c r="F36" s="551"/>
      <c r="G36" s="551"/>
      <c r="H36" s="551"/>
      <c r="I36" s="551"/>
      <c r="J36" s="551"/>
      <c r="K36" s="551"/>
      <c r="L36" s="551"/>
      <c r="M36" s="551"/>
      <c r="N36" s="551"/>
      <c r="O36" s="551"/>
      <c r="P36" s="551"/>
      <c r="Q36" s="551"/>
      <c r="R36" s="551"/>
      <c r="S36" s="551"/>
      <c r="T36" s="551"/>
      <c r="U36" s="551"/>
      <c r="V36" s="643"/>
      <c r="W36" s="551"/>
      <c r="X36" s="551"/>
      <c r="Y36" s="551"/>
      <c r="Z36" s="551"/>
      <c r="AA36" s="551"/>
      <c r="AB36" s="551"/>
      <c r="AC36" s="551"/>
      <c r="AD36" s="551"/>
      <c r="AE36" s="551"/>
    </row>
    <row r="37" ht="11.25" customHeight="1">
      <c r="A37" s="551"/>
      <c r="B37" s="551"/>
      <c r="C37" s="551"/>
      <c r="D37" s="551"/>
      <c r="E37" s="551"/>
      <c r="F37" s="551"/>
      <c r="G37" s="551"/>
      <c r="H37" s="551"/>
      <c r="I37" s="551"/>
      <c r="J37" s="551"/>
      <c r="K37" s="551"/>
      <c r="L37" s="551"/>
      <c r="M37" s="551"/>
      <c r="N37" s="551"/>
      <c r="O37" s="551"/>
      <c r="P37" s="551"/>
      <c r="Q37" s="551"/>
      <c r="R37" s="551"/>
      <c r="S37" s="551"/>
      <c r="T37" s="551"/>
      <c r="U37" s="551"/>
      <c r="V37" s="643"/>
      <c r="W37" s="551"/>
      <c r="X37" s="551"/>
      <c r="Y37" s="551"/>
      <c r="Z37" s="551"/>
      <c r="AA37" s="551"/>
      <c r="AB37" s="551"/>
      <c r="AC37" s="551"/>
      <c r="AD37" s="551"/>
      <c r="AE37" s="551"/>
    </row>
    <row r="38" ht="11.25" customHeight="1">
      <c r="A38" s="551"/>
      <c r="B38" s="551"/>
      <c r="C38" s="551"/>
      <c r="D38" s="551"/>
      <c r="E38" s="551"/>
      <c r="F38" s="551"/>
      <c r="G38" s="551"/>
      <c r="H38" s="551"/>
      <c r="I38" s="551"/>
      <c r="J38" s="551"/>
      <c r="K38" s="551"/>
      <c r="L38" s="551"/>
      <c r="M38" s="551"/>
      <c r="N38" s="551"/>
      <c r="O38" s="551"/>
      <c r="P38" s="551"/>
      <c r="Q38" s="551"/>
      <c r="R38" s="551"/>
      <c r="S38" s="551"/>
      <c r="T38" s="551"/>
      <c r="U38" s="551"/>
      <c r="V38" s="643"/>
      <c r="W38" s="551"/>
      <c r="X38" s="551"/>
      <c r="Y38" s="551"/>
      <c r="Z38" s="551"/>
      <c r="AA38" s="551"/>
      <c r="AB38" s="551"/>
      <c r="AC38" s="551"/>
      <c r="AD38" s="551"/>
      <c r="AE38" s="551"/>
    </row>
    <row r="39" ht="11.25" customHeight="1">
      <c r="A39" s="551"/>
      <c r="B39" s="551"/>
      <c r="C39" s="551"/>
      <c r="D39" s="551"/>
      <c r="E39" s="551"/>
      <c r="F39" s="551"/>
      <c r="G39" s="551"/>
      <c r="H39" s="551"/>
      <c r="I39" s="551"/>
      <c r="J39" s="551"/>
      <c r="K39" s="551"/>
      <c r="L39" s="551"/>
      <c r="M39" s="551"/>
      <c r="N39" s="551"/>
      <c r="O39" s="551"/>
      <c r="P39" s="551"/>
      <c r="Q39" s="551"/>
      <c r="R39" s="551"/>
      <c r="S39" s="551"/>
      <c r="T39" s="551"/>
      <c r="U39" s="551"/>
      <c r="V39" s="643"/>
      <c r="W39" s="551"/>
      <c r="X39" s="551"/>
      <c r="Y39" s="551"/>
      <c r="Z39" s="551"/>
      <c r="AA39" s="551"/>
      <c r="AB39" s="551"/>
      <c r="AC39" s="551"/>
      <c r="AD39" s="551"/>
      <c r="AE39" s="551"/>
    </row>
    <row r="40" ht="11.25" customHeight="1">
      <c r="A40" s="551"/>
      <c r="B40" s="551"/>
      <c r="C40" s="551"/>
      <c r="D40" s="551"/>
      <c r="E40" s="551"/>
      <c r="F40" s="551"/>
      <c r="G40" s="551"/>
      <c r="H40" s="551"/>
      <c r="I40" s="551"/>
      <c r="J40" s="551"/>
      <c r="K40" s="551"/>
      <c r="L40" s="551"/>
      <c r="M40" s="551"/>
      <c r="N40" s="551"/>
      <c r="O40" s="551"/>
      <c r="P40" s="551"/>
      <c r="Q40" s="551"/>
      <c r="R40" s="551"/>
      <c r="S40" s="551"/>
      <c r="T40" s="551"/>
      <c r="U40" s="551"/>
      <c r="V40" s="643"/>
      <c r="W40" s="551"/>
      <c r="X40" s="551"/>
      <c r="Y40" s="551"/>
      <c r="Z40" s="551"/>
      <c r="AA40" s="551"/>
      <c r="AB40" s="551"/>
      <c r="AC40" s="551"/>
      <c r="AD40" s="551"/>
      <c r="AE40" s="551"/>
    </row>
    <row r="41" ht="11.25" customHeight="1">
      <c r="A41" s="551"/>
      <c r="B41" s="551"/>
      <c r="C41" s="551"/>
      <c r="D41" s="551"/>
      <c r="E41" s="551"/>
      <c r="F41" s="551"/>
      <c r="G41" s="551"/>
      <c r="H41" s="551"/>
      <c r="I41" s="551"/>
      <c r="J41" s="551"/>
      <c r="K41" s="551"/>
      <c r="L41" s="551"/>
      <c r="M41" s="551"/>
      <c r="N41" s="551"/>
      <c r="O41" s="551"/>
      <c r="P41" s="551"/>
      <c r="Q41" s="551"/>
      <c r="R41" s="551"/>
      <c r="S41" s="551"/>
      <c r="T41" s="551"/>
      <c r="U41" s="551"/>
      <c r="V41" s="643"/>
      <c r="W41" s="551"/>
      <c r="X41" s="551"/>
      <c r="Y41" s="551"/>
      <c r="Z41" s="551"/>
      <c r="AA41" s="551"/>
      <c r="AB41" s="551"/>
      <c r="AC41" s="551"/>
      <c r="AD41" s="551"/>
      <c r="AE41" s="551"/>
    </row>
    <row r="42" ht="11.25" customHeight="1">
      <c r="A42" s="551"/>
      <c r="B42" s="551"/>
      <c r="C42" s="551"/>
      <c r="D42" s="551"/>
      <c r="E42" s="551"/>
      <c r="F42" s="551"/>
      <c r="G42" s="551"/>
      <c r="H42" s="551"/>
      <c r="I42" s="551"/>
      <c r="J42" s="551"/>
      <c r="K42" s="551"/>
      <c r="L42" s="551"/>
      <c r="M42" s="551"/>
      <c r="N42" s="551"/>
      <c r="O42" s="551"/>
      <c r="P42" s="551"/>
      <c r="Q42" s="551"/>
      <c r="R42" s="551"/>
      <c r="S42" s="551"/>
      <c r="T42" s="551"/>
      <c r="U42" s="551"/>
      <c r="V42" s="643"/>
      <c r="W42" s="551"/>
      <c r="X42" s="551"/>
      <c r="Y42" s="551"/>
      <c r="Z42" s="551"/>
      <c r="AA42" s="551"/>
      <c r="AB42" s="551"/>
      <c r="AC42" s="551"/>
      <c r="AD42" s="551"/>
      <c r="AE42" s="551"/>
    </row>
    <row r="43" ht="11.25" customHeight="1">
      <c r="A43" s="551"/>
      <c r="B43" s="551"/>
      <c r="C43" s="551"/>
      <c r="D43" s="551"/>
      <c r="E43" s="551"/>
      <c r="F43" s="551"/>
      <c r="G43" s="551"/>
      <c r="H43" s="551"/>
      <c r="I43" s="551"/>
      <c r="J43" s="551"/>
      <c r="K43" s="551"/>
      <c r="L43" s="551"/>
      <c r="M43" s="551"/>
      <c r="N43" s="551"/>
      <c r="O43" s="551"/>
      <c r="P43" s="551"/>
      <c r="Q43" s="551"/>
      <c r="R43" s="551"/>
      <c r="S43" s="551"/>
      <c r="T43" s="551"/>
      <c r="U43" s="551"/>
      <c r="V43" s="643"/>
      <c r="W43" s="551"/>
      <c r="X43" s="551"/>
      <c r="Y43" s="551"/>
      <c r="Z43" s="551"/>
      <c r="AA43" s="551"/>
      <c r="AB43" s="551"/>
      <c r="AC43" s="551"/>
      <c r="AD43" s="551"/>
      <c r="AE43" s="551"/>
    </row>
    <row r="44" ht="11.25" customHeight="1">
      <c r="A44" s="551"/>
      <c r="B44" s="551"/>
      <c r="C44" s="551"/>
      <c r="D44" s="551"/>
      <c r="E44" s="551"/>
      <c r="F44" s="551"/>
      <c r="G44" s="551"/>
      <c r="H44" s="551"/>
      <c r="I44" s="551"/>
      <c r="J44" s="551"/>
      <c r="K44" s="551"/>
      <c r="L44" s="551"/>
      <c r="M44" s="551"/>
      <c r="N44" s="551"/>
      <c r="O44" s="551"/>
      <c r="P44" s="551"/>
      <c r="Q44" s="551"/>
      <c r="R44" s="551"/>
      <c r="S44" s="551"/>
      <c r="T44" s="551"/>
      <c r="U44" s="551"/>
      <c r="V44" s="643"/>
      <c r="W44" s="551"/>
      <c r="X44" s="551"/>
      <c r="Y44" s="551"/>
      <c r="Z44" s="551"/>
      <c r="AA44" s="551"/>
      <c r="AB44" s="551"/>
      <c r="AC44" s="551"/>
      <c r="AD44" s="551"/>
      <c r="AE44" s="551"/>
    </row>
    <row r="45" ht="11.25" customHeight="1">
      <c r="A45" s="551"/>
      <c r="B45" s="551"/>
      <c r="C45" s="551"/>
      <c r="D45" s="551"/>
      <c r="E45" s="551"/>
      <c r="F45" s="551"/>
      <c r="G45" s="551"/>
      <c r="H45" s="551"/>
      <c r="I45" s="551"/>
      <c r="J45" s="551"/>
      <c r="K45" s="551"/>
      <c r="L45" s="551"/>
      <c r="M45" s="551"/>
      <c r="N45" s="551"/>
      <c r="O45" s="551"/>
      <c r="P45" s="551"/>
      <c r="Q45" s="551"/>
      <c r="R45" s="551"/>
      <c r="S45" s="551"/>
      <c r="T45" s="551"/>
      <c r="U45" s="551"/>
      <c r="V45" s="643"/>
      <c r="W45" s="551"/>
      <c r="X45" s="551"/>
      <c r="Y45" s="551"/>
      <c r="Z45" s="551"/>
      <c r="AA45" s="551"/>
      <c r="AB45" s="551"/>
      <c r="AC45" s="551"/>
      <c r="AD45" s="551"/>
      <c r="AE45" s="551"/>
    </row>
    <row r="46" ht="11.25" customHeight="1">
      <c r="A46" s="551"/>
      <c r="B46" s="551"/>
      <c r="C46" s="551"/>
      <c r="D46" s="551"/>
      <c r="E46" s="551"/>
      <c r="F46" s="551"/>
      <c r="G46" s="551"/>
      <c r="H46" s="551"/>
      <c r="I46" s="551"/>
      <c r="J46" s="551"/>
      <c r="K46" s="551"/>
      <c r="L46" s="551"/>
      <c r="M46" s="551"/>
      <c r="N46" s="551"/>
      <c r="O46" s="551"/>
      <c r="P46" s="551"/>
      <c r="Q46" s="551"/>
      <c r="R46" s="551"/>
      <c r="S46" s="551"/>
      <c r="T46" s="551"/>
      <c r="U46" s="551"/>
      <c r="V46" s="643"/>
      <c r="W46" s="551"/>
      <c r="X46" s="551"/>
      <c r="Y46" s="551"/>
      <c r="Z46" s="551"/>
      <c r="AA46" s="551"/>
      <c r="AB46" s="551"/>
      <c r="AC46" s="551"/>
      <c r="AD46" s="551"/>
      <c r="AE46" s="551"/>
    </row>
    <row r="47" ht="11.25" customHeight="1">
      <c r="A47" s="551"/>
      <c r="B47" s="551"/>
      <c r="C47" s="551"/>
      <c r="D47" s="551"/>
      <c r="E47" s="551"/>
      <c r="F47" s="551"/>
      <c r="G47" s="551"/>
      <c r="H47" s="551"/>
      <c r="I47" s="551"/>
      <c r="J47" s="551"/>
      <c r="K47" s="551"/>
      <c r="L47" s="551"/>
      <c r="M47" s="551"/>
      <c r="N47" s="551"/>
      <c r="O47" s="551"/>
      <c r="P47" s="551"/>
      <c r="Q47" s="551"/>
      <c r="R47" s="551"/>
      <c r="S47" s="551"/>
      <c r="T47" s="551"/>
      <c r="U47" s="551"/>
      <c r="V47" s="643"/>
      <c r="W47" s="551"/>
      <c r="X47" s="551"/>
      <c r="Y47" s="551"/>
      <c r="Z47" s="551"/>
      <c r="AA47" s="551"/>
      <c r="AB47" s="551"/>
      <c r="AC47" s="551"/>
      <c r="AD47" s="551"/>
      <c r="AE47" s="551"/>
    </row>
    <row r="48" ht="11.25" customHeight="1">
      <c r="A48" s="551"/>
      <c r="B48" s="551"/>
      <c r="C48" s="551"/>
      <c r="D48" s="551"/>
      <c r="E48" s="551"/>
      <c r="F48" s="551"/>
      <c r="G48" s="551"/>
      <c r="H48" s="551"/>
      <c r="I48" s="551"/>
      <c r="J48" s="551"/>
      <c r="K48" s="551"/>
      <c r="L48" s="551"/>
      <c r="M48" s="551"/>
      <c r="N48" s="551"/>
      <c r="O48" s="551"/>
      <c r="P48" s="551"/>
      <c r="Q48" s="551"/>
      <c r="R48" s="551"/>
      <c r="S48" s="551"/>
      <c r="T48" s="551"/>
      <c r="U48" s="551"/>
      <c r="V48" s="643"/>
      <c r="W48" s="551"/>
      <c r="X48" s="551"/>
      <c r="Y48" s="551"/>
      <c r="Z48" s="551"/>
      <c r="AA48" s="551"/>
      <c r="AB48" s="551"/>
      <c r="AC48" s="551"/>
      <c r="AD48" s="551"/>
      <c r="AE48" s="551"/>
    </row>
    <row r="49" ht="11.25" customHeight="1">
      <c r="A49" s="551"/>
      <c r="B49" s="551"/>
      <c r="C49" s="551"/>
      <c r="D49" s="551"/>
      <c r="E49" s="551"/>
      <c r="F49" s="551"/>
      <c r="G49" s="551"/>
      <c r="H49" s="551"/>
      <c r="I49" s="551"/>
      <c r="J49" s="551"/>
      <c r="K49" s="551"/>
      <c r="L49" s="551"/>
      <c r="M49" s="551"/>
      <c r="N49" s="551"/>
      <c r="O49" s="551"/>
      <c r="P49" s="551"/>
      <c r="Q49" s="551"/>
      <c r="R49" s="551"/>
      <c r="S49" s="551"/>
      <c r="T49" s="551"/>
      <c r="U49" s="551"/>
      <c r="V49" s="643"/>
      <c r="W49" s="551"/>
      <c r="X49" s="551"/>
      <c r="Y49" s="551"/>
      <c r="Z49" s="551"/>
      <c r="AA49" s="551"/>
      <c r="AB49" s="551"/>
      <c r="AC49" s="551"/>
      <c r="AD49" s="551"/>
      <c r="AE49" s="551"/>
    </row>
    <row r="50" ht="11.25" customHeight="1">
      <c r="A50" s="551"/>
      <c r="B50" s="551"/>
      <c r="C50" s="551"/>
      <c r="D50" s="551"/>
      <c r="E50" s="551"/>
      <c r="F50" s="551"/>
      <c r="G50" s="551"/>
      <c r="H50" s="551"/>
      <c r="I50" s="551"/>
      <c r="J50" s="551"/>
      <c r="K50" s="551"/>
      <c r="L50" s="551"/>
      <c r="M50" s="551"/>
      <c r="N50" s="551"/>
      <c r="O50" s="551"/>
      <c r="P50" s="551"/>
      <c r="Q50" s="551"/>
      <c r="R50" s="551"/>
      <c r="S50" s="551"/>
      <c r="T50" s="551"/>
      <c r="U50" s="551"/>
      <c r="V50" s="643"/>
      <c r="W50" s="551"/>
      <c r="X50" s="551"/>
      <c r="Y50" s="551"/>
      <c r="Z50" s="551"/>
      <c r="AA50" s="551"/>
      <c r="AB50" s="551"/>
      <c r="AC50" s="551"/>
      <c r="AD50" s="551"/>
      <c r="AE50" s="551"/>
    </row>
    <row r="51" ht="11.25" customHeight="1">
      <c r="A51" s="551"/>
      <c r="B51" s="551"/>
      <c r="C51" s="551"/>
      <c r="D51" s="551"/>
      <c r="E51" s="551"/>
      <c r="F51" s="551"/>
      <c r="G51" s="551"/>
      <c r="H51" s="551"/>
      <c r="I51" s="551"/>
      <c r="J51" s="551"/>
      <c r="K51" s="551"/>
      <c r="L51" s="551"/>
      <c r="M51" s="551"/>
      <c r="N51" s="551"/>
      <c r="O51" s="551"/>
      <c r="P51" s="551"/>
      <c r="Q51" s="551"/>
      <c r="R51" s="551"/>
      <c r="S51" s="551"/>
      <c r="T51" s="551"/>
      <c r="U51" s="551"/>
      <c r="V51" s="643"/>
      <c r="W51" s="551"/>
      <c r="X51" s="551"/>
      <c r="Y51" s="551"/>
      <c r="Z51" s="551"/>
      <c r="AA51" s="551"/>
      <c r="AB51" s="551"/>
      <c r="AC51" s="551"/>
      <c r="AD51" s="551"/>
      <c r="AE51" s="551"/>
    </row>
    <row r="52" ht="11.25" customHeight="1">
      <c r="A52" s="551"/>
      <c r="B52" s="551"/>
      <c r="C52" s="551"/>
      <c r="D52" s="551"/>
      <c r="E52" s="551"/>
      <c r="F52" s="551"/>
      <c r="G52" s="551"/>
      <c r="H52" s="551"/>
      <c r="I52" s="551"/>
      <c r="J52" s="551"/>
      <c r="K52" s="551"/>
      <c r="L52" s="551"/>
      <c r="M52" s="551"/>
      <c r="N52" s="551"/>
      <c r="O52" s="551"/>
      <c r="P52" s="551"/>
      <c r="Q52" s="551"/>
      <c r="R52" s="551"/>
      <c r="S52" s="551"/>
      <c r="T52" s="551"/>
      <c r="U52" s="551"/>
      <c r="V52" s="643"/>
      <c r="W52" s="551"/>
      <c r="X52" s="551"/>
      <c r="Y52" s="551"/>
      <c r="Z52" s="551"/>
      <c r="AA52" s="551"/>
      <c r="AB52" s="551"/>
      <c r="AC52" s="551"/>
      <c r="AD52" s="551"/>
      <c r="AE52" s="551"/>
    </row>
    <row r="53" ht="11.25" customHeight="1">
      <c r="A53" s="551"/>
      <c r="B53" s="551"/>
      <c r="C53" s="551"/>
      <c r="D53" s="551"/>
      <c r="E53" s="551"/>
      <c r="F53" s="551"/>
      <c r="G53" s="551"/>
      <c r="H53" s="551"/>
      <c r="I53" s="551"/>
      <c r="J53" s="551"/>
      <c r="K53" s="551"/>
      <c r="L53" s="551"/>
      <c r="M53" s="551"/>
      <c r="N53" s="551"/>
      <c r="O53" s="551"/>
      <c r="P53" s="551"/>
      <c r="Q53" s="551"/>
      <c r="R53" s="551"/>
      <c r="S53" s="551"/>
      <c r="T53" s="551"/>
      <c r="U53" s="551"/>
      <c r="V53" s="643"/>
      <c r="W53" s="551"/>
      <c r="X53" s="551"/>
      <c r="Y53" s="551"/>
      <c r="Z53" s="551"/>
      <c r="AA53" s="551"/>
      <c r="AB53" s="551"/>
      <c r="AC53" s="551"/>
      <c r="AD53" s="551"/>
      <c r="AE53" s="551"/>
    </row>
    <row r="54" ht="11.25" customHeight="1">
      <c r="A54" s="551"/>
      <c r="B54" s="551"/>
      <c r="C54" s="551"/>
      <c r="D54" s="551"/>
      <c r="E54" s="551"/>
      <c r="F54" s="551"/>
      <c r="G54" s="551"/>
      <c r="H54" s="551"/>
      <c r="I54" s="551"/>
      <c r="J54" s="551"/>
      <c r="K54" s="551"/>
      <c r="L54" s="551"/>
      <c r="M54" s="551"/>
      <c r="N54" s="551"/>
      <c r="O54" s="551"/>
      <c r="P54" s="551"/>
      <c r="Q54" s="551"/>
      <c r="R54" s="551"/>
      <c r="S54" s="551"/>
      <c r="T54" s="551"/>
      <c r="U54" s="551"/>
      <c r="V54" s="643"/>
      <c r="W54" s="551"/>
      <c r="X54" s="551"/>
      <c r="Y54" s="551"/>
      <c r="Z54" s="551"/>
      <c r="AA54" s="551"/>
      <c r="AB54" s="551"/>
      <c r="AC54" s="551"/>
      <c r="AD54" s="551"/>
      <c r="AE54" s="551"/>
    </row>
    <row r="55" ht="11.25" customHeight="1">
      <c r="A55" s="551"/>
      <c r="B55" s="551"/>
      <c r="C55" s="551"/>
      <c r="D55" s="551"/>
      <c r="E55" s="551"/>
      <c r="F55" s="551"/>
      <c r="G55" s="551"/>
      <c r="H55" s="551"/>
      <c r="I55" s="551"/>
      <c r="J55" s="551"/>
      <c r="K55" s="551"/>
      <c r="L55" s="551"/>
      <c r="M55" s="551"/>
      <c r="N55" s="551"/>
      <c r="O55" s="551"/>
      <c r="P55" s="551"/>
      <c r="Q55" s="551"/>
      <c r="R55" s="551"/>
      <c r="S55" s="551"/>
      <c r="T55" s="551"/>
      <c r="U55" s="551"/>
      <c r="V55" s="643"/>
      <c r="W55" s="551"/>
      <c r="X55" s="551"/>
      <c r="Y55" s="551"/>
      <c r="Z55" s="551"/>
      <c r="AA55" s="551"/>
      <c r="AB55" s="551"/>
      <c r="AC55" s="551"/>
      <c r="AD55" s="551"/>
      <c r="AE55" s="551"/>
    </row>
    <row r="56" ht="11.25" customHeight="1">
      <c r="A56" s="551"/>
      <c r="B56" s="551"/>
      <c r="C56" s="551"/>
      <c r="D56" s="551"/>
      <c r="E56" s="551"/>
      <c r="F56" s="551"/>
      <c r="G56" s="551"/>
      <c r="H56" s="551"/>
      <c r="I56" s="551"/>
      <c r="J56" s="551"/>
      <c r="K56" s="551"/>
      <c r="L56" s="551"/>
      <c r="M56" s="551"/>
      <c r="N56" s="551"/>
      <c r="O56" s="551"/>
      <c r="P56" s="551"/>
      <c r="Q56" s="551"/>
      <c r="R56" s="551"/>
      <c r="S56" s="551"/>
      <c r="T56" s="551"/>
      <c r="U56" s="551"/>
      <c r="V56" s="643"/>
      <c r="W56" s="551"/>
      <c r="X56" s="551"/>
      <c r="Y56" s="551"/>
      <c r="Z56" s="551"/>
      <c r="AA56" s="551"/>
      <c r="AB56" s="551"/>
      <c r="AC56" s="551"/>
      <c r="AD56" s="551"/>
      <c r="AE56" s="551"/>
    </row>
    <row r="57" ht="11.25" customHeight="1">
      <c r="A57" s="551"/>
      <c r="B57" s="551"/>
      <c r="C57" s="551"/>
      <c r="D57" s="551"/>
      <c r="E57" s="551"/>
      <c r="F57" s="551"/>
      <c r="G57" s="551"/>
      <c r="H57" s="551"/>
      <c r="I57" s="551"/>
      <c r="J57" s="551"/>
      <c r="K57" s="551"/>
      <c r="L57" s="551"/>
      <c r="M57" s="551"/>
      <c r="N57" s="551"/>
      <c r="O57" s="551"/>
      <c r="P57" s="551"/>
      <c r="Q57" s="551"/>
      <c r="R57" s="551"/>
      <c r="S57" s="551"/>
      <c r="T57" s="551"/>
      <c r="U57" s="551"/>
      <c r="V57" s="643"/>
      <c r="W57" s="551"/>
      <c r="X57" s="551"/>
      <c r="Y57" s="551"/>
      <c r="Z57" s="551"/>
      <c r="AA57" s="551"/>
      <c r="AB57" s="551"/>
      <c r="AC57" s="551"/>
      <c r="AD57" s="551"/>
      <c r="AE57" s="551"/>
    </row>
    <row r="58" ht="11.25" customHeight="1">
      <c r="A58" s="551"/>
      <c r="B58" s="551"/>
      <c r="C58" s="551"/>
      <c r="D58" s="551"/>
      <c r="E58" s="551"/>
      <c r="F58" s="551"/>
      <c r="G58" s="551"/>
      <c r="H58" s="551"/>
      <c r="I58" s="551"/>
      <c r="J58" s="551"/>
      <c r="K58" s="551"/>
      <c r="L58" s="551"/>
      <c r="M58" s="551"/>
      <c r="N58" s="551"/>
      <c r="O58" s="551"/>
      <c r="P58" s="551"/>
      <c r="Q58" s="551"/>
      <c r="R58" s="551"/>
      <c r="S58" s="551"/>
      <c r="T58" s="551"/>
      <c r="U58" s="551"/>
      <c r="V58" s="643"/>
      <c r="W58" s="551"/>
      <c r="X58" s="551"/>
      <c r="Y58" s="551"/>
      <c r="Z58" s="551"/>
      <c r="AA58" s="551"/>
      <c r="AB58" s="551"/>
      <c r="AC58" s="551"/>
      <c r="AD58" s="551"/>
      <c r="AE58" s="551"/>
    </row>
    <row r="59" ht="11.25" customHeight="1">
      <c r="A59" s="551"/>
      <c r="B59" s="551"/>
      <c r="C59" s="551"/>
      <c r="D59" s="551"/>
      <c r="E59" s="551"/>
      <c r="F59" s="551"/>
      <c r="G59" s="551"/>
      <c r="H59" s="551"/>
      <c r="I59" s="551"/>
      <c r="J59" s="551"/>
      <c r="K59" s="551"/>
      <c r="L59" s="551"/>
      <c r="M59" s="551"/>
      <c r="N59" s="551"/>
      <c r="O59" s="551"/>
      <c r="P59" s="551"/>
      <c r="Q59" s="551"/>
      <c r="R59" s="551"/>
      <c r="S59" s="551"/>
      <c r="T59" s="551"/>
      <c r="U59" s="551"/>
      <c r="V59" s="643"/>
      <c r="W59" s="551"/>
      <c r="X59" s="551"/>
      <c r="Y59" s="551"/>
      <c r="Z59" s="551"/>
      <c r="AA59" s="551"/>
      <c r="AB59" s="551"/>
      <c r="AC59" s="551"/>
      <c r="AD59" s="551"/>
      <c r="AE59" s="551"/>
    </row>
    <row r="60" ht="11.25" customHeight="1">
      <c r="A60" s="551"/>
      <c r="B60" s="551"/>
      <c r="C60" s="551"/>
      <c r="D60" s="551"/>
      <c r="E60" s="551"/>
      <c r="F60" s="551"/>
      <c r="G60" s="551"/>
      <c r="H60" s="551"/>
      <c r="I60" s="551"/>
      <c r="J60" s="551"/>
      <c r="K60" s="551"/>
      <c r="L60" s="551"/>
      <c r="M60" s="551"/>
      <c r="N60" s="551"/>
      <c r="O60" s="551"/>
      <c r="P60" s="551"/>
      <c r="Q60" s="551"/>
      <c r="R60" s="551"/>
      <c r="S60" s="551"/>
      <c r="T60" s="551"/>
      <c r="U60" s="551"/>
      <c r="V60" s="643"/>
      <c r="W60" s="551"/>
      <c r="X60" s="551"/>
      <c r="Y60" s="551"/>
      <c r="Z60" s="551"/>
      <c r="AA60" s="551"/>
      <c r="AB60" s="551"/>
      <c r="AC60" s="551"/>
      <c r="AD60" s="551"/>
      <c r="AE60" s="551"/>
    </row>
    <row r="61" ht="11.25" customHeight="1">
      <c r="A61" s="551"/>
      <c r="B61" s="551"/>
      <c r="C61" s="551"/>
      <c r="D61" s="551"/>
      <c r="E61" s="551"/>
      <c r="F61" s="551"/>
      <c r="G61" s="551"/>
      <c r="H61" s="551"/>
      <c r="I61" s="551"/>
      <c r="J61" s="551"/>
      <c r="K61" s="551"/>
      <c r="L61" s="551"/>
      <c r="M61" s="551"/>
      <c r="N61" s="551"/>
      <c r="O61" s="551"/>
      <c r="P61" s="551"/>
      <c r="Q61" s="551"/>
      <c r="R61" s="551"/>
      <c r="S61" s="551"/>
      <c r="T61" s="551"/>
      <c r="U61" s="551"/>
      <c r="V61" s="643"/>
      <c r="W61" s="551"/>
      <c r="X61" s="551"/>
      <c r="Y61" s="551"/>
      <c r="Z61" s="551"/>
      <c r="AA61" s="551"/>
      <c r="AB61" s="551"/>
      <c r="AC61" s="551"/>
      <c r="AD61" s="551"/>
      <c r="AE61" s="551"/>
    </row>
    <row r="62" ht="11.25" customHeight="1">
      <c r="A62" s="551"/>
      <c r="B62" s="551"/>
      <c r="C62" s="551"/>
      <c r="D62" s="551"/>
      <c r="E62" s="551"/>
      <c r="F62" s="551"/>
      <c r="G62" s="551"/>
      <c r="H62" s="551"/>
      <c r="I62" s="551"/>
      <c r="J62" s="551"/>
      <c r="K62" s="551"/>
      <c r="L62" s="551"/>
      <c r="M62" s="551"/>
      <c r="N62" s="551"/>
      <c r="O62" s="551"/>
      <c r="P62" s="551"/>
      <c r="Q62" s="551"/>
      <c r="R62" s="551"/>
      <c r="S62" s="551"/>
      <c r="T62" s="551"/>
      <c r="U62" s="551"/>
      <c r="V62" s="643"/>
      <c r="W62" s="551"/>
      <c r="X62" s="551"/>
      <c r="Y62" s="551"/>
      <c r="Z62" s="551"/>
      <c r="AA62" s="551"/>
      <c r="AB62" s="551"/>
      <c r="AC62" s="551"/>
      <c r="AD62" s="551"/>
      <c r="AE62" s="551"/>
    </row>
    <row r="63" ht="11.25" customHeight="1">
      <c r="A63" s="551"/>
      <c r="B63" s="551"/>
      <c r="C63" s="551"/>
      <c r="D63" s="551"/>
      <c r="E63" s="551"/>
      <c r="F63" s="551"/>
      <c r="G63" s="551"/>
      <c r="H63" s="551"/>
      <c r="I63" s="551"/>
      <c r="J63" s="551"/>
      <c r="K63" s="551"/>
      <c r="L63" s="551"/>
      <c r="M63" s="551"/>
      <c r="N63" s="551"/>
      <c r="O63" s="551"/>
      <c r="P63" s="551"/>
      <c r="Q63" s="551"/>
      <c r="R63" s="551"/>
      <c r="S63" s="551"/>
      <c r="T63" s="551"/>
      <c r="U63" s="551"/>
      <c r="V63" s="643"/>
      <c r="W63" s="551"/>
      <c r="X63" s="551"/>
      <c r="Y63" s="551"/>
      <c r="Z63" s="551"/>
      <c r="AA63" s="551"/>
      <c r="AB63" s="551"/>
      <c r="AC63" s="551"/>
      <c r="AD63" s="551"/>
      <c r="AE63" s="551"/>
    </row>
    <row r="64" ht="11.25" customHeight="1">
      <c r="A64" s="551"/>
      <c r="B64" s="551"/>
      <c r="C64" s="551"/>
      <c r="D64" s="551"/>
      <c r="E64" s="551"/>
      <c r="F64" s="551"/>
      <c r="G64" s="551"/>
      <c r="H64" s="551"/>
      <c r="I64" s="551"/>
      <c r="J64" s="551"/>
      <c r="K64" s="551"/>
      <c r="L64" s="551"/>
      <c r="M64" s="551"/>
      <c r="N64" s="551"/>
      <c r="O64" s="551"/>
      <c r="P64" s="551"/>
      <c r="Q64" s="551"/>
      <c r="R64" s="551"/>
      <c r="S64" s="551"/>
      <c r="T64" s="551"/>
      <c r="U64" s="551"/>
      <c r="V64" s="643"/>
      <c r="W64" s="551"/>
      <c r="X64" s="551"/>
      <c r="Y64" s="551"/>
      <c r="Z64" s="551"/>
      <c r="AA64" s="551"/>
      <c r="AB64" s="551"/>
      <c r="AC64" s="551"/>
      <c r="AD64" s="551"/>
      <c r="AE64" s="551"/>
    </row>
    <row r="65" ht="11.25" customHeight="1">
      <c r="A65" s="551"/>
      <c r="B65" s="551"/>
      <c r="C65" s="551"/>
      <c r="D65" s="551"/>
      <c r="E65" s="551"/>
      <c r="F65" s="551"/>
      <c r="G65" s="551"/>
      <c r="H65" s="551"/>
      <c r="I65" s="551"/>
      <c r="J65" s="551"/>
      <c r="K65" s="551"/>
      <c r="L65" s="551"/>
      <c r="M65" s="551"/>
      <c r="N65" s="551"/>
      <c r="O65" s="551"/>
      <c r="P65" s="551"/>
      <c r="Q65" s="551"/>
      <c r="R65" s="551"/>
      <c r="S65" s="551"/>
      <c r="T65" s="551"/>
      <c r="U65" s="551"/>
      <c r="V65" s="643"/>
      <c r="W65" s="551"/>
      <c r="X65" s="551"/>
      <c r="Y65" s="551"/>
      <c r="Z65" s="551"/>
      <c r="AA65" s="551"/>
      <c r="AB65" s="551"/>
      <c r="AC65" s="551"/>
      <c r="AD65" s="551"/>
      <c r="AE65" s="551"/>
    </row>
    <row r="66" ht="11.25" customHeight="1">
      <c r="A66" s="551"/>
      <c r="B66" s="551"/>
      <c r="C66" s="551"/>
      <c r="D66" s="551"/>
      <c r="E66" s="551"/>
      <c r="F66" s="551"/>
      <c r="G66" s="551"/>
      <c r="H66" s="551"/>
      <c r="I66" s="551"/>
      <c r="J66" s="551"/>
      <c r="K66" s="551"/>
      <c r="L66" s="551"/>
      <c r="M66" s="551"/>
      <c r="N66" s="551"/>
      <c r="O66" s="551"/>
      <c r="P66" s="551"/>
      <c r="Q66" s="551"/>
      <c r="R66" s="551"/>
      <c r="S66" s="551"/>
      <c r="T66" s="551"/>
      <c r="U66" s="551"/>
      <c r="V66" s="643"/>
      <c r="W66" s="551"/>
      <c r="X66" s="551"/>
      <c r="Y66" s="551"/>
      <c r="Z66" s="551"/>
      <c r="AA66" s="551"/>
      <c r="AB66" s="551"/>
      <c r="AC66" s="551"/>
      <c r="AD66" s="551"/>
      <c r="AE66" s="551"/>
    </row>
    <row r="67" ht="11.25" customHeight="1">
      <c r="A67" s="551"/>
      <c r="B67" s="551"/>
      <c r="C67" s="551"/>
      <c r="D67" s="551"/>
      <c r="E67" s="551"/>
      <c r="F67" s="551"/>
      <c r="G67" s="551"/>
      <c r="H67" s="551"/>
      <c r="I67" s="551"/>
      <c r="J67" s="551"/>
      <c r="K67" s="551"/>
      <c r="L67" s="551"/>
      <c r="M67" s="551"/>
      <c r="N67" s="551"/>
      <c r="O67" s="551"/>
      <c r="P67" s="551"/>
      <c r="Q67" s="551"/>
      <c r="R67" s="551"/>
      <c r="S67" s="551"/>
      <c r="T67" s="551"/>
      <c r="U67" s="551"/>
      <c r="V67" s="643"/>
      <c r="W67" s="551"/>
      <c r="X67" s="551"/>
      <c r="Y67" s="551"/>
      <c r="Z67" s="551"/>
      <c r="AA67" s="551"/>
      <c r="AB67" s="551"/>
      <c r="AC67" s="551"/>
      <c r="AD67" s="551"/>
      <c r="AE67" s="551"/>
    </row>
    <row r="68" ht="11.25" customHeight="1">
      <c r="A68" s="551"/>
      <c r="B68" s="551"/>
      <c r="C68" s="551"/>
      <c r="D68" s="551"/>
      <c r="E68" s="551"/>
      <c r="F68" s="551"/>
      <c r="G68" s="551"/>
      <c r="H68" s="551"/>
      <c r="I68" s="551"/>
      <c r="J68" s="551"/>
      <c r="K68" s="551"/>
      <c r="L68" s="551"/>
      <c r="M68" s="551"/>
      <c r="N68" s="551"/>
      <c r="O68" s="551"/>
      <c r="P68" s="551"/>
      <c r="Q68" s="551"/>
      <c r="R68" s="551"/>
      <c r="S68" s="551"/>
      <c r="T68" s="551"/>
      <c r="U68" s="551"/>
      <c r="V68" s="643"/>
      <c r="W68" s="551"/>
      <c r="X68" s="551"/>
      <c r="Y68" s="551"/>
      <c r="Z68" s="551"/>
      <c r="AA68" s="551"/>
      <c r="AB68" s="551"/>
      <c r="AC68" s="551"/>
      <c r="AD68" s="551"/>
      <c r="AE68" s="551"/>
    </row>
    <row r="69" ht="11.25" customHeight="1">
      <c r="A69" s="551"/>
      <c r="B69" s="551"/>
      <c r="C69" s="551"/>
      <c r="D69" s="551"/>
      <c r="E69" s="551"/>
      <c r="F69" s="551"/>
      <c r="G69" s="551"/>
      <c r="H69" s="551"/>
      <c r="I69" s="551"/>
      <c r="J69" s="551"/>
      <c r="K69" s="551"/>
      <c r="L69" s="551"/>
      <c r="M69" s="551"/>
      <c r="N69" s="551"/>
      <c r="O69" s="551"/>
      <c r="P69" s="551"/>
      <c r="Q69" s="551"/>
      <c r="R69" s="551"/>
      <c r="S69" s="551"/>
      <c r="T69" s="551"/>
      <c r="U69" s="551"/>
      <c r="V69" s="643"/>
      <c r="W69" s="551"/>
      <c r="X69" s="551"/>
      <c r="Y69" s="551"/>
      <c r="Z69" s="551"/>
      <c r="AA69" s="551"/>
      <c r="AB69" s="551"/>
      <c r="AC69" s="551"/>
      <c r="AD69" s="551"/>
      <c r="AE69" s="551"/>
    </row>
    <row r="70" ht="11.25" customHeight="1">
      <c r="A70" s="551"/>
      <c r="B70" s="551"/>
      <c r="C70" s="551"/>
      <c r="D70" s="551"/>
      <c r="E70" s="551"/>
      <c r="F70" s="551"/>
      <c r="G70" s="551"/>
      <c r="H70" s="551"/>
      <c r="I70" s="551"/>
      <c r="J70" s="551"/>
      <c r="K70" s="551"/>
      <c r="L70" s="551"/>
      <c r="M70" s="551"/>
      <c r="N70" s="551"/>
      <c r="O70" s="551"/>
      <c r="P70" s="551"/>
      <c r="Q70" s="551"/>
      <c r="R70" s="551"/>
      <c r="S70" s="551"/>
      <c r="T70" s="551"/>
      <c r="U70" s="551"/>
      <c r="V70" s="643"/>
      <c r="W70" s="551"/>
      <c r="X70" s="551"/>
      <c r="Y70" s="551"/>
      <c r="Z70" s="551"/>
      <c r="AA70" s="551"/>
      <c r="AB70" s="551"/>
      <c r="AC70" s="551"/>
      <c r="AD70" s="551"/>
      <c r="AE70" s="551"/>
    </row>
    <row r="71" ht="11.25" customHeight="1">
      <c r="A71" s="551"/>
      <c r="B71" s="551"/>
      <c r="C71" s="551"/>
      <c r="D71" s="551"/>
      <c r="E71" s="551"/>
      <c r="F71" s="551"/>
      <c r="G71" s="551"/>
      <c r="H71" s="551"/>
      <c r="I71" s="551"/>
      <c r="J71" s="551"/>
      <c r="K71" s="551"/>
      <c r="L71" s="551"/>
      <c r="M71" s="551"/>
      <c r="N71" s="551"/>
      <c r="O71" s="551"/>
      <c r="P71" s="551"/>
      <c r="Q71" s="551"/>
      <c r="R71" s="551"/>
      <c r="S71" s="551"/>
      <c r="T71" s="551"/>
      <c r="U71" s="551"/>
      <c r="V71" s="643"/>
      <c r="W71" s="551"/>
      <c r="X71" s="551"/>
      <c r="Y71" s="551"/>
      <c r="Z71" s="551"/>
      <c r="AA71" s="551"/>
      <c r="AB71" s="551"/>
      <c r="AC71" s="551"/>
      <c r="AD71" s="551"/>
      <c r="AE71" s="551"/>
    </row>
    <row r="72" ht="11.25" customHeight="1">
      <c r="A72" s="551"/>
      <c r="B72" s="551"/>
      <c r="C72" s="551"/>
      <c r="D72" s="551"/>
      <c r="E72" s="551"/>
      <c r="F72" s="551"/>
      <c r="G72" s="551"/>
      <c r="H72" s="551"/>
      <c r="I72" s="551"/>
      <c r="J72" s="551"/>
      <c r="K72" s="551"/>
      <c r="L72" s="551"/>
      <c r="M72" s="551"/>
      <c r="N72" s="551"/>
      <c r="O72" s="551"/>
      <c r="P72" s="551"/>
      <c r="Q72" s="551"/>
      <c r="R72" s="551"/>
      <c r="S72" s="551"/>
      <c r="T72" s="551"/>
      <c r="U72" s="551"/>
      <c r="V72" s="643"/>
      <c r="W72" s="551"/>
      <c r="X72" s="551"/>
      <c r="Y72" s="551"/>
      <c r="Z72" s="551"/>
      <c r="AA72" s="551"/>
      <c r="AB72" s="551"/>
      <c r="AC72" s="551"/>
      <c r="AD72" s="551"/>
      <c r="AE72" s="551"/>
    </row>
    <row r="73" ht="11.25" customHeight="1">
      <c r="A73" s="551"/>
      <c r="B73" s="551"/>
      <c r="C73" s="551"/>
      <c r="D73" s="551"/>
      <c r="E73" s="551"/>
      <c r="F73" s="551"/>
      <c r="G73" s="551"/>
      <c r="H73" s="551"/>
      <c r="I73" s="551"/>
      <c r="J73" s="551"/>
      <c r="K73" s="551"/>
      <c r="L73" s="551"/>
      <c r="M73" s="551"/>
      <c r="N73" s="551"/>
      <c r="O73" s="551"/>
      <c r="P73" s="551"/>
      <c r="Q73" s="551"/>
      <c r="R73" s="551"/>
      <c r="S73" s="551"/>
      <c r="T73" s="551"/>
      <c r="U73" s="551"/>
      <c r="V73" s="643"/>
      <c r="W73" s="551"/>
      <c r="X73" s="551"/>
      <c r="Y73" s="551"/>
      <c r="Z73" s="551"/>
      <c r="AA73" s="551"/>
      <c r="AB73" s="551"/>
      <c r="AC73" s="551"/>
      <c r="AD73" s="551"/>
      <c r="AE73" s="551"/>
    </row>
    <row r="74" ht="11.25" customHeight="1">
      <c r="A74" s="551"/>
      <c r="B74" s="551"/>
      <c r="C74" s="551"/>
      <c r="D74" s="551"/>
      <c r="E74" s="551"/>
      <c r="F74" s="551"/>
      <c r="G74" s="551"/>
      <c r="H74" s="551"/>
      <c r="I74" s="551"/>
      <c r="J74" s="551"/>
      <c r="K74" s="551"/>
      <c r="L74" s="551"/>
      <c r="M74" s="551"/>
      <c r="N74" s="551"/>
      <c r="O74" s="551"/>
      <c r="P74" s="551"/>
      <c r="Q74" s="551"/>
      <c r="R74" s="551"/>
      <c r="S74" s="551"/>
      <c r="T74" s="551"/>
      <c r="U74" s="551"/>
      <c r="V74" s="643"/>
      <c r="W74" s="551"/>
      <c r="X74" s="551"/>
      <c r="Y74" s="551"/>
      <c r="Z74" s="551"/>
      <c r="AA74" s="551"/>
      <c r="AB74" s="551"/>
      <c r="AC74" s="551"/>
      <c r="AD74" s="551"/>
      <c r="AE74" s="551"/>
    </row>
    <row r="75" ht="11.25" customHeight="1">
      <c r="A75" s="551"/>
      <c r="B75" s="551"/>
      <c r="C75" s="551"/>
      <c r="D75" s="551"/>
      <c r="E75" s="551"/>
      <c r="F75" s="551"/>
      <c r="G75" s="551"/>
      <c r="H75" s="551"/>
      <c r="I75" s="551"/>
      <c r="J75" s="551"/>
      <c r="K75" s="551"/>
      <c r="L75" s="551"/>
      <c r="M75" s="551"/>
      <c r="N75" s="551"/>
      <c r="O75" s="551"/>
      <c r="P75" s="551"/>
      <c r="Q75" s="551"/>
      <c r="R75" s="551"/>
      <c r="S75" s="551"/>
      <c r="T75" s="551"/>
      <c r="U75" s="551"/>
      <c r="V75" s="643"/>
      <c r="W75" s="551"/>
      <c r="X75" s="551"/>
      <c r="Y75" s="551"/>
      <c r="Z75" s="551"/>
      <c r="AA75" s="551"/>
      <c r="AB75" s="551"/>
      <c r="AC75" s="551"/>
      <c r="AD75" s="551"/>
      <c r="AE75" s="551"/>
    </row>
    <row r="76" ht="11.25" customHeight="1">
      <c r="A76" s="551"/>
      <c r="B76" s="551"/>
      <c r="C76" s="551"/>
      <c r="D76" s="551"/>
      <c r="E76" s="551"/>
      <c r="F76" s="551"/>
      <c r="G76" s="551"/>
      <c r="H76" s="551"/>
      <c r="I76" s="551"/>
      <c r="J76" s="551"/>
      <c r="K76" s="551"/>
      <c r="L76" s="551"/>
      <c r="M76" s="551"/>
      <c r="N76" s="551"/>
      <c r="O76" s="551"/>
      <c r="P76" s="551"/>
      <c r="Q76" s="551"/>
      <c r="R76" s="551"/>
      <c r="S76" s="551"/>
      <c r="T76" s="551"/>
      <c r="U76" s="551"/>
      <c r="V76" s="643"/>
      <c r="W76" s="551"/>
      <c r="X76" s="551"/>
      <c r="Y76" s="551"/>
      <c r="Z76" s="551"/>
      <c r="AA76" s="551"/>
      <c r="AB76" s="551"/>
      <c r="AC76" s="551"/>
      <c r="AD76" s="551"/>
      <c r="AE76" s="551"/>
    </row>
    <row r="77" ht="11.25" customHeight="1">
      <c r="A77" s="551"/>
      <c r="B77" s="551"/>
      <c r="C77" s="551"/>
      <c r="D77" s="551"/>
      <c r="E77" s="551"/>
      <c r="F77" s="551"/>
      <c r="G77" s="551"/>
      <c r="H77" s="551"/>
      <c r="I77" s="551"/>
      <c r="J77" s="551"/>
      <c r="K77" s="551"/>
      <c r="L77" s="551"/>
      <c r="M77" s="551"/>
      <c r="N77" s="551"/>
      <c r="O77" s="551"/>
      <c r="P77" s="551"/>
      <c r="Q77" s="551"/>
      <c r="R77" s="551"/>
      <c r="S77" s="551"/>
      <c r="T77" s="551"/>
      <c r="U77" s="551"/>
      <c r="V77" s="643"/>
      <c r="W77" s="551"/>
      <c r="X77" s="551"/>
      <c r="Y77" s="551"/>
      <c r="Z77" s="551"/>
      <c r="AA77" s="551"/>
      <c r="AB77" s="551"/>
      <c r="AC77" s="551"/>
      <c r="AD77" s="551"/>
      <c r="AE77" s="551"/>
    </row>
    <row r="78" ht="11.25" customHeight="1">
      <c r="A78" s="551"/>
      <c r="B78" s="551"/>
      <c r="C78" s="551"/>
      <c r="D78" s="551"/>
      <c r="E78" s="551"/>
      <c r="F78" s="551"/>
      <c r="G78" s="551"/>
      <c r="H78" s="551"/>
      <c r="I78" s="551"/>
      <c r="J78" s="551"/>
      <c r="K78" s="551"/>
      <c r="L78" s="551"/>
      <c r="M78" s="551"/>
      <c r="N78" s="551"/>
      <c r="O78" s="551"/>
      <c r="P78" s="551"/>
      <c r="Q78" s="551"/>
      <c r="R78" s="551"/>
      <c r="S78" s="551"/>
      <c r="T78" s="551"/>
      <c r="U78" s="551"/>
      <c r="V78" s="643"/>
      <c r="W78" s="551"/>
      <c r="X78" s="551"/>
      <c r="Y78" s="551"/>
      <c r="Z78" s="551"/>
      <c r="AA78" s="551"/>
      <c r="AB78" s="551"/>
      <c r="AC78" s="551"/>
      <c r="AD78" s="551"/>
      <c r="AE78" s="551"/>
    </row>
    <row r="79" ht="11.25" customHeight="1">
      <c r="A79" s="551"/>
      <c r="B79" s="551"/>
      <c r="C79" s="551"/>
      <c r="D79" s="551"/>
      <c r="E79" s="551"/>
      <c r="F79" s="551"/>
      <c r="G79" s="551"/>
      <c r="H79" s="551"/>
      <c r="I79" s="551"/>
      <c r="J79" s="551"/>
      <c r="K79" s="551"/>
      <c r="L79" s="551"/>
      <c r="M79" s="551"/>
      <c r="N79" s="551"/>
      <c r="O79" s="551"/>
      <c r="P79" s="551"/>
      <c r="Q79" s="551"/>
      <c r="R79" s="551"/>
      <c r="S79" s="551"/>
      <c r="T79" s="551"/>
      <c r="U79" s="551"/>
      <c r="V79" s="643"/>
      <c r="W79" s="551"/>
      <c r="X79" s="551"/>
      <c r="Y79" s="551"/>
      <c r="Z79" s="551"/>
      <c r="AA79" s="551"/>
      <c r="AB79" s="551"/>
      <c r="AC79" s="551"/>
      <c r="AD79" s="551"/>
      <c r="AE79" s="551"/>
    </row>
    <row r="80" ht="11.25" customHeight="1">
      <c r="A80" s="551"/>
      <c r="B80" s="551"/>
      <c r="C80" s="551"/>
      <c r="D80" s="551"/>
      <c r="E80" s="551"/>
      <c r="F80" s="551"/>
      <c r="G80" s="551"/>
      <c r="H80" s="551"/>
      <c r="I80" s="551"/>
      <c r="J80" s="551"/>
      <c r="K80" s="551"/>
      <c r="L80" s="551"/>
      <c r="M80" s="551"/>
      <c r="N80" s="551"/>
      <c r="O80" s="551"/>
      <c r="P80" s="551"/>
      <c r="Q80" s="551"/>
      <c r="R80" s="551"/>
      <c r="S80" s="551"/>
      <c r="T80" s="551"/>
      <c r="U80" s="551"/>
      <c r="V80" s="643"/>
      <c r="W80" s="551"/>
      <c r="X80" s="551"/>
      <c r="Y80" s="551"/>
      <c r="Z80" s="551"/>
      <c r="AA80" s="551"/>
      <c r="AB80" s="551"/>
      <c r="AC80" s="551"/>
      <c r="AD80" s="551"/>
      <c r="AE80" s="551"/>
    </row>
    <row r="81" ht="11.25" customHeight="1">
      <c r="A81" s="551"/>
      <c r="B81" s="551"/>
      <c r="C81" s="551"/>
      <c r="D81" s="551"/>
      <c r="E81" s="551"/>
      <c r="F81" s="551"/>
      <c r="G81" s="551"/>
      <c r="H81" s="551"/>
      <c r="I81" s="551"/>
      <c r="J81" s="551"/>
      <c r="K81" s="551"/>
      <c r="L81" s="551"/>
      <c r="M81" s="551"/>
      <c r="N81" s="551"/>
      <c r="O81" s="551"/>
      <c r="P81" s="551"/>
      <c r="Q81" s="551"/>
      <c r="R81" s="551"/>
      <c r="S81" s="551"/>
      <c r="T81" s="551"/>
      <c r="U81" s="551"/>
      <c r="V81" s="643"/>
      <c r="W81" s="551"/>
      <c r="X81" s="551"/>
      <c r="Y81" s="551"/>
      <c r="Z81" s="551"/>
      <c r="AA81" s="551"/>
      <c r="AB81" s="551"/>
      <c r="AC81" s="551"/>
      <c r="AD81" s="551"/>
      <c r="AE81" s="551"/>
    </row>
    <row r="82" ht="11.25" customHeight="1">
      <c r="A82" s="551"/>
      <c r="B82" s="551"/>
      <c r="C82" s="551"/>
      <c r="D82" s="551"/>
      <c r="E82" s="551"/>
      <c r="F82" s="551"/>
      <c r="G82" s="551"/>
      <c r="H82" s="551"/>
      <c r="I82" s="551"/>
      <c r="J82" s="551"/>
      <c r="K82" s="551"/>
      <c r="L82" s="551"/>
      <c r="M82" s="551"/>
      <c r="N82" s="551"/>
      <c r="O82" s="551"/>
      <c r="P82" s="551"/>
      <c r="Q82" s="551"/>
      <c r="R82" s="551"/>
      <c r="S82" s="551"/>
      <c r="T82" s="551"/>
      <c r="U82" s="551"/>
      <c r="V82" s="643"/>
      <c r="W82" s="551"/>
      <c r="X82" s="551"/>
      <c r="Y82" s="551"/>
      <c r="Z82" s="551"/>
      <c r="AA82" s="551"/>
      <c r="AB82" s="551"/>
      <c r="AC82" s="551"/>
      <c r="AD82" s="551"/>
      <c r="AE82" s="551"/>
    </row>
    <row r="83" ht="11.25" customHeight="1">
      <c r="A83" s="551"/>
      <c r="B83" s="551"/>
      <c r="C83" s="551"/>
      <c r="D83" s="551"/>
      <c r="E83" s="551"/>
      <c r="F83" s="551"/>
      <c r="G83" s="551"/>
      <c r="H83" s="551"/>
      <c r="I83" s="551"/>
      <c r="J83" s="551"/>
      <c r="K83" s="551"/>
      <c r="L83" s="551"/>
      <c r="M83" s="551"/>
      <c r="N83" s="551"/>
      <c r="O83" s="551"/>
      <c r="P83" s="551"/>
      <c r="Q83" s="551"/>
      <c r="R83" s="551"/>
      <c r="S83" s="551"/>
      <c r="T83" s="551"/>
      <c r="U83" s="551"/>
      <c r="V83" s="643"/>
      <c r="W83" s="551"/>
      <c r="X83" s="551"/>
      <c r="Y83" s="551"/>
      <c r="Z83" s="551"/>
      <c r="AA83" s="551"/>
      <c r="AB83" s="551"/>
      <c r="AC83" s="551"/>
      <c r="AD83" s="551"/>
      <c r="AE83" s="551"/>
    </row>
    <row r="84" ht="11.25" customHeight="1">
      <c r="A84" s="551"/>
      <c r="B84" s="551"/>
      <c r="C84" s="551"/>
      <c r="D84" s="551"/>
      <c r="E84" s="551"/>
      <c r="F84" s="551"/>
      <c r="G84" s="551"/>
      <c r="H84" s="551"/>
      <c r="I84" s="551"/>
      <c r="J84" s="551"/>
      <c r="K84" s="551"/>
      <c r="L84" s="551"/>
      <c r="M84" s="551"/>
      <c r="N84" s="551"/>
      <c r="O84" s="551"/>
      <c r="P84" s="551"/>
      <c r="Q84" s="551"/>
      <c r="R84" s="551"/>
      <c r="S84" s="551"/>
      <c r="T84" s="551"/>
      <c r="U84" s="551"/>
      <c r="V84" s="643"/>
      <c r="W84" s="551"/>
      <c r="X84" s="551"/>
      <c r="Y84" s="551"/>
      <c r="Z84" s="551"/>
      <c r="AA84" s="551"/>
      <c r="AB84" s="551"/>
      <c r="AC84" s="551"/>
      <c r="AD84" s="551"/>
      <c r="AE84" s="551"/>
    </row>
    <row r="85" ht="11.25" customHeight="1">
      <c r="A85" s="551"/>
      <c r="B85" s="551"/>
      <c r="C85" s="551"/>
      <c r="D85" s="551"/>
      <c r="E85" s="551"/>
      <c r="F85" s="551"/>
      <c r="G85" s="551"/>
      <c r="H85" s="551"/>
      <c r="I85" s="551"/>
      <c r="J85" s="551"/>
      <c r="K85" s="551"/>
      <c r="L85" s="551"/>
      <c r="M85" s="551"/>
      <c r="N85" s="551"/>
      <c r="O85" s="551"/>
      <c r="P85" s="551"/>
      <c r="Q85" s="551"/>
      <c r="R85" s="551"/>
      <c r="S85" s="551"/>
      <c r="T85" s="551"/>
      <c r="U85" s="551"/>
      <c r="V85" s="643"/>
      <c r="W85" s="551"/>
      <c r="X85" s="551"/>
      <c r="Y85" s="551"/>
      <c r="Z85" s="551"/>
      <c r="AA85" s="551"/>
      <c r="AB85" s="551"/>
      <c r="AC85" s="551"/>
      <c r="AD85" s="551"/>
      <c r="AE85" s="551"/>
    </row>
    <row r="86" ht="11.25" customHeight="1">
      <c r="A86" s="551"/>
      <c r="B86" s="551"/>
      <c r="C86" s="551"/>
      <c r="D86" s="551"/>
      <c r="E86" s="551"/>
      <c r="F86" s="551"/>
      <c r="G86" s="551"/>
      <c r="H86" s="551"/>
      <c r="I86" s="551"/>
      <c r="J86" s="551"/>
      <c r="K86" s="551"/>
      <c r="L86" s="551"/>
      <c r="M86" s="551"/>
      <c r="N86" s="551"/>
      <c r="O86" s="551"/>
      <c r="P86" s="551"/>
      <c r="Q86" s="551"/>
      <c r="R86" s="551"/>
      <c r="S86" s="551"/>
      <c r="T86" s="551"/>
      <c r="U86" s="551"/>
      <c r="V86" s="643"/>
      <c r="W86" s="551"/>
      <c r="X86" s="551"/>
      <c r="Y86" s="551"/>
      <c r="Z86" s="551"/>
      <c r="AA86" s="551"/>
      <c r="AB86" s="551"/>
      <c r="AC86" s="551"/>
      <c r="AD86" s="551"/>
      <c r="AE86" s="551"/>
    </row>
    <row r="87" ht="11.25" customHeight="1">
      <c r="A87" s="551"/>
      <c r="B87" s="551"/>
      <c r="C87" s="551"/>
      <c r="D87" s="551"/>
      <c r="E87" s="551"/>
      <c r="F87" s="551"/>
      <c r="G87" s="551"/>
      <c r="H87" s="551"/>
      <c r="I87" s="551"/>
      <c r="J87" s="551"/>
      <c r="K87" s="551"/>
      <c r="L87" s="551"/>
      <c r="M87" s="551"/>
      <c r="N87" s="551"/>
      <c r="O87" s="551"/>
      <c r="P87" s="551"/>
      <c r="Q87" s="551"/>
      <c r="R87" s="551"/>
      <c r="S87" s="551"/>
      <c r="T87" s="551"/>
      <c r="U87" s="551"/>
      <c r="V87" s="643"/>
      <c r="W87" s="551"/>
      <c r="X87" s="551"/>
      <c r="Y87" s="551"/>
      <c r="Z87" s="551"/>
      <c r="AA87" s="551"/>
      <c r="AB87" s="551"/>
      <c r="AC87" s="551"/>
      <c r="AD87" s="551"/>
      <c r="AE87" s="551"/>
    </row>
    <row r="88" ht="11.25" customHeight="1">
      <c r="A88" s="551"/>
      <c r="B88" s="551"/>
      <c r="C88" s="551"/>
      <c r="D88" s="551"/>
      <c r="E88" s="551"/>
      <c r="F88" s="551"/>
      <c r="G88" s="551"/>
      <c r="H88" s="551"/>
      <c r="I88" s="551"/>
      <c r="J88" s="551"/>
      <c r="K88" s="551"/>
      <c r="L88" s="551"/>
      <c r="M88" s="551"/>
      <c r="N88" s="551"/>
      <c r="O88" s="551"/>
      <c r="P88" s="551"/>
      <c r="Q88" s="551"/>
      <c r="R88" s="551"/>
      <c r="S88" s="551"/>
      <c r="T88" s="551"/>
      <c r="U88" s="551"/>
      <c r="V88" s="643"/>
      <c r="W88" s="551"/>
      <c r="X88" s="551"/>
      <c r="Y88" s="551"/>
      <c r="Z88" s="551"/>
      <c r="AA88" s="551"/>
      <c r="AB88" s="551"/>
      <c r="AC88" s="551"/>
      <c r="AD88" s="551"/>
      <c r="AE88" s="551"/>
    </row>
    <row r="89" ht="11.25" customHeight="1">
      <c r="A89" s="551"/>
      <c r="B89" s="551"/>
      <c r="C89" s="551"/>
      <c r="D89" s="551"/>
      <c r="E89" s="551"/>
      <c r="F89" s="551"/>
      <c r="G89" s="551"/>
      <c r="H89" s="551"/>
      <c r="I89" s="551"/>
      <c r="J89" s="551"/>
      <c r="K89" s="551"/>
      <c r="L89" s="551"/>
      <c r="M89" s="551"/>
      <c r="N89" s="551"/>
      <c r="O89" s="551"/>
      <c r="P89" s="551"/>
      <c r="Q89" s="551"/>
      <c r="R89" s="551"/>
      <c r="S89" s="551"/>
      <c r="T89" s="551"/>
      <c r="U89" s="551"/>
      <c r="V89" s="643"/>
      <c r="W89" s="551"/>
      <c r="X89" s="551"/>
      <c r="Y89" s="551"/>
      <c r="Z89" s="551"/>
      <c r="AA89" s="551"/>
      <c r="AB89" s="551"/>
      <c r="AC89" s="551"/>
      <c r="AD89" s="551"/>
      <c r="AE89" s="551"/>
    </row>
    <row r="90" ht="11.25" customHeight="1">
      <c r="A90" s="551"/>
      <c r="B90" s="551"/>
      <c r="C90" s="551"/>
      <c r="D90" s="551"/>
      <c r="E90" s="551"/>
      <c r="F90" s="551"/>
      <c r="G90" s="551"/>
      <c r="H90" s="551"/>
      <c r="I90" s="551"/>
      <c r="J90" s="551"/>
      <c r="K90" s="551"/>
      <c r="L90" s="551"/>
      <c r="M90" s="551"/>
      <c r="N90" s="551"/>
      <c r="O90" s="551"/>
      <c r="P90" s="551"/>
      <c r="Q90" s="551"/>
      <c r="R90" s="551"/>
      <c r="S90" s="551"/>
      <c r="T90" s="551"/>
      <c r="U90" s="551"/>
      <c r="V90" s="643"/>
      <c r="W90" s="551"/>
      <c r="X90" s="551"/>
      <c r="Y90" s="551"/>
      <c r="Z90" s="551"/>
      <c r="AA90" s="551"/>
      <c r="AB90" s="551"/>
      <c r="AC90" s="551"/>
      <c r="AD90" s="551"/>
      <c r="AE90" s="551"/>
    </row>
    <row r="91" ht="11.25" customHeight="1">
      <c r="A91" s="551"/>
      <c r="B91" s="551"/>
      <c r="C91" s="551"/>
      <c r="D91" s="551"/>
      <c r="E91" s="551"/>
      <c r="F91" s="551"/>
      <c r="G91" s="551"/>
      <c r="H91" s="551"/>
      <c r="I91" s="551"/>
      <c r="J91" s="551"/>
      <c r="K91" s="551"/>
      <c r="L91" s="551"/>
      <c r="M91" s="551"/>
      <c r="N91" s="551"/>
      <c r="O91" s="551"/>
      <c r="P91" s="551"/>
      <c r="Q91" s="551"/>
      <c r="R91" s="551"/>
      <c r="S91" s="551"/>
      <c r="T91" s="551"/>
      <c r="U91" s="551"/>
      <c r="V91" s="643"/>
      <c r="W91" s="551"/>
      <c r="X91" s="551"/>
      <c r="Y91" s="551"/>
      <c r="Z91" s="551"/>
      <c r="AA91" s="551"/>
      <c r="AB91" s="551"/>
      <c r="AC91" s="551"/>
      <c r="AD91" s="551"/>
      <c r="AE91" s="551"/>
    </row>
    <row r="92" ht="11.25" customHeight="1">
      <c r="A92" s="551"/>
      <c r="B92" s="551"/>
      <c r="C92" s="551"/>
      <c r="D92" s="551"/>
      <c r="E92" s="551"/>
      <c r="F92" s="551"/>
      <c r="G92" s="551"/>
      <c r="H92" s="551"/>
      <c r="I92" s="551"/>
      <c r="J92" s="551"/>
      <c r="K92" s="551"/>
      <c r="L92" s="551"/>
      <c r="M92" s="551"/>
      <c r="N92" s="551"/>
      <c r="O92" s="551"/>
      <c r="P92" s="551"/>
      <c r="Q92" s="551"/>
      <c r="R92" s="551"/>
      <c r="S92" s="551"/>
      <c r="T92" s="551"/>
      <c r="U92" s="551"/>
      <c r="V92" s="643"/>
      <c r="W92" s="551"/>
      <c r="X92" s="551"/>
      <c r="Y92" s="551"/>
      <c r="Z92" s="551"/>
      <c r="AA92" s="551"/>
      <c r="AB92" s="551"/>
      <c r="AC92" s="551"/>
      <c r="AD92" s="551"/>
      <c r="AE92" s="551"/>
    </row>
    <row r="93" ht="11.25" customHeight="1">
      <c r="A93" s="551"/>
      <c r="B93" s="551"/>
      <c r="C93" s="551"/>
      <c r="D93" s="551"/>
      <c r="E93" s="551"/>
      <c r="F93" s="551"/>
      <c r="G93" s="551"/>
      <c r="H93" s="551"/>
      <c r="I93" s="551"/>
      <c r="J93" s="551"/>
      <c r="K93" s="551"/>
      <c r="L93" s="551"/>
      <c r="M93" s="551"/>
      <c r="N93" s="551"/>
      <c r="O93" s="551"/>
      <c r="P93" s="551"/>
      <c r="Q93" s="551"/>
      <c r="R93" s="551"/>
      <c r="S93" s="551"/>
      <c r="T93" s="551"/>
      <c r="U93" s="551"/>
      <c r="V93" s="643"/>
      <c r="W93" s="551"/>
      <c r="X93" s="551"/>
      <c r="Y93" s="551"/>
      <c r="Z93" s="551"/>
      <c r="AA93" s="551"/>
      <c r="AB93" s="551"/>
      <c r="AC93" s="551"/>
      <c r="AD93" s="551"/>
      <c r="AE93" s="551"/>
    </row>
    <row r="94" ht="11.25" customHeight="1">
      <c r="A94" s="551"/>
      <c r="B94" s="551"/>
      <c r="C94" s="551"/>
      <c r="D94" s="551"/>
      <c r="E94" s="551"/>
      <c r="F94" s="551"/>
      <c r="G94" s="551"/>
      <c r="H94" s="551"/>
      <c r="I94" s="551"/>
      <c r="J94" s="551"/>
      <c r="K94" s="551"/>
      <c r="L94" s="551"/>
      <c r="M94" s="551"/>
      <c r="N94" s="551"/>
      <c r="O94" s="551"/>
      <c r="P94" s="551"/>
      <c r="Q94" s="551"/>
      <c r="R94" s="551"/>
      <c r="S94" s="551"/>
      <c r="T94" s="551"/>
      <c r="U94" s="551"/>
      <c r="V94" s="643"/>
      <c r="W94" s="551"/>
      <c r="X94" s="551"/>
      <c r="Y94" s="551"/>
      <c r="Z94" s="551"/>
      <c r="AA94" s="551"/>
      <c r="AB94" s="551"/>
      <c r="AC94" s="551"/>
      <c r="AD94" s="551"/>
      <c r="AE94" s="551"/>
    </row>
    <row r="95" ht="11.25" customHeight="1">
      <c r="A95" s="551"/>
      <c r="B95" s="551"/>
      <c r="C95" s="551"/>
      <c r="D95" s="551"/>
      <c r="E95" s="551"/>
      <c r="F95" s="551"/>
      <c r="G95" s="551"/>
      <c r="H95" s="551"/>
      <c r="I95" s="551"/>
      <c r="J95" s="551"/>
      <c r="K95" s="551"/>
      <c r="L95" s="551"/>
      <c r="M95" s="551"/>
      <c r="N95" s="551"/>
      <c r="O95" s="551"/>
      <c r="P95" s="551"/>
      <c r="Q95" s="551"/>
      <c r="R95" s="551"/>
      <c r="S95" s="551"/>
      <c r="T95" s="551"/>
      <c r="U95" s="551"/>
      <c r="V95" s="643"/>
      <c r="W95" s="551"/>
      <c r="X95" s="551"/>
      <c r="Y95" s="551"/>
      <c r="Z95" s="551"/>
      <c r="AA95" s="551"/>
      <c r="AB95" s="551"/>
      <c r="AC95" s="551"/>
      <c r="AD95" s="551"/>
      <c r="AE95" s="551"/>
    </row>
    <row r="96" ht="11.25" customHeight="1">
      <c r="A96" s="551"/>
      <c r="B96" s="551"/>
      <c r="C96" s="551"/>
      <c r="D96" s="551"/>
      <c r="E96" s="551"/>
      <c r="F96" s="551"/>
      <c r="G96" s="551"/>
      <c r="H96" s="551"/>
      <c r="I96" s="551"/>
      <c r="J96" s="551"/>
      <c r="K96" s="551"/>
      <c r="L96" s="551"/>
      <c r="M96" s="551"/>
      <c r="N96" s="551"/>
      <c r="O96" s="551"/>
      <c r="P96" s="551"/>
      <c r="Q96" s="551"/>
      <c r="R96" s="551"/>
      <c r="S96" s="551"/>
      <c r="T96" s="551"/>
      <c r="U96" s="551"/>
      <c r="V96" s="643"/>
      <c r="W96" s="551"/>
      <c r="X96" s="551"/>
      <c r="Y96" s="551"/>
      <c r="Z96" s="551"/>
      <c r="AA96" s="551"/>
      <c r="AB96" s="551"/>
      <c r="AC96" s="551"/>
      <c r="AD96" s="551"/>
      <c r="AE96" s="551"/>
    </row>
    <row r="97" ht="11.25" customHeight="1">
      <c r="A97" s="551"/>
      <c r="B97" s="551"/>
      <c r="C97" s="551"/>
      <c r="D97" s="551"/>
      <c r="E97" s="551"/>
      <c r="F97" s="551"/>
      <c r="G97" s="551"/>
      <c r="H97" s="551"/>
      <c r="I97" s="551"/>
      <c r="J97" s="551"/>
      <c r="K97" s="551"/>
      <c r="L97" s="551"/>
      <c r="M97" s="551"/>
      <c r="N97" s="551"/>
      <c r="O97" s="551"/>
      <c r="P97" s="551"/>
      <c r="Q97" s="551"/>
      <c r="R97" s="551"/>
      <c r="S97" s="551"/>
      <c r="T97" s="551"/>
      <c r="U97" s="551"/>
      <c r="V97" s="643"/>
      <c r="W97" s="551"/>
      <c r="X97" s="551"/>
      <c r="Y97" s="551"/>
      <c r="Z97" s="551"/>
      <c r="AA97" s="551"/>
      <c r="AB97" s="551"/>
      <c r="AC97" s="551"/>
      <c r="AD97" s="551"/>
      <c r="AE97" s="551"/>
    </row>
    <row r="98" ht="11.25" customHeight="1">
      <c r="A98" s="551"/>
      <c r="B98" s="551"/>
      <c r="C98" s="551"/>
      <c r="D98" s="551"/>
      <c r="E98" s="551"/>
      <c r="F98" s="551"/>
      <c r="G98" s="551"/>
      <c r="H98" s="551"/>
      <c r="I98" s="551"/>
      <c r="J98" s="551"/>
      <c r="K98" s="551"/>
      <c r="L98" s="551"/>
      <c r="M98" s="551"/>
      <c r="N98" s="551"/>
      <c r="O98" s="551"/>
      <c r="P98" s="551"/>
      <c r="Q98" s="551"/>
      <c r="R98" s="551"/>
      <c r="S98" s="551"/>
      <c r="T98" s="551"/>
      <c r="U98" s="551"/>
      <c r="V98" s="643"/>
      <c r="W98" s="551"/>
      <c r="X98" s="551"/>
      <c r="Y98" s="551"/>
      <c r="Z98" s="551"/>
      <c r="AA98" s="551"/>
      <c r="AB98" s="551"/>
      <c r="AC98" s="551"/>
      <c r="AD98" s="551"/>
      <c r="AE98" s="551"/>
    </row>
    <row r="99" ht="11.25" customHeight="1">
      <c r="A99" s="551"/>
      <c r="B99" s="551"/>
      <c r="C99" s="551"/>
      <c r="D99" s="551"/>
      <c r="E99" s="551"/>
      <c r="F99" s="551"/>
      <c r="G99" s="551"/>
      <c r="H99" s="551"/>
      <c r="I99" s="551"/>
      <c r="J99" s="551"/>
      <c r="K99" s="551"/>
      <c r="L99" s="551"/>
      <c r="M99" s="551"/>
      <c r="N99" s="551"/>
      <c r="O99" s="551"/>
      <c r="P99" s="551"/>
      <c r="Q99" s="551"/>
      <c r="R99" s="551"/>
      <c r="S99" s="551"/>
      <c r="T99" s="551"/>
      <c r="U99" s="551"/>
      <c r="V99" s="643"/>
      <c r="W99" s="551"/>
      <c r="X99" s="551"/>
      <c r="Y99" s="551"/>
      <c r="Z99" s="551"/>
      <c r="AA99" s="551"/>
      <c r="AB99" s="551"/>
      <c r="AC99" s="551"/>
      <c r="AD99" s="551"/>
      <c r="AE99" s="551"/>
    </row>
    <row r="100" ht="11.25" customHeight="1">
      <c r="A100" s="551"/>
      <c r="B100" s="551"/>
      <c r="C100" s="551"/>
      <c r="D100" s="551"/>
      <c r="E100" s="551"/>
      <c r="F100" s="551"/>
      <c r="G100" s="551"/>
      <c r="H100" s="551"/>
      <c r="I100" s="551"/>
      <c r="J100" s="551"/>
      <c r="K100" s="551"/>
      <c r="L100" s="551"/>
      <c r="M100" s="551"/>
      <c r="N100" s="551"/>
      <c r="O100" s="551"/>
      <c r="P100" s="551"/>
      <c r="Q100" s="551"/>
      <c r="R100" s="551"/>
      <c r="S100" s="551"/>
      <c r="T100" s="551"/>
      <c r="U100" s="551"/>
      <c r="V100" s="643"/>
      <c r="W100" s="551"/>
      <c r="X100" s="551"/>
      <c r="Y100" s="551"/>
      <c r="Z100" s="551"/>
      <c r="AA100" s="551"/>
      <c r="AB100" s="551"/>
      <c r="AC100" s="551"/>
      <c r="AD100" s="551"/>
      <c r="AE100" s="551"/>
    </row>
    <row r="101" ht="11.25" customHeight="1">
      <c r="A101" s="551"/>
      <c r="B101" s="551"/>
      <c r="C101" s="551"/>
      <c r="D101" s="551"/>
      <c r="E101" s="551"/>
      <c r="F101" s="551"/>
      <c r="G101" s="551"/>
      <c r="H101" s="551"/>
      <c r="I101" s="551"/>
      <c r="J101" s="551"/>
      <c r="K101" s="551"/>
      <c r="L101" s="551"/>
      <c r="M101" s="551"/>
      <c r="N101" s="551"/>
      <c r="O101" s="551"/>
      <c r="P101" s="551"/>
      <c r="Q101" s="551"/>
      <c r="R101" s="551"/>
      <c r="S101" s="551"/>
      <c r="T101" s="551"/>
      <c r="U101" s="551"/>
      <c r="V101" s="643"/>
      <c r="W101" s="551"/>
      <c r="X101" s="551"/>
      <c r="Y101" s="551"/>
      <c r="Z101" s="551"/>
      <c r="AA101" s="551"/>
      <c r="AB101" s="551"/>
      <c r="AC101" s="551"/>
      <c r="AD101" s="551"/>
      <c r="AE101" s="551"/>
    </row>
    <row r="102" ht="11.25" customHeight="1">
      <c r="A102" s="551"/>
      <c r="B102" s="551"/>
      <c r="C102" s="551"/>
      <c r="D102" s="551"/>
      <c r="E102" s="551"/>
      <c r="F102" s="551"/>
      <c r="G102" s="551"/>
      <c r="H102" s="551"/>
      <c r="I102" s="551"/>
      <c r="J102" s="551"/>
      <c r="K102" s="551"/>
      <c r="L102" s="551"/>
      <c r="M102" s="551"/>
      <c r="N102" s="551"/>
      <c r="O102" s="551"/>
      <c r="P102" s="551"/>
      <c r="Q102" s="551"/>
      <c r="R102" s="551"/>
      <c r="S102" s="551"/>
      <c r="T102" s="551"/>
      <c r="U102" s="551"/>
      <c r="V102" s="643"/>
      <c r="W102" s="551"/>
      <c r="X102" s="551"/>
      <c r="Y102" s="551"/>
      <c r="Z102" s="551"/>
      <c r="AA102" s="551"/>
      <c r="AB102" s="551"/>
      <c r="AC102" s="551"/>
      <c r="AD102" s="551"/>
      <c r="AE102" s="551"/>
    </row>
    <row r="103" ht="11.25" customHeight="1">
      <c r="A103" s="551"/>
      <c r="B103" s="551"/>
      <c r="C103" s="551"/>
      <c r="D103" s="551"/>
      <c r="E103" s="551"/>
      <c r="F103" s="551"/>
      <c r="G103" s="551"/>
      <c r="H103" s="551"/>
      <c r="I103" s="551"/>
      <c r="J103" s="551"/>
      <c r="K103" s="551"/>
      <c r="L103" s="551"/>
      <c r="M103" s="551"/>
      <c r="N103" s="551"/>
      <c r="O103" s="551"/>
      <c r="P103" s="551"/>
      <c r="Q103" s="551"/>
      <c r="R103" s="551"/>
      <c r="S103" s="551"/>
      <c r="T103" s="551"/>
      <c r="U103" s="551"/>
      <c r="V103" s="643"/>
      <c r="W103" s="551"/>
      <c r="X103" s="551"/>
      <c r="Y103" s="551"/>
      <c r="Z103" s="551"/>
      <c r="AA103" s="551"/>
      <c r="AB103" s="551"/>
      <c r="AC103" s="551"/>
      <c r="AD103" s="551"/>
      <c r="AE103" s="551"/>
    </row>
    <row r="104" ht="11.25" customHeight="1">
      <c r="A104" s="551"/>
      <c r="B104" s="551"/>
      <c r="C104" s="551"/>
      <c r="D104" s="551"/>
      <c r="E104" s="551"/>
      <c r="F104" s="551"/>
      <c r="G104" s="551"/>
      <c r="H104" s="551"/>
      <c r="I104" s="551"/>
      <c r="J104" s="551"/>
      <c r="K104" s="551"/>
      <c r="L104" s="551"/>
      <c r="M104" s="551"/>
      <c r="N104" s="551"/>
      <c r="O104" s="551"/>
      <c r="P104" s="551"/>
      <c r="Q104" s="551"/>
      <c r="R104" s="551"/>
      <c r="S104" s="551"/>
      <c r="T104" s="551"/>
      <c r="U104" s="551"/>
      <c r="V104" s="643"/>
      <c r="W104" s="551"/>
      <c r="X104" s="551"/>
      <c r="Y104" s="551"/>
      <c r="Z104" s="551"/>
      <c r="AA104" s="551"/>
      <c r="AB104" s="551"/>
      <c r="AC104" s="551"/>
      <c r="AD104" s="551"/>
      <c r="AE104" s="551"/>
    </row>
    <row r="105" ht="11.25" customHeight="1">
      <c r="A105" s="551"/>
      <c r="B105" s="551"/>
      <c r="C105" s="551"/>
      <c r="D105" s="551"/>
      <c r="E105" s="551"/>
      <c r="F105" s="551"/>
      <c r="G105" s="551"/>
      <c r="H105" s="551"/>
      <c r="I105" s="551"/>
      <c r="J105" s="551"/>
      <c r="K105" s="551"/>
      <c r="L105" s="551"/>
      <c r="M105" s="551"/>
      <c r="N105" s="551"/>
      <c r="O105" s="551"/>
      <c r="P105" s="551"/>
      <c r="Q105" s="551"/>
      <c r="R105" s="551"/>
      <c r="S105" s="551"/>
      <c r="T105" s="551"/>
      <c r="U105" s="551"/>
      <c r="V105" s="643"/>
      <c r="W105" s="551"/>
      <c r="X105" s="551"/>
      <c r="Y105" s="551"/>
      <c r="Z105" s="551"/>
      <c r="AA105" s="551"/>
      <c r="AB105" s="551"/>
      <c r="AC105" s="551"/>
      <c r="AD105" s="551"/>
      <c r="AE105" s="551"/>
    </row>
    <row r="106" ht="11.25" customHeight="1">
      <c r="A106" s="551"/>
      <c r="B106" s="551"/>
      <c r="C106" s="551"/>
      <c r="D106" s="551"/>
      <c r="E106" s="551"/>
      <c r="F106" s="551"/>
      <c r="G106" s="551"/>
      <c r="H106" s="551"/>
      <c r="I106" s="551"/>
      <c r="J106" s="551"/>
      <c r="K106" s="551"/>
      <c r="L106" s="551"/>
      <c r="M106" s="551"/>
      <c r="N106" s="551"/>
      <c r="O106" s="551"/>
      <c r="P106" s="551"/>
      <c r="Q106" s="551"/>
      <c r="R106" s="551"/>
      <c r="S106" s="551"/>
      <c r="T106" s="551"/>
      <c r="U106" s="551"/>
      <c r="V106" s="643"/>
      <c r="W106" s="551"/>
      <c r="X106" s="551"/>
      <c r="Y106" s="551"/>
      <c r="Z106" s="551"/>
      <c r="AA106" s="551"/>
      <c r="AB106" s="551"/>
      <c r="AC106" s="551"/>
      <c r="AD106" s="551"/>
      <c r="AE106" s="551"/>
    </row>
    <row r="107" ht="11.25" customHeight="1">
      <c r="A107" s="551"/>
      <c r="B107" s="551"/>
      <c r="C107" s="551"/>
      <c r="D107" s="551"/>
      <c r="E107" s="551"/>
      <c r="F107" s="551"/>
      <c r="G107" s="551"/>
      <c r="H107" s="551"/>
      <c r="I107" s="551"/>
      <c r="J107" s="551"/>
      <c r="K107" s="551"/>
      <c r="L107" s="551"/>
      <c r="M107" s="551"/>
      <c r="N107" s="551"/>
      <c r="O107" s="551"/>
      <c r="P107" s="551"/>
      <c r="Q107" s="551"/>
      <c r="R107" s="551"/>
      <c r="S107" s="551"/>
      <c r="T107" s="551"/>
      <c r="U107" s="551"/>
      <c r="V107" s="643"/>
      <c r="W107" s="551"/>
      <c r="X107" s="551"/>
      <c r="Y107" s="551"/>
      <c r="Z107" s="551"/>
      <c r="AA107" s="551"/>
      <c r="AB107" s="551"/>
      <c r="AC107" s="551"/>
      <c r="AD107" s="551"/>
      <c r="AE107" s="551"/>
    </row>
    <row r="108" ht="11.25" customHeight="1">
      <c r="A108" s="551"/>
      <c r="B108" s="551"/>
      <c r="C108" s="551"/>
      <c r="D108" s="551"/>
      <c r="E108" s="551"/>
      <c r="F108" s="551"/>
      <c r="G108" s="551"/>
      <c r="H108" s="551"/>
      <c r="I108" s="551"/>
      <c r="J108" s="551"/>
      <c r="K108" s="551"/>
      <c r="L108" s="551"/>
      <c r="M108" s="551"/>
      <c r="N108" s="551"/>
      <c r="O108" s="551"/>
      <c r="P108" s="551"/>
      <c r="Q108" s="551"/>
      <c r="R108" s="551"/>
      <c r="S108" s="551"/>
      <c r="T108" s="551"/>
      <c r="U108" s="551"/>
      <c r="V108" s="643"/>
      <c r="W108" s="551"/>
      <c r="X108" s="551"/>
      <c r="Y108" s="551"/>
      <c r="Z108" s="551"/>
      <c r="AA108" s="551"/>
      <c r="AB108" s="551"/>
      <c r="AC108" s="551"/>
      <c r="AD108" s="551"/>
      <c r="AE108" s="551"/>
    </row>
    <row r="109" ht="11.25" customHeight="1">
      <c r="A109" s="551"/>
      <c r="B109" s="551"/>
      <c r="C109" s="551"/>
      <c r="D109" s="551"/>
      <c r="E109" s="551"/>
      <c r="F109" s="551"/>
      <c r="G109" s="551"/>
      <c r="H109" s="551"/>
      <c r="I109" s="551"/>
      <c r="J109" s="551"/>
      <c r="K109" s="551"/>
      <c r="L109" s="551"/>
      <c r="M109" s="551"/>
      <c r="N109" s="551"/>
      <c r="O109" s="551"/>
      <c r="P109" s="551"/>
      <c r="Q109" s="551"/>
      <c r="R109" s="551"/>
      <c r="S109" s="551"/>
      <c r="T109" s="551"/>
      <c r="U109" s="551"/>
      <c r="V109" s="643"/>
      <c r="W109" s="551"/>
      <c r="X109" s="551"/>
      <c r="Y109" s="551"/>
      <c r="Z109" s="551"/>
      <c r="AA109" s="551"/>
      <c r="AB109" s="551"/>
      <c r="AC109" s="551"/>
      <c r="AD109" s="551"/>
      <c r="AE109" s="551"/>
    </row>
    <row r="110" ht="11.25" customHeight="1">
      <c r="A110" s="551"/>
      <c r="B110" s="551"/>
      <c r="C110" s="551"/>
      <c r="D110" s="551"/>
      <c r="E110" s="551"/>
      <c r="F110" s="551"/>
      <c r="G110" s="551"/>
      <c r="H110" s="551"/>
      <c r="I110" s="551"/>
      <c r="J110" s="551"/>
      <c r="K110" s="551"/>
      <c r="L110" s="551"/>
      <c r="M110" s="551"/>
      <c r="N110" s="551"/>
      <c r="O110" s="551"/>
      <c r="P110" s="551"/>
      <c r="Q110" s="551"/>
      <c r="R110" s="551"/>
      <c r="S110" s="551"/>
      <c r="T110" s="551"/>
      <c r="U110" s="551"/>
      <c r="V110" s="643"/>
      <c r="W110" s="551"/>
      <c r="X110" s="551"/>
      <c r="Y110" s="551"/>
      <c r="Z110" s="551"/>
      <c r="AA110" s="551"/>
      <c r="AB110" s="551"/>
      <c r="AC110" s="551"/>
      <c r="AD110" s="551"/>
      <c r="AE110" s="551"/>
    </row>
    <row r="111" ht="11.25" customHeight="1">
      <c r="A111" s="551"/>
      <c r="B111" s="551"/>
      <c r="C111" s="551"/>
      <c r="D111" s="551"/>
      <c r="E111" s="551"/>
      <c r="F111" s="551"/>
      <c r="G111" s="551"/>
      <c r="H111" s="551"/>
      <c r="I111" s="551"/>
      <c r="J111" s="551"/>
      <c r="K111" s="551"/>
      <c r="L111" s="551"/>
      <c r="M111" s="551"/>
      <c r="N111" s="551"/>
      <c r="O111" s="551"/>
      <c r="P111" s="551"/>
      <c r="Q111" s="551"/>
      <c r="R111" s="551"/>
      <c r="S111" s="551"/>
      <c r="T111" s="551"/>
      <c r="U111" s="551"/>
      <c r="V111" s="643"/>
      <c r="W111" s="551"/>
      <c r="X111" s="551"/>
      <c r="Y111" s="551"/>
      <c r="Z111" s="551"/>
      <c r="AA111" s="551"/>
      <c r="AB111" s="551"/>
      <c r="AC111" s="551"/>
      <c r="AD111" s="551"/>
      <c r="AE111" s="551"/>
    </row>
    <row r="112" ht="11.25" customHeight="1">
      <c r="A112" s="551"/>
      <c r="B112" s="551"/>
      <c r="C112" s="551"/>
      <c r="D112" s="551"/>
      <c r="E112" s="551"/>
      <c r="F112" s="551"/>
      <c r="G112" s="551"/>
      <c r="H112" s="551"/>
      <c r="I112" s="551"/>
      <c r="J112" s="551"/>
      <c r="K112" s="551"/>
      <c r="L112" s="551"/>
      <c r="M112" s="551"/>
      <c r="N112" s="551"/>
      <c r="O112" s="551"/>
      <c r="P112" s="551"/>
      <c r="Q112" s="551"/>
      <c r="R112" s="551"/>
      <c r="S112" s="551"/>
      <c r="T112" s="551"/>
      <c r="U112" s="551"/>
      <c r="V112" s="643"/>
      <c r="W112" s="551"/>
      <c r="X112" s="551"/>
      <c r="Y112" s="551"/>
      <c r="Z112" s="551"/>
      <c r="AA112" s="551"/>
      <c r="AB112" s="551"/>
      <c r="AC112" s="551"/>
      <c r="AD112" s="551"/>
      <c r="AE112" s="551"/>
    </row>
    <row r="113" ht="11.25" customHeight="1">
      <c r="A113" s="551"/>
      <c r="B113" s="551"/>
      <c r="C113" s="551"/>
      <c r="D113" s="551"/>
      <c r="E113" s="551"/>
      <c r="F113" s="551"/>
      <c r="G113" s="551"/>
      <c r="H113" s="551"/>
      <c r="I113" s="551"/>
      <c r="J113" s="551"/>
      <c r="K113" s="551"/>
      <c r="L113" s="551"/>
      <c r="M113" s="551"/>
      <c r="N113" s="551"/>
      <c r="O113" s="551"/>
      <c r="P113" s="551"/>
      <c r="Q113" s="551"/>
      <c r="R113" s="551"/>
      <c r="S113" s="551"/>
      <c r="T113" s="551"/>
      <c r="U113" s="551"/>
      <c r="V113" s="643"/>
      <c r="W113" s="551"/>
      <c r="X113" s="551"/>
      <c r="Y113" s="551"/>
      <c r="Z113" s="551"/>
      <c r="AA113" s="551"/>
      <c r="AB113" s="551"/>
      <c r="AC113" s="551"/>
      <c r="AD113" s="551"/>
      <c r="AE113" s="551"/>
    </row>
    <row r="114" ht="11.25" customHeight="1">
      <c r="A114" s="551"/>
      <c r="B114" s="551"/>
      <c r="C114" s="551"/>
      <c r="D114" s="551"/>
      <c r="E114" s="551"/>
      <c r="F114" s="551"/>
      <c r="G114" s="551"/>
      <c r="H114" s="551"/>
      <c r="I114" s="551"/>
      <c r="J114" s="551"/>
      <c r="K114" s="551"/>
      <c r="L114" s="551"/>
      <c r="M114" s="551"/>
      <c r="N114" s="551"/>
      <c r="O114" s="551"/>
      <c r="P114" s="551"/>
      <c r="Q114" s="551"/>
      <c r="R114" s="551"/>
      <c r="S114" s="551"/>
      <c r="T114" s="551"/>
      <c r="U114" s="551"/>
      <c r="V114" s="643"/>
      <c r="W114" s="551"/>
      <c r="X114" s="551"/>
      <c r="Y114" s="551"/>
      <c r="Z114" s="551"/>
      <c r="AA114" s="551"/>
      <c r="AB114" s="551"/>
      <c r="AC114" s="551"/>
      <c r="AD114" s="551"/>
      <c r="AE114" s="551"/>
    </row>
    <row r="115" ht="11.25" customHeight="1">
      <c r="A115" s="551"/>
      <c r="B115" s="551"/>
      <c r="C115" s="551"/>
      <c r="D115" s="551"/>
      <c r="E115" s="551"/>
      <c r="F115" s="551"/>
      <c r="G115" s="551"/>
      <c r="H115" s="551"/>
      <c r="I115" s="551"/>
      <c r="J115" s="551"/>
      <c r="K115" s="551"/>
      <c r="L115" s="551"/>
      <c r="M115" s="551"/>
      <c r="N115" s="551"/>
      <c r="O115" s="551"/>
      <c r="P115" s="551"/>
      <c r="Q115" s="551"/>
      <c r="R115" s="551"/>
      <c r="S115" s="551"/>
      <c r="T115" s="551"/>
      <c r="U115" s="551"/>
      <c r="V115" s="643"/>
      <c r="W115" s="551"/>
      <c r="X115" s="551"/>
      <c r="Y115" s="551"/>
      <c r="Z115" s="551"/>
      <c r="AA115" s="551"/>
      <c r="AB115" s="551"/>
      <c r="AC115" s="551"/>
      <c r="AD115" s="551"/>
      <c r="AE115" s="551"/>
    </row>
    <row r="116" ht="11.25" customHeight="1">
      <c r="A116" s="551"/>
      <c r="B116" s="551"/>
      <c r="C116" s="551"/>
      <c r="D116" s="551"/>
      <c r="E116" s="551"/>
      <c r="F116" s="551"/>
      <c r="G116" s="551"/>
      <c r="H116" s="551"/>
      <c r="I116" s="551"/>
      <c r="J116" s="551"/>
      <c r="K116" s="551"/>
      <c r="L116" s="551"/>
      <c r="M116" s="551"/>
      <c r="N116" s="551"/>
      <c r="O116" s="551"/>
      <c r="P116" s="551"/>
      <c r="Q116" s="551"/>
      <c r="R116" s="551"/>
      <c r="S116" s="551"/>
      <c r="T116" s="551"/>
      <c r="U116" s="551"/>
      <c r="V116" s="643"/>
      <c r="W116" s="551"/>
      <c r="X116" s="551"/>
      <c r="Y116" s="551"/>
      <c r="Z116" s="551"/>
      <c r="AA116" s="551"/>
      <c r="AB116" s="551"/>
      <c r="AC116" s="551"/>
      <c r="AD116" s="551"/>
      <c r="AE116" s="551"/>
    </row>
    <row r="117" ht="11.25" customHeight="1">
      <c r="A117" s="551"/>
      <c r="B117" s="551"/>
      <c r="C117" s="551"/>
      <c r="D117" s="551"/>
      <c r="E117" s="551"/>
      <c r="F117" s="551"/>
      <c r="G117" s="551"/>
      <c r="H117" s="551"/>
      <c r="I117" s="551"/>
      <c r="J117" s="551"/>
      <c r="K117" s="551"/>
      <c r="L117" s="551"/>
      <c r="M117" s="551"/>
      <c r="N117" s="551"/>
      <c r="O117" s="551"/>
      <c r="P117" s="551"/>
      <c r="Q117" s="551"/>
      <c r="R117" s="551"/>
      <c r="S117" s="551"/>
      <c r="T117" s="551"/>
      <c r="U117" s="551"/>
      <c r="V117" s="643"/>
      <c r="W117" s="551"/>
      <c r="X117" s="551"/>
      <c r="Y117" s="551"/>
      <c r="Z117" s="551"/>
      <c r="AA117" s="551"/>
      <c r="AB117" s="551"/>
      <c r="AC117" s="551"/>
      <c r="AD117" s="551"/>
      <c r="AE117" s="551"/>
    </row>
    <row r="118" ht="11.25" customHeight="1">
      <c r="A118" s="551"/>
      <c r="B118" s="551"/>
      <c r="C118" s="551"/>
      <c r="D118" s="551"/>
      <c r="E118" s="551"/>
      <c r="F118" s="551"/>
      <c r="G118" s="551"/>
      <c r="H118" s="551"/>
      <c r="I118" s="551"/>
      <c r="J118" s="551"/>
      <c r="K118" s="551"/>
      <c r="L118" s="551"/>
      <c r="M118" s="551"/>
      <c r="N118" s="551"/>
      <c r="O118" s="551"/>
      <c r="P118" s="551"/>
      <c r="Q118" s="551"/>
      <c r="R118" s="551"/>
      <c r="S118" s="551"/>
      <c r="T118" s="551"/>
      <c r="U118" s="551"/>
      <c r="V118" s="643"/>
      <c r="W118" s="551"/>
      <c r="X118" s="551"/>
      <c r="Y118" s="551"/>
      <c r="Z118" s="551"/>
      <c r="AA118" s="551"/>
      <c r="AB118" s="551"/>
      <c r="AC118" s="551"/>
      <c r="AD118" s="551"/>
      <c r="AE118" s="551"/>
    </row>
    <row r="119" ht="11.25" customHeight="1">
      <c r="A119" s="551"/>
      <c r="B119" s="551"/>
      <c r="C119" s="551"/>
      <c r="D119" s="551"/>
      <c r="E119" s="551"/>
      <c r="F119" s="551"/>
      <c r="G119" s="551"/>
      <c r="H119" s="551"/>
      <c r="I119" s="551"/>
      <c r="J119" s="551"/>
      <c r="K119" s="551"/>
      <c r="L119" s="551"/>
      <c r="M119" s="551"/>
      <c r="N119" s="551"/>
      <c r="O119" s="551"/>
      <c r="P119" s="551"/>
      <c r="Q119" s="551"/>
      <c r="R119" s="551"/>
      <c r="S119" s="551"/>
      <c r="T119" s="551"/>
      <c r="U119" s="551"/>
      <c r="V119" s="643"/>
      <c r="W119" s="551"/>
      <c r="X119" s="551"/>
      <c r="Y119" s="551"/>
      <c r="Z119" s="551"/>
      <c r="AA119" s="551"/>
      <c r="AB119" s="551"/>
      <c r="AC119" s="551"/>
      <c r="AD119" s="551"/>
      <c r="AE119" s="551"/>
    </row>
    <row r="120" ht="11.25" customHeight="1">
      <c r="A120" s="551"/>
      <c r="B120" s="551"/>
      <c r="C120" s="551"/>
      <c r="D120" s="551"/>
      <c r="E120" s="551"/>
      <c r="F120" s="551"/>
      <c r="G120" s="551"/>
      <c r="H120" s="551"/>
      <c r="I120" s="551"/>
      <c r="J120" s="551"/>
      <c r="K120" s="551"/>
      <c r="L120" s="551"/>
      <c r="M120" s="551"/>
      <c r="N120" s="551"/>
      <c r="O120" s="551"/>
      <c r="P120" s="551"/>
      <c r="Q120" s="551"/>
      <c r="R120" s="551"/>
      <c r="S120" s="551"/>
      <c r="T120" s="551"/>
      <c r="U120" s="551"/>
      <c r="V120" s="643"/>
      <c r="W120" s="551"/>
      <c r="X120" s="551"/>
      <c r="Y120" s="551"/>
      <c r="Z120" s="551"/>
      <c r="AA120" s="551"/>
      <c r="AB120" s="551"/>
      <c r="AC120" s="551"/>
      <c r="AD120" s="551"/>
      <c r="AE120" s="551"/>
    </row>
    <row r="121" ht="11.25" customHeight="1">
      <c r="A121" s="551"/>
      <c r="B121" s="551"/>
      <c r="C121" s="551"/>
      <c r="D121" s="551"/>
      <c r="E121" s="551"/>
      <c r="F121" s="551"/>
      <c r="G121" s="551"/>
      <c r="H121" s="551"/>
      <c r="I121" s="551"/>
      <c r="J121" s="551"/>
      <c r="K121" s="551"/>
      <c r="L121" s="551"/>
      <c r="M121" s="551"/>
      <c r="N121" s="551"/>
      <c r="O121" s="551"/>
      <c r="P121" s="551"/>
      <c r="Q121" s="551"/>
      <c r="R121" s="551"/>
      <c r="S121" s="551"/>
      <c r="T121" s="551"/>
      <c r="U121" s="551"/>
      <c r="V121" s="643"/>
      <c r="W121" s="551"/>
      <c r="X121" s="551"/>
      <c r="Y121" s="551"/>
      <c r="Z121" s="551"/>
      <c r="AA121" s="551"/>
      <c r="AB121" s="551"/>
      <c r="AC121" s="551"/>
      <c r="AD121" s="551"/>
      <c r="AE121" s="551"/>
    </row>
    <row r="122" ht="11.25" customHeight="1">
      <c r="A122" s="551"/>
      <c r="B122" s="551"/>
      <c r="C122" s="551"/>
      <c r="D122" s="551"/>
      <c r="E122" s="551"/>
      <c r="F122" s="551"/>
      <c r="G122" s="551"/>
      <c r="H122" s="551"/>
      <c r="I122" s="551"/>
      <c r="J122" s="551"/>
      <c r="K122" s="551"/>
      <c r="L122" s="551"/>
      <c r="M122" s="551"/>
      <c r="N122" s="551"/>
      <c r="O122" s="551"/>
      <c r="P122" s="551"/>
      <c r="Q122" s="551"/>
      <c r="R122" s="551"/>
      <c r="S122" s="551"/>
      <c r="T122" s="551"/>
      <c r="U122" s="551"/>
      <c r="V122" s="643"/>
      <c r="W122" s="551"/>
      <c r="X122" s="551"/>
      <c r="Y122" s="551"/>
      <c r="Z122" s="551"/>
      <c r="AA122" s="551"/>
      <c r="AB122" s="551"/>
      <c r="AC122" s="551"/>
      <c r="AD122" s="551"/>
      <c r="AE122" s="551"/>
    </row>
    <row r="123" ht="11.25" customHeight="1">
      <c r="A123" s="551"/>
      <c r="B123" s="551"/>
      <c r="C123" s="551"/>
      <c r="D123" s="551"/>
      <c r="E123" s="551"/>
      <c r="F123" s="551"/>
      <c r="G123" s="551"/>
      <c r="H123" s="551"/>
      <c r="I123" s="551"/>
      <c r="J123" s="551"/>
      <c r="K123" s="551"/>
      <c r="L123" s="551"/>
      <c r="M123" s="551"/>
      <c r="N123" s="551"/>
      <c r="O123" s="551"/>
      <c r="P123" s="551"/>
      <c r="Q123" s="551"/>
      <c r="R123" s="551"/>
      <c r="S123" s="551"/>
      <c r="T123" s="551"/>
      <c r="U123" s="551"/>
      <c r="V123" s="643"/>
      <c r="W123" s="551"/>
      <c r="X123" s="551"/>
      <c r="Y123" s="551"/>
      <c r="Z123" s="551"/>
      <c r="AA123" s="551"/>
      <c r="AB123" s="551"/>
      <c r="AC123" s="551"/>
      <c r="AD123" s="551"/>
      <c r="AE123" s="551"/>
    </row>
    <row r="124" ht="11.25" customHeight="1">
      <c r="A124" s="551"/>
      <c r="B124" s="551"/>
      <c r="C124" s="551"/>
      <c r="D124" s="551"/>
      <c r="E124" s="551"/>
      <c r="F124" s="551"/>
      <c r="G124" s="551"/>
      <c r="H124" s="551"/>
      <c r="I124" s="551"/>
      <c r="J124" s="551"/>
      <c r="K124" s="551"/>
      <c r="L124" s="551"/>
      <c r="M124" s="551"/>
      <c r="N124" s="551"/>
      <c r="O124" s="551"/>
      <c r="P124" s="551"/>
      <c r="Q124" s="551"/>
      <c r="R124" s="551"/>
      <c r="S124" s="551"/>
      <c r="T124" s="551"/>
      <c r="U124" s="551"/>
      <c r="V124" s="643"/>
      <c r="W124" s="551"/>
      <c r="X124" s="551"/>
      <c r="Y124" s="551"/>
      <c r="Z124" s="551"/>
      <c r="AA124" s="551"/>
      <c r="AB124" s="551"/>
      <c r="AC124" s="551"/>
      <c r="AD124" s="551"/>
      <c r="AE124" s="551"/>
    </row>
    <row r="125" ht="11.25" customHeight="1">
      <c r="A125" s="551"/>
      <c r="B125" s="551"/>
      <c r="C125" s="551"/>
      <c r="D125" s="551"/>
      <c r="E125" s="551"/>
      <c r="F125" s="551"/>
      <c r="G125" s="551"/>
      <c r="H125" s="551"/>
      <c r="I125" s="551"/>
      <c r="J125" s="551"/>
      <c r="K125" s="551"/>
      <c r="L125" s="551"/>
      <c r="M125" s="551"/>
      <c r="N125" s="551"/>
      <c r="O125" s="551"/>
      <c r="P125" s="551"/>
      <c r="Q125" s="551"/>
      <c r="R125" s="551"/>
      <c r="S125" s="551"/>
      <c r="T125" s="551"/>
      <c r="U125" s="551"/>
      <c r="V125" s="643"/>
      <c r="W125" s="551"/>
      <c r="X125" s="551"/>
      <c r="Y125" s="551"/>
      <c r="Z125" s="551"/>
      <c r="AA125" s="551"/>
      <c r="AB125" s="551"/>
      <c r="AC125" s="551"/>
      <c r="AD125" s="551"/>
      <c r="AE125" s="551"/>
    </row>
    <row r="126" ht="11.25" customHeight="1">
      <c r="A126" s="551"/>
      <c r="B126" s="551"/>
      <c r="C126" s="551"/>
      <c r="D126" s="551"/>
      <c r="E126" s="551"/>
      <c r="F126" s="551"/>
      <c r="G126" s="551"/>
      <c r="H126" s="551"/>
      <c r="I126" s="551"/>
      <c r="J126" s="551"/>
      <c r="K126" s="551"/>
      <c r="L126" s="551"/>
      <c r="M126" s="551"/>
      <c r="N126" s="551"/>
      <c r="O126" s="551"/>
      <c r="P126" s="551"/>
      <c r="Q126" s="551"/>
      <c r="R126" s="551"/>
      <c r="S126" s="551"/>
      <c r="T126" s="551"/>
      <c r="U126" s="551"/>
      <c r="V126" s="643"/>
      <c r="W126" s="551"/>
      <c r="X126" s="551"/>
      <c r="Y126" s="551"/>
      <c r="Z126" s="551"/>
      <c r="AA126" s="551"/>
      <c r="AB126" s="551"/>
      <c r="AC126" s="551"/>
      <c r="AD126" s="551"/>
      <c r="AE126" s="551"/>
    </row>
    <row r="127" ht="11.25" customHeight="1">
      <c r="A127" s="551"/>
      <c r="B127" s="551"/>
      <c r="C127" s="551"/>
      <c r="D127" s="551"/>
      <c r="E127" s="551"/>
      <c r="F127" s="551"/>
      <c r="G127" s="551"/>
      <c r="H127" s="551"/>
      <c r="I127" s="551"/>
      <c r="J127" s="551"/>
      <c r="K127" s="551"/>
      <c r="L127" s="551"/>
      <c r="M127" s="551"/>
      <c r="N127" s="551"/>
      <c r="O127" s="551"/>
      <c r="P127" s="551"/>
      <c r="Q127" s="551"/>
      <c r="R127" s="551"/>
      <c r="S127" s="551"/>
      <c r="T127" s="551"/>
      <c r="U127" s="551"/>
      <c r="V127" s="643"/>
      <c r="W127" s="551"/>
      <c r="X127" s="551"/>
      <c r="Y127" s="551"/>
      <c r="Z127" s="551"/>
      <c r="AA127" s="551"/>
      <c r="AB127" s="551"/>
      <c r="AC127" s="551"/>
      <c r="AD127" s="551"/>
      <c r="AE127" s="551"/>
    </row>
    <row r="128" ht="11.25" customHeight="1">
      <c r="A128" s="551"/>
      <c r="B128" s="551"/>
      <c r="C128" s="551"/>
      <c r="D128" s="551"/>
      <c r="E128" s="551"/>
      <c r="F128" s="551"/>
      <c r="G128" s="551"/>
      <c r="H128" s="551"/>
      <c r="I128" s="551"/>
      <c r="J128" s="551"/>
      <c r="K128" s="551"/>
      <c r="L128" s="551"/>
      <c r="M128" s="551"/>
      <c r="N128" s="551"/>
      <c r="O128" s="551"/>
      <c r="P128" s="551"/>
      <c r="Q128" s="551"/>
      <c r="R128" s="551"/>
      <c r="S128" s="551"/>
      <c r="T128" s="551"/>
      <c r="U128" s="551"/>
      <c r="V128" s="643"/>
      <c r="W128" s="551"/>
      <c r="X128" s="551"/>
      <c r="Y128" s="551"/>
      <c r="Z128" s="551"/>
      <c r="AA128" s="551"/>
      <c r="AB128" s="551"/>
      <c r="AC128" s="551"/>
      <c r="AD128" s="551"/>
      <c r="AE128" s="551"/>
    </row>
    <row r="129" ht="11.25" customHeight="1">
      <c r="A129" s="551"/>
      <c r="B129" s="551"/>
      <c r="C129" s="551"/>
      <c r="D129" s="551"/>
      <c r="E129" s="551"/>
      <c r="F129" s="551"/>
      <c r="G129" s="551"/>
      <c r="H129" s="551"/>
      <c r="I129" s="551"/>
      <c r="J129" s="551"/>
      <c r="K129" s="551"/>
      <c r="L129" s="551"/>
      <c r="M129" s="551"/>
      <c r="N129" s="551"/>
      <c r="O129" s="551"/>
      <c r="P129" s="551"/>
      <c r="Q129" s="551"/>
      <c r="R129" s="551"/>
      <c r="S129" s="551"/>
      <c r="T129" s="551"/>
      <c r="U129" s="551"/>
      <c r="V129" s="643"/>
      <c r="W129" s="551"/>
      <c r="X129" s="551"/>
      <c r="Y129" s="551"/>
      <c r="Z129" s="551"/>
      <c r="AA129" s="551"/>
      <c r="AB129" s="551"/>
      <c r="AC129" s="551"/>
      <c r="AD129" s="551"/>
      <c r="AE129" s="551"/>
    </row>
    <row r="130" ht="11.25" customHeight="1">
      <c r="A130" s="551"/>
      <c r="B130" s="551"/>
      <c r="C130" s="551"/>
      <c r="D130" s="551"/>
      <c r="E130" s="551"/>
      <c r="F130" s="551"/>
      <c r="G130" s="551"/>
      <c r="H130" s="551"/>
      <c r="I130" s="551"/>
      <c r="J130" s="551"/>
      <c r="K130" s="551"/>
      <c r="L130" s="551"/>
      <c r="M130" s="551"/>
      <c r="N130" s="551"/>
      <c r="O130" s="551"/>
      <c r="P130" s="551"/>
      <c r="Q130" s="551"/>
      <c r="R130" s="551"/>
      <c r="S130" s="551"/>
      <c r="T130" s="551"/>
      <c r="U130" s="551"/>
      <c r="V130" s="643"/>
      <c r="W130" s="551"/>
      <c r="X130" s="551"/>
      <c r="Y130" s="551"/>
      <c r="Z130" s="551"/>
      <c r="AA130" s="551"/>
      <c r="AB130" s="551"/>
      <c r="AC130" s="551"/>
      <c r="AD130" s="551"/>
      <c r="AE130" s="551"/>
    </row>
    <row r="131" ht="11.25" customHeight="1">
      <c r="A131" s="551"/>
      <c r="B131" s="551"/>
      <c r="C131" s="551"/>
      <c r="D131" s="551"/>
      <c r="E131" s="551"/>
      <c r="F131" s="551"/>
      <c r="G131" s="551"/>
      <c r="H131" s="551"/>
      <c r="I131" s="551"/>
      <c r="J131" s="551"/>
      <c r="K131" s="551"/>
      <c r="L131" s="551"/>
      <c r="M131" s="551"/>
      <c r="N131" s="551"/>
      <c r="O131" s="551"/>
      <c r="P131" s="551"/>
      <c r="Q131" s="551"/>
      <c r="R131" s="551"/>
      <c r="S131" s="551"/>
      <c r="T131" s="551"/>
      <c r="U131" s="551"/>
      <c r="V131" s="643"/>
      <c r="W131" s="551"/>
      <c r="X131" s="551"/>
      <c r="Y131" s="551"/>
      <c r="Z131" s="551"/>
      <c r="AA131" s="551"/>
      <c r="AB131" s="551"/>
      <c r="AC131" s="551"/>
      <c r="AD131" s="551"/>
      <c r="AE131" s="551"/>
    </row>
    <row r="132" ht="11.25" customHeight="1">
      <c r="A132" s="551"/>
      <c r="B132" s="551"/>
      <c r="C132" s="551"/>
      <c r="D132" s="551"/>
      <c r="E132" s="551"/>
      <c r="F132" s="551"/>
      <c r="G132" s="551"/>
      <c r="H132" s="551"/>
      <c r="I132" s="551"/>
      <c r="J132" s="551"/>
      <c r="K132" s="551"/>
      <c r="L132" s="551"/>
      <c r="M132" s="551"/>
      <c r="N132" s="551"/>
      <c r="O132" s="551"/>
      <c r="P132" s="551"/>
      <c r="Q132" s="551"/>
      <c r="R132" s="551"/>
      <c r="S132" s="551"/>
      <c r="T132" s="551"/>
      <c r="U132" s="551"/>
      <c r="V132" s="643"/>
      <c r="W132" s="551"/>
      <c r="X132" s="551"/>
      <c r="Y132" s="551"/>
      <c r="Z132" s="551"/>
      <c r="AA132" s="551"/>
      <c r="AB132" s="551"/>
      <c r="AC132" s="551"/>
      <c r="AD132" s="551"/>
      <c r="AE132" s="551"/>
    </row>
    <row r="133" ht="11.25" customHeight="1">
      <c r="A133" s="551"/>
      <c r="B133" s="551"/>
      <c r="C133" s="551"/>
      <c r="D133" s="551"/>
      <c r="E133" s="551"/>
      <c r="F133" s="551"/>
      <c r="G133" s="551"/>
      <c r="H133" s="551"/>
      <c r="I133" s="551"/>
      <c r="J133" s="551"/>
      <c r="K133" s="551"/>
      <c r="L133" s="551"/>
      <c r="M133" s="551"/>
      <c r="N133" s="551"/>
      <c r="O133" s="551"/>
      <c r="P133" s="551"/>
      <c r="Q133" s="551"/>
      <c r="R133" s="551"/>
      <c r="S133" s="551"/>
      <c r="T133" s="551"/>
      <c r="U133" s="551"/>
      <c r="V133" s="643"/>
      <c r="W133" s="551"/>
      <c r="X133" s="551"/>
      <c r="Y133" s="551"/>
      <c r="Z133" s="551"/>
      <c r="AA133" s="551"/>
      <c r="AB133" s="551"/>
      <c r="AC133" s="551"/>
      <c r="AD133" s="551"/>
      <c r="AE133" s="551"/>
    </row>
    <row r="134" ht="11.25" customHeight="1">
      <c r="A134" s="551"/>
      <c r="B134" s="551"/>
      <c r="C134" s="551"/>
      <c r="D134" s="551"/>
      <c r="E134" s="551"/>
      <c r="F134" s="551"/>
      <c r="G134" s="551"/>
      <c r="H134" s="551"/>
      <c r="I134" s="551"/>
      <c r="J134" s="551"/>
      <c r="K134" s="551"/>
      <c r="L134" s="551"/>
      <c r="M134" s="551"/>
      <c r="N134" s="551"/>
      <c r="O134" s="551"/>
      <c r="P134" s="551"/>
      <c r="Q134" s="551"/>
      <c r="R134" s="551"/>
      <c r="S134" s="551"/>
      <c r="T134" s="551"/>
      <c r="U134" s="551"/>
      <c r="V134" s="643"/>
      <c r="W134" s="551"/>
      <c r="X134" s="551"/>
      <c r="Y134" s="551"/>
      <c r="Z134" s="551"/>
      <c r="AA134" s="551"/>
      <c r="AB134" s="551"/>
      <c r="AC134" s="551"/>
      <c r="AD134" s="551"/>
      <c r="AE134" s="551"/>
    </row>
    <row r="135" ht="11.25" customHeight="1">
      <c r="A135" s="551"/>
      <c r="B135" s="551"/>
      <c r="C135" s="551"/>
      <c r="D135" s="551"/>
      <c r="E135" s="551"/>
      <c r="F135" s="551"/>
      <c r="G135" s="551"/>
      <c r="H135" s="551"/>
      <c r="I135" s="551"/>
      <c r="J135" s="551"/>
      <c r="K135" s="551"/>
      <c r="L135" s="551"/>
      <c r="M135" s="551"/>
      <c r="N135" s="551"/>
      <c r="O135" s="551"/>
      <c r="P135" s="551"/>
      <c r="Q135" s="551"/>
      <c r="R135" s="551"/>
      <c r="S135" s="551"/>
      <c r="T135" s="551"/>
      <c r="U135" s="551"/>
      <c r="V135" s="643"/>
      <c r="W135" s="551"/>
      <c r="X135" s="551"/>
      <c r="Y135" s="551"/>
      <c r="Z135" s="551"/>
      <c r="AA135" s="551"/>
      <c r="AB135" s="551"/>
      <c r="AC135" s="551"/>
      <c r="AD135" s="551"/>
      <c r="AE135" s="551"/>
    </row>
    <row r="136" ht="11.25" customHeight="1">
      <c r="A136" s="551"/>
      <c r="B136" s="551"/>
      <c r="C136" s="551"/>
      <c r="D136" s="551"/>
      <c r="E136" s="551"/>
      <c r="F136" s="551"/>
      <c r="G136" s="551"/>
      <c r="H136" s="551"/>
      <c r="I136" s="551"/>
      <c r="J136" s="551"/>
      <c r="K136" s="551"/>
      <c r="L136" s="551"/>
      <c r="M136" s="551"/>
      <c r="N136" s="551"/>
      <c r="O136" s="551"/>
      <c r="P136" s="551"/>
      <c r="Q136" s="551"/>
      <c r="R136" s="551"/>
      <c r="S136" s="551"/>
      <c r="T136" s="551"/>
      <c r="U136" s="551"/>
      <c r="V136" s="643"/>
      <c r="W136" s="551"/>
      <c r="X136" s="551"/>
      <c r="Y136" s="551"/>
      <c r="Z136" s="551"/>
      <c r="AA136" s="551"/>
      <c r="AB136" s="551"/>
      <c r="AC136" s="551"/>
      <c r="AD136" s="551"/>
      <c r="AE136" s="551"/>
    </row>
    <row r="137" ht="11.25" customHeight="1">
      <c r="A137" s="551"/>
      <c r="B137" s="551"/>
      <c r="C137" s="551"/>
      <c r="D137" s="551"/>
      <c r="E137" s="551"/>
      <c r="F137" s="551"/>
      <c r="G137" s="551"/>
      <c r="H137" s="551"/>
      <c r="I137" s="551"/>
      <c r="J137" s="551"/>
      <c r="K137" s="551"/>
      <c r="L137" s="551"/>
      <c r="M137" s="551"/>
      <c r="N137" s="551"/>
      <c r="O137" s="551"/>
      <c r="P137" s="551"/>
      <c r="Q137" s="551"/>
      <c r="R137" s="551"/>
      <c r="S137" s="551"/>
      <c r="T137" s="551"/>
      <c r="U137" s="551"/>
      <c r="V137" s="643"/>
      <c r="W137" s="551"/>
      <c r="X137" s="551"/>
      <c r="Y137" s="551"/>
      <c r="Z137" s="551"/>
      <c r="AA137" s="551"/>
      <c r="AB137" s="551"/>
      <c r="AC137" s="551"/>
      <c r="AD137" s="551"/>
      <c r="AE137" s="551"/>
    </row>
    <row r="138" ht="11.25" customHeight="1">
      <c r="A138" s="551"/>
      <c r="B138" s="551"/>
      <c r="C138" s="551"/>
      <c r="D138" s="551"/>
      <c r="E138" s="551"/>
      <c r="F138" s="551"/>
      <c r="G138" s="551"/>
      <c r="H138" s="551"/>
      <c r="I138" s="551"/>
      <c r="J138" s="551"/>
      <c r="K138" s="551"/>
      <c r="L138" s="551"/>
      <c r="M138" s="551"/>
      <c r="N138" s="551"/>
      <c r="O138" s="551"/>
      <c r="P138" s="551"/>
      <c r="Q138" s="551"/>
      <c r="R138" s="551"/>
      <c r="S138" s="551"/>
      <c r="T138" s="551"/>
      <c r="U138" s="551"/>
      <c r="V138" s="643"/>
      <c r="W138" s="551"/>
      <c r="X138" s="551"/>
      <c r="Y138" s="551"/>
      <c r="Z138" s="551"/>
      <c r="AA138" s="551"/>
      <c r="AB138" s="551"/>
      <c r="AC138" s="551"/>
      <c r="AD138" s="551"/>
      <c r="AE138" s="551"/>
    </row>
    <row r="139" ht="11.25" customHeight="1">
      <c r="A139" s="551"/>
      <c r="B139" s="551"/>
      <c r="C139" s="551"/>
      <c r="D139" s="551"/>
      <c r="E139" s="551"/>
      <c r="F139" s="551"/>
      <c r="G139" s="551"/>
      <c r="H139" s="551"/>
      <c r="I139" s="551"/>
      <c r="J139" s="551"/>
      <c r="K139" s="551"/>
      <c r="L139" s="551"/>
      <c r="M139" s="551"/>
      <c r="N139" s="551"/>
      <c r="O139" s="551"/>
      <c r="P139" s="551"/>
      <c r="Q139" s="551"/>
      <c r="R139" s="551"/>
      <c r="S139" s="551"/>
      <c r="T139" s="551"/>
      <c r="U139" s="551"/>
      <c r="V139" s="643"/>
      <c r="W139" s="551"/>
      <c r="X139" s="551"/>
      <c r="Y139" s="551"/>
      <c r="Z139" s="551"/>
      <c r="AA139" s="551"/>
      <c r="AB139" s="551"/>
      <c r="AC139" s="551"/>
      <c r="AD139" s="551"/>
      <c r="AE139" s="551"/>
    </row>
    <row r="140" ht="11.25" customHeight="1">
      <c r="A140" s="551"/>
      <c r="B140" s="551"/>
      <c r="C140" s="551"/>
      <c r="D140" s="551"/>
      <c r="E140" s="551"/>
      <c r="F140" s="551"/>
      <c r="G140" s="551"/>
      <c r="H140" s="551"/>
      <c r="I140" s="551"/>
      <c r="J140" s="551"/>
      <c r="K140" s="551"/>
      <c r="L140" s="551"/>
      <c r="M140" s="551"/>
      <c r="N140" s="551"/>
      <c r="O140" s="551"/>
      <c r="P140" s="551"/>
      <c r="Q140" s="551"/>
      <c r="R140" s="551"/>
      <c r="S140" s="551"/>
      <c r="T140" s="551"/>
      <c r="U140" s="551"/>
      <c r="V140" s="643"/>
      <c r="W140" s="551"/>
      <c r="X140" s="551"/>
      <c r="Y140" s="551"/>
      <c r="Z140" s="551"/>
      <c r="AA140" s="551"/>
      <c r="AB140" s="551"/>
      <c r="AC140" s="551"/>
      <c r="AD140" s="551"/>
      <c r="AE140" s="551"/>
    </row>
    <row r="141" ht="11.25" customHeight="1">
      <c r="A141" s="551"/>
      <c r="B141" s="551"/>
      <c r="C141" s="551"/>
      <c r="D141" s="551"/>
      <c r="E141" s="551"/>
      <c r="F141" s="551"/>
      <c r="G141" s="551"/>
      <c r="H141" s="551"/>
      <c r="I141" s="551"/>
      <c r="J141" s="551"/>
      <c r="K141" s="551"/>
      <c r="L141" s="551"/>
      <c r="M141" s="551"/>
      <c r="N141" s="551"/>
      <c r="O141" s="551"/>
      <c r="P141" s="551"/>
      <c r="Q141" s="551"/>
      <c r="R141" s="551"/>
      <c r="S141" s="551"/>
      <c r="T141" s="551"/>
      <c r="U141" s="551"/>
      <c r="V141" s="643"/>
      <c r="W141" s="551"/>
      <c r="X141" s="551"/>
      <c r="Y141" s="551"/>
      <c r="Z141" s="551"/>
      <c r="AA141" s="551"/>
      <c r="AB141" s="551"/>
      <c r="AC141" s="551"/>
      <c r="AD141" s="551"/>
      <c r="AE141" s="551"/>
    </row>
    <row r="142" ht="11.25" customHeight="1">
      <c r="A142" s="551"/>
      <c r="B142" s="551"/>
      <c r="C142" s="551"/>
      <c r="D142" s="551"/>
      <c r="E142" s="551"/>
      <c r="F142" s="551"/>
      <c r="G142" s="551"/>
      <c r="H142" s="551"/>
      <c r="I142" s="551"/>
      <c r="J142" s="551"/>
      <c r="K142" s="551"/>
      <c r="L142" s="551"/>
      <c r="M142" s="551"/>
      <c r="N142" s="551"/>
      <c r="O142" s="551"/>
      <c r="P142" s="551"/>
      <c r="Q142" s="551"/>
      <c r="R142" s="551"/>
      <c r="S142" s="551"/>
      <c r="T142" s="551"/>
      <c r="U142" s="551"/>
      <c r="V142" s="643"/>
      <c r="W142" s="551"/>
      <c r="X142" s="551"/>
      <c r="Y142" s="551"/>
      <c r="Z142" s="551"/>
      <c r="AA142" s="551"/>
      <c r="AB142" s="551"/>
      <c r="AC142" s="551"/>
      <c r="AD142" s="551"/>
      <c r="AE142" s="551"/>
    </row>
    <row r="143" ht="11.25" customHeight="1">
      <c r="A143" s="551"/>
      <c r="B143" s="551"/>
      <c r="C143" s="551"/>
      <c r="D143" s="551"/>
      <c r="E143" s="551"/>
      <c r="F143" s="551"/>
      <c r="G143" s="551"/>
      <c r="H143" s="551"/>
      <c r="I143" s="551"/>
      <c r="J143" s="551"/>
      <c r="K143" s="551"/>
      <c r="L143" s="551"/>
      <c r="M143" s="551"/>
      <c r="N143" s="551"/>
      <c r="O143" s="551"/>
      <c r="P143" s="551"/>
      <c r="Q143" s="551"/>
      <c r="R143" s="551"/>
      <c r="S143" s="551"/>
      <c r="T143" s="551"/>
      <c r="U143" s="551"/>
      <c r="V143" s="643"/>
      <c r="W143" s="551"/>
      <c r="X143" s="551"/>
      <c r="Y143" s="551"/>
      <c r="Z143" s="551"/>
      <c r="AA143" s="551"/>
      <c r="AB143" s="551"/>
      <c r="AC143" s="551"/>
      <c r="AD143" s="551"/>
      <c r="AE143" s="551"/>
    </row>
    <row r="144" ht="11.25" customHeight="1">
      <c r="A144" s="551"/>
      <c r="B144" s="551"/>
      <c r="C144" s="551"/>
      <c r="D144" s="551"/>
      <c r="E144" s="551"/>
      <c r="F144" s="551"/>
      <c r="G144" s="551"/>
      <c r="H144" s="551"/>
      <c r="I144" s="551"/>
      <c r="J144" s="551"/>
      <c r="K144" s="551"/>
      <c r="L144" s="551"/>
      <c r="M144" s="551"/>
      <c r="N144" s="551"/>
      <c r="O144" s="551"/>
      <c r="P144" s="551"/>
      <c r="Q144" s="551"/>
      <c r="R144" s="551"/>
      <c r="S144" s="551"/>
      <c r="T144" s="551"/>
      <c r="U144" s="551"/>
      <c r="V144" s="643"/>
      <c r="W144" s="551"/>
      <c r="X144" s="551"/>
      <c r="Y144" s="551"/>
      <c r="Z144" s="551"/>
      <c r="AA144" s="551"/>
      <c r="AB144" s="551"/>
      <c r="AC144" s="551"/>
      <c r="AD144" s="551"/>
      <c r="AE144" s="551"/>
    </row>
    <row r="145" ht="11.25" customHeight="1">
      <c r="A145" s="551"/>
      <c r="B145" s="551"/>
      <c r="C145" s="551"/>
      <c r="D145" s="551"/>
      <c r="E145" s="551"/>
      <c r="F145" s="551"/>
      <c r="G145" s="551"/>
      <c r="H145" s="551"/>
      <c r="I145" s="551"/>
      <c r="J145" s="551"/>
      <c r="K145" s="551"/>
      <c r="L145" s="551"/>
      <c r="M145" s="551"/>
      <c r="N145" s="551"/>
      <c r="O145" s="551"/>
      <c r="P145" s="551"/>
      <c r="Q145" s="551"/>
      <c r="R145" s="551"/>
      <c r="S145" s="551"/>
      <c r="T145" s="551"/>
      <c r="U145" s="551"/>
      <c r="V145" s="643"/>
      <c r="W145" s="551"/>
      <c r="X145" s="551"/>
      <c r="Y145" s="551"/>
      <c r="Z145" s="551"/>
      <c r="AA145" s="551"/>
      <c r="AB145" s="551"/>
      <c r="AC145" s="551"/>
      <c r="AD145" s="551"/>
      <c r="AE145" s="551"/>
    </row>
    <row r="146" ht="11.25" customHeight="1">
      <c r="A146" s="551"/>
      <c r="B146" s="551"/>
      <c r="C146" s="551"/>
      <c r="D146" s="551"/>
      <c r="E146" s="551"/>
      <c r="F146" s="551"/>
      <c r="G146" s="551"/>
      <c r="H146" s="551"/>
      <c r="I146" s="551"/>
      <c r="J146" s="551"/>
      <c r="K146" s="551"/>
      <c r="L146" s="551"/>
      <c r="M146" s="551"/>
      <c r="N146" s="551"/>
      <c r="O146" s="551"/>
      <c r="P146" s="551"/>
      <c r="Q146" s="551"/>
      <c r="R146" s="551"/>
      <c r="S146" s="551"/>
      <c r="T146" s="551"/>
      <c r="U146" s="551"/>
      <c r="V146" s="643"/>
      <c r="W146" s="551"/>
      <c r="X146" s="551"/>
      <c r="Y146" s="551"/>
      <c r="Z146" s="551"/>
      <c r="AA146" s="551"/>
      <c r="AB146" s="551"/>
      <c r="AC146" s="551"/>
      <c r="AD146" s="551"/>
      <c r="AE146" s="551"/>
    </row>
    <row r="147" ht="11.25" customHeight="1">
      <c r="A147" s="551"/>
      <c r="B147" s="551"/>
      <c r="C147" s="551"/>
      <c r="D147" s="551"/>
      <c r="E147" s="551"/>
      <c r="F147" s="551"/>
      <c r="G147" s="551"/>
      <c r="H147" s="551"/>
      <c r="I147" s="551"/>
      <c r="J147" s="551"/>
      <c r="K147" s="551"/>
      <c r="L147" s="551"/>
      <c r="M147" s="551"/>
      <c r="N147" s="551"/>
      <c r="O147" s="551"/>
      <c r="P147" s="551"/>
      <c r="Q147" s="551"/>
      <c r="R147" s="551"/>
      <c r="S147" s="551"/>
      <c r="T147" s="551"/>
      <c r="U147" s="551"/>
      <c r="V147" s="643"/>
      <c r="W147" s="551"/>
      <c r="X147" s="551"/>
      <c r="Y147" s="551"/>
      <c r="Z147" s="551"/>
      <c r="AA147" s="551"/>
      <c r="AB147" s="551"/>
      <c r="AC147" s="551"/>
      <c r="AD147" s="551"/>
      <c r="AE147" s="551"/>
    </row>
    <row r="148" ht="11.25" customHeight="1">
      <c r="A148" s="551"/>
      <c r="B148" s="551"/>
      <c r="C148" s="551"/>
      <c r="D148" s="551"/>
      <c r="E148" s="551"/>
      <c r="F148" s="551"/>
      <c r="G148" s="551"/>
      <c r="H148" s="551"/>
      <c r="I148" s="551"/>
      <c r="J148" s="551"/>
      <c r="K148" s="551"/>
      <c r="L148" s="551"/>
      <c r="M148" s="551"/>
      <c r="N148" s="551"/>
      <c r="O148" s="551"/>
      <c r="P148" s="551"/>
      <c r="Q148" s="551"/>
      <c r="R148" s="551"/>
      <c r="S148" s="551"/>
      <c r="T148" s="551"/>
      <c r="U148" s="551"/>
      <c r="V148" s="643"/>
      <c r="W148" s="551"/>
      <c r="X148" s="551"/>
      <c r="Y148" s="551"/>
      <c r="Z148" s="551"/>
      <c r="AA148" s="551"/>
      <c r="AB148" s="551"/>
      <c r="AC148" s="551"/>
      <c r="AD148" s="551"/>
      <c r="AE148" s="551"/>
    </row>
    <row r="149" ht="11.25" customHeight="1">
      <c r="A149" s="551"/>
      <c r="B149" s="551"/>
      <c r="C149" s="551"/>
      <c r="D149" s="551"/>
      <c r="E149" s="551"/>
      <c r="F149" s="551"/>
      <c r="G149" s="551"/>
      <c r="H149" s="551"/>
      <c r="I149" s="551"/>
      <c r="J149" s="551"/>
      <c r="K149" s="551"/>
      <c r="L149" s="551"/>
      <c r="M149" s="551"/>
      <c r="N149" s="551"/>
      <c r="O149" s="551"/>
      <c r="P149" s="551"/>
      <c r="Q149" s="551"/>
      <c r="R149" s="551"/>
      <c r="S149" s="551"/>
      <c r="T149" s="551"/>
      <c r="U149" s="551"/>
      <c r="V149" s="643"/>
      <c r="W149" s="551"/>
      <c r="X149" s="551"/>
      <c r="Y149" s="551"/>
      <c r="Z149" s="551"/>
      <c r="AA149" s="551"/>
      <c r="AB149" s="551"/>
      <c r="AC149" s="551"/>
      <c r="AD149" s="551"/>
      <c r="AE149" s="551"/>
    </row>
    <row r="150" ht="11.25" customHeight="1">
      <c r="A150" s="551"/>
      <c r="B150" s="551"/>
      <c r="C150" s="551"/>
      <c r="D150" s="551"/>
      <c r="E150" s="551"/>
      <c r="F150" s="551"/>
      <c r="G150" s="551"/>
      <c r="H150" s="551"/>
      <c r="I150" s="551"/>
      <c r="J150" s="551"/>
      <c r="K150" s="551"/>
      <c r="L150" s="551"/>
      <c r="M150" s="551"/>
      <c r="N150" s="551"/>
      <c r="O150" s="551"/>
      <c r="P150" s="551"/>
      <c r="Q150" s="551"/>
      <c r="R150" s="551"/>
      <c r="S150" s="551"/>
      <c r="T150" s="551"/>
      <c r="U150" s="551"/>
      <c r="V150" s="643"/>
      <c r="W150" s="551"/>
      <c r="X150" s="551"/>
      <c r="Y150" s="551"/>
      <c r="Z150" s="551"/>
      <c r="AA150" s="551"/>
      <c r="AB150" s="551"/>
      <c r="AC150" s="551"/>
      <c r="AD150" s="551"/>
      <c r="AE150" s="551"/>
    </row>
    <row r="151" ht="11.25" customHeight="1">
      <c r="A151" s="551"/>
      <c r="B151" s="551"/>
      <c r="C151" s="551"/>
      <c r="D151" s="551"/>
      <c r="E151" s="551"/>
      <c r="F151" s="551"/>
      <c r="G151" s="551"/>
      <c r="H151" s="551"/>
      <c r="I151" s="551"/>
      <c r="J151" s="551"/>
      <c r="K151" s="551"/>
      <c r="L151" s="551"/>
      <c r="M151" s="551"/>
      <c r="N151" s="551"/>
      <c r="O151" s="551"/>
      <c r="P151" s="551"/>
      <c r="Q151" s="551"/>
      <c r="R151" s="551"/>
      <c r="S151" s="551"/>
      <c r="T151" s="551"/>
      <c r="U151" s="551"/>
      <c r="V151" s="643"/>
      <c r="W151" s="551"/>
      <c r="X151" s="551"/>
      <c r="Y151" s="551"/>
      <c r="Z151" s="551"/>
      <c r="AA151" s="551"/>
      <c r="AB151" s="551"/>
      <c r="AC151" s="551"/>
      <c r="AD151" s="551"/>
      <c r="AE151" s="551"/>
    </row>
    <row r="152" ht="11.25" customHeight="1">
      <c r="A152" s="551"/>
      <c r="B152" s="551"/>
      <c r="C152" s="551"/>
      <c r="D152" s="551"/>
      <c r="E152" s="551"/>
      <c r="F152" s="551"/>
      <c r="G152" s="551"/>
      <c r="H152" s="551"/>
      <c r="I152" s="551"/>
      <c r="J152" s="551"/>
      <c r="K152" s="551"/>
      <c r="L152" s="551"/>
      <c r="M152" s="551"/>
      <c r="N152" s="551"/>
      <c r="O152" s="551"/>
      <c r="P152" s="551"/>
      <c r="Q152" s="551"/>
      <c r="R152" s="551"/>
      <c r="S152" s="551"/>
      <c r="T152" s="551"/>
      <c r="U152" s="551"/>
      <c r="V152" s="643"/>
      <c r="W152" s="551"/>
      <c r="X152" s="551"/>
      <c r="Y152" s="551"/>
      <c r="Z152" s="551"/>
      <c r="AA152" s="551"/>
      <c r="AB152" s="551"/>
      <c r="AC152" s="551"/>
      <c r="AD152" s="551"/>
      <c r="AE152" s="551"/>
    </row>
    <row r="153" ht="11.25" customHeight="1">
      <c r="A153" s="551"/>
      <c r="B153" s="551"/>
      <c r="C153" s="551"/>
      <c r="D153" s="551"/>
      <c r="E153" s="551"/>
      <c r="F153" s="551"/>
      <c r="G153" s="551"/>
      <c r="H153" s="551"/>
      <c r="I153" s="551"/>
      <c r="J153" s="551"/>
      <c r="K153" s="551"/>
      <c r="L153" s="551"/>
      <c r="M153" s="551"/>
      <c r="N153" s="551"/>
      <c r="O153" s="551"/>
      <c r="P153" s="551"/>
      <c r="Q153" s="551"/>
      <c r="R153" s="551"/>
      <c r="S153" s="551"/>
      <c r="T153" s="551"/>
      <c r="U153" s="551"/>
      <c r="V153" s="643"/>
      <c r="W153" s="551"/>
      <c r="X153" s="551"/>
      <c r="Y153" s="551"/>
      <c r="Z153" s="551"/>
      <c r="AA153" s="551"/>
      <c r="AB153" s="551"/>
      <c r="AC153" s="551"/>
      <c r="AD153" s="551"/>
      <c r="AE153" s="551"/>
    </row>
    <row r="154" ht="11.25" customHeight="1">
      <c r="A154" s="551"/>
      <c r="B154" s="551"/>
      <c r="C154" s="551"/>
      <c r="D154" s="551"/>
      <c r="E154" s="551"/>
      <c r="F154" s="551"/>
      <c r="G154" s="551"/>
      <c r="H154" s="551"/>
      <c r="I154" s="551"/>
      <c r="J154" s="551"/>
      <c r="K154" s="551"/>
      <c r="L154" s="551"/>
      <c r="M154" s="551"/>
      <c r="N154" s="551"/>
      <c r="O154" s="551"/>
      <c r="P154" s="551"/>
      <c r="Q154" s="551"/>
      <c r="R154" s="551"/>
      <c r="S154" s="551"/>
      <c r="T154" s="551"/>
      <c r="U154" s="551"/>
      <c r="V154" s="643"/>
      <c r="W154" s="551"/>
      <c r="X154" s="551"/>
      <c r="Y154" s="551"/>
      <c r="Z154" s="551"/>
      <c r="AA154" s="551"/>
      <c r="AB154" s="551"/>
      <c r="AC154" s="551"/>
      <c r="AD154" s="551"/>
      <c r="AE154" s="551"/>
    </row>
    <row r="155" ht="11.25" customHeight="1">
      <c r="A155" s="551"/>
      <c r="B155" s="551"/>
      <c r="C155" s="551"/>
      <c r="D155" s="551"/>
      <c r="E155" s="551"/>
      <c r="F155" s="551"/>
      <c r="G155" s="551"/>
      <c r="H155" s="551"/>
      <c r="I155" s="551"/>
      <c r="J155" s="551"/>
      <c r="K155" s="551"/>
      <c r="L155" s="551"/>
      <c r="M155" s="551"/>
      <c r="N155" s="551"/>
      <c r="O155" s="551"/>
      <c r="P155" s="551"/>
      <c r="Q155" s="551"/>
      <c r="R155" s="551"/>
      <c r="S155" s="551"/>
      <c r="T155" s="551"/>
      <c r="U155" s="551"/>
      <c r="V155" s="643"/>
      <c r="W155" s="551"/>
      <c r="X155" s="551"/>
      <c r="Y155" s="551"/>
      <c r="Z155" s="551"/>
      <c r="AA155" s="551"/>
      <c r="AB155" s="551"/>
      <c r="AC155" s="551"/>
      <c r="AD155" s="551"/>
      <c r="AE155" s="551"/>
    </row>
    <row r="156" ht="11.25" customHeight="1">
      <c r="A156" s="551"/>
      <c r="B156" s="551"/>
      <c r="C156" s="551"/>
      <c r="D156" s="551"/>
      <c r="E156" s="551"/>
      <c r="F156" s="551"/>
      <c r="G156" s="551"/>
      <c r="H156" s="551"/>
      <c r="I156" s="551"/>
      <c r="J156" s="551"/>
      <c r="K156" s="551"/>
      <c r="L156" s="551"/>
      <c r="M156" s="551"/>
      <c r="N156" s="551"/>
      <c r="O156" s="551"/>
      <c r="P156" s="551"/>
      <c r="Q156" s="551"/>
      <c r="R156" s="551"/>
      <c r="S156" s="551"/>
      <c r="T156" s="551"/>
      <c r="U156" s="551"/>
      <c r="V156" s="643"/>
      <c r="W156" s="551"/>
      <c r="X156" s="551"/>
      <c r="Y156" s="551"/>
      <c r="Z156" s="551"/>
      <c r="AA156" s="551"/>
      <c r="AB156" s="551"/>
      <c r="AC156" s="551"/>
      <c r="AD156" s="551"/>
      <c r="AE156" s="551"/>
    </row>
    <row r="157" ht="11.25" customHeight="1">
      <c r="A157" s="551"/>
      <c r="B157" s="551"/>
      <c r="C157" s="551"/>
      <c r="D157" s="551"/>
      <c r="E157" s="551"/>
      <c r="F157" s="551"/>
      <c r="G157" s="551"/>
      <c r="H157" s="551"/>
      <c r="I157" s="551"/>
      <c r="J157" s="551"/>
      <c r="K157" s="551"/>
      <c r="L157" s="551"/>
      <c r="M157" s="551"/>
      <c r="N157" s="551"/>
      <c r="O157" s="551"/>
      <c r="P157" s="551"/>
      <c r="Q157" s="551"/>
      <c r="R157" s="551"/>
      <c r="S157" s="551"/>
      <c r="T157" s="551"/>
      <c r="U157" s="551"/>
      <c r="V157" s="643"/>
      <c r="W157" s="551"/>
      <c r="X157" s="551"/>
      <c r="Y157" s="551"/>
      <c r="Z157" s="551"/>
      <c r="AA157" s="551"/>
      <c r="AB157" s="551"/>
      <c r="AC157" s="551"/>
      <c r="AD157" s="551"/>
      <c r="AE157" s="551"/>
    </row>
    <row r="158" ht="11.25" customHeight="1">
      <c r="A158" s="551"/>
      <c r="B158" s="551"/>
      <c r="C158" s="551"/>
      <c r="D158" s="551"/>
      <c r="E158" s="551"/>
      <c r="F158" s="551"/>
      <c r="G158" s="551"/>
      <c r="H158" s="551"/>
      <c r="I158" s="551"/>
      <c r="J158" s="551"/>
      <c r="K158" s="551"/>
      <c r="L158" s="551"/>
      <c r="M158" s="551"/>
      <c r="N158" s="551"/>
      <c r="O158" s="551"/>
      <c r="P158" s="551"/>
      <c r="Q158" s="551"/>
      <c r="R158" s="551"/>
      <c r="S158" s="551"/>
      <c r="T158" s="551"/>
      <c r="U158" s="551"/>
      <c r="V158" s="643"/>
      <c r="W158" s="551"/>
      <c r="X158" s="551"/>
      <c r="Y158" s="551"/>
      <c r="Z158" s="551"/>
      <c r="AA158" s="551"/>
      <c r="AB158" s="551"/>
      <c r="AC158" s="551"/>
      <c r="AD158" s="551"/>
      <c r="AE158" s="551"/>
    </row>
    <row r="159" ht="11.25" customHeight="1">
      <c r="A159" s="551"/>
      <c r="B159" s="551"/>
      <c r="C159" s="551"/>
      <c r="D159" s="551"/>
      <c r="E159" s="551"/>
      <c r="F159" s="551"/>
      <c r="G159" s="551"/>
      <c r="H159" s="551"/>
      <c r="I159" s="551"/>
      <c r="J159" s="551"/>
      <c r="K159" s="551"/>
      <c r="L159" s="551"/>
      <c r="M159" s="551"/>
      <c r="N159" s="551"/>
      <c r="O159" s="551"/>
      <c r="P159" s="551"/>
      <c r="Q159" s="551"/>
      <c r="R159" s="551"/>
      <c r="S159" s="551"/>
      <c r="T159" s="551"/>
      <c r="U159" s="551"/>
      <c r="V159" s="643"/>
      <c r="W159" s="551"/>
      <c r="X159" s="551"/>
      <c r="Y159" s="551"/>
      <c r="Z159" s="551"/>
      <c r="AA159" s="551"/>
      <c r="AB159" s="551"/>
      <c r="AC159" s="551"/>
      <c r="AD159" s="551"/>
      <c r="AE159" s="551"/>
    </row>
    <row r="160" ht="11.25" customHeight="1">
      <c r="A160" s="551"/>
      <c r="B160" s="551"/>
      <c r="C160" s="551"/>
      <c r="D160" s="551"/>
      <c r="E160" s="551"/>
      <c r="F160" s="551"/>
      <c r="G160" s="551"/>
      <c r="H160" s="551"/>
      <c r="I160" s="551"/>
      <c r="J160" s="551"/>
      <c r="K160" s="551"/>
      <c r="L160" s="551"/>
      <c r="M160" s="551"/>
      <c r="N160" s="551"/>
      <c r="O160" s="551"/>
      <c r="P160" s="551"/>
      <c r="Q160" s="551"/>
      <c r="R160" s="551"/>
      <c r="S160" s="551"/>
      <c r="T160" s="551"/>
      <c r="U160" s="551"/>
      <c r="V160" s="643"/>
      <c r="W160" s="551"/>
      <c r="X160" s="551"/>
      <c r="Y160" s="551"/>
      <c r="Z160" s="551"/>
      <c r="AA160" s="551"/>
      <c r="AB160" s="551"/>
      <c r="AC160" s="551"/>
      <c r="AD160" s="551"/>
      <c r="AE160" s="551"/>
    </row>
    <row r="161" ht="11.25" customHeight="1">
      <c r="A161" s="551"/>
      <c r="B161" s="551"/>
      <c r="C161" s="551"/>
      <c r="D161" s="551"/>
      <c r="E161" s="551"/>
      <c r="F161" s="551"/>
      <c r="G161" s="551"/>
      <c r="H161" s="551"/>
      <c r="I161" s="551"/>
      <c r="J161" s="551"/>
      <c r="K161" s="551"/>
      <c r="L161" s="551"/>
      <c r="M161" s="551"/>
      <c r="N161" s="551"/>
      <c r="O161" s="551"/>
      <c r="P161" s="551"/>
      <c r="Q161" s="551"/>
      <c r="R161" s="551"/>
      <c r="S161" s="551"/>
      <c r="T161" s="551"/>
      <c r="U161" s="551"/>
      <c r="V161" s="643"/>
      <c r="W161" s="551"/>
      <c r="X161" s="551"/>
      <c r="Y161" s="551"/>
      <c r="Z161" s="551"/>
      <c r="AA161" s="551"/>
      <c r="AB161" s="551"/>
      <c r="AC161" s="551"/>
      <c r="AD161" s="551"/>
      <c r="AE161" s="551"/>
    </row>
    <row r="162" ht="11.25" customHeight="1">
      <c r="A162" s="551"/>
      <c r="B162" s="551"/>
      <c r="C162" s="551"/>
      <c r="D162" s="551"/>
      <c r="E162" s="551"/>
      <c r="F162" s="551"/>
      <c r="G162" s="551"/>
      <c r="H162" s="551"/>
      <c r="I162" s="551"/>
      <c r="J162" s="551"/>
      <c r="K162" s="551"/>
      <c r="L162" s="551"/>
      <c r="M162" s="551"/>
      <c r="N162" s="551"/>
      <c r="O162" s="551"/>
      <c r="P162" s="551"/>
      <c r="Q162" s="551"/>
      <c r="R162" s="551"/>
      <c r="S162" s="551"/>
      <c r="T162" s="551"/>
      <c r="U162" s="551"/>
      <c r="V162" s="643"/>
      <c r="W162" s="551"/>
      <c r="X162" s="551"/>
      <c r="Y162" s="551"/>
      <c r="Z162" s="551"/>
      <c r="AA162" s="551"/>
      <c r="AB162" s="551"/>
      <c r="AC162" s="551"/>
      <c r="AD162" s="551"/>
      <c r="AE162" s="551"/>
    </row>
    <row r="163" ht="11.25" customHeight="1">
      <c r="A163" s="551"/>
      <c r="B163" s="551"/>
      <c r="C163" s="551"/>
      <c r="D163" s="551"/>
      <c r="E163" s="551"/>
      <c r="F163" s="551"/>
      <c r="G163" s="551"/>
      <c r="H163" s="551"/>
      <c r="I163" s="551"/>
      <c r="J163" s="551"/>
      <c r="K163" s="551"/>
      <c r="L163" s="551"/>
      <c r="M163" s="551"/>
      <c r="N163" s="551"/>
      <c r="O163" s="551"/>
      <c r="P163" s="551"/>
      <c r="Q163" s="551"/>
      <c r="R163" s="551"/>
      <c r="S163" s="551"/>
      <c r="T163" s="551"/>
      <c r="U163" s="551"/>
      <c r="V163" s="643"/>
      <c r="W163" s="551"/>
      <c r="X163" s="551"/>
      <c r="Y163" s="551"/>
      <c r="Z163" s="551"/>
      <c r="AA163" s="551"/>
      <c r="AB163" s="551"/>
      <c r="AC163" s="551"/>
      <c r="AD163" s="551"/>
      <c r="AE163" s="551"/>
    </row>
    <row r="164" ht="11.25" customHeight="1">
      <c r="A164" s="551"/>
      <c r="B164" s="551"/>
      <c r="C164" s="551"/>
      <c r="D164" s="551"/>
      <c r="E164" s="551"/>
      <c r="F164" s="551"/>
      <c r="G164" s="551"/>
      <c r="H164" s="551"/>
      <c r="I164" s="551"/>
      <c r="J164" s="551"/>
      <c r="K164" s="551"/>
      <c r="L164" s="551"/>
      <c r="M164" s="551"/>
      <c r="N164" s="551"/>
      <c r="O164" s="551"/>
      <c r="P164" s="551"/>
      <c r="Q164" s="551"/>
      <c r="R164" s="551"/>
      <c r="S164" s="551"/>
      <c r="T164" s="551"/>
      <c r="U164" s="551"/>
      <c r="V164" s="643"/>
      <c r="W164" s="551"/>
      <c r="X164" s="551"/>
      <c r="Y164" s="551"/>
      <c r="Z164" s="551"/>
      <c r="AA164" s="551"/>
      <c r="AB164" s="551"/>
      <c r="AC164" s="551"/>
      <c r="AD164" s="551"/>
      <c r="AE164" s="551"/>
    </row>
    <row r="165" ht="11.25" customHeight="1">
      <c r="A165" s="551"/>
      <c r="B165" s="551"/>
      <c r="C165" s="551"/>
      <c r="D165" s="551"/>
      <c r="E165" s="551"/>
      <c r="F165" s="551"/>
      <c r="G165" s="551"/>
      <c r="H165" s="551"/>
      <c r="I165" s="551"/>
      <c r="J165" s="551"/>
      <c r="K165" s="551"/>
      <c r="L165" s="551"/>
      <c r="M165" s="551"/>
      <c r="N165" s="551"/>
      <c r="O165" s="551"/>
      <c r="P165" s="551"/>
      <c r="Q165" s="551"/>
      <c r="R165" s="551"/>
      <c r="S165" s="551"/>
      <c r="T165" s="551"/>
      <c r="U165" s="551"/>
      <c r="V165" s="643"/>
      <c r="W165" s="551"/>
      <c r="X165" s="551"/>
      <c r="Y165" s="551"/>
      <c r="Z165" s="551"/>
      <c r="AA165" s="551"/>
      <c r="AB165" s="551"/>
      <c r="AC165" s="551"/>
      <c r="AD165" s="551"/>
      <c r="AE165" s="551"/>
    </row>
    <row r="166" ht="11.25" customHeight="1">
      <c r="A166" s="551"/>
      <c r="B166" s="551"/>
      <c r="C166" s="551"/>
      <c r="D166" s="551"/>
      <c r="E166" s="551"/>
      <c r="F166" s="551"/>
      <c r="G166" s="551"/>
      <c r="H166" s="551"/>
      <c r="I166" s="551"/>
      <c r="J166" s="551"/>
      <c r="K166" s="551"/>
      <c r="L166" s="551"/>
      <c r="M166" s="551"/>
      <c r="N166" s="551"/>
      <c r="O166" s="551"/>
      <c r="P166" s="551"/>
      <c r="Q166" s="551"/>
      <c r="R166" s="551"/>
      <c r="S166" s="551"/>
      <c r="T166" s="551"/>
      <c r="U166" s="551"/>
      <c r="V166" s="643"/>
      <c r="W166" s="551"/>
      <c r="X166" s="551"/>
      <c r="Y166" s="551"/>
      <c r="Z166" s="551"/>
      <c r="AA166" s="551"/>
      <c r="AB166" s="551"/>
      <c r="AC166" s="551"/>
      <c r="AD166" s="551"/>
      <c r="AE166" s="551"/>
    </row>
    <row r="167" ht="11.25" customHeight="1">
      <c r="A167" s="551"/>
      <c r="B167" s="551"/>
      <c r="C167" s="551"/>
      <c r="D167" s="551"/>
      <c r="E167" s="551"/>
      <c r="F167" s="551"/>
      <c r="G167" s="551"/>
      <c r="H167" s="551"/>
      <c r="I167" s="551"/>
      <c r="J167" s="551"/>
      <c r="K167" s="551"/>
      <c r="L167" s="551"/>
      <c r="M167" s="551"/>
      <c r="N167" s="551"/>
      <c r="O167" s="551"/>
      <c r="P167" s="551"/>
      <c r="Q167" s="551"/>
      <c r="R167" s="551"/>
      <c r="S167" s="551"/>
      <c r="T167" s="551"/>
      <c r="U167" s="551"/>
      <c r="V167" s="643"/>
      <c r="W167" s="551"/>
      <c r="X167" s="551"/>
      <c r="Y167" s="551"/>
      <c r="Z167" s="551"/>
      <c r="AA167" s="551"/>
      <c r="AB167" s="551"/>
      <c r="AC167" s="551"/>
      <c r="AD167" s="551"/>
      <c r="AE167" s="551"/>
    </row>
    <row r="168" ht="11.25" customHeight="1">
      <c r="A168" s="551"/>
      <c r="B168" s="551"/>
      <c r="C168" s="551"/>
      <c r="D168" s="551"/>
      <c r="E168" s="551"/>
      <c r="F168" s="551"/>
      <c r="G168" s="551"/>
      <c r="H168" s="551"/>
      <c r="I168" s="551"/>
      <c r="J168" s="551"/>
      <c r="K168" s="551"/>
      <c r="L168" s="551"/>
      <c r="M168" s="551"/>
      <c r="N168" s="551"/>
      <c r="O168" s="551"/>
      <c r="P168" s="551"/>
      <c r="Q168" s="551"/>
      <c r="R168" s="551"/>
      <c r="S168" s="551"/>
      <c r="T168" s="551"/>
      <c r="U168" s="551"/>
      <c r="V168" s="643"/>
      <c r="W168" s="551"/>
      <c r="X168" s="551"/>
      <c r="Y168" s="551"/>
      <c r="Z168" s="551"/>
      <c r="AA168" s="551"/>
      <c r="AB168" s="551"/>
      <c r="AC168" s="551"/>
      <c r="AD168" s="551"/>
      <c r="AE168" s="551"/>
    </row>
    <row r="169" ht="11.25" customHeight="1">
      <c r="A169" s="551"/>
      <c r="B169" s="551"/>
      <c r="C169" s="551"/>
      <c r="D169" s="551"/>
      <c r="E169" s="551"/>
      <c r="F169" s="551"/>
      <c r="G169" s="551"/>
      <c r="H169" s="551"/>
      <c r="I169" s="551"/>
      <c r="J169" s="551"/>
      <c r="K169" s="551"/>
      <c r="L169" s="551"/>
      <c r="M169" s="551"/>
      <c r="N169" s="551"/>
      <c r="O169" s="551"/>
      <c r="P169" s="551"/>
      <c r="Q169" s="551"/>
      <c r="R169" s="551"/>
      <c r="S169" s="551"/>
      <c r="T169" s="551"/>
      <c r="U169" s="551"/>
      <c r="V169" s="643"/>
      <c r="W169" s="551"/>
      <c r="X169" s="551"/>
      <c r="Y169" s="551"/>
      <c r="Z169" s="551"/>
      <c r="AA169" s="551"/>
      <c r="AB169" s="551"/>
      <c r="AC169" s="551"/>
      <c r="AD169" s="551"/>
      <c r="AE169" s="551"/>
    </row>
    <row r="170" ht="11.25" customHeight="1">
      <c r="A170" s="551"/>
      <c r="B170" s="551"/>
      <c r="C170" s="551"/>
      <c r="D170" s="551"/>
      <c r="E170" s="551"/>
      <c r="F170" s="551"/>
      <c r="G170" s="551"/>
      <c r="H170" s="551"/>
      <c r="I170" s="551"/>
      <c r="J170" s="551"/>
      <c r="K170" s="551"/>
      <c r="L170" s="551"/>
      <c r="M170" s="551"/>
      <c r="N170" s="551"/>
      <c r="O170" s="551"/>
      <c r="P170" s="551"/>
      <c r="Q170" s="551"/>
      <c r="R170" s="551"/>
      <c r="S170" s="551"/>
      <c r="T170" s="551"/>
      <c r="U170" s="551"/>
      <c r="V170" s="643"/>
      <c r="W170" s="551"/>
      <c r="X170" s="551"/>
      <c r="Y170" s="551"/>
      <c r="Z170" s="551"/>
      <c r="AA170" s="551"/>
      <c r="AB170" s="551"/>
      <c r="AC170" s="551"/>
      <c r="AD170" s="551"/>
      <c r="AE170" s="551"/>
    </row>
    <row r="171" ht="11.25" customHeight="1">
      <c r="A171" s="551"/>
      <c r="B171" s="551"/>
      <c r="C171" s="551"/>
      <c r="D171" s="551"/>
      <c r="E171" s="551"/>
      <c r="F171" s="551"/>
      <c r="G171" s="551"/>
      <c r="H171" s="551"/>
      <c r="I171" s="551"/>
      <c r="J171" s="551"/>
      <c r="K171" s="551"/>
      <c r="L171" s="551"/>
      <c r="M171" s="551"/>
      <c r="N171" s="551"/>
      <c r="O171" s="551"/>
      <c r="P171" s="551"/>
      <c r="Q171" s="551"/>
      <c r="R171" s="551"/>
      <c r="S171" s="551"/>
      <c r="T171" s="551"/>
      <c r="U171" s="551"/>
      <c r="V171" s="643"/>
      <c r="W171" s="551"/>
      <c r="X171" s="551"/>
      <c r="Y171" s="551"/>
      <c r="Z171" s="551"/>
      <c r="AA171" s="551"/>
      <c r="AB171" s="551"/>
      <c r="AC171" s="551"/>
      <c r="AD171" s="551"/>
      <c r="AE171" s="551"/>
    </row>
    <row r="172" ht="11.25" customHeight="1">
      <c r="A172" s="551"/>
      <c r="B172" s="551"/>
      <c r="C172" s="551"/>
      <c r="D172" s="551"/>
      <c r="E172" s="551"/>
      <c r="F172" s="551"/>
      <c r="G172" s="551"/>
      <c r="H172" s="551"/>
      <c r="I172" s="551"/>
      <c r="J172" s="551"/>
      <c r="K172" s="551"/>
      <c r="L172" s="551"/>
      <c r="M172" s="551"/>
      <c r="N172" s="551"/>
      <c r="O172" s="551"/>
      <c r="P172" s="551"/>
      <c r="Q172" s="551"/>
      <c r="R172" s="551"/>
      <c r="S172" s="551"/>
      <c r="T172" s="551"/>
      <c r="U172" s="551"/>
      <c r="V172" s="643"/>
      <c r="W172" s="551"/>
      <c r="X172" s="551"/>
      <c r="Y172" s="551"/>
      <c r="Z172" s="551"/>
      <c r="AA172" s="551"/>
      <c r="AB172" s="551"/>
      <c r="AC172" s="551"/>
      <c r="AD172" s="551"/>
      <c r="AE172" s="551"/>
    </row>
    <row r="173" ht="11.25" customHeight="1">
      <c r="A173" s="551"/>
      <c r="B173" s="551"/>
      <c r="C173" s="551"/>
      <c r="D173" s="551"/>
      <c r="E173" s="551"/>
      <c r="F173" s="551"/>
      <c r="G173" s="551"/>
      <c r="H173" s="551"/>
      <c r="I173" s="551"/>
      <c r="J173" s="551"/>
      <c r="K173" s="551"/>
      <c r="L173" s="551"/>
      <c r="M173" s="551"/>
      <c r="N173" s="551"/>
      <c r="O173" s="551"/>
      <c r="P173" s="551"/>
      <c r="Q173" s="551"/>
      <c r="R173" s="551"/>
      <c r="S173" s="551"/>
      <c r="T173" s="551"/>
      <c r="U173" s="551"/>
      <c r="V173" s="643"/>
      <c r="W173" s="551"/>
      <c r="X173" s="551"/>
      <c r="Y173" s="551"/>
      <c r="Z173" s="551"/>
      <c r="AA173" s="551"/>
      <c r="AB173" s="551"/>
      <c r="AC173" s="551"/>
      <c r="AD173" s="551"/>
      <c r="AE173" s="551"/>
    </row>
    <row r="174" ht="11.25" customHeight="1">
      <c r="A174" s="551"/>
      <c r="B174" s="551"/>
      <c r="C174" s="551"/>
      <c r="D174" s="551"/>
      <c r="E174" s="551"/>
      <c r="F174" s="551"/>
      <c r="G174" s="551"/>
      <c r="H174" s="551"/>
      <c r="I174" s="551"/>
      <c r="J174" s="551"/>
      <c r="K174" s="551"/>
      <c r="L174" s="551"/>
      <c r="M174" s="551"/>
      <c r="N174" s="551"/>
      <c r="O174" s="551"/>
      <c r="P174" s="551"/>
      <c r="Q174" s="551"/>
      <c r="R174" s="551"/>
      <c r="S174" s="551"/>
      <c r="T174" s="551"/>
      <c r="U174" s="551"/>
      <c r="V174" s="643"/>
      <c r="W174" s="551"/>
      <c r="X174" s="551"/>
      <c r="Y174" s="551"/>
      <c r="Z174" s="551"/>
      <c r="AA174" s="551"/>
      <c r="AB174" s="551"/>
      <c r="AC174" s="551"/>
      <c r="AD174" s="551"/>
      <c r="AE174" s="551"/>
    </row>
    <row r="175" ht="11.25" customHeight="1">
      <c r="A175" s="551"/>
      <c r="B175" s="551"/>
      <c r="C175" s="551"/>
      <c r="D175" s="551"/>
      <c r="E175" s="551"/>
      <c r="F175" s="551"/>
      <c r="G175" s="551"/>
      <c r="H175" s="551"/>
      <c r="I175" s="551"/>
      <c r="J175" s="551"/>
      <c r="K175" s="551"/>
      <c r="L175" s="551"/>
      <c r="M175" s="551"/>
      <c r="N175" s="551"/>
      <c r="O175" s="551"/>
      <c r="P175" s="551"/>
      <c r="Q175" s="551"/>
      <c r="R175" s="551"/>
      <c r="S175" s="551"/>
      <c r="T175" s="551"/>
      <c r="U175" s="551"/>
      <c r="V175" s="643"/>
      <c r="W175" s="551"/>
      <c r="X175" s="551"/>
      <c r="Y175" s="551"/>
      <c r="Z175" s="551"/>
      <c r="AA175" s="551"/>
      <c r="AB175" s="551"/>
      <c r="AC175" s="551"/>
      <c r="AD175" s="551"/>
      <c r="AE175" s="551"/>
    </row>
    <row r="176" ht="11.25" customHeight="1">
      <c r="A176" s="551"/>
      <c r="B176" s="551"/>
      <c r="C176" s="551"/>
      <c r="D176" s="551"/>
      <c r="E176" s="551"/>
      <c r="F176" s="551"/>
      <c r="G176" s="551"/>
      <c r="H176" s="551"/>
      <c r="I176" s="551"/>
      <c r="J176" s="551"/>
      <c r="K176" s="551"/>
      <c r="L176" s="551"/>
      <c r="M176" s="551"/>
      <c r="N176" s="551"/>
      <c r="O176" s="551"/>
      <c r="P176" s="551"/>
      <c r="Q176" s="551"/>
      <c r="R176" s="551"/>
      <c r="S176" s="551"/>
      <c r="T176" s="551"/>
      <c r="U176" s="551"/>
      <c r="V176" s="643"/>
      <c r="W176" s="551"/>
      <c r="X176" s="551"/>
      <c r="Y176" s="551"/>
      <c r="Z176" s="551"/>
      <c r="AA176" s="551"/>
      <c r="AB176" s="551"/>
      <c r="AC176" s="551"/>
      <c r="AD176" s="551"/>
      <c r="AE176" s="551"/>
    </row>
    <row r="177" ht="11.25" customHeight="1">
      <c r="A177" s="551"/>
      <c r="B177" s="551"/>
      <c r="C177" s="551"/>
      <c r="D177" s="551"/>
      <c r="E177" s="551"/>
      <c r="F177" s="551"/>
      <c r="G177" s="551"/>
      <c r="H177" s="551"/>
      <c r="I177" s="551"/>
      <c r="J177" s="551"/>
      <c r="K177" s="551"/>
      <c r="L177" s="551"/>
      <c r="M177" s="551"/>
      <c r="N177" s="551"/>
      <c r="O177" s="551"/>
      <c r="P177" s="551"/>
      <c r="Q177" s="551"/>
      <c r="R177" s="551"/>
      <c r="S177" s="551"/>
      <c r="T177" s="551"/>
      <c r="U177" s="551"/>
      <c r="V177" s="643"/>
      <c r="W177" s="551"/>
      <c r="X177" s="551"/>
      <c r="Y177" s="551"/>
      <c r="Z177" s="551"/>
      <c r="AA177" s="551"/>
      <c r="AB177" s="551"/>
      <c r="AC177" s="551"/>
      <c r="AD177" s="551"/>
      <c r="AE177" s="551"/>
    </row>
    <row r="178" ht="11.25" customHeight="1">
      <c r="A178" s="551"/>
      <c r="B178" s="551"/>
      <c r="C178" s="551"/>
      <c r="D178" s="551"/>
      <c r="E178" s="551"/>
      <c r="F178" s="551"/>
      <c r="G178" s="551"/>
      <c r="H178" s="551"/>
      <c r="I178" s="551"/>
      <c r="J178" s="551"/>
      <c r="K178" s="551"/>
      <c r="L178" s="551"/>
      <c r="M178" s="551"/>
      <c r="N178" s="551"/>
      <c r="O178" s="551"/>
      <c r="P178" s="551"/>
      <c r="Q178" s="551"/>
      <c r="R178" s="551"/>
      <c r="S178" s="551"/>
      <c r="T178" s="551"/>
      <c r="U178" s="551"/>
      <c r="V178" s="643"/>
      <c r="W178" s="551"/>
      <c r="X178" s="551"/>
      <c r="Y178" s="551"/>
      <c r="Z178" s="551"/>
      <c r="AA178" s="551"/>
      <c r="AB178" s="551"/>
      <c r="AC178" s="551"/>
      <c r="AD178" s="551"/>
      <c r="AE178" s="551"/>
    </row>
    <row r="179" ht="11.25" customHeight="1">
      <c r="A179" s="551"/>
      <c r="B179" s="551"/>
      <c r="C179" s="551"/>
      <c r="D179" s="551"/>
      <c r="E179" s="551"/>
      <c r="F179" s="551"/>
      <c r="G179" s="551"/>
      <c r="H179" s="551"/>
      <c r="I179" s="551"/>
      <c r="J179" s="551"/>
      <c r="K179" s="551"/>
      <c r="L179" s="551"/>
      <c r="M179" s="551"/>
      <c r="N179" s="551"/>
      <c r="O179" s="551"/>
      <c r="P179" s="551"/>
      <c r="Q179" s="551"/>
      <c r="R179" s="551"/>
      <c r="S179" s="551"/>
      <c r="T179" s="551"/>
      <c r="U179" s="551"/>
      <c r="V179" s="643"/>
      <c r="W179" s="551"/>
      <c r="X179" s="551"/>
      <c r="Y179" s="551"/>
      <c r="Z179" s="551"/>
      <c r="AA179" s="551"/>
      <c r="AB179" s="551"/>
      <c r="AC179" s="551"/>
      <c r="AD179" s="551"/>
      <c r="AE179" s="551"/>
    </row>
    <row r="180" ht="11.25" customHeight="1">
      <c r="A180" s="551"/>
      <c r="B180" s="551"/>
      <c r="C180" s="551"/>
      <c r="D180" s="551"/>
      <c r="E180" s="551"/>
      <c r="F180" s="551"/>
      <c r="G180" s="551"/>
      <c r="H180" s="551"/>
      <c r="I180" s="551"/>
      <c r="J180" s="551"/>
      <c r="K180" s="551"/>
      <c r="L180" s="551"/>
      <c r="M180" s="551"/>
      <c r="N180" s="551"/>
      <c r="O180" s="551"/>
      <c r="P180" s="551"/>
      <c r="Q180" s="551"/>
      <c r="R180" s="551"/>
      <c r="S180" s="551"/>
      <c r="T180" s="551"/>
      <c r="U180" s="551"/>
      <c r="V180" s="643"/>
      <c r="W180" s="551"/>
      <c r="X180" s="551"/>
      <c r="Y180" s="551"/>
      <c r="Z180" s="551"/>
      <c r="AA180" s="551"/>
      <c r="AB180" s="551"/>
      <c r="AC180" s="551"/>
      <c r="AD180" s="551"/>
      <c r="AE180" s="551"/>
    </row>
    <row r="181" ht="11.25" customHeight="1">
      <c r="A181" s="551"/>
      <c r="B181" s="551"/>
      <c r="C181" s="551"/>
      <c r="D181" s="551"/>
      <c r="E181" s="551"/>
      <c r="F181" s="551"/>
      <c r="G181" s="551"/>
      <c r="H181" s="551"/>
      <c r="I181" s="551"/>
      <c r="J181" s="551"/>
      <c r="K181" s="551"/>
      <c r="L181" s="551"/>
      <c r="M181" s="551"/>
      <c r="N181" s="551"/>
      <c r="O181" s="551"/>
      <c r="P181" s="551"/>
      <c r="Q181" s="551"/>
      <c r="R181" s="551"/>
      <c r="S181" s="551"/>
      <c r="T181" s="551"/>
      <c r="U181" s="551"/>
      <c r="V181" s="643"/>
      <c r="W181" s="551"/>
      <c r="X181" s="551"/>
      <c r="Y181" s="551"/>
      <c r="Z181" s="551"/>
      <c r="AA181" s="551"/>
      <c r="AB181" s="551"/>
      <c r="AC181" s="551"/>
      <c r="AD181" s="551"/>
      <c r="AE181" s="551"/>
    </row>
    <row r="182" ht="11.25" customHeight="1">
      <c r="A182" s="551"/>
      <c r="B182" s="551"/>
      <c r="C182" s="551"/>
      <c r="D182" s="551"/>
      <c r="E182" s="551"/>
      <c r="F182" s="551"/>
      <c r="G182" s="551"/>
      <c r="H182" s="551"/>
      <c r="I182" s="551"/>
      <c r="J182" s="551"/>
      <c r="K182" s="551"/>
      <c r="L182" s="551"/>
      <c r="M182" s="551"/>
      <c r="N182" s="551"/>
      <c r="O182" s="551"/>
      <c r="P182" s="551"/>
      <c r="Q182" s="551"/>
      <c r="R182" s="551"/>
      <c r="S182" s="551"/>
      <c r="T182" s="551"/>
      <c r="U182" s="551"/>
      <c r="V182" s="643"/>
      <c r="W182" s="551"/>
      <c r="X182" s="551"/>
      <c r="Y182" s="551"/>
      <c r="Z182" s="551"/>
      <c r="AA182" s="551"/>
      <c r="AB182" s="551"/>
      <c r="AC182" s="551"/>
      <c r="AD182" s="551"/>
      <c r="AE182" s="551"/>
    </row>
    <row r="183" ht="11.25" customHeight="1">
      <c r="A183" s="551"/>
      <c r="B183" s="551"/>
      <c r="C183" s="551"/>
      <c r="D183" s="551"/>
      <c r="E183" s="551"/>
      <c r="F183" s="551"/>
      <c r="G183" s="551"/>
      <c r="H183" s="551"/>
      <c r="I183" s="551"/>
      <c r="J183" s="551"/>
      <c r="K183" s="551"/>
      <c r="L183" s="551"/>
      <c r="M183" s="551"/>
      <c r="N183" s="551"/>
      <c r="O183" s="551"/>
      <c r="P183" s="551"/>
      <c r="Q183" s="551"/>
      <c r="R183" s="551"/>
      <c r="S183" s="551"/>
      <c r="T183" s="551"/>
      <c r="U183" s="551"/>
      <c r="V183" s="643"/>
      <c r="W183" s="551"/>
      <c r="X183" s="551"/>
      <c r="Y183" s="551"/>
      <c r="Z183" s="551"/>
      <c r="AA183" s="551"/>
      <c r="AB183" s="551"/>
      <c r="AC183" s="551"/>
      <c r="AD183" s="551"/>
      <c r="AE183" s="551"/>
    </row>
    <row r="184" ht="11.25" customHeight="1">
      <c r="A184" s="551"/>
      <c r="B184" s="551"/>
      <c r="C184" s="551"/>
      <c r="D184" s="551"/>
      <c r="E184" s="551"/>
      <c r="F184" s="551"/>
      <c r="G184" s="551"/>
      <c r="H184" s="551"/>
      <c r="I184" s="551"/>
      <c r="J184" s="551"/>
      <c r="K184" s="551"/>
      <c r="L184" s="551"/>
      <c r="M184" s="551"/>
      <c r="N184" s="551"/>
      <c r="O184" s="551"/>
      <c r="P184" s="551"/>
      <c r="Q184" s="551"/>
      <c r="R184" s="551"/>
      <c r="S184" s="551"/>
      <c r="T184" s="551"/>
      <c r="U184" s="551"/>
      <c r="V184" s="643"/>
      <c r="W184" s="551"/>
      <c r="X184" s="551"/>
      <c r="Y184" s="551"/>
      <c r="Z184" s="551"/>
      <c r="AA184" s="551"/>
      <c r="AB184" s="551"/>
      <c r="AC184" s="551"/>
      <c r="AD184" s="551"/>
      <c r="AE184" s="551"/>
    </row>
    <row r="185" ht="11.25" customHeight="1">
      <c r="A185" s="551"/>
      <c r="B185" s="551"/>
      <c r="C185" s="551"/>
      <c r="D185" s="551"/>
      <c r="E185" s="551"/>
      <c r="F185" s="551"/>
      <c r="G185" s="551"/>
      <c r="H185" s="551"/>
      <c r="I185" s="551"/>
      <c r="J185" s="551"/>
      <c r="K185" s="551"/>
      <c r="L185" s="551"/>
      <c r="M185" s="551"/>
      <c r="N185" s="551"/>
      <c r="O185" s="551"/>
      <c r="P185" s="551"/>
      <c r="Q185" s="551"/>
      <c r="R185" s="551"/>
      <c r="S185" s="551"/>
      <c r="T185" s="551"/>
      <c r="U185" s="551"/>
      <c r="V185" s="643"/>
      <c r="W185" s="551"/>
      <c r="X185" s="551"/>
      <c r="Y185" s="551"/>
      <c r="Z185" s="551"/>
      <c r="AA185" s="551"/>
      <c r="AB185" s="551"/>
      <c r="AC185" s="551"/>
      <c r="AD185" s="551"/>
      <c r="AE185" s="551"/>
    </row>
    <row r="186" ht="11.25" customHeight="1">
      <c r="A186" s="551"/>
      <c r="B186" s="551"/>
      <c r="C186" s="551"/>
      <c r="D186" s="551"/>
      <c r="E186" s="551"/>
      <c r="F186" s="551"/>
      <c r="G186" s="551"/>
      <c r="H186" s="551"/>
      <c r="I186" s="551"/>
      <c r="J186" s="551"/>
      <c r="K186" s="551"/>
      <c r="L186" s="551"/>
      <c r="M186" s="551"/>
      <c r="N186" s="551"/>
      <c r="O186" s="551"/>
      <c r="P186" s="551"/>
      <c r="Q186" s="551"/>
      <c r="R186" s="551"/>
      <c r="S186" s="551"/>
      <c r="T186" s="551"/>
      <c r="U186" s="551"/>
      <c r="V186" s="643"/>
      <c r="W186" s="551"/>
      <c r="X186" s="551"/>
      <c r="Y186" s="551"/>
      <c r="Z186" s="551"/>
      <c r="AA186" s="551"/>
      <c r="AB186" s="551"/>
      <c r="AC186" s="551"/>
      <c r="AD186" s="551"/>
      <c r="AE186" s="551"/>
    </row>
    <row r="187" ht="11.25" customHeight="1">
      <c r="A187" s="551"/>
      <c r="B187" s="551"/>
      <c r="C187" s="551"/>
      <c r="D187" s="551"/>
      <c r="E187" s="551"/>
      <c r="F187" s="551"/>
      <c r="G187" s="551"/>
      <c r="H187" s="551"/>
      <c r="I187" s="551"/>
      <c r="J187" s="551"/>
      <c r="K187" s="551"/>
      <c r="L187" s="551"/>
      <c r="M187" s="551"/>
      <c r="N187" s="551"/>
      <c r="O187" s="551"/>
      <c r="P187" s="551"/>
      <c r="Q187" s="551"/>
      <c r="R187" s="551"/>
      <c r="S187" s="551"/>
      <c r="T187" s="551"/>
      <c r="U187" s="551"/>
      <c r="V187" s="643"/>
      <c r="W187" s="551"/>
      <c r="X187" s="551"/>
      <c r="Y187" s="551"/>
      <c r="Z187" s="551"/>
      <c r="AA187" s="551"/>
      <c r="AB187" s="551"/>
      <c r="AC187" s="551"/>
      <c r="AD187" s="551"/>
      <c r="AE187" s="551"/>
    </row>
    <row r="188" ht="11.25" customHeight="1">
      <c r="A188" s="551"/>
      <c r="B188" s="551"/>
      <c r="C188" s="551"/>
      <c r="D188" s="551"/>
      <c r="E188" s="551"/>
      <c r="F188" s="551"/>
      <c r="G188" s="551"/>
      <c r="H188" s="551"/>
      <c r="I188" s="551"/>
      <c r="J188" s="551"/>
      <c r="K188" s="551"/>
      <c r="L188" s="551"/>
      <c r="M188" s="551"/>
      <c r="N188" s="551"/>
      <c r="O188" s="551"/>
      <c r="P188" s="551"/>
      <c r="Q188" s="551"/>
      <c r="R188" s="551"/>
      <c r="S188" s="551"/>
      <c r="T188" s="551"/>
      <c r="U188" s="551"/>
      <c r="V188" s="643"/>
      <c r="W188" s="551"/>
      <c r="X188" s="551"/>
      <c r="Y188" s="551"/>
      <c r="Z188" s="551"/>
      <c r="AA188" s="551"/>
      <c r="AB188" s="551"/>
      <c r="AC188" s="551"/>
      <c r="AD188" s="551"/>
      <c r="AE188" s="551"/>
    </row>
    <row r="189" ht="11.25" customHeight="1">
      <c r="A189" s="550"/>
      <c r="B189" s="550"/>
      <c r="C189" s="644"/>
      <c r="D189" s="644"/>
      <c r="E189" s="644"/>
      <c r="F189" s="550"/>
      <c r="G189" s="644"/>
      <c r="H189" s="550"/>
      <c r="I189" s="550"/>
      <c r="J189" s="550"/>
      <c r="K189" s="550"/>
      <c r="L189" s="550"/>
      <c r="M189" s="550"/>
      <c r="N189" s="550"/>
      <c r="O189" s="550"/>
      <c r="P189" s="550"/>
      <c r="Q189" s="550"/>
      <c r="R189" s="550"/>
      <c r="S189" s="550"/>
      <c r="T189" s="645"/>
      <c r="U189" s="645"/>
      <c r="V189" s="549"/>
      <c r="W189" s="550"/>
      <c r="X189" s="551"/>
      <c r="Y189" s="551"/>
      <c r="Z189" s="551"/>
      <c r="AA189" s="551"/>
      <c r="AB189" s="551"/>
      <c r="AC189" s="551"/>
      <c r="AD189" s="551"/>
      <c r="AE189" s="551"/>
    </row>
    <row r="190" ht="11.25" customHeight="1">
      <c r="A190" s="550"/>
      <c r="B190" s="550"/>
      <c r="C190" s="644"/>
      <c r="D190" s="644"/>
      <c r="E190" s="644"/>
      <c r="F190" s="550"/>
      <c r="G190" s="644"/>
      <c r="H190" s="550"/>
      <c r="I190" s="550"/>
      <c r="J190" s="550"/>
      <c r="K190" s="550"/>
      <c r="L190" s="550"/>
      <c r="M190" s="550"/>
      <c r="N190" s="550"/>
      <c r="O190" s="550"/>
      <c r="P190" s="550"/>
      <c r="Q190" s="550"/>
      <c r="R190" s="550"/>
      <c r="S190" s="550"/>
      <c r="T190" s="645"/>
      <c r="U190" s="645"/>
      <c r="V190" s="549"/>
      <c r="W190" s="550"/>
      <c r="X190" s="551"/>
      <c r="Y190" s="551"/>
      <c r="Z190" s="551"/>
      <c r="AA190" s="551"/>
      <c r="AB190" s="551"/>
      <c r="AC190" s="551"/>
      <c r="AD190" s="551"/>
      <c r="AE190" s="551"/>
    </row>
    <row r="191" ht="11.25" customHeight="1">
      <c r="A191" s="550"/>
      <c r="B191" s="550"/>
      <c r="C191" s="644"/>
      <c r="D191" s="644"/>
      <c r="E191" s="644"/>
      <c r="F191" s="550"/>
      <c r="G191" s="644"/>
      <c r="H191" s="550"/>
      <c r="I191" s="550"/>
      <c r="J191" s="550"/>
      <c r="K191" s="550"/>
      <c r="L191" s="550"/>
      <c r="M191" s="550"/>
      <c r="N191" s="550"/>
      <c r="O191" s="550"/>
      <c r="P191" s="550"/>
      <c r="Q191" s="550"/>
      <c r="R191" s="550"/>
      <c r="S191" s="550"/>
      <c r="T191" s="645"/>
      <c r="U191" s="645"/>
      <c r="V191" s="549"/>
      <c r="W191" s="550"/>
      <c r="X191" s="551"/>
      <c r="Y191" s="551"/>
      <c r="Z191" s="551"/>
      <c r="AA191" s="551"/>
      <c r="AB191" s="551"/>
      <c r="AC191" s="551"/>
      <c r="AD191" s="551"/>
      <c r="AE191" s="551"/>
    </row>
    <row r="192" ht="11.25" customHeight="1">
      <c r="A192" s="550"/>
      <c r="B192" s="550"/>
      <c r="C192" s="644"/>
      <c r="D192" s="644"/>
      <c r="E192" s="644"/>
      <c r="F192" s="550"/>
      <c r="G192" s="644"/>
      <c r="H192" s="550"/>
      <c r="I192" s="550"/>
      <c r="J192" s="550"/>
      <c r="K192" s="550"/>
      <c r="L192" s="550"/>
      <c r="M192" s="550"/>
      <c r="N192" s="550"/>
      <c r="O192" s="550"/>
      <c r="P192" s="550"/>
      <c r="Q192" s="550"/>
      <c r="R192" s="550"/>
      <c r="S192" s="550"/>
      <c r="T192" s="645"/>
      <c r="U192" s="645"/>
      <c r="V192" s="549"/>
      <c r="W192" s="550"/>
      <c r="X192" s="551"/>
      <c r="Y192" s="551"/>
      <c r="Z192" s="551"/>
      <c r="AA192" s="551"/>
      <c r="AB192" s="551"/>
      <c r="AC192" s="551"/>
      <c r="AD192" s="551"/>
      <c r="AE192" s="551"/>
    </row>
    <row r="193" ht="11.25" customHeight="1">
      <c r="A193" s="550"/>
      <c r="B193" s="550"/>
      <c r="C193" s="644"/>
      <c r="D193" s="644"/>
      <c r="E193" s="644"/>
      <c r="F193" s="550"/>
      <c r="G193" s="644"/>
      <c r="H193" s="550"/>
      <c r="I193" s="550"/>
      <c r="J193" s="550"/>
      <c r="K193" s="550"/>
      <c r="L193" s="550"/>
      <c r="M193" s="550"/>
      <c r="N193" s="550"/>
      <c r="O193" s="550"/>
      <c r="P193" s="550"/>
      <c r="Q193" s="550"/>
      <c r="R193" s="550"/>
      <c r="S193" s="550"/>
      <c r="T193" s="645"/>
      <c r="U193" s="645"/>
      <c r="V193" s="549"/>
      <c r="W193" s="550"/>
      <c r="X193" s="551"/>
      <c r="Y193" s="551"/>
      <c r="Z193" s="551"/>
      <c r="AA193" s="551"/>
      <c r="AB193" s="551"/>
      <c r="AC193" s="551"/>
      <c r="AD193" s="551"/>
      <c r="AE193" s="551"/>
    </row>
    <row r="194" ht="11.25" customHeight="1">
      <c r="A194" s="550"/>
      <c r="B194" s="550"/>
      <c r="C194" s="644"/>
      <c r="D194" s="644"/>
      <c r="E194" s="644"/>
      <c r="F194" s="550"/>
      <c r="G194" s="644"/>
      <c r="H194" s="550"/>
      <c r="I194" s="550"/>
      <c r="J194" s="550"/>
      <c r="K194" s="550"/>
      <c r="L194" s="550"/>
      <c r="M194" s="550"/>
      <c r="N194" s="550"/>
      <c r="O194" s="550"/>
      <c r="P194" s="550"/>
      <c r="Q194" s="550"/>
      <c r="R194" s="550"/>
      <c r="S194" s="550"/>
      <c r="T194" s="645"/>
      <c r="U194" s="645"/>
      <c r="V194" s="549"/>
      <c r="W194" s="550"/>
      <c r="X194" s="551"/>
      <c r="Y194" s="551"/>
      <c r="Z194" s="551"/>
      <c r="AA194" s="551"/>
      <c r="AB194" s="551"/>
      <c r="AC194" s="551"/>
      <c r="AD194" s="551"/>
      <c r="AE194" s="551"/>
    </row>
    <row r="195" ht="11.25" customHeight="1">
      <c r="A195" s="550"/>
      <c r="B195" s="550"/>
      <c r="C195" s="644"/>
      <c r="D195" s="644"/>
      <c r="E195" s="644"/>
      <c r="F195" s="550"/>
      <c r="G195" s="644"/>
      <c r="H195" s="550"/>
      <c r="I195" s="550"/>
      <c r="J195" s="550"/>
      <c r="K195" s="550"/>
      <c r="L195" s="550"/>
      <c r="M195" s="550"/>
      <c r="N195" s="550"/>
      <c r="O195" s="550"/>
      <c r="P195" s="550"/>
      <c r="Q195" s="550"/>
      <c r="R195" s="550"/>
      <c r="S195" s="550"/>
      <c r="T195" s="645"/>
      <c r="U195" s="645"/>
      <c r="V195" s="549"/>
      <c r="W195" s="550"/>
      <c r="X195" s="551"/>
      <c r="Y195" s="551"/>
      <c r="Z195" s="551"/>
      <c r="AA195" s="551"/>
      <c r="AB195" s="551"/>
      <c r="AC195" s="551"/>
      <c r="AD195" s="551"/>
      <c r="AE195" s="551"/>
    </row>
    <row r="196" ht="11.25" customHeight="1">
      <c r="A196" s="550"/>
      <c r="B196" s="550"/>
      <c r="C196" s="644"/>
      <c r="D196" s="644"/>
      <c r="E196" s="644"/>
      <c r="F196" s="550"/>
      <c r="G196" s="644"/>
      <c r="H196" s="550"/>
      <c r="I196" s="550"/>
      <c r="J196" s="550"/>
      <c r="K196" s="550"/>
      <c r="L196" s="550"/>
      <c r="M196" s="550"/>
      <c r="N196" s="550"/>
      <c r="O196" s="550"/>
      <c r="P196" s="550"/>
      <c r="Q196" s="550"/>
      <c r="R196" s="550"/>
      <c r="S196" s="550"/>
      <c r="T196" s="645"/>
      <c r="U196" s="645"/>
      <c r="V196" s="549"/>
      <c r="W196" s="550"/>
      <c r="X196" s="551"/>
      <c r="Y196" s="551"/>
      <c r="Z196" s="551"/>
      <c r="AA196" s="551"/>
      <c r="AB196" s="551"/>
      <c r="AC196" s="551"/>
      <c r="AD196" s="551"/>
      <c r="AE196" s="551"/>
    </row>
    <row r="197" ht="11.25" customHeight="1">
      <c r="A197" s="550"/>
      <c r="B197" s="550"/>
      <c r="C197" s="644"/>
      <c r="D197" s="644"/>
      <c r="E197" s="644"/>
      <c r="F197" s="550"/>
      <c r="G197" s="644"/>
      <c r="H197" s="550"/>
      <c r="I197" s="550"/>
      <c r="J197" s="550"/>
      <c r="K197" s="550"/>
      <c r="L197" s="550"/>
      <c r="M197" s="550"/>
      <c r="N197" s="550"/>
      <c r="O197" s="550"/>
      <c r="P197" s="550"/>
      <c r="Q197" s="550"/>
      <c r="R197" s="550"/>
      <c r="S197" s="550"/>
      <c r="T197" s="645"/>
      <c r="U197" s="645"/>
      <c r="V197" s="549"/>
      <c r="W197" s="550"/>
      <c r="X197" s="551"/>
      <c r="Y197" s="551"/>
      <c r="Z197" s="551"/>
      <c r="AA197" s="551"/>
      <c r="AB197" s="551"/>
      <c r="AC197" s="551"/>
      <c r="AD197" s="551"/>
      <c r="AE197" s="551"/>
    </row>
    <row r="198" ht="11.25" customHeight="1">
      <c r="A198" s="550"/>
      <c r="B198" s="550"/>
      <c r="C198" s="644"/>
      <c r="D198" s="644"/>
      <c r="E198" s="644"/>
      <c r="F198" s="550"/>
      <c r="G198" s="644"/>
      <c r="H198" s="550"/>
      <c r="I198" s="550"/>
      <c r="J198" s="550"/>
      <c r="K198" s="550"/>
      <c r="L198" s="550"/>
      <c r="M198" s="550"/>
      <c r="N198" s="550"/>
      <c r="O198" s="550"/>
      <c r="P198" s="550"/>
      <c r="Q198" s="550"/>
      <c r="R198" s="550"/>
      <c r="S198" s="550"/>
      <c r="T198" s="645"/>
      <c r="U198" s="645"/>
      <c r="V198" s="549"/>
      <c r="W198" s="550"/>
      <c r="X198" s="551"/>
      <c r="Y198" s="551"/>
      <c r="Z198" s="551"/>
      <c r="AA198" s="551"/>
      <c r="AB198" s="551"/>
      <c r="AC198" s="551"/>
      <c r="AD198" s="551"/>
      <c r="AE198" s="551"/>
    </row>
    <row r="199" ht="11.25" customHeight="1">
      <c r="A199" s="550"/>
      <c r="B199" s="550"/>
      <c r="C199" s="644"/>
      <c r="D199" s="644"/>
      <c r="E199" s="644"/>
      <c r="F199" s="550"/>
      <c r="G199" s="644"/>
      <c r="H199" s="550"/>
      <c r="I199" s="550"/>
      <c r="J199" s="550"/>
      <c r="K199" s="550"/>
      <c r="L199" s="550"/>
      <c r="M199" s="550"/>
      <c r="N199" s="550"/>
      <c r="O199" s="550"/>
      <c r="P199" s="550"/>
      <c r="Q199" s="550"/>
      <c r="R199" s="550"/>
      <c r="S199" s="550"/>
      <c r="T199" s="645"/>
      <c r="U199" s="645"/>
      <c r="V199" s="549"/>
      <c r="W199" s="550"/>
      <c r="X199" s="551"/>
      <c r="Y199" s="551"/>
      <c r="Z199" s="551"/>
      <c r="AA199" s="551"/>
      <c r="AB199" s="551"/>
      <c r="AC199" s="551"/>
      <c r="AD199" s="551"/>
      <c r="AE199" s="551"/>
    </row>
    <row r="200" ht="11.25" customHeight="1">
      <c r="A200" s="550"/>
      <c r="B200" s="550"/>
      <c r="C200" s="644"/>
      <c r="D200" s="644"/>
      <c r="E200" s="644"/>
      <c r="F200" s="550"/>
      <c r="G200" s="644"/>
      <c r="H200" s="550"/>
      <c r="I200" s="550"/>
      <c r="J200" s="550"/>
      <c r="K200" s="550"/>
      <c r="L200" s="550"/>
      <c r="M200" s="550"/>
      <c r="N200" s="550"/>
      <c r="O200" s="550"/>
      <c r="P200" s="550"/>
      <c r="Q200" s="550"/>
      <c r="R200" s="550"/>
      <c r="S200" s="550"/>
      <c r="T200" s="645"/>
      <c r="U200" s="645"/>
      <c r="V200" s="549"/>
      <c r="W200" s="550"/>
      <c r="X200" s="551"/>
      <c r="Y200" s="551"/>
      <c r="Z200" s="551"/>
      <c r="AA200" s="551"/>
      <c r="AB200" s="551"/>
      <c r="AC200" s="551"/>
      <c r="AD200" s="551"/>
      <c r="AE200" s="551"/>
    </row>
    <row r="201" ht="11.25" customHeight="1">
      <c r="A201" s="550"/>
      <c r="B201" s="550"/>
      <c r="C201" s="644"/>
      <c r="D201" s="644"/>
      <c r="E201" s="644"/>
      <c r="F201" s="550"/>
      <c r="G201" s="644"/>
      <c r="H201" s="550"/>
      <c r="I201" s="550"/>
      <c r="J201" s="550"/>
      <c r="K201" s="550"/>
      <c r="L201" s="550"/>
      <c r="M201" s="550"/>
      <c r="N201" s="550"/>
      <c r="O201" s="550"/>
      <c r="P201" s="550"/>
      <c r="Q201" s="550"/>
      <c r="R201" s="550"/>
      <c r="S201" s="550"/>
      <c r="T201" s="645"/>
      <c r="U201" s="645"/>
      <c r="V201" s="549"/>
      <c r="W201" s="550"/>
      <c r="X201" s="551"/>
      <c r="Y201" s="551"/>
      <c r="Z201" s="551"/>
      <c r="AA201" s="551"/>
      <c r="AB201" s="551"/>
      <c r="AC201" s="551"/>
      <c r="AD201" s="551"/>
      <c r="AE201" s="551"/>
    </row>
    <row r="202" ht="11.25" customHeight="1">
      <c r="A202" s="550"/>
      <c r="B202" s="550"/>
      <c r="C202" s="644"/>
      <c r="D202" s="644"/>
      <c r="E202" s="644"/>
      <c r="F202" s="550"/>
      <c r="G202" s="644"/>
      <c r="H202" s="550"/>
      <c r="I202" s="550"/>
      <c r="J202" s="550"/>
      <c r="K202" s="550"/>
      <c r="L202" s="550"/>
      <c r="M202" s="550"/>
      <c r="N202" s="550"/>
      <c r="O202" s="550"/>
      <c r="P202" s="550"/>
      <c r="Q202" s="550"/>
      <c r="R202" s="550"/>
      <c r="S202" s="550"/>
      <c r="T202" s="645"/>
      <c r="U202" s="645"/>
      <c r="V202" s="549"/>
      <c r="W202" s="550"/>
      <c r="X202" s="551"/>
      <c r="Y202" s="551"/>
      <c r="Z202" s="551"/>
      <c r="AA202" s="551"/>
      <c r="AB202" s="551"/>
      <c r="AC202" s="551"/>
      <c r="AD202" s="551"/>
      <c r="AE202" s="551"/>
    </row>
    <row r="203" ht="11.25" customHeight="1">
      <c r="A203" s="550"/>
      <c r="B203" s="550"/>
      <c r="C203" s="644"/>
      <c r="D203" s="644"/>
      <c r="E203" s="644"/>
      <c r="F203" s="550"/>
      <c r="G203" s="644"/>
      <c r="H203" s="550"/>
      <c r="I203" s="550"/>
      <c r="J203" s="550"/>
      <c r="K203" s="550"/>
      <c r="L203" s="550"/>
      <c r="M203" s="550"/>
      <c r="N203" s="550"/>
      <c r="O203" s="550"/>
      <c r="P203" s="550"/>
      <c r="Q203" s="550"/>
      <c r="R203" s="550"/>
      <c r="S203" s="550"/>
      <c r="T203" s="645"/>
      <c r="U203" s="645"/>
      <c r="V203" s="549"/>
      <c r="W203" s="550"/>
      <c r="X203" s="551"/>
      <c r="Y203" s="551"/>
      <c r="Z203" s="551"/>
      <c r="AA203" s="551"/>
      <c r="AB203" s="551"/>
      <c r="AC203" s="551"/>
      <c r="AD203" s="551"/>
      <c r="AE203" s="551"/>
    </row>
    <row r="204" ht="11.25" customHeight="1">
      <c r="A204" s="550"/>
      <c r="B204" s="550"/>
      <c r="C204" s="644"/>
      <c r="D204" s="644"/>
      <c r="E204" s="644"/>
      <c r="F204" s="550"/>
      <c r="G204" s="644"/>
      <c r="H204" s="550"/>
      <c r="I204" s="550"/>
      <c r="J204" s="550"/>
      <c r="K204" s="550"/>
      <c r="L204" s="550"/>
      <c r="M204" s="550"/>
      <c r="N204" s="550"/>
      <c r="O204" s="550"/>
      <c r="P204" s="550"/>
      <c r="Q204" s="550"/>
      <c r="R204" s="550"/>
      <c r="S204" s="550"/>
      <c r="T204" s="645"/>
      <c r="U204" s="645"/>
      <c r="V204" s="549"/>
      <c r="W204" s="550"/>
      <c r="X204" s="551"/>
      <c r="Y204" s="551"/>
      <c r="Z204" s="551"/>
      <c r="AA204" s="551"/>
      <c r="AB204" s="551"/>
      <c r="AC204" s="551"/>
      <c r="AD204" s="551"/>
      <c r="AE204" s="551"/>
    </row>
    <row r="205" ht="11.25" customHeight="1">
      <c r="A205" s="550"/>
      <c r="B205" s="550"/>
      <c r="C205" s="644"/>
      <c r="D205" s="644"/>
      <c r="E205" s="644"/>
      <c r="F205" s="550"/>
      <c r="G205" s="644"/>
      <c r="H205" s="550"/>
      <c r="I205" s="550"/>
      <c r="J205" s="550"/>
      <c r="K205" s="550"/>
      <c r="L205" s="550"/>
      <c r="M205" s="550"/>
      <c r="N205" s="550"/>
      <c r="O205" s="550"/>
      <c r="P205" s="550"/>
      <c r="Q205" s="550"/>
      <c r="R205" s="550"/>
      <c r="S205" s="550"/>
      <c r="T205" s="645"/>
      <c r="U205" s="645"/>
      <c r="V205" s="549"/>
      <c r="W205" s="550"/>
      <c r="X205" s="551"/>
      <c r="Y205" s="551"/>
      <c r="Z205" s="551"/>
      <c r="AA205" s="551"/>
      <c r="AB205" s="551"/>
      <c r="AC205" s="551"/>
      <c r="AD205" s="551"/>
      <c r="AE205" s="551"/>
    </row>
    <row r="206" ht="11.25" customHeight="1">
      <c r="A206" s="550"/>
      <c r="B206" s="550"/>
      <c r="C206" s="644"/>
      <c r="D206" s="644"/>
      <c r="E206" s="644"/>
      <c r="F206" s="550"/>
      <c r="G206" s="644"/>
      <c r="H206" s="550"/>
      <c r="I206" s="550"/>
      <c r="J206" s="550"/>
      <c r="K206" s="550"/>
      <c r="L206" s="550"/>
      <c r="M206" s="550"/>
      <c r="N206" s="550"/>
      <c r="O206" s="550"/>
      <c r="P206" s="550"/>
      <c r="Q206" s="550"/>
      <c r="R206" s="550"/>
      <c r="S206" s="550"/>
      <c r="T206" s="645"/>
      <c r="U206" s="645"/>
      <c r="V206" s="549"/>
      <c r="W206" s="550"/>
      <c r="X206" s="551"/>
      <c r="Y206" s="551"/>
      <c r="Z206" s="551"/>
      <c r="AA206" s="551"/>
      <c r="AB206" s="551"/>
      <c r="AC206" s="551"/>
      <c r="AD206" s="551"/>
      <c r="AE206" s="551"/>
    </row>
    <row r="207" ht="11.25" customHeight="1">
      <c r="A207" s="550"/>
      <c r="B207" s="550"/>
      <c r="C207" s="644"/>
      <c r="D207" s="644"/>
      <c r="E207" s="644"/>
      <c r="F207" s="550"/>
      <c r="G207" s="644"/>
      <c r="H207" s="550"/>
      <c r="I207" s="550"/>
      <c r="J207" s="550"/>
      <c r="K207" s="550"/>
      <c r="L207" s="550"/>
      <c r="M207" s="550"/>
      <c r="N207" s="550"/>
      <c r="O207" s="550"/>
      <c r="P207" s="550"/>
      <c r="Q207" s="550"/>
      <c r="R207" s="550"/>
      <c r="S207" s="550"/>
      <c r="T207" s="645"/>
      <c r="U207" s="645"/>
      <c r="V207" s="549"/>
      <c r="W207" s="550"/>
      <c r="X207" s="551"/>
      <c r="Y207" s="551"/>
      <c r="Z207" s="551"/>
      <c r="AA207" s="551"/>
      <c r="AB207" s="551"/>
      <c r="AC207" s="551"/>
      <c r="AD207" s="551"/>
      <c r="AE207" s="551"/>
    </row>
    <row r="208" ht="11.25" customHeight="1">
      <c r="A208" s="550"/>
      <c r="B208" s="550"/>
      <c r="C208" s="644"/>
      <c r="D208" s="644"/>
      <c r="E208" s="644"/>
      <c r="F208" s="550"/>
      <c r="G208" s="644"/>
      <c r="H208" s="550"/>
      <c r="I208" s="550"/>
      <c r="J208" s="550"/>
      <c r="K208" s="550"/>
      <c r="L208" s="550"/>
      <c r="M208" s="550"/>
      <c r="N208" s="550"/>
      <c r="O208" s="550"/>
      <c r="P208" s="550"/>
      <c r="Q208" s="550"/>
      <c r="R208" s="550"/>
      <c r="S208" s="550"/>
      <c r="T208" s="645"/>
      <c r="U208" s="645"/>
      <c r="V208" s="549"/>
      <c r="W208" s="550"/>
      <c r="X208" s="551"/>
      <c r="Y208" s="551"/>
      <c r="Z208" s="551"/>
      <c r="AA208" s="551"/>
      <c r="AB208" s="551"/>
      <c r="AC208" s="551"/>
      <c r="AD208" s="551"/>
      <c r="AE208" s="551"/>
    </row>
    <row r="209" ht="11.25" customHeight="1">
      <c r="A209" s="550"/>
      <c r="B209" s="550"/>
      <c r="C209" s="644"/>
      <c r="D209" s="644"/>
      <c r="E209" s="644"/>
      <c r="F209" s="550"/>
      <c r="G209" s="644"/>
      <c r="H209" s="550"/>
      <c r="I209" s="550"/>
      <c r="J209" s="550"/>
      <c r="K209" s="550"/>
      <c r="L209" s="550"/>
      <c r="M209" s="550"/>
      <c r="N209" s="550"/>
      <c r="O209" s="550"/>
      <c r="P209" s="550"/>
      <c r="Q209" s="550"/>
      <c r="R209" s="550"/>
      <c r="S209" s="550"/>
      <c r="T209" s="645"/>
      <c r="U209" s="645"/>
      <c r="V209" s="549"/>
      <c r="W209" s="550"/>
      <c r="X209" s="551"/>
      <c r="Y209" s="551"/>
      <c r="Z209" s="551"/>
      <c r="AA209" s="551"/>
      <c r="AB209" s="551"/>
      <c r="AC209" s="551"/>
      <c r="AD209" s="551"/>
      <c r="AE209" s="551"/>
    </row>
    <row r="210" ht="11.25" customHeight="1">
      <c r="A210" s="550"/>
      <c r="B210" s="550"/>
      <c r="C210" s="644"/>
      <c r="D210" s="644"/>
      <c r="E210" s="644"/>
      <c r="F210" s="550"/>
      <c r="G210" s="644"/>
      <c r="H210" s="550"/>
      <c r="I210" s="550"/>
      <c r="J210" s="550"/>
      <c r="K210" s="550"/>
      <c r="L210" s="550"/>
      <c r="M210" s="550"/>
      <c r="N210" s="550"/>
      <c r="O210" s="550"/>
      <c r="P210" s="550"/>
      <c r="Q210" s="550"/>
      <c r="R210" s="550"/>
      <c r="S210" s="550"/>
      <c r="T210" s="645"/>
      <c r="U210" s="645"/>
      <c r="V210" s="549"/>
      <c r="W210" s="550"/>
      <c r="X210" s="551"/>
      <c r="Y210" s="551"/>
      <c r="Z210" s="551"/>
      <c r="AA210" s="551"/>
      <c r="AB210" s="551"/>
      <c r="AC210" s="551"/>
      <c r="AD210" s="551"/>
      <c r="AE210" s="551"/>
    </row>
    <row r="211" ht="11.25" customHeight="1">
      <c r="A211" s="550"/>
      <c r="B211" s="550"/>
      <c r="C211" s="644"/>
      <c r="D211" s="644"/>
      <c r="E211" s="644"/>
      <c r="F211" s="550"/>
      <c r="G211" s="644"/>
      <c r="H211" s="550"/>
      <c r="I211" s="550"/>
      <c r="J211" s="550"/>
      <c r="K211" s="550"/>
      <c r="L211" s="550"/>
      <c r="M211" s="550"/>
      <c r="N211" s="550"/>
      <c r="O211" s="550"/>
      <c r="P211" s="550"/>
      <c r="Q211" s="550"/>
      <c r="R211" s="550"/>
      <c r="S211" s="550"/>
      <c r="T211" s="645"/>
      <c r="U211" s="645"/>
      <c r="V211" s="549"/>
      <c r="W211" s="550"/>
      <c r="X211" s="551"/>
      <c r="Y211" s="551"/>
      <c r="Z211" s="551"/>
      <c r="AA211" s="551"/>
      <c r="AB211" s="551"/>
      <c r="AC211" s="551"/>
      <c r="AD211" s="551"/>
      <c r="AE211" s="551"/>
    </row>
    <row r="212" ht="11.25" customHeight="1">
      <c r="A212" s="550"/>
      <c r="B212" s="550"/>
      <c r="C212" s="644"/>
      <c r="D212" s="644"/>
      <c r="E212" s="644"/>
      <c r="F212" s="550"/>
      <c r="G212" s="644"/>
      <c r="H212" s="550"/>
      <c r="I212" s="550"/>
      <c r="J212" s="550"/>
      <c r="K212" s="550"/>
      <c r="L212" s="550"/>
      <c r="M212" s="550"/>
      <c r="N212" s="550"/>
      <c r="O212" s="550"/>
      <c r="P212" s="550"/>
      <c r="Q212" s="550"/>
      <c r="R212" s="550"/>
      <c r="S212" s="550"/>
      <c r="T212" s="645"/>
      <c r="U212" s="645"/>
      <c r="V212" s="549"/>
      <c r="W212" s="550"/>
      <c r="X212" s="551"/>
      <c r="Y212" s="551"/>
      <c r="Z212" s="551"/>
      <c r="AA212" s="551"/>
      <c r="AB212" s="551"/>
      <c r="AC212" s="551"/>
      <c r="AD212" s="551"/>
      <c r="AE212" s="551"/>
    </row>
    <row r="213" ht="11.25" customHeight="1">
      <c r="A213" s="550"/>
      <c r="B213" s="550"/>
      <c r="C213" s="644"/>
      <c r="D213" s="644"/>
      <c r="E213" s="644"/>
      <c r="F213" s="550"/>
      <c r="G213" s="644"/>
      <c r="H213" s="550"/>
      <c r="I213" s="550"/>
      <c r="J213" s="550"/>
      <c r="K213" s="550"/>
      <c r="L213" s="550"/>
      <c r="M213" s="550"/>
      <c r="N213" s="550"/>
      <c r="O213" s="550"/>
      <c r="P213" s="550"/>
      <c r="Q213" s="550"/>
      <c r="R213" s="550"/>
      <c r="S213" s="550"/>
      <c r="T213" s="645"/>
      <c r="U213" s="645"/>
      <c r="V213" s="549"/>
      <c r="W213" s="550"/>
      <c r="X213" s="551"/>
      <c r="Y213" s="551"/>
      <c r="Z213" s="551"/>
      <c r="AA213" s="551"/>
      <c r="AB213" s="551"/>
      <c r="AC213" s="551"/>
      <c r="AD213" s="551"/>
      <c r="AE213" s="551"/>
    </row>
    <row r="214" ht="11.25" customHeight="1">
      <c r="A214" s="550"/>
      <c r="B214" s="550"/>
      <c r="C214" s="644"/>
      <c r="D214" s="644"/>
      <c r="E214" s="644"/>
      <c r="F214" s="550"/>
      <c r="G214" s="644"/>
      <c r="H214" s="550"/>
      <c r="I214" s="550"/>
      <c r="J214" s="550"/>
      <c r="K214" s="550"/>
      <c r="L214" s="550"/>
      <c r="M214" s="550"/>
      <c r="N214" s="550"/>
      <c r="O214" s="550"/>
      <c r="P214" s="550"/>
      <c r="Q214" s="550"/>
      <c r="R214" s="550"/>
      <c r="S214" s="550"/>
      <c r="T214" s="645"/>
      <c r="U214" s="645"/>
      <c r="V214" s="549"/>
      <c r="W214" s="550"/>
      <c r="X214" s="551"/>
      <c r="Y214" s="551"/>
      <c r="Z214" s="551"/>
      <c r="AA214" s="551"/>
      <c r="AB214" s="551"/>
      <c r="AC214" s="551"/>
      <c r="AD214" s="551"/>
      <c r="AE214" s="551"/>
    </row>
    <row r="215" ht="11.25" customHeight="1">
      <c r="A215" s="550"/>
      <c r="B215" s="550"/>
      <c r="C215" s="644"/>
      <c r="D215" s="644"/>
      <c r="E215" s="644"/>
      <c r="F215" s="550"/>
      <c r="G215" s="644"/>
      <c r="H215" s="550"/>
      <c r="I215" s="550"/>
      <c r="J215" s="550"/>
      <c r="K215" s="550"/>
      <c r="L215" s="550"/>
      <c r="M215" s="550"/>
      <c r="N215" s="550"/>
      <c r="O215" s="550"/>
      <c r="P215" s="550"/>
      <c r="Q215" s="550"/>
      <c r="R215" s="550"/>
      <c r="S215" s="550"/>
      <c r="T215" s="645"/>
      <c r="U215" s="645"/>
      <c r="V215" s="549"/>
      <c r="W215" s="550"/>
      <c r="X215" s="551"/>
      <c r="Y215" s="551"/>
      <c r="Z215" s="551"/>
      <c r="AA215" s="551"/>
      <c r="AB215" s="551"/>
      <c r="AC215" s="551"/>
      <c r="AD215" s="551"/>
      <c r="AE215" s="551"/>
    </row>
    <row r="216" ht="11.25" customHeight="1">
      <c r="A216" s="550"/>
      <c r="B216" s="550"/>
      <c r="C216" s="644"/>
      <c r="D216" s="644"/>
      <c r="E216" s="644"/>
      <c r="F216" s="550"/>
      <c r="G216" s="644"/>
      <c r="H216" s="550"/>
      <c r="I216" s="550"/>
      <c r="J216" s="550"/>
      <c r="K216" s="550"/>
      <c r="L216" s="550"/>
      <c r="M216" s="550"/>
      <c r="N216" s="550"/>
      <c r="O216" s="550"/>
      <c r="P216" s="550"/>
      <c r="Q216" s="550"/>
      <c r="R216" s="550"/>
      <c r="S216" s="550"/>
      <c r="T216" s="645"/>
      <c r="U216" s="645"/>
      <c r="V216" s="549"/>
      <c r="W216" s="550"/>
      <c r="X216" s="551"/>
      <c r="Y216" s="551"/>
      <c r="Z216" s="551"/>
      <c r="AA216" s="551"/>
      <c r="AB216" s="551"/>
      <c r="AC216" s="551"/>
      <c r="AD216" s="551"/>
      <c r="AE216" s="551"/>
    </row>
    <row r="217" ht="11.25" customHeight="1">
      <c r="A217" s="550"/>
      <c r="B217" s="550"/>
      <c r="C217" s="644"/>
      <c r="D217" s="644"/>
      <c r="E217" s="644"/>
      <c r="F217" s="550"/>
      <c r="G217" s="644"/>
      <c r="H217" s="550"/>
      <c r="I217" s="550"/>
      <c r="J217" s="550"/>
      <c r="K217" s="550"/>
      <c r="L217" s="550"/>
      <c r="M217" s="550"/>
      <c r="N217" s="550"/>
      <c r="O217" s="550"/>
      <c r="P217" s="550"/>
      <c r="Q217" s="550"/>
      <c r="R217" s="550"/>
      <c r="S217" s="550"/>
      <c r="T217" s="645"/>
      <c r="U217" s="645"/>
      <c r="V217" s="549"/>
      <c r="W217" s="550"/>
      <c r="X217" s="551"/>
      <c r="Y217" s="551"/>
      <c r="Z217" s="551"/>
      <c r="AA217" s="551"/>
      <c r="AB217" s="551"/>
      <c r="AC217" s="551"/>
      <c r="AD217" s="551"/>
      <c r="AE217" s="551"/>
    </row>
    <row r="218" ht="11.25" customHeight="1">
      <c r="A218" s="550"/>
      <c r="B218" s="550"/>
      <c r="C218" s="644"/>
      <c r="D218" s="644"/>
      <c r="E218" s="644"/>
      <c r="F218" s="550"/>
      <c r="G218" s="644"/>
      <c r="H218" s="550"/>
      <c r="I218" s="550"/>
      <c r="J218" s="550"/>
      <c r="K218" s="550"/>
      <c r="L218" s="550"/>
      <c r="M218" s="550"/>
      <c r="N218" s="550"/>
      <c r="O218" s="550"/>
      <c r="P218" s="550"/>
      <c r="Q218" s="550"/>
      <c r="R218" s="550"/>
      <c r="S218" s="550"/>
      <c r="T218" s="645"/>
      <c r="U218" s="645"/>
      <c r="V218" s="549"/>
      <c r="W218" s="550"/>
      <c r="X218" s="551"/>
      <c r="Y218" s="551"/>
      <c r="Z218" s="551"/>
      <c r="AA218" s="551"/>
      <c r="AB218" s="551"/>
      <c r="AC218" s="551"/>
      <c r="AD218" s="551"/>
      <c r="AE218" s="551"/>
    </row>
    <row r="219" ht="11.25" customHeight="1">
      <c r="A219" s="550"/>
      <c r="B219" s="550"/>
      <c r="C219" s="644"/>
      <c r="D219" s="644"/>
      <c r="E219" s="644"/>
      <c r="F219" s="550"/>
      <c r="G219" s="644"/>
      <c r="H219" s="550"/>
      <c r="I219" s="550"/>
      <c r="J219" s="550"/>
      <c r="K219" s="550"/>
      <c r="L219" s="550"/>
      <c r="M219" s="550"/>
      <c r="N219" s="550"/>
      <c r="O219" s="550"/>
      <c r="P219" s="550"/>
      <c r="Q219" s="550"/>
      <c r="R219" s="550"/>
      <c r="S219" s="550"/>
      <c r="T219" s="645"/>
      <c r="U219" s="645"/>
      <c r="V219" s="549"/>
      <c r="W219" s="550"/>
      <c r="X219" s="551"/>
      <c r="Y219" s="551"/>
      <c r="Z219" s="551"/>
      <c r="AA219" s="551"/>
      <c r="AB219" s="551"/>
      <c r="AC219" s="551"/>
      <c r="AD219" s="551"/>
      <c r="AE219" s="551"/>
    </row>
    <row r="220" ht="11.25" customHeight="1">
      <c r="A220" s="550"/>
      <c r="B220" s="550"/>
      <c r="C220" s="644"/>
      <c r="D220" s="644"/>
      <c r="E220" s="644"/>
      <c r="F220" s="550"/>
      <c r="G220" s="644"/>
      <c r="H220" s="550"/>
      <c r="I220" s="550"/>
      <c r="J220" s="550"/>
      <c r="K220" s="550"/>
      <c r="L220" s="550"/>
      <c r="M220" s="550"/>
      <c r="N220" s="550"/>
      <c r="O220" s="550"/>
      <c r="P220" s="550"/>
      <c r="Q220" s="550"/>
      <c r="R220" s="550"/>
      <c r="S220" s="550"/>
      <c r="T220" s="645"/>
      <c r="U220" s="645"/>
      <c r="V220" s="549"/>
      <c r="W220" s="550"/>
      <c r="X220" s="551"/>
      <c r="Y220" s="551"/>
      <c r="Z220" s="551"/>
      <c r="AA220" s="551"/>
      <c r="AB220" s="551"/>
      <c r="AC220" s="551"/>
      <c r="AD220" s="551"/>
      <c r="AE220" s="551"/>
    </row>
    <row r="221" ht="11.25" customHeight="1">
      <c r="A221" s="550"/>
      <c r="B221" s="550"/>
      <c r="C221" s="644"/>
      <c r="D221" s="644"/>
      <c r="E221" s="644"/>
      <c r="F221" s="550"/>
      <c r="G221" s="644"/>
      <c r="H221" s="550"/>
      <c r="I221" s="550"/>
      <c r="J221" s="550"/>
      <c r="K221" s="550"/>
      <c r="L221" s="550"/>
      <c r="M221" s="550"/>
      <c r="N221" s="550"/>
      <c r="O221" s="550"/>
      <c r="P221" s="550"/>
      <c r="Q221" s="550"/>
      <c r="R221" s="550"/>
      <c r="S221" s="550"/>
      <c r="T221" s="645"/>
      <c r="U221" s="645"/>
      <c r="V221" s="549"/>
      <c r="W221" s="550"/>
      <c r="X221" s="551"/>
      <c r="Y221" s="551"/>
      <c r="Z221" s="551"/>
      <c r="AA221" s="551"/>
      <c r="AB221" s="551"/>
      <c r="AC221" s="551"/>
      <c r="AD221" s="551"/>
      <c r="AE221" s="551"/>
    </row>
    <row r="222" ht="11.25" customHeight="1">
      <c r="A222" s="550"/>
      <c r="B222" s="550"/>
      <c r="C222" s="644"/>
      <c r="D222" s="644"/>
      <c r="E222" s="644"/>
      <c r="F222" s="550"/>
      <c r="G222" s="644"/>
      <c r="H222" s="550"/>
      <c r="I222" s="550"/>
      <c r="J222" s="550"/>
      <c r="K222" s="550"/>
      <c r="L222" s="550"/>
      <c r="M222" s="550"/>
      <c r="N222" s="550"/>
      <c r="O222" s="550"/>
      <c r="P222" s="550"/>
      <c r="Q222" s="550"/>
      <c r="R222" s="550"/>
      <c r="S222" s="550"/>
      <c r="T222" s="645"/>
      <c r="U222" s="645"/>
      <c r="V222" s="549"/>
      <c r="W222" s="550"/>
      <c r="X222" s="551"/>
      <c r="Y222" s="551"/>
      <c r="Z222" s="551"/>
      <c r="AA222" s="551"/>
      <c r="AB222" s="551"/>
      <c r="AC222" s="551"/>
      <c r="AD222" s="551"/>
      <c r="AE222" s="551"/>
    </row>
    <row r="223" ht="11.25" customHeight="1">
      <c r="A223" s="550"/>
      <c r="B223" s="550"/>
      <c r="C223" s="644"/>
      <c r="D223" s="644"/>
      <c r="E223" s="644"/>
      <c r="F223" s="550"/>
      <c r="G223" s="644"/>
      <c r="H223" s="550"/>
      <c r="I223" s="550"/>
      <c r="J223" s="550"/>
      <c r="K223" s="550"/>
      <c r="L223" s="550"/>
      <c r="M223" s="550"/>
      <c r="N223" s="550"/>
      <c r="O223" s="550"/>
      <c r="P223" s="550"/>
      <c r="Q223" s="550"/>
      <c r="R223" s="550"/>
      <c r="S223" s="550"/>
      <c r="T223" s="645"/>
      <c r="U223" s="645"/>
      <c r="V223" s="549"/>
      <c r="W223" s="550"/>
      <c r="X223" s="551"/>
      <c r="Y223" s="551"/>
      <c r="Z223" s="551"/>
      <c r="AA223" s="551"/>
      <c r="AB223" s="551"/>
      <c r="AC223" s="551"/>
      <c r="AD223" s="551"/>
      <c r="AE223" s="551"/>
    </row>
    <row r="224" ht="11.25" customHeight="1">
      <c r="A224" s="550"/>
      <c r="B224" s="550"/>
      <c r="C224" s="644"/>
      <c r="D224" s="644"/>
      <c r="E224" s="644"/>
      <c r="F224" s="550"/>
      <c r="G224" s="644"/>
      <c r="H224" s="550"/>
      <c r="I224" s="550"/>
      <c r="J224" s="550"/>
      <c r="K224" s="550"/>
      <c r="L224" s="550"/>
      <c r="M224" s="550"/>
      <c r="N224" s="550"/>
      <c r="O224" s="550"/>
      <c r="P224" s="550"/>
      <c r="Q224" s="550"/>
      <c r="R224" s="550"/>
      <c r="S224" s="550"/>
      <c r="T224" s="645"/>
      <c r="U224" s="645"/>
      <c r="V224" s="549"/>
      <c r="W224" s="550"/>
      <c r="X224" s="551"/>
      <c r="Y224" s="551"/>
      <c r="Z224" s="551"/>
      <c r="AA224" s="551"/>
      <c r="AB224" s="551"/>
      <c r="AC224" s="551"/>
      <c r="AD224" s="551"/>
      <c r="AE224" s="551"/>
    </row>
    <row r="225" ht="11.25" customHeight="1">
      <c r="A225" s="550"/>
      <c r="B225" s="550"/>
      <c r="C225" s="644"/>
      <c r="D225" s="644"/>
      <c r="E225" s="644"/>
      <c r="F225" s="550"/>
      <c r="G225" s="644"/>
      <c r="H225" s="550"/>
      <c r="I225" s="550"/>
      <c r="J225" s="550"/>
      <c r="K225" s="550"/>
      <c r="L225" s="550"/>
      <c r="M225" s="550"/>
      <c r="N225" s="550"/>
      <c r="O225" s="550"/>
      <c r="P225" s="550"/>
      <c r="Q225" s="550"/>
      <c r="R225" s="550"/>
      <c r="S225" s="550"/>
      <c r="T225" s="645"/>
      <c r="U225" s="645"/>
      <c r="V225" s="549"/>
      <c r="W225" s="550"/>
      <c r="X225" s="551"/>
      <c r="Y225" s="551"/>
      <c r="Z225" s="551"/>
      <c r="AA225" s="551"/>
      <c r="AB225" s="551"/>
      <c r="AC225" s="551"/>
      <c r="AD225" s="551"/>
      <c r="AE225" s="551"/>
    </row>
    <row r="226" ht="11.25" customHeight="1">
      <c r="A226" s="550"/>
      <c r="B226" s="550"/>
      <c r="C226" s="644"/>
      <c r="D226" s="644"/>
      <c r="E226" s="644"/>
      <c r="F226" s="550"/>
      <c r="G226" s="644"/>
      <c r="H226" s="550"/>
      <c r="I226" s="550"/>
      <c r="J226" s="550"/>
      <c r="K226" s="550"/>
      <c r="L226" s="550"/>
      <c r="M226" s="550"/>
      <c r="N226" s="550"/>
      <c r="O226" s="550"/>
      <c r="P226" s="550"/>
      <c r="Q226" s="550"/>
      <c r="R226" s="550"/>
      <c r="S226" s="550"/>
      <c r="T226" s="645"/>
      <c r="U226" s="645"/>
      <c r="V226" s="549"/>
      <c r="W226" s="550"/>
      <c r="X226" s="551"/>
      <c r="Y226" s="551"/>
      <c r="Z226" s="551"/>
      <c r="AA226" s="551"/>
      <c r="AB226" s="551"/>
      <c r="AC226" s="551"/>
      <c r="AD226" s="551"/>
      <c r="AE226" s="551"/>
    </row>
    <row r="227" ht="15.75" customHeight="1">
      <c r="X227" s="646"/>
      <c r="Y227" s="646"/>
      <c r="Z227" s="646"/>
      <c r="AA227" s="646"/>
      <c r="AB227" s="646"/>
      <c r="AC227" s="646"/>
      <c r="AD227" s="646"/>
      <c r="AE227" s="646"/>
    </row>
    <row r="228" ht="15.75" customHeight="1">
      <c r="X228" s="646"/>
      <c r="Y228" s="646"/>
      <c r="Z228" s="646"/>
      <c r="AA228" s="646"/>
      <c r="AB228" s="646"/>
      <c r="AC228" s="646"/>
      <c r="AD228" s="646"/>
      <c r="AE228" s="646"/>
    </row>
    <row r="229" ht="15.75" customHeight="1">
      <c r="X229" s="646"/>
      <c r="Y229" s="646"/>
      <c r="Z229" s="646"/>
      <c r="AA229" s="646"/>
      <c r="AB229" s="646"/>
      <c r="AC229" s="646"/>
      <c r="AD229" s="646"/>
      <c r="AE229" s="646"/>
    </row>
    <row r="230" ht="15.75" customHeight="1">
      <c r="X230" s="646"/>
      <c r="Y230" s="646"/>
      <c r="Z230" s="646"/>
      <c r="AA230" s="646"/>
      <c r="AB230" s="646"/>
      <c r="AC230" s="646"/>
      <c r="AD230" s="646"/>
      <c r="AE230" s="646"/>
    </row>
    <row r="231" ht="15.75" customHeight="1">
      <c r="X231" s="646"/>
      <c r="Y231" s="646"/>
      <c r="Z231" s="646"/>
      <c r="AA231" s="646"/>
      <c r="AB231" s="646"/>
      <c r="AC231" s="646"/>
      <c r="AD231" s="646"/>
      <c r="AE231" s="646"/>
    </row>
    <row r="232" ht="15.75" customHeight="1">
      <c r="X232" s="646"/>
      <c r="Y232" s="646"/>
      <c r="Z232" s="646"/>
      <c r="AA232" s="646"/>
      <c r="AB232" s="646"/>
      <c r="AC232" s="646"/>
      <c r="AD232" s="646"/>
      <c r="AE232" s="646"/>
    </row>
    <row r="233" ht="15.75" customHeight="1">
      <c r="X233" s="646"/>
      <c r="Y233" s="646"/>
      <c r="Z233" s="646"/>
      <c r="AA233" s="646"/>
      <c r="AB233" s="646"/>
      <c r="AC233" s="646"/>
      <c r="AD233" s="646"/>
      <c r="AE233" s="646"/>
    </row>
    <row r="234" ht="15.75" customHeight="1">
      <c r="X234" s="646"/>
      <c r="Y234" s="646"/>
      <c r="Z234" s="646"/>
      <c r="AA234" s="646"/>
      <c r="AB234" s="646"/>
      <c r="AC234" s="646"/>
      <c r="AD234" s="646"/>
      <c r="AE234" s="646"/>
    </row>
    <row r="235" ht="15.75" customHeight="1">
      <c r="X235" s="646"/>
      <c r="Y235" s="646"/>
      <c r="Z235" s="646"/>
      <c r="AA235" s="646"/>
      <c r="AB235" s="646"/>
      <c r="AC235" s="646"/>
      <c r="AD235" s="646"/>
      <c r="AE235" s="646"/>
    </row>
    <row r="236" ht="15.75" customHeight="1">
      <c r="X236" s="646"/>
      <c r="Y236" s="646"/>
      <c r="Z236" s="646"/>
      <c r="AA236" s="646"/>
      <c r="AB236" s="646"/>
      <c r="AC236" s="646"/>
      <c r="AD236" s="646"/>
      <c r="AE236" s="646"/>
    </row>
    <row r="237" ht="15.75" customHeight="1">
      <c r="X237" s="646"/>
      <c r="Y237" s="646"/>
      <c r="Z237" s="646"/>
      <c r="AA237" s="646"/>
      <c r="AB237" s="646"/>
      <c r="AC237" s="646"/>
      <c r="AD237" s="646"/>
      <c r="AE237" s="646"/>
    </row>
    <row r="238" ht="15.75" customHeight="1">
      <c r="X238" s="646"/>
      <c r="Y238" s="646"/>
      <c r="Z238" s="646"/>
      <c r="AA238" s="646"/>
      <c r="AB238" s="646"/>
      <c r="AC238" s="646"/>
      <c r="AD238" s="646"/>
      <c r="AE238" s="646"/>
    </row>
    <row r="239" ht="15.75" customHeight="1">
      <c r="X239" s="646"/>
      <c r="Y239" s="646"/>
      <c r="Z239" s="646"/>
      <c r="AA239" s="646"/>
      <c r="AB239" s="646"/>
      <c r="AC239" s="646"/>
      <c r="AD239" s="646"/>
      <c r="AE239" s="646"/>
    </row>
    <row r="240" ht="15.75" customHeight="1">
      <c r="X240" s="646"/>
      <c r="Y240" s="646"/>
      <c r="Z240" s="646"/>
      <c r="AA240" s="646"/>
      <c r="AB240" s="646"/>
      <c r="AC240" s="646"/>
      <c r="AD240" s="646"/>
      <c r="AE240" s="646"/>
    </row>
    <row r="241" ht="15.75" customHeight="1">
      <c r="X241" s="646"/>
      <c r="Y241" s="646"/>
      <c r="Z241" s="646"/>
      <c r="AA241" s="646"/>
      <c r="AB241" s="646"/>
      <c r="AC241" s="646"/>
      <c r="AD241" s="646"/>
      <c r="AE241" s="646"/>
    </row>
    <row r="242" ht="15.75" customHeight="1">
      <c r="X242" s="646"/>
      <c r="Y242" s="646"/>
      <c r="Z242" s="646"/>
      <c r="AA242" s="646"/>
      <c r="AB242" s="646"/>
      <c r="AC242" s="646"/>
      <c r="AD242" s="646"/>
      <c r="AE242" s="646"/>
    </row>
    <row r="243" ht="15.75" customHeight="1">
      <c r="X243" s="646"/>
      <c r="Y243" s="646"/>
      <c r="Z243" s="646"/>
      <c r="AA243" s="646"/>
      <c r="AB243" s="646"/>
      <c r="AC243" s="646"/>
      <c r="AD243" s="646"/>
      <c r="AE243" s="646"/>
    </row>
    <row r="244" ht="15.75" customHeight="1">
      <c r="X244" s="646"/>
      <c r="Y244" s="646"/>
      <c r="Z244" s="646"/>
      <c r="AA244" s="646"/>
      <c r="AB244" s="646"/>
      <c r="AC244" s="646"/>
      <c r="AD244" s="646"/>
      <c r="AE244" s="646"/>
    </row>
    <row r="245" ht="15.75" customHeight="1">
      <c r="X245" s="646"/>
      <c r="Y245" s="646"/>
      <c r="Z245" s="646"/>
      <c r="AA245" s="646"/>
      <c r="AB245" s="646"/>
      <c r="AC245" s="646"/>
      <c r="AD245" s="646"/>
      <c r="AE245" s="646"/>
    </row>
    <row r="246" ht="15.75" customHeight="1">
      <c r="X246" s="646"/>
      <c r="Y246" s="646"/>
      <c r="Z246" s="646"/>
      <c r="AA246" s="646"/>
      <c r="AB246" s="646"/>
      <c r="AC246" s="646"/>
      <c r="AD246" s="646"/>
      <c r="AE246" s="646"/>
    </row>
    <row r="247" ht="15.75" customHeight="1">
      <c r="X247" s="646"/>
      <c r="Y247" s="646"/>
      <c r="Z247" s="646"/>
      <c r="AA247" s="646"/>
      <c r="AB247" s="646"/>
      <c r="AC247" s="646"/>
      <c r="AD247" s="646"/>
      <c r="AE247" s="646"/>
    </row>
    <row r="248" ht="15.75" customHeight="1">
      <c r="X248" s="646"/>
      <c r="Y248" s="646"/>
      <c r="Z248" s="646"/>
      <c r="AA248" s="646"/>
      <c r="AB248" s="646"/>
      <c r="AC248" s="646"/>
      <c r="AD248" s="646"/>
      <c r="AE248" s="646"/>
    </row>
    <row r="249" ht="15.75" customHeight="1">
      <c r="X249" s="646"/>
      <c r="Y249" s="646"/>
      <c r="Z249" s="646"/>
      <c r="AA249" s="646"/>
      <c r="AB249" s="646"/>
      <c r="AC249" s="646"/>
      <c r="AD249" s="646"/>
      <c r="AE249" s="646"/>
    </row>
    <row r="250" ht="15.75" customHeight="1">
      <c r="X250" s="646"/>
      <c r="Y250" s="646"/>
      <c r="Z250" s="646"/>
      <c r="AA250" s="646"/>
      <c r="AB250" s="646"/>
      <c r="AC250" s="646"/>
      <c r="AD250" s="646"/>
      <c r="AE250" s="646"/>
    </row>
    <row r="251" ht="15.75" customHeight="1">
      <c r="X251" s="646"/>
      <c r="Y251" s="646"/>
      <c r="Z251" s="646"/>
      <c r="AA251" s="646"/>
      <c r="AB251" s="646"/>
      <c r="AC251" s="646"/>
      <c r="AD251" s="646"/>
      <c r="AE251" s="646"/>
    </row>
    <row r="252" ht="15.75" customHeight="1">
      <c r="X252" s="646"/>
      <c r="Y252" s="646"/>
      <c r="Z252" s="646"/>
      <c r="AA252" s="646"/>
      <c r="AB252" s="646"/>
      <c r="AC252" s="646"/>
      <c r="AD252" s="646"/>
      <c r="AE252" s="646"/>
    </row>
    <row r="253" ht="15.75" customHeight="1">
      <c r="X253" s="646"/>
      <c r="Y253" s="646"/>
      <c r="Z253" s="646"/>
      <c r="AA253" s="646"/>
      <c r="AB253" s="646"/>
      <c r="AC253" s="646"/>
      <c r="AD253" s="646"/>
      <c r="AE253" s="646"/>
    </row>
    <row r="254" ht="15.75" customHeight="1">
      <c r="X254" s="646"/>
      <c r="Y254" s="646"/>
      <c r="Z254" s="646"/>
      <c r="AA254" s="646"/>
      <c r="AB254" s="646"/>
      <c r="AC254" s="646"/>
      <c r="AD254" s="646"/>
      <c r="AE254" s="646"/>
    </row>
    <row r="255" ht="15.75" customHeight="1">
      <c r="X255" s="646"/>
      <c r="Y255" s="646"/>
      <c r="Z255" s="646"/>
      <c r="AA255" s="646"/>
      <c r="AB255" s="646"/>
      <c r="AC255" s="646"/>
      <c r="AD255" s="646"/>
      <c r="AE255" s="646"/>
    </row>
    <row r="256" ht="15.75" customHeight="1">
      <c r="X256" s="646"/>
      <c r="Y256" s="646"/>
      <c r="Z256" s="646"/>
      <c r="AA256" s="646"/>
      <c r="AB256" s="646"/>
      <c r="AC256" s="646"/>
      <c r="AD256" s="646"/>
      <c r="AE256" s="646"/>
    </row>
    <row r="257" ht="15.75" customHeight="1">
      <c r="X257" s="646"/>
      <c r="Y257" s="646"/>
      <c r="Z257" s="646"/>
      <c r="AA257" s="646"/>
      <c r="AB257" s="646"/>
      <c r="AC257" s="646"/>
      <c r="AD257" s="646"/>
      <c r="AE257" s="646"/>
    </row>
    <row r="258" ht="15.75" customHeight="1">
      <c r="X258" s="646"/>
      <c r="Y258" s="646"/>
      <c r="Z258" s="646"/>
      <c r="AA258" s="646"/>
      <c r="AB258" s="646"/>
      <c r="AC258" s="646"/>
      <c r="AD258" s="646"/>
      <c r="AE258" s="646"/>
    </row>
    <row r="259" ht="15.75" customHeight="1">
      <c r="X259" s="646"/>
      <c r="Y259" s="646"/>
      <c r="Z259" s="646"/>
      <c r="AA259" s="646"/>
      <c r="AB259" s="646"/>
      <c r="AC259" s="646"/>
      <c r="AD259" s="646"/>
      <c r="AE259" s="646"/>
    </row>
    <row r="260" ht="15.75" customHeight="1">
      <c r="X260" s="646"/>
      <c r="Y260" s="646"/>
      <c r="Z260" s="646"/>
      <c r="AA260" s="646"/>
      <c r="AB260" s="646"/>
      <c r="AC260" s="646"/>
      <c r="AD260" s="646"/>
      <c r="AE260" s="646"/>
    </row>
    <row r="261" ht="15.75" customHeight="1">
      <c r="X261" s="646"/>
      <c r="Y261" s="646"/>
      <c r="Z261" s="646"/>
      <c r="AA261" s="646"/>
      <c r="AB261" s="646"/>
      <c r="AC261" s="646"/>
      <c r="AD261" s="646"/>
      <c r="AE261" s="646"/>
    </row>
    <row r="262" ht="15.75" customHeight="1">
      <c r="X262" s="646"/>
      <c r="Y262" s="646"/>
      <c r="Z262" s="646"/>
      <c r="AA262" s="646"/>
      <c r="AB262" s="646"/>
      <c r="AC262" s="646"/>
      <c r="AD262" s="646"/>
      <c r="AE262" s="646"/>
    </row>
    <row r="263" ht="15.75" customHeight="1">
      <c r="X263" s="646"/>
      <c r="Y263" s="646"/>
      <c r="Z263" s="646"/>
      <c r="AA263" s="646"/>
      <c r="AB263" s="646"/>
      <c r="AC263" s="646"/>
      <c r="AD263" s="646"/>
      <c r="AE263" s="646"/>
    </row>
    <row r="264" ht="15.75" customHeight="1">
      <c r="X264" s="646"/>
      <c r="Y264" s="646"/>
      <c r="Z264" s="646"/>
      <c r="AA264" s="646"/>
      <c r="AB264" s="646"/>
      <c r="AC264" s="646"/>
      <c r="AD264" s="646"/>
      <c r="AE264" s="646"/>
    </row>
    <row r="265" ht="15.75" customHeight="1">
      <c r="X265" s="646"/>
      <c r="Y265" s="646"/>
      <c r="Z265" s="646"/>
      <c r="AA265" s="646"/>
      <c r="AB265" s="646"/>
      <c r="AC265" s="646"/>
      <c r="AD265" s="646"/>
      <c r="AE265" s="646"/>
    </row>
    <row r="266" ht="15.75" customHeight="1">
      <c r="X266" s="646"/>
      <c r="Y266" s="646"/>
      <c r="Z266" s="646"/>
      <c r="AA266" s="646"/>
      <c r="AB266" s="646"/>
      <c r="AC266" s="646"/>
      <c r="AD266" s="646"/>
      <c r="AE266" s="646"/>
    </row>
    <row r="267" ht="15.75" customHeight="1">
      <c r="X267" s="646"/>
      <c r="Y267" s="646"/>
      <c r="Z267" s="646"/>
      <c r="AA267" s="646"/>
      <c r="AB267" s="646"/>
      <c r="AC267" s="646"/>
      <c r="AD267" s="646"/>
      <c r="AE267" s="646"/>
    </row>
    <row r="268" ht="15.75" customHeight="1">
      <c r="X268" s="646"/>
      <c r="Y268" s="646"/>
      <c r="Z268" s="646"/>
      <c r="AA268" s="646"/>
      <c r="AB268" s="646"/>
      <c r="AC268" s="646"/>
      <c r="AD268" s="646"/>
      <c r="AE268" s="646"/>
    </row>
    <row r="269" ht="15.75" customHeight="1">
      <c r="X269" s="646"/>
      <c r="Y269" s="646"/>
      <c r="Z269" s="646"/>
      <c r="AA269" s="646"/>
      <c r="AB269" s="646"/>
      <c r="AC269" s="646"/>
      <c r="AD269" s="646"/>
      <c r="AE269" s="646"/>
    </row>
    <row r="270" ht="15.75" customHeight="1">
      <c r="X270" s="646"/>
      <c r="Y270" s="646"/>
      <c r="Z270" s="646"/>
      <c r="AA270" s="646"/>
      <c r="AB270" s="646"/>
      <c r="AC270" s="646"/>
      <c r="AD270" s="646"/>
      <c r="AE270" s="646"/>
    </row>
    <row r="271" ht="15.75" customHeight="1">
      <c r="X271" s="646"/>
      <c r="Y271" s="646"/>
      <c r="Z271" s="646"/>
      <c r="AA271" s="646"/>
      <c r="AB271" s="646"/>
      <c r="AC271" s="646"/>
      <c r="AD271" s="646"/>
      <c r="AE271" s="646"/>
    </row>
    <row r="272" ht="15.75" customHeight="1">
      <c r="X272" s="646"/>
      <c r="Y272" s="646"/>
      <c r="Z272" s="646"/>
      <c r="AA272" s="646"/>
      <c r="AB272" s="646"/>
      <c r="AC272" s="646"/>
      <c r="AD272" s="646"/>
      <c r="AE272" s="646"/>
    </row>
    <row r="273" ht="15.75" customHeight="1">
      <c r="X273" s="646"/>
      <c r="Y273" s="646"/>
      <c r="Z273" s="646"/>
      <c r="AA273" s="646"/>
      <c r="AB273" s="646"/>
      <c r="AC273" s="646"/>
      <c r="AD273" s="646"/>
      <c r="AE273" s="646"/>
    </row>
    <row r="274" ht="15.75" customHeight="1">
      <c r="X274" s="646"/>
      <c r="Y274" s="646"/>
      <c r="Z274" s="646"/>
      <c r="AA274" s="646"/>
      <c r="AB274" s="646"/>
      <c r="AC274" s="646"/>
      <c r="AD274" s="646"/>
      <c r="AE274" s="646"/>
    </row>
    <row r="275" ht="15.75" customHeight="1">
      <c r="X275" s="646"/>
      <c r="Y275" s="646"/>
      <c r="Z275" s="646"/>
      <c r="AA275" s="646"/>
      <c r="AB275" s="646"/>
      <c r="AC275" s="646"/>
      <c r="AD275" s="646"/>
      <c r="AE275" s="646"/>
    </row>
    <row r="276" ht="15.75" customHeight="1">
      <c r="X276" s="646"/>
      <c r="Y276" s="646"/>
      <c r="Z276" s="646"/>
      <c r="AA276" s="646"/>
      <c r="AB276" s="646"/>
      <c r="AC276" s="646"/>
      <c r="AD276" s="646"/>
      <c r="AE276" s="646"/>
    </row>
    <row r="277" ht="15.75" customHeight="1">
      <c r="X277" s="646"/>
      <c r="Y277" s="646"/>
      <c r="Z277" s="646"/>
      <c r="AA277" s="646"/>
      <c r="AB277" s="646"/>
      <c r="AC277" s="646"/>
      <c r="AD277" s="646"/>
      <c r="AE277" s="646"/>
    </row>
    <row r="278" ht="15.75" customHeight="1">
      <c r="X278" s="646"/>
      <c r="Y278" s="646"/>
      <c r="Z278" s="646"/>
      <c r="AA278" s="646"/>
      <c r="AB278" s="646"/>
      <c r="AC278" s="646"/>
      <c r="AD278" s="646"/>
      <c r="AE278" s="646"/>
    </row>
    <row r="279" ht="15.75" customHeight="1">
      <c r="X279" s="646"/>
      <c r="Y279" s="646"/>
      <c r="Z279" s="646"/>
      <c r="AA279" s="646"/>
      <c r="AB279" s="646"/>
      <c r="AC279" s="646"/>
      <c r="AD279" s="646"/>
      <c r="AE279" s="646"/>
    </row>
    <row r="280" ht="15.75" customHeight="1">
      <c r="X280" s="646"/>
      <c r="Y280" s="646"/>
      <c r="Z280" s="646"/>
      <c r="AA280" s="646"/>
      <c r="AB280" s="646"/>
      <c r="AC280" s="646"/>
      <c r="AD280" s="646"/>
      <c r="AE280" s="646"/>
    </row>
    <row r="281" ht="15.75" customHeight="1">
      <c r="X281" s="646"/>
      <c r="Y281" s="646"/>
      <c r="Z281" s="646"/>
      <c r="AA281" s="646"/>
      <c r="AB281" s="646"/>
      <c r="AC281" s="646"/>
      <c r="AD281" s="646"/>
      <c r="AE281" s="646"/>
    </row>
    <row r="282" ht="15.75" customHeight="1">
      <c r="X282" s="646"/>
      <c r="Y282" s="646"/>
      <c r="Z282" s="646"/>
      <c r="AA282" s="646"/>
      <c r="AB282" s="646"/>
      <c r="AC282" s="646"/>
      <c r="AD282" s="646"/>
      <c r="AE282" s="646"/>
    </row>
    <row r="283" ht="15.75" customHeight="1">
      <c r="X283" s="646"/>
      <c r="Y283" s="646"/>
      <c r="Z283" s="646"/>
      <c r="AA283" s="646"/>
      <c r="AB283" s="646"/>
      <c r="AC283" s="646"/>
      <c r="AD283" s="646"/>
      <c r="AE283" s="646"/>
    </row>
    <row r="284" ht="15.75" customHeight="1">
      <c r="X284" s="646"/>
      <c r="Y284" s="646"/>
      <c r="Z284" s="646"/>
      <c r="AA284" s="646"/>
      <c r="AB284" s="646"/>
      <c r="AC284" s="646"/>
      <c r="AD284" s="646"/>
      <c r="AE284" s="646"/>
    </row>
    <row r="285" ht="15.75" customHeight="1">
      <c r="X285" s="646"/>
      <c r="Y285" s="646"/>
      <c r="Z285" s="646"/>
      <c r="AA285" s="646"/>
      <c r="AB285" s="646"/>
      <c r="AC285" s="646"/>
      <c r="AD285" s="646"/>
      <c r="AE285" s="646"/>
    </row>
    <row r="286" ht="15.75" customHeight="1">
      <c r="X286" s="646"/>
      <c r="Y286" s="646"/>
      <c r="Z286" s="646"/>
      <c r="AA286" s="646"/>
      <c r="AB286" s="646"/>
      <c r="AC286" s="646"/>
      <c r="AD286" s="646"/>
      <c r="AE286" s="646"/>
    </row>
    <row r="287" ht="15.75" customHeight="1">
      <c r="X287" s="646"/>
      <c r="Y287" s="646"/>
      <c r="Z287" s="646"/>
      <c r="AA287" s="646"/>
      <c r="AB287" s="646"/>
      <c r="AC287" s="646"/>
      <c r="AD287" s="646"/>
      <c r="AE287" s="646"/>
    </row>
    <row r="288" ht="15.75" customHeight="1">
      <c r="X288" s="646"/>
      <c r="Y288" s="646"/>
      <c r="Z288" s="646"/>
      <c r="AA288" s="646"/>
      <c r="AB288" s="646"/>
      <c r="AC288" s="646"/>
      <c r="AD288" s="646"/>
      <c r="AE288" s="646"/>
    </row>
    <row r="289" ht="15.75" customHeight="1">
      <c r="X289" s="646"/>
      <c r="Y289" s="646"/>
      <c r="Z289" s="646"/>
      <c r="AA289" s="646"/>
      <c r="AB289" s="646"/>
      <c r="AC289" s="646"/>
      <c r="AD289" s="646"/>
      <c r="AE289" s="646"/>
    </row>
    <row r="290" ht="15.75" customHeight="1">
      <c r="X290" s="646"/>
      <c r="Y290" s="646"/>
      <c r="Z290" s="646"/>
      <c r="AA290" s="646"/>
      <c r="AB290" s="646"/>
      <c r="AC290" s="646"/>
      <c r="AD290" s="646"/>
      <c r="AE290" s="646"/>
    </row>
    <row r="291" ht="15.75" customHeight="1">
      <c r="X291" s="646"/>
      <c r="Y291" s="646"/>
      <c r="Z291" s="646"/>
      <c r="AA291" s="646"/>
      <c r="AB291" s="646"/>
      <c r="AC291" s="646"/>
      <c r="AD291" s="646"/>
      <c r="AE291" s="646"/>
    </row>
    <row r="292" ht="15.75" customHeight="1">
      <c r="X292" s="646"/>
      <c r="Y292" s="646"/>
      <c r="Z292" s="646"/>
      <c r="AA292" s="646"/>
      <c r="AB292" s="646"/>
      <c r="AC292" s="646"/>
      <c r="AD292" s="646"/>
      <c r="AE292" s="646"/>
    </row>
    <row r="293" ht="15.75" customHeight="1">
      <c r="X293" s="646"/>
      <c r="Y293" s="646"/>
      <c r="Z293" s="646"/>
      <c r="AA293" s="646"/>
      <c r="AB293" s="646"/>
      <c r="AC293" s="646"/>
      <c r="AD293" s="646"/>
      <c r="AE293" s="646"/>
    </row>
    <row r="294" ht="15.75" customHeight="1">
      <c r="X294" s="646"/>
      <c r="Y294" s="646"/>
      <c r="Z294" s="646"/>
      <c r="AA294" s="646"/>
      <c r="AB294" s="646"/>
      <c r="AC294" s="646"/>
      <c r="AD294" s="646"/>
      <c r="AE294" s="646"/>
    </row>
    <row r="295" ht="15.75" customHeight="1">
      <c r="X295" s="646"/>
      <c r="Y295" s="646"/>
      <c r="Z295" s="646"/>
      <c r="AA295" s="646"/>
      <c r="AB295" s="646"/>
      <c r="AC295" s="646"/>
      <c r="AD295" s="646"/>
      <c r="AE295" s="646"/>
    </row>
    <row r="296" ht="15.75" customHeight="1">
      <c r="X296" s="646"/>
      <c r="Y296" s="646"/>
      <c r="Z296" s="646"/>
      <c r="AA296" s="646"/>
      <c r="AB296" s="646"/>
      <c r="AC296" s="646"/>
      <c r="AD296" s="646"/>
      <c r="AE296" s="646"/>
    </row>
    <row r="297" ht="15.75" customHeight="1">
      <c r="X297" s="646"/>
      <c r="Y297" s="646"/>
      <c r="Z297" s="646"/>
      <c r="AA297" s="646"/>
      <c r="AB297" s="646"/>
      <c r="AC297" s="646"/>
      <c r="AD297" s="646"/>
      <c r="AE297" s="646"/>
    </row>
    <row r="298" ht="15.75" customHeight="1">
      <c r="X298" s="646"/>
      <c r="Y298" s="646"/>
      <c r="Z298" s="646"/>
      <c r="AA298" s="646"/>
      <c r="AB298" s="646"/>
      <c r="AC298" s="646"/>
      <c r="AD298" s="646"/>
      <c r="AE298" s="646"/>
    </row>
    <row r="299" ht="15.75" customHeight="1">
      <c r="X299" s="646"/>
      <c r="Y299" s="646"/>
      <c r="Z299" s="646"/>
      <c r="AA299" s="646"/>
      <c r="AB299" s="646"/>
      <c r="AC299" s="646"/>
      <c r="AD299" s="646"/>
      <c r="AE299" s="646"/>
    </row>
    <row r="300" ht="15.75" customHeight="1">
      <c r="X300" s="646"/>
      <c r="Y300" s="646"/>
      <c r="Z300" s="646"/>
      <c r="AA300" s="646"/>
      <c r="AB300" s="646"/>
      <c r="AC300" s="646"/>
      <c r="AD300" s="646"/>
      <c r="AE300" s="646"/>
    </row>
    <row r="301" ht="15.75" customHeight="1">
      <c r="X301" s="646"/>
      <c r="Y301" s="646"/>
      <c r="Z301" s="646"/>
      <c r="AA301" s="646"/>
      <c r="AB301" s="646"/>
      <c r="AC301" s="646"/>
      <c r="AD301" s="646"/>
      <c r="AE301" s="646"/>
    </row>
    <row r="302" ht="15.75" customHeight="1">
      <c r="X302" s="646"/>
      <c r="Y302" s="646"/>
      <c r="Z302" s="646"/>
      <c r="AA302" s="646"/>
      <c r="AB302" s="646"/>
      <c r="AC302" s="646"/>
      <c r="AD302" s="646"/>
      <c r="AE302" s="646"/>
    </row>
    <row r="303" ht="15.75" customHeight="1">
      <c r="X303" s="646"/>
      <c r="Y303" s="646"/>
      <c r="Z303" s="646"/>
      <c r="AA303" s="646"/>
      <c r="AB303" s="646"/>
      <c r="AC303" s="646"/>
      <c r="AD303" s="646"/>
      <c r="AE303" s="646"/>
    </row>
    <row r="304" ht="15.75" customHeight="1">
      <c r="X304" s="646"/>
      <c r="Y304" s="646"/>
      <c r="Z304" s="646"/>
      <c r="AA304" s="646"/>
      <c r="AB304" s="646"/>
      <c r="AC304" s="646"/>
      <c r="AD304" s="646"/>
      <c r="AE304" s="646"/>
    </row>
    <row r="305" ht="15.75" customHeight="1">
      <c r="X305" s="646"/>
      <c r="Y305" s="646"/>
      <c r="Z305" s="646"/>
      <c r="AA305" s="646"/>
      <c r="AB305" s="646"/>
      <c r="AC305" s="646"/>
      <c r="AD305" s="646"/>
      <c r="AE305" s="646"/>
    </row>
    <row r="306" ht="15.75" customHeight="1">
      <c r="X306" s="646"/>
      <c r="Y306" s="646"/>
      <c r="Z306" s="646"/>
      <c r="AA306" s="646"/>
      <c r="AB306" s="646"/>
      <c r="AC306" s="646"/>
      <c r="AD306" s="646"/>
      <c r="AE306" s="646"/>
    </row>
    <row r="307" ht="15.75" customHeight="1">
      <c r="X307" s="646"/>
      <c r="Y307" s="646"/>
      <c r="Z307" s="646"/>
      <c r="AA307" s="646"/>
      <c r="AB307" s="646"/>
      <c r="AC307" s="646"/>
      <c r="AD307" s="646"/>
      <c r="AE307" s="646"/>
    </row>
    <row r="308" ht="15.75" customHeight="1">
      <c r="X308" s="646"/>
      <c r="Y308" s="646"/>
      <c r="Z308" s="646"/>
      <c r="AA308" s="646"/>
      <c r="AB308" s="646"/>
      <c r="AC308" s="646"/>
      <c r="AD308" s="646"/>
      <c r="AE308" s="646"/>
    </row>
    <row r="309" ht="15.75" customHeight="1">
      <c r="X309" s="646"/>
      <c r="Y309" s="646"/>
      <c r="Z309" s="646"/>
      <c r="AA309" s="646"/>
      <c r="AB309" s="646"/>
      <c r="AC309" s="646"/>
      <c r="AD309" s="646"/>
      <c r="AE309" s="646"/>
    </row>
    <row r="310" ht="15.75" customHeight="1">
      <c r="X310" s="646"/>
      <c r="Y310" s="646"/>
      <c r="Z310" s="646"/>
      <c r="AA310" s="646"/>
      <c r="AB310" s="646"/>
      <c r="AC310" s="646"/>
      <c r="AD310" s="646"/>
      <c r="AE310" s="646"/>
    </row>
    <row r="311" ht="15.75" customHeight="1">
      <c r="X311" s="646"/>
      <c r="Y311" s="646"/>
      <c r="Z311" s="646"/>
      <c r="AA311" s="646"/>
      <c r="AB311" s="646"/>
      <c r="AC311" s="646"/>
      <c r="AD311" s="646"/>
      <c r="AE311" s="646"/>
    </row>
    <row r="312" ht="15.75" customHeight="1">
      <c r="X312" s="646"/>
      <c r="Y312" s="646"/>
      <c r="Z312" s="646"/>
      <c r="AA312" s="646"/>
      <c r="AB312" s="646"/>
      <c r="AC312" s="646"/>
      <c r="AD312" s="646"/>
      <c r="AE312" s="646"/>
    </row>
    <row r="313" ht="15.75" customHeight="1">
      <c r="X313" s="646"/>
      <c r="Y313" s="646"/>
      <c r="Z313" s="646"/>
      <c r="AA313" s="646"/>
      <c r="AB313" s="646"/>
      <c r="AC313" s="646"/>
      <c r="AD313" s="646"/>
      <c r="AE313" s="646"/>
    </row>
    <row r="314" ht="15.75" customHeight="1">
      <c r="X314" s="646"/>
      <c r="Y314" s="646"/>
      <c r="Z314" s="646"/>
      <c r="AA314" s="646"/>
      <c r="AB314" s="646"/>
      <c r="AC314" s="646"/>
      <c r="AD314" s="646"/>
      <c r="AE314" s="646"/>
    </row>
    <row r="315" ht="15.75" customHeight="1">
      <c r="X315" s="646"/>
      <c r="Y315" s="646"/>
      <c r="Z315" s="646"/>
      <c r="AA315" s="646"/>
      <c r="AB315" s="646"/>
      <c r="AC315" s="646"/>
      <c r="AD315" s="646"/>
      <c r="AE315" s="646"/>
    </row>
    <row r="316" ht="15.75" customHeight="1">
      <c r="X316" s="646"/>
      <c r="Y316" s="646"/>
      <c r="Z316" s="646"/>
      <c r="AA316" s="646"/>
      <c r="AB316" s="646"/>
      <c r="AC316" s="646"/>
      <c r="AD316" s="646"/>
      <c r="AE316" s="646"/>
    </row>
    <row r="317" ht="15.75" customHeight="1">
      <c r="X317" s="646"/>
      <c r="Y317" s="646"/>
      <c r="Z317" s="646"/>
      <c r="AA317" s="646"/>
      <c r="AB317" s="646"/>
      <c r="AC317" s="646"/>
      <c r="AD317" s="646"/>
      <c r="AE317" s="646"/>
    </row>
    <row r="318" ht="15.75" customHeight="1">
      <c r="X318" s="646"/>
      <c r="Y318" s="646"/>
      <c r="Z318" s="646"/>
      <c r="AA318" s="646"/>
      <c r="AB318" s="646"/>
      <c r="AC318" s="646"/>
      <c r="AD318" s="646"/>
      <c r="AE318" s="646"/>
    </row>
    <row r="319" ht="15.75" customHeight="1">
      <c r="X319" s="646"/>
      <c r="Y319" s="646"/>
      <c r="Z319" s="646"/>
      <c r="AA319" s="646"/>
      <c r="AB319" s="646"/>
      <c r="AC319" s="646"/>
      <c r="AD319" s="646"/>
      <c r="AE319" s="646"/>
    </row>
    <row r="320" ht="15.75" customHeight="1">
      <c r="X320" s="646"/>
      <c r="Y320" s="646"/>
      <c r="Z320" s="646"/>
      <c r="AA320" s="646"/>
      <c r="AB320" s="646"/>
      <c r="AC320" s="646"/>
      <c r="AD320" s="646"/>
      <c r="AE320" s="646"/>
    </row>
    <row r="321" ht="15.75" customHeight="1">
      <c r="X321" s="646"/>
      <c r="Y321" s="646"/>
      <c r="Z321" s="646"/>
      <c r="AA321" s="646"/>
      <c r="AB321" s="646"/>
      <c r="AC321" s="646"/>
      <c r="AD321" s="646"/>
      <c r="AE321" s="646"/>
    </row>
    <row r="322" ht="15.75" customHeight="1">
      <c r="X322" s="646"/>
      <c r="Y322" s="646"/>
      <c r="Z322" s="646"/>
      <c r="AA322" s="646"/>
      <c r="AB322" s="646"/>
      <c r="AC322" s="646"/>
      <c r="AD322" s="646"/>
      <c r="AE322" s="646"/>
    </row>
    <row r="323" ht="15.75" customHeight="1">
      <c r="X323" s="646"/>
      <c r="Y323" s="646"/>
      <c r="Z323" s="646"/>
      <c r="AA323" s="646"/>
      <c r="AB323" s="646"/>
      <c r="AC323" s="646"/>
      <c r="AD323" s="646"/>
      <c r="AE323" s="646"/>
    </row>
    <row r="324" ht="15.75" customHeight="1">
      <c r="X324" s="646"/>
      <c r="Y324" s="646"/>
      <c r="Z324" s="646"/>
      <c r="AA324" s="646"/>
      <c r="AB324" s="646"/>
      <c r="AC324" s="646"/>
      <c r="AD324" s="646"/>
      <c r="AE324" s="646"/>
    </row>
    <row r="325" ht="15.75" customHeight="1">
      <c r="X325" s="646"/>
      <c r="Y325" s="646"/>
      <c r="Z325" s="646"/>
      <c r="AA325" s="646"/>
      <c r="AB325" s="646"/>
      <c r="AC325" s="646"/>
      <c r="AD325" s="646"/>
      <c r="AE325" s="646"/>
    </row>
    <row r="326" ht="15.75" customHeight="1">
      <c r="X326" s="646"/>
      <c r="Y326" s="646"/>
      <c r="Z326" s="646"/>
      <c r="AA326" s="646"/>
      <c r="AB326" s="646"/>
      <c r="AC326" s="646"/>
      <c r="AD326" s="646"/>
      <c r="AE326" s="646"/>
    </row>
    <row r="327" ht="15.75" customHeight="1">
      <c r="X327" s="646"/>
      <c r="Y327" s="646"/>
      <c r="Z327" s="646"/>
      <c r="AA327" s="646"/>
      <c r="AB327" s="646"/>
      <c r="AC327" s="646"/>
      <c r="AD327" s="646"/>
      <c r="AE327" s="646"/>
    </row>
    <row r="328" ht="15.75" customHeight="1">
      <c r="X328" s="646"/>
      <c r="Y328" s="646"/>
      <c r="Z328" s="646"/>
      <c r="AA328" s="646"/>
      <c r="AB328" s="646"/>
      <c r="AC328" s="646"/>
      <c r="AD328" s="646"/>
      <c r="AE328" s="646"/>
    </row>
    <row r="329" ht="15.75" customHeight="1">
      <c r="X329" s="646"/>
      <c r="Y329" s="646"/>
      <c r="Z329" s="646"/>
      <c r="AA329" s="646"/>
      <c r="AB329" s="646"/>
      <c r="AC329" s="646"/>
      <c r="AD329" s="646"/>
      <c r="AE329" s="646"/>
    </row>
    <row r="330" ht="15.75" customHeight="1">
      <c r="X330" s="646"/>
      <c r="Y330" s="646"/>
      <c r="Z330" s="646"/>
      <c r="AA330" s="646"/>
      <c r="AB330" s="646"/>
      <c r="AC330" s="646"/>
      <c r="AD330" s="646"/>
      <c r="AE330" s="646"/>
    </row>
    <row r="331" ht="15.75" customHeight="1">
      <c r="X331" s="646"/>
      <c r="Y331" s="646"/>
      <c r="Z331" s="646"/>
      <c r="AA331" s="646"/>
      <c r="AB331" s="646"/>
      <c r="AC331" s="646"/>
      <c r="AD331" s="646"/>
      <c r="AE331" s="646"/>
    </row>
    <row r="332" ht="15.75" customHeight="1">
      <c r="X332" s="646"/>
      <c r="Y332" s="646"/>
      <c r="Z332" s="646"/>
      <c r="AA332" s="646"/>
      <c r="AB332" s="646"/>
      <c r="AC332" s="646"/>
      <c r="AD332" s="646"/>
      <c r="AE332" s="646"/>
    </row>
    <row r="333" ht="15.75" customHeight="1">
      <c r="X333" s="646"/>
      <c r="Y333" s="646"/>
      <c r="Z333" s="646"/>
      <c r="AA333" s="646"/>
      <c r="AB333" s="646"/>
      <c r="AC333" s="646"/>
      <c r="AD333" s="646"/>
      <c r="AE333" s="646"/>
    </row>
    <row r="334" ht="15.75" customHeight="1">
      <c r="X334" s="646"/>
      <c r="Y334" s="646"/>
      <c r="Z334" s="646"/>
      <c r="AA334" s="646"/>
      <c r="AB334" s="646"/>
      <c r="AC334" s="646"/>
      <c r="AD334" s="646"/>
      <c r="AE334" s="646"/>
    </row>
    <row r="335" ht="15.75" customHeight="1">
      <c r="X335" s="646"/>
      <c r="Y335" s="646"/>
      <c r="Z335" s="646"/>
      <c r="AA335" s="646"/>
      <c r="AB335" s="646"/>
      <c r="AC335" s="646"/>
      <c r="AD335" s="646"/>
      <c r="AE335" s="646"/>
    </row>
    <row r="336" ht="15.75" customHeight="1">
      <c r="X336" s="646"/>
      <c r="Y336" s="646"/>
      <c r="Z336" s="646"/>
      <c r="AA336" s="646"/>
      <c r="AB336" s="646"/>
      <c r="AC336" s="646"/>
      <c r="AD336" s="646"/>
      <c r="AE336" s="646"/>
    </row>
    <row r="337" ht="15.75" customHeight="1">
      <c r="X337" s="646"/>
      <c r="Y337" s="646"/>
      <c r="Z337" s="646"/>
      <c r="AA337" s="646"/>
      <c r="AB337" s="646"/>
      <c r="AC337" s="646"/>
      <c r="AD337" s="646"/>
      <c r="AE337" s="646"/>
    </row>
    <row r="338" ht="15.75" customHeight="1">
      <c r="X338" s="646"/>
      <c r="Y338" s="646"/>
      <c r="Z338" s="646"/>
      <c r="AA338" s="646"/>
      <c r="AB338" s="646"/>
      <c r="AC338" s="646"/>
      <c r="AD338" s="646"/>
      <c r="AE338" s="646"/>
    </row>
    <row r="339" ht="15.75" customHeight="1">
      <c r="X339" s="646"/>
      <c r="Y339" s="646"/>
      <c r="Z339" s="646"/>
      <c r="AA339" s="646"/>
      <c r="AB339" s="646"/>
      <c r="AC339" s="646"/>
      <c r="AD339" s="646"/>
      <c r="AE339" s="646"/>
    </row>
    <row r="340" ht="15.75" customHeight="1">
      <c r="X340" s="646"/>
      <c r="Y340" s="646"/>
      <c r="Z340" s="646"/>
      <c r="AA340" s="646"/>
      <c r="AB340" s="646"/>
      <c r="AC340" s="646"/>
      <c r="AD340" s="646"/>
      <c r="AE340" s="646"/>
    </row>
    <row r="341" ht="15.75" customHeight="1">
      <c r="X341" s="646"/>
      <c r="Y341" s="646"/>
      <c r="Z341" s="646"/>
      <c r="AA341" s="646"/>
      <c r="AB341" s="646"/>
      <c r="AC341" s="646"/>
      <c r="AD341" s="646"/>
      <c r="AE341" s="646"/>
    </row>
    <row r="342" ht="15.75" customHeight="1">
      <c r="X342" s="646"/>
      <c r="Y342" s="646"/>
      <c r="Z342" s="646"/>
      <c r="AA342" s="646"/>
      <c r="AB342" s="646"/>
      <c r="AC342" s="646"/>
      <c r="AD342" s="646"/>
      <c r="AE342" s="646"/>
    </row>
    <row r="343" ht="15.75" customHeight="1">
      <c r="X343" s="646"/>
      <c r="Y343" s="646"/>
      <c r="Z343" s="646"/>
      <c r="AA343" s="646"/>
      <c r="AB343" s="646"/>
      <c r="AC343" s="646"/>
      <c r="AD343" s="646"/>
      <c r="AE343" s="646"/>
    </row>
    <row r="344" ht="15.75" customHeight="1">
      <c r="X344" s="646"/>
      <c r="Y344" s="646"/>
      <c r="Z344" s="646"/>
      <c r="AA344" s="646"/>
      <c r="AB344" s="646"/>
      <c r="AC344" s="646"/>
      <c r="AD344" s="646"/>
      <c r="AE344" s="646"/>
    </row>
    <row r="345" ht="15.75" customHeight="1">
      <c r="X345" s="646"/>
      <c r="Y345" s="646"/>
      <c r="Z345" s="646"/>
      <c r="AA345" s="646"/>
      <c r="AB345" s="646"/>
      <c r="AC345" s="646"/>
      <c r="AD345" s="646"/>
      <c r="AE345" s="646"/>
    </row>
    <row r="346" ht="15.75" customHeight="1">
      <c r="X346" s="646"/>
      <c r="Y346" s="646"/>
      <c r="Z346" s="646"/>
      <c r="AA346" s="646"/>
      <c r="AB346" s="646"/>
      <c r="AC346" s="646"/>
      <c r="AD346" s="646"/>
      <c r="AE346" s="646"/>
    </row>
    <row r="347" ht="15.75" customHeight="1">
      <c r="X347" s="646"/>
      <c r="Y347" s="646"/>
      <c r="Z347" s="646"/>
      <c r="AA347" s="646"/>
      <c r="AB347" s="646"/>
      <c r="AC347" s="646"/>
      <c r="AD347" s="646"/>
      <c r="AE347" s="646"/>
    </row>
    <row r="348" ht="15.75" customHeight="1">
      <c r="X348" s="646"/>
      <c r="Y348" s="646"/>
      <c r="Z348" s="646"/>
      <c r="AA348" s="646"/>
      <c r="AB348" s="646"/>
      <c r="AC348" s="646"/>
      <c r="AD348" s="646"/>
      <c r="AE348" s="646"/>
    </row>
    <row r="349" ht="15.75" customHeight="1">
      <c r="X349" s="646"/>
      <c r="Y349" s="646"/>
      <c r="Z349" s="646"/>
      <c r="AA349" s="646"/>
      <c r="AB349" s="646"/>
      <c r="AC349" s="646"/>
      <c r="AD349" s="646"/>
      <c r="AE349" s="646"/>
    </row>
    <row r="350" ht="15.75" customHeight="1">
      <c r="X350" s="646"/>
      <c r="Y350" s="646"/>
      <c r="Z350" s="646"/>
      <c r="AA350" s="646"/>
      <c r="AB350" s="646"/>
      <c r="AC350" s="646"/>
      <c r="AD350" s="646"/>
      <c r="AE350" s="646"/>
    </row>
    <row r="351" ht="15.75" customHeight="1">
      <c r="X351" s="646"/>
      <c r="Y351" s="646"/>
      <c r="Z351" s="646"/>
      <c r="AA351" s="646"/>
      <c r="AB351" s="646"/>
      <c r="AC351" s="646"/>
      <c r="AD351" s="646"/>
      <c r="AE351" s="646"/>
    </row>
    <row r="352" ht="15.75" customHeight="1">
      <c r="X352" s="646"/>
      <c r="Y352" s="646"/>
      <c r="Z352" s="646"/>
      <c r="AA352" s="646"/>
      <c r="AB352" s="646"/>
      <c r="AC352" s="646"/>
      <c r="AD352" s="646"/>
      <c r="AE352" s="646"/>
    </row>
    <row r="353" ht="15.75" customHeight="1">
      <c r="X353" s="646"/>
      <c r="Y353" s="646"/>
      <c r="Z353" s="646"/>
      <c r="AA353" s="646"/>
      <c r="AB353" s="646"/>
      <c r="AC353" s="646"/>
      <c r="AD353" s="646"/>
      <c r="AE353" s="646"/>
    </row>
    <row r="354" ht="15.75" customHeight="1">
      <c r="X354" s="646"/>
      <c r="Y354" s="646"/>
      <c r="Z354" s="646"/>
      <c r="AA354" s="646"/>
      <c r="AB354" s="646"/>
      <c r="AC354" s="646"/>
      <c r="AD354" s="646"/>
      <c r="AE354" s="646"/>
    </row>
    <row r="355" ht="15.75" customHeight="1">
      <c r="X355" s="646"/>
      <c r="Y355" s="646"/>
      <c r="Z355" s="646"/>
      <c r="AA355" s="646"/>
      <c r="AB355" s="646"/>
      <c r="AC355" s="646"/>
      <c r="AD355" s="646"/>
      <c r="AE355" s="646"/>
    </row>
    <row r="356" ht="15.75" customHeight="1">
      <c r="X356" s="646"/>
      <c r="Y356" s="646"/>
      <c r="Z356" s="646"/>
      <c r="AA356" s="646"/>
      <c r="AB356" s="646"/>
      <c r="AC356" s="646"/>
      <c r="AD356" s="646"/>
      <c r="AE356" s="646"/>
    </row>
    <row r="357" ht="15.75" customHeight="1">
      <c r="X357" s="646"/>
      <c r="Y357" s="646"/>
      <c r="Z357" s="646"/>
      <c r="AA357" s="646"/>
      <c r="AB357" s="646"/>
      <c r="AC357" s="646"/>
      <c r="AD357" s="646"/>
      <c r="AE357" s="646"/>
    </row>
    <row r="358" ht="15.75" customHeight="1">
      <c r="X358" s="646"/>
      <c r="Y358" s="646"/>
      <c r="Z358" s="646"/>
      <c r="AA358" s="646"/>
      <c r="AB358" s="646"/>
      <c r="AC358" s="646"/>
      <c r="AD358" s="646"/>
      <c r="AE358" s="646"/>
    </row>
    <row r="359" ht="15.75" customHeight="1">
      <c r="X359" s="646"/>
      <c r="Y359" s="646"/>
      <c r="Z359" s="646"/>
      <c r="AA359" s="646"/>
      <c r="AB359" s="646"/>
      <c r="AC359" s="646"/>
      <c r="AD359" s="646"/>
      <c r="AE359" s="646"/>
    </row>
    <row r="360" ht="15.75" customHeight="1">
      <c r="X360" s="646"/>
      <c r="Y360" s="646"/>
      <c r="Z360" s="646"/>
      <c r="AA360" s="646"/>
      <c r="AB360" s="646"/>
      <c r="AC360" s="646"/>
      <c r="AD360" s="646"/>
      <c r="AE360" s="646"/>
    </row>
    <row r="361" ht="15.75" customHeight="1">
      <c r="X361" s="646"/>
      <c r="Y361" s="646"/>
      <c r="Z361" s="646"/>
      <c r="AA361" s="646"/>
      <c r="AB361" s="646"/>
      <c r="AC361" s="646"/>
      <c r="AD361" s="646"/>
      <c r="AE361" s="646"/>
    </row>
    <row r="362" ht="15.75" customHeight="1">
      <c r="X362" s="646"/>
      <c r="Y362" s="646"/>
      <c r="Z362" s="646"/>
      <c r="AA362" s="646"/>
      <c r="AB362" s="646"/>
      <c r="AC362" s="646"/>
      <c r="AD362" s="646"/>
      <c r="AE362" s="646"/>
    </row>
    <row r="363" ht="15.75" customHeight="1">
      <c r="X363" s="646"/>
      <c r="Y363" s="646"/>
      <c r="Z363" s="646"/>
      <c r="AA363" s="646"/>
      <c r="AB363" s="646"/>
      <c r="AC363" s="646"/>
      <c r="AD363" s="646"/>
      <c r="AE363" s="646"/>
    </row>
    <row r="364" ht="15.75" customHeight="1">
      <c r="X364" s="646"/>
      <c r="Y364" s="646"/>
      <c r="Z364" s="646"/>
      <c r="AA364" s="646"/>
      <c r="AB364" s="646"/>
      <c r="AC364" s="646"/>
      <c r="AD364" s="646"/>
      <c r="AE364" s="646"/>
    </row>
    <row r="365" ht="15.75" customHeight="1">
      <c r="X365" s="646"/>
      <c r="Y365" s="646"/>
      <c r="Z365" s="646"/>
      <c r="AA365" s="646"/>
      <c r="AB365" s="646"/>
      <c r="AC365" s="646"/>
      <c r="AD365" s="646"/>
      <c r="AE365" s="646"/>
    </row>
    <row r="366" ht="15.75" customHeight="1">
      <c r="X366" s="646"/>
      <c r="Y366" s="646"/>
      <c r="Z366" s="646"/>
      <c r="AA366" s="646"/>
      <c r="AB366" s="646"/>
      <c r="AC366" s="646"/>
      <c r="AD366" s="646"/>
      <c r="AE366" s="646"/>
    </row>
    <row r="367" ht="15.75" customHeight="1">
      <c r="X367" s="646"/>
      <c r="Y367" s="646"/>
      <c r="Z367" s="646"/>
      <c r="AA367" s="646"/>
      <c r="AB367" s="646"/>
      <c r="AC367" s="646"/>
      <c r="AD367" s="646"/>
      <c r="AE367" s="646"/>
    </row>
    <row r="368" ht="15.75" customHeight="1">
      <c r="X368" s="646"/>
      <c r="Y368" s="646"/>
      <c r="Z368" s="646"/>
      <c r="AA368" s="646"/>
      <c r="AB368" s="646"/>
      <c r="AC368" s="646"/>
      <c r="AD368" s="646"/>
      <c r="AE368" s="646"/>
    </row>
    <row r="369" ht="15.75" customHeight="1">
      <c r="X369" s="646"/>
      <c r="Y369" s="646"/>
      <c r="Z369" s="646"/>
      <c r="AA369" s="646"/>
      <c r="AB369" s="646"/>
      <c r="AC369" s="646"/>
      <c r="AD369" s="646"/>
      <c r="AE369" s="646"/>
    </row>
    <row r="370" ht="15.75" customHeight="1">
      <c r="X370" s="646"/>
      <c r="Y370" s="646"/>
      <c r="Z370" s="646"/>
      <c r="AA370" s="646"/>
      <c r="AB370" s="646"/>
      <c r="AC370" s="646"/>
      <c r="AD370" s="646"/>
      <c r="AE370" s="646"/>
    </row>
    <row r="371" ht="15.75" customHeight="1">
      <c r="X371" s="646"/>
      <c r="Y371" s="646"/>
      <c r="Z371" s="646"/>
      <c r="AA371" s="646"/>
      <c r="AB371" s="646"/>
      <c r="AC371" s="646"/>
      <c r="AD371" s="646"/>
      <c r="AE371" s="646"/>
    </row>
    <row r="372" ht="15.75" customHeight="1">
      <c r="X372" s="646"/>
      <c r="Y372" s="646"/>
      <c r="Z372" s="646"/>
      <c r="AA372" s="646"/>
      <c r="AB372" s="646"/>
      <c r="AC372" s="646"/>
      <c r="AD372" s="646"/>
      <c r="AE372" s="646"/>
    </row>
    <row r="373" ht="15.75" customHeight="1">
      <c r="X373" s="646"/>
      <c r="Y373" s="646"/>
      <c r="Z373" s="646"/>
      <c r="AA373" s="646"/>
      <c r="AB373" s="646"/>
      <c r="AC373" s="646"/>
      <c r="AD373" s="646"/>
      <c r="AE373" s="646"/>
    </row>
    <row r="374" ht="15.75" customHeight="1">
      <c r="X374" s="646"/>
      <c r="Y374" s="646"/>
      <c r="Z374" s="646"/>
      <c r="AA374" s="646"/>
      <c r="AB374" s="646"/>
      <c r="AC374" s="646"/>
      <c r="AD374" s="646"/>
      <c r="AE374" s="646"/>
    </row>
    <row r="375" ht="15.75" customHeight="1">
      <c r="X375" s="646"/>
      <c r="Y375" s="646"/>
      <c r="Z375" s="646"/>
      <c r="AA375" s="646"/>
      <c r="AB375" s="646"/>
      <c r="AC375" s="646"/>
      <c r="AD375" s="646"/>
      <c r="AE375" s="646"/>
    </row>
    <row r="376" ht="15.75" customHeight="1">
      <c r="X376" s="646"/>
      <c r="Y376" s="646"/>
      <c r="Z376" s="646"/>
      <c r="AA376" s="646"/>
      <c r="AB376" s="646"/>
      <c r="AC376" s="646"/>
      <c r="AD376" s="646"/>
      <c r="AE376" s="646"/>
    </row>
    <row r="377" ht="15.75" customHeight="1">
      <c r="X377" s="646"/>
      <c r="Y377" s="646"/>
      <c r="Z377" s="646"/>
      <c r="AA377" s="646"/>
      <c r="AB377" s="646"/>
      <c r="AC377" s="646"/>
      <c r="AD377" s="646"/>
      <c r="AE377" s="646"/>
    </row>
    <row r="378" ht="15.75" customHeight="1">
      <c r="X378" s="646"/>
      <c r="Y378" s="646"/>
      <c r="Z378" s="646"/>
      <c r="AA378" s="646"/>
      <c r="AB378" s="646"/>
      <c r="AC378" s="646"/>
      <c r="AD378" s="646"/>
      <c r="AE378" s="646"/>
    </row>
    <row r="379" ht="15.75" customHeight="1">
      <c r="X379" s="646"/>
      <c r="Y379" s="646"/>
      <c r="Z379" s="646"/>
      <c r="AA379" s="646"/>
      <c r="AB379" s="646"/>
      <c r="AC379" s="646"/>
      <c r="AD379" s="646"/>
      <c r="AE379" s="646"/>
    </row>
    <row r="380" ht="15.75" customHeight="1">
      <c r="X380" s="646"/>
      <c r="Y380" s="646"/>
      <c r="Z380" s="646"/>
      <c r="AA380" s="646"/>
      <c r="AB380" s="646"/>
      <c r="AC380" s="646"/>
      <c r="AD380" s="646"/>
      <c r="AE380" s="646"/>
    </row>
    <row r="381" ht="15.75" customHeight="1">
      <c r="X381" s="646"/>
      <c r="Y381" s="646"/>
      <c r="Z381" s="646"/>
      <c r="AA381" s="646"/>
      <c r="AB381" s="646"/>
      <c r="AC381" s="646"/>
      <c r="AD381" s="646"/>
      <c r="AE381" s="646"/>
    </row>
    <row r="382" ht="15.75" customHeight="1">
      <c r="X382" s="646"/>
      <c r="Y382" s="646"/>
      <c r="Z382" s="646"/>
      <c r="AA382" s="646"/>
      <c r="AB382" s="646"/>
      <c r="AC382" s="646"/>
      <c r="AD382" s="646"/>
      <c r="AE382" s="646"/>
    </row>
    <row r="383" ht="15.75" customHeight="1">
      <c r="X383" s="646"/>
      <c r="Y383" s="646"/>
      <c r="Z383" s="646"/>
      <c r="AA383" s="646"/>
      <c r="AB383" s="646"/>
      <c r="AC383" s="646"/>
      <c r="AD383" s="646"/>
      <c r="AE383" s="646"/>
    </row>
    <row r="384" ht="15.75" customHeight="1">
      <c r="X384" s="646"/>
      <c r="Y384" s="646"/>
      <c r="Z384" s="646"/>
      <c r="AA384" s="646"/>
      <c r="AB384" s="646"/>
      <c r="AC384" s="646"/>
      <c r="AD384" s="646"/>
      <c r="AE384" s="646"/>
    </row>
    <row r="385" ht="15.75" customHeight="1">
      <c r="X385" s="646"/>
      <c r="Y385" s="646"/>
      <c r="Z385" s="646"/>
      <c r="AA385" s="646"/>
      <c r="AB385" s="646"/>
      <c r="AC385" s="646"/>
      <c r="AD385" s="646"/>
      <c r="AE385" s="646"/>
    </row>
    <row r="386" ht="15.75" customHeight="1">
      <c r="X386" s="646"/>
      <c r="Y386" s="646"/>
      <c r="Z386" s="646"/>
      <c r="AA386" s="646"/>
      <c r="AB386" s="646"/>
      <c r="AC386" s="646"/>
      <c r="AD386" s="646"/>
      <c r="AE386" s="646"/>
    </row>
    <row r="387" ht="15.75" customHeight="1">
      <c r="X387" s="646"/>
      <c r="Y387" s="646"/>
      <c r="Z387" s="646"/>
      <c r="AA387" s="646"/>
      <c r="AB387" s="646"/>
      <c r="AC387" s="646"/>
      <c r="AD387" s="646"/>
      <c r="AE387" s="646"/>
    </row>
    <row r="388" ht="15.75" customHeight="1">
      <c r="X388" s="646"/>
      <c r="Y388" s="646"/>
      <c r="Z388" s="646"/>
      <c r="AA388" s="646"/>
      <c r="AB388" s="646"/>
      <c r="AC388" s="646"/>
      <c r="AD388" s="646"/>
      <c r="AE388" s="646"/>
    </row>
    <row r="389" ht="15.75" customHeight="1">
      <c r="X389" s="646"/>
      <c r="Y389" s="646"/>
      <c r="Z389" s="646"/>
      <c r="AA389" s="646"/>
      <c r="AB389" s="646"/>
      <c r="AC389" s="646"/>
      <c r="AD389" s="646"/>
      <c r="AE389" s="646"/>
    </row>
    <row r="390" ht="15.75" customHeight="1">
      <c r="X390" s="646"/>
      <c r="Y390" s="646"/>
      <c r="Z390" s="646"/>
      <c r="AA390" s="646"/>
      <c r="AB390" s="646"/>
      <c r="AC390" s="646"/>
      <c r="AD390" s="646"/>
      <c r="AE390" s="646"/>
    </row>
    <row r="391" ht="15.75" customHeight="1">
      <c r="X391" s="646"/>
      <c r="Y391" s="646"/>
      <c r="Z391" s="646"/>
      <c r="AA391" s="646"/>
      <c r="AB391" s="646"/>
      <c r="AC391" s="646"/>
      <c r="AD391" s="646"/>
      <c r="AE391" s="646"/>
    </row>
    <row r="392" ht="15.75" customHeight="1">
      <c r="X392" s="646"/>
      <c r="Y392" s="646"/>
      <c r="Z392" s="646"/>
      <c r="AA392" s="646"/>
      <c r="AB392" s="646"/>
      <c r="AC392" s="646"/>
      <c r="AD392" s="646"/>
      <c r="AE392" s="646"/>
    </row>
    <row r="393" ht="15.75" customHeight="1">
      <c r="X393" s="646"/>
      <c r="Y393" s="646"/>
      <c r="Z393" s="646"/>
      <c r="AA393" s="646"/>
      <c r="AB393" s="646"/>
      <c r="AC393" s="646"/>
      <c r="AD393" s="646"/>
      <c r="AE393" s="646"/>
    </row>
    <row r="394" ht="15.75" customHeight="1">
      <c r="X394" s="646"/>
      <c r="Y394" s="646"/>
      <c r="Z394" s="646"/>
      <c r="AA394" s="646"/>
      <c r="AB394" s="646"/>
      <c r="AC394" s="646"/>
      <c r="AD394" s="646"/>
      <c r="AE394" s="646"/>
    </row>
    <row r="395" ht="15.75" customHeight="1">
      <c r="X395" s="646"/>
      <c r="Y395" s="646"/>
      <c r="Z395" s="646"/>
      <c r="AA395" s="646"/>
      <c r="AB395" s="646"/>
      <c r="AC395" s="646"/>
      <c r="AD395" s="646"/>
      <c r="AE395" s="646"/>
    </row>
    <row r="396" ht="15.75" customHeight="1">
      <c r="X396" s="646"/>
      <c r="Y396" s="646"/>
      <c r="Z396" s="646"/>
      <c r="AA396" s="646"/>
      <c r="AB396" s="646"/>
      <c r="AC396" s="646"/>
      <c r="AD396" s="646"/>
      <c r="AE396" s="646"/>
    </row>
    <row r="397" ht="15.75" customHeight="1">
      <c r="X397" s="646"/>
      <c r="Y397" s="646"/>
      <c r="Z397" s="646"/>
      <c r="AA397" s="646"/>
      <c r="AB397" s="646"/>
      <c r="AC397" s="646"/>
      <c r="AD397" s="646"/>
      <c r="AE397" s="646"/>
    </row>
    <row r="398" ht="15.75" customHeight="1">
      <c r="X398" s="646"/>
      <c r="Y398" s="646"/>
      <c r="Z398" s="646"/>
      <c r="AA398" s="646"/>
      <c r="AB398" s="646"/>
      <c r="AC398" s="646"/>
      <c r="AD398" s="646"/>
      <c r="AE398" s="646"/>
    </row>
    <row r="399" ht="15.75" customHeight="1">
      <c r="X399" s="646"/>
      <c r="Y399" s="646"/>
      <c r="Z399" s="646"/>
      <c r="AA399" s="646"/>
      <c r="AB399" s="646"/>
      <c r="AC399" s="646"/>
      <c r="AD399" s="646"/>
      <c r="AE399" s="646"/>
    </row>
    <row r="400" ht="15.75" customHeight="1">
      <c r="X400" s="646"/>
      <c r="Y400" s="646"/>
      <c r="Z400" s="646"/>
      <c r="AA400" s="646"/>
      <c r="AB400" s="646"/>
      <c r="AC400" s="646"/>
      <c r="AD400" s="646"/>
      <c r="AE400" s="646"/>
    </row>
    <row r="401" ht="15.75" customHeight="1">
      <c r="X401" s="646"/>
      <c r="Y401" s="646"/>
      <c r="Z401" s="646"/>
      <c r="AA401" s="646"/>
      <c r="AB401" s="646"/>
      <c r="AC401" s="646"/>
      <c r="AD401" s="646"/>
      <c r="AE401" s="646"/>
    </row>
    <row r="402" ht="15.75" customHeight="1">
      <c r="X402" s="646"/>
      <c r="Y402" s="646"/>
      <c r="Z402" s="646"/>
      <c r="AA402" s="646"/>
      <c r="AB402" s="646"/>
      <c r="AC402" s="646"/>
      <c r="AD402" s="646"/>
      <c r="AE402" s="646"/>
    </row>
    <row r="403" ht="15.75" customHeight="1">
      <c r="X403" s="646"/>
      <c r="Y403" s="646"/>
      <c r="Z403" s="646"/>
      <c r="AA403" s="646"/>
      <c r="AB403" s="646"/>
      <c r="AC403" s="646"/>
      <c r="AD403" s="646"/>
      <c r="AE403" s="646"/>
    </row>
    <row r="404" ht="15.75" customHeight="1">
      <c r="X404" s="646"/>
      <c r="Y404" s="646"/>
      <c r="Z404" s="646"/>
      <c r="AA404" s="646"/>
      <c r="AB404" s="646"/>
      <c r="AC404" s="646"/>
      <c r="AD404" s="646"/>
      <c r="AE404" s="646"/>
    </row>
    <row r="405" ht="15.75" customHeight="1">
      <c r="X405" s="646"/>
      <c r="Y405" s="646"/>
      <c r="Z405" s="646"/>
      <c r="AA405" s="646"/>
      <c r="AB405" s="646"/>
      <c r="AC405" s="646"/>
      <c r="AD405" s="646"/>
      <c r="AE405" s="646"/>
    </row>
    <row r="406" ht="15.75" customHeight="1">
      <c r="X406" s="646"/>
      <c r="Y406" s="646"/>
      <c r="Z406" s="646"/>
      <c r="AA406" s="646"/>
      <c r="AB406" s="646"/>
      <c r="AC406" s="646"/>
      <c r="AD406" s="646"/>
      <c r="AE406" s="646"/>
    </row>
    <row r="407" ht="15.75" customHeight="1">
      <c r="X407" s="646"/>
      <c r="Y407" s="646"/>
      <c r="Z407" s="646"/>
      <c r="AA407" s="646"/>
      <c r="AB407" s="646"/>
      <c r="AC407" s="646"/>
      <c r="AD407" s="646"/>
      <c r="AE407" s="646"/>
    </row>
    <row r="408" ht="15.75" customHeight="1">
      <c r="X408" s="646"/>
      <c r="Y408" s="646"/>
      <c r="Z408" s="646"/>
      <c r="AA408" s="646"/>
      <c r="AB408" s="646"/>
      <c r="AC408" s="646"/>
      <c r="AD408" s="646"/>
      <c r="AE408" s="646"/>
    </row>
    <row r="409" ht="15.75" customHeight="1">
      <c r="X409" s="646"/>
      <c r="Y409" s="646"/>
      <c r="Z409" s="646"/>
      <c r="AA409" s="646"/>
      <c r="AB409" s="646"/>
      <c r="AC409" s="646"/>
      <c r="AD409" s="646"/>
      <c r="AE409" s="646"/>
    </row>
    <row r="410" ht="15.75" customHeight="1">
      <c r="X410" s="646"/>
      <c r="Y410" s="646"/>
      <c r="Z410" s="646"/>
      <c r="AA410" s="646"/>
      <c r="AB410" s="646"/>
      <c r="AC410" s="646"/>
      <c r="AD410" s="646"/>
      <c r="AE410" s="646"/>
    </row>
    <row r="411" ht="15.75" customHeight="1">
      <c r="X411" s="646"/>
      <c r="Y411" s="646"/>
      <c r="Z411" s="646"/>
      <c r="AA411" s="646"/>
      <c r="AB411" s="646"/>
      <c r="AC411" s="646"/>
      <c r="AD411" s="646"/>
      <c r="AE411" s="646"/>
    </row>
    <row r="412" ht="15.75" customHeight="1">
      <c r="X412" s="646"/>
      <c r="Y412" s="646"/>
      <c r="Z412" s="646"/>
      <c r="AA412" s="646"/>
      <c r="AB412" s="646"/>
      <c r="AC412" s="646"/>
      <c r="AD412" s="646"/>
      <c r="AE412" s="646"/>
    </row>
    <row r="413" ht="15.75" customHeight="1">
      <c r="X413" s="646"/>
      <c r="Y413" s="646"/>
      <c r="Z413" s="646"/>
      <c r="AA413" s="646"/>
      <c r="AB413" s="646"/>
      <c r="AC413" s="646"/>
      <c r="AD413" s="646"/>
      <c r="AE413" s="646"/>
    </row>
    <row r="414" ht="15.75" customHeight="1">
      <c r="X414" s="646"/>
      <c r="Y414" s="646"/>
      <c r="Z414" s="646"/>
      <c r="AA414" s="646"/>
      <c r="AB414" s="646"/>
      <c r="AC414" s="646"/>
      <c r="AD414" s="646"/>
      <c r="AE414" s="646"/>
    </row>
    <row r="415" ht="15.75" customHeight="1">
      <c r="X415" s="646"/>
      <c r="Y415" s="646"/>
      <c r="Z415" s="646"/>
      <c r="AA415" s="646"/>
      <c r="AB415" s="646"/>
      <c r="AC415" s="646"/>
      <c r="AD415" s="646"/>
      <c r="AE415" s="646"/>
    </row>
    <row r="416" ht="15.75" customHeight="1">
      <c r="X416" s="646"/>
      <c r="Y416" s="646"/>
      <c r="Z416" s="646"/>
      <c r="AA416" s="646"/>
      <c r="AB416" s="646"/>
      <c r="AC416" s="646"/>
      <c r="AD416" s="646"/>
      <c r="AE416" s="646"/>
    </row>
    <row r="417" ht="15.75" customHeight="1">
      <c r="X417" s="646"/>
      <c r="Y417" s="646"/>
      <c r="Z417" s="646"/>
      <c r="AA417" s="646"/>
      <c r="AB417" s="646"/>
      <c r="AC417" s="646"/>
      <c r="AD417" s="646"/>
      <c r="AE417" s="646"/>
    </row>
    <row r="418" ht="15.75" customHeight="1">
      <c r="X418" s="646"/>
      <c r="Y418" s="646"/>
      <c r="Z418" s="646"/>
      <c r="AA418" s="646"/>
      <c r="AB418" s="646"/>
      <c r="AC418" s="646"/>
      <c r="AD418" s="646"/>
      <c r="AE418" s="646"/>
    </row>
    <row r="419" ht="15.75" customHeight="1">
      <c r="X419" s="646"/>
      <c r="Y419" s="646"/>
      <c r="Z419" s="646"/>
      <c r="AA419" s="646"/>
      <c r="AB419" s="646"/>
      <c r="AC419" s="646"/>
      <c r="AD419" s="646"/>
      <c r="AE419" s="646"/>
    </row>
    <row r="420" ht="15.75" customHeight="1">
      <c r="X420" s="646"/>
      <c r="Y420" s="646"/>
      <c r="Z420" s="646"/>
      <c r="AA420" s="646"/>
      <c r="AB420" s="646"/>
      <c r="AC420" s="646"/>
      <c r="AD420" s="646"/>
      <c r="AE420" s="646"/>
    </row>
    <row r="421" ht="15.75" customHeight="1">
      <c r="X421" s="646"/>
      <c r="Y421" s="646"/>
      <c r="Z421" s="646"/>
      <c r="AA421" s="646"/>
      <c r="AB421" s="646"/>
      <c r="AC421" s="646"/>
      <c r="AD421" s="646"/>
      <c r="AE421" s="646"/>
    </row>
    <row r="422" ht="15.75" customHeight="1">
      <c r="X422" s="646"/>
      <c r="Y422" s="646"/>
      <c r="Z422" s="646"/>
      <c r="AA422" s="646"/>
      <c r="AB422" s="646"/>
      <c r="AC422" s="646"/>
      <c r="AD422" s="646"/>
      <c r="AE422" s="646"/>
    </row>
    <row r="423" ht="15.75" customHeight="1">
      <c r="X423" s="646"/>
      <c r="Y423" s="646"/>
      <c r="Z423" s="646"/>
      <c r="AA423" s="646"/>
      <c r="AB423" s="646"/>
      <c r="AC423" s="646"/>
      <c r="AD423" s="646"/>
      <c r="AE423" s="646"/>
    </row>
    <row r="424" ht="15.75" customHeight="1">
      <c r="X424" s="646"/>
      <c r="Y424" s="646"/>
      <c r="Z424" s="646"/>
      <c r="AA424" s="646"/>
      <c r="AB424" s="646"/>
      <c r="AC424" s="646"/>
      <c r="AD424" s="646"/>
      <c r="AE424" s="646"/>
    </row>
    <row r="425" ht="15.75" customHeight="1">
      <c r="X425" s="646"/>
      <c r="Y425" s="646"/>
      <c r="Z425" s="646"/>
      <c r="AA425" s="646"/>
      <c r="AB425" s="646"/>
      <c r="AC425" s="646"/>
      <c r="AD425" s="646"/>
      <c r="AE425" s="646"/>
    </row>
    <row r="426" ht="15.75" customHeight="1">
      <c r="X426" s="646"/>
      <c r="Y426" s="646"/>
      <c r="Z426" s="646"/>
      <c r="AA426" s="646"/>
      <c r="AB426" s="646"/>
      <c r="AC426" s="646"/>
      <c r="AD426" s="646"/>
      <c r="AE426" s="646"/>
    </row>
    <row r="427" ht="15.75" customHeight="1">
      <c r="X427" s="646"/>
      <c r="Y427" s="646"/>
      <c r="Z427" s="646"/>
      <c r="AA427" s="646"/>
      <c r="AB427" s="646"/>
      <c r="AC427" s="646"/>
      <c r="AD427" s="646"/>
      <c r="AE427" s="646"/>
    </row>
    <row r="428" ht="15.75" customHeight="1">
      <c r="X428" s="646"/>
      <c r="Y428" s="646"/>
      <c r="Z428" s="646"/>
      <c r="AA428" s="646"/>
      <c r="AB428" s="646"/>
      <c r="AC428" s="646"/>
      <c r="AD428" s="646"/>
      <c r="AE428" s="646"/>
    </row>
    <row r="429" ht="15.75" customHeight="1">
      <c r="X429" s="646"/>
      <c r="Y429" s="646"/>
      <c r="Z429" s="646"/>
      <c r="AA429" s="646"/>
      <c r="AB429" s="646"/>
      <c r="AC429" s="646"/>
      <c r="AD429" s="646"/>
      <c r="AE429" s="646"/>
    </row>
    <row r="430" ht="15.75" customHeight="1">
      <c r="X430" s="646"/>
      <c r="Y430" s="646"/>
      <c r="Z430" s="646"/>
      <c r="AA430" s="646"/>
      <c r="AB430" s="646"/>
      <c r="AC430" s="646"/>
      <c r="AD430" s="646"/>
      <c r="AE430" s="646"/>
    </row>
    <row r="431" ht="15.75" customHeight="1">
      <c r="X431" s="646"/>
      <c r="Y431" s="646"/>
      <c r="Z431" s="646"/>
      <c r="AA431" s="646"/>
      <c r="AB431" s="646"/>
      <c r="AC431" s="646"/>
      <c r="AD431" s="646"/>
      <c r="AE431" s="646"/>
    </row>
    <row r="432" ht="15.75" customHeight="1">
      <c r="X432" s="646"/>
      <c r="Y432" s="646"/>
      <c r="Z432" s="646"/>
      <c r="AA432" s="646"/>
      <c r="AB432" s="646"/>
      <c r="AC432" s="646"/>
      <c r="AD432" s="646"/>
      <c r="AE432" s="646"/>
    </row>
    <row r="433" ht="15.75" customHeight="1">
      <c r="X433" s="646"/>
      <c r="Y433" s="646"/>
      <c r="Z433" s="646"/>
      <c r="AA433" s="646"/>
      <c r="AB433" s="646"/>
      <c r="AC433" s="646"/>
      <c r="AD433" s="646"/>
      <c r="AE433" s="646"/>
    </row>
    <row r="434" ht="15.75" customHeight="1">
      <c r="X434" s="646"/>
      <c r="Y434" s="646"/>
      <c r="Z434" s="646"/>
      <c r="AA434" s="646"/>
      <c r="AB434" s="646"/>
      <c r="AC434" s="646"/>
      <c r="AD434" s="646"/>
      <c r="AE434" s="646"/>
    </row>
    <row r="435" ht="15.75" customHeight="1">
      <c r="X435" s="646"/>
      <c r="Y435" s="646"/>
      <c r="Z435" s="646"/>
      <c r="AA435" s="646"/>
      <c r="AB435" s="646"/>
      <c r="AC435" s="646"/>
      <c r="AD435" s="646"/>
      <c r="AE435" s="646"/>
    </row>
    <row r="436" ht="15.75" customHeight="1">
      <c r="X436" s="646"/>
      <c r="Y436" s="646"/>
      <c r="Z436" s="646"/>
      <c r="AA436" s="646"/>
      <c r="AB436" s="646"/>
      <c r="AC436" s="646"/>
      <c r="AD436" s="646"/>
      <c r="AE436" s="646"/>
    </row>
    <row r="437" ht="15.75" customHeight="1">
      <c r="X437" s="646"/>
      <c r="Y437" s="646"/>
      <c r="Z437" s="646"/>
      <c r="AA437" s="646"/>
      <c r="AB437" s="646"/>
      <c r="AC437" s="646"/>
      <c r="AD437" s="646"/>
      <c r="AE437" s="646"/>
    </row>
    <row r="438" ht="15.75" customHeight="1">
      <c r="X438" s="646"/>
      <c r="Y438" s="646"/>
      <c r="Z438" s="646"/>
      <c r="AA438" s="646"/>
      <c r="AB438" s="646"/>
      <c r="AC438" s="646"/>
      <c r="AD438" s="646"/>
      <c r="AE438" s="646"/>
    </row>
    <row r="439" ht="15.75" customHeight="1">
      <c r="X439" s="646"/>
      <c r="Y439" s="646"/>
      <c r="Z439" s="646"/>
      <c r="AA439" s="646"/>
      <c r="AB439" s="646"/>
      <c r="AC439" s="646"/>
      <c r="AD439" s="646"/>
      <c r="AE439" s="646"/>
    </row>
    <row r="440" ht="15.75" customHeight="1">
      <c r="X440" s="646"/>
      <c r="Y440" s="646"/>
      <c r="Z440" s="646"/>
      <c r="AA440" s="646"/>
      <c r="AB440" s="646"/>
      <c r="AC440" s="646"/>
      <c r="AD440" s="646"/>
      <c r="AE440" s="646"/>
    </row>
    <row r="441" ht="15.75" customHeight="1">
      <c r="X441" s="646"/>
      <c r="Y441" s="646"/>
      <c r="Z441" s="646"/>
      <c r="AA441" s="646"/>
      <c r="AB441" s="646"/>
      <c r="AC441" s="646"/>
      <c r="AD441" s="646"/>
      <c r="AE441" s="646"/>
    </row>
    <row r="442" ht="15.75" customHeight="1">
      <c r="X442" s="646"/>
      <c r="Y442" s="646"/>
      <c r="Z442" s="646"/>
      <c r="AA442" s="646"/>
      <c r="AB442" s="646"/>
      <c r="AC442" s="646"/>
      <c r="AD442" s="646"/>
      <c r="AE442" s="646"/>
    </row>
    <row r="443" ht="15.75" customHeight="1">
      <c r="X443" s="646"/>
      <c r="Y443" s="646"/>
      <c r="Z443" s="646"/>
      <c r="AA443" s="646"/>
      <c r="AB443" s="646"/>
      <c r="AC443" s="646"/>
      <c r="AD443" s="646"/>
      <c r="AE443" s="646"/>
    </row>
    <row r="444" ht="15.75" customHeight="1">
      <c r="X444" s="646"/>
      <c r="Y444" s="646"/>
      <c r="Z444" s="646"/>
      <c r="AA444" s="646"/>
      <c r="AB444" s="646"/>
      <c r="AC444" s="646"/>
      <c r="AD444" s="646"/>
      <c r="AE444" s="646"/>
    </row>
    <row r="445" ht="15.75" customHeight="1">
      <c r="X445" s="646"/>
      <c r="Y445" s="646"/>
      <c r="Z445" s="646"/>
      <c r="AA445" s="646"/>
      <c r="AB445" s="646"/>
      <c r="AC445" s="646"/>
      <c r="AD445" s="646"/>
      <c r="AE445" s="646"/>
    </row>
    <row r="446" ht="15.75" customHeight="1">
      <c r="X446" s="646"/>
      <c r="Y446" s="646"/>
      <c r="Z446" s="646"/>
      <c r="AA446" s="646"/>
      <c r="AB446" s="646"/>
      <c r="AC446" s="646"/>
      <c r="AD446" s="646"/>
      <c r="AE446" s="646"/>
    </row>
    <row r="447" ht="15.75" customHeight="1">
      <c r="X447" s="646"/>
      <c r="Y447" s="646"/>
      <c r="Z447" s="646"/>
      <c r="AA447" s="646"/>
      <c r="AB447" s="646"/>
      <c r="AC447" s="646"/>
      <c r="AD447" s="646"/>
      <c r="AE447" s="646"/>
    </row>
    <row r="448" ht="15.75" customHeight="1">
      <c r="X448" s="646"/>
      <c r="Y448" s="646"/>
      <c r="Z448" s="646"/>
      <c r="AA448" s="646"/>
      <c r="AB448" s="646"/>
      <c r="AC448" s="646"/>
      <c r="AD448" s="646"/>
      <c r="AE448" s="646"/>
    </row>
    <row r="449" ht="15.75" customHeight="1">
      <c r="X449" s="646"/>
      <c r="Y449" s="646"/>
      <c r="Z449" s="646"/>
      <c r="AA449" s="646"/>
      <c r="AB449" s="646"/>
      <c r="AC449" s="646"/>
      <c r="AD449" s="646"/>
      <c r="AE449" s="646"/>
    </row>
    <row r="450" ht="15.75" customHeight="1">
      <c r="X450" s="646"/>
      <c r="Y450" s="646"/>
      <c r="Z450" s="646"/>
      <c r="AA450" s="646"/>
      <c r="AB450" s="646"/>
      <c r="AC450" s="646"/>
      <c r="AD450" s="646"/>
      <c r="AE450" s="646"/>
    </row>
    <row r="451" ht="15.75" customHeight="1">
      <c r="X451" s="646"/>
      <c r="Y451" s="646"/>
      <c r="Z451" s="646"/>
      <c r="AA451" s="646"/>
      <c r="AB451" s="646"/>
      <c r="AC451" s="646"/>
      <c r="AD451" s="646"/>
      <c r="AE451" s="646"/>
    </row>
    <row r="452" ht="15.75" customHeight="1">
      <c r="X452" s="646"/>
      <c r="Y452" s="646"/>
      <c r="Z452" s="646"/>
      <c r="AA452" s="646"/>
      <c r="AB452" s="646"/>
      <c r="AC452" s="646"/>
      <c r="AD452" s="646"/>
      <c r="AE452" s="646"/>
    </row>
    <row r="453" ht="15.75" customHeight="1">
      <c r="X453" s="646"/>
      <c r="Y453" s="646"/>
      <c r="Z453" s="646"/>
      <c r="AA453" s="646"/>
      <c r="AB453" s="646"/>
      <c r="AC453" s="646"/>
      <c r="AD453" s="646"/>
      <c r="AE453" s="646"/>
    </row>
    <row r="454" ht="15.75" customHeight="1">
      <c r="X454" s="646"/>
      <c r="Y454" s="646"/>
      <c r="Z454" s="646"/>
      <c r="AA454" s="646"/>
      <c r="AB454" s="646"/>
      <c r="AC454" s="646"/>
      <c r="AD454" s="646"/>
      <c r="AE454" s="646"/>
    </row>
    <row r="455" ht="15.75" customHeight="1">
      <c r="X455" s="646"/>
      <c r="Y455" s="646"/>
      <c r="Z455" s="646"/>
      <c r="AA455" s="646"/>
      <c r="AB455" s="646"/>
      <c r="AC455" s="646"/>
      <c r="AD455" s="646"/>
      <c r="AE455" s="646"/>
    </row>
    <row r="456" ht="15.75" customHeight="1">
      <c r="X456" s="646"/>
      <c r="Y456" s="646"/>
      <c r="Z456" s="646"/>
      <c r="AA456" s="646"/>
      <c r="AB456" s="646"/>
      <c r="AC456" s="646"/>
      <c r="AD456" s="646"/>
      <c r="AE456" s="646"/>
    </row>
    <row r="457" ht="15.75" customHeight="1">
      <c r="X457" s="646"/>
      <c r="Y457" s="646"/>
      <c r="Z457" s="646"/>
      <c r="AA457" s="646"/>
      <c r="AB457" s="646"/>
      <c r="AC457" s="646"/>
      <c r="AD457" s="646"/>
      <c r="AE457" s="646"/>
    </row>
    <row r="458" ht="15.75" customHeight="1">
      <c r="X458" s="646"/>
      <c r="Y458" s="646"/>
      <c r="Z458" s="646"/>
      <c r="AA458" s="646"/>
      <c r="AB458" s="646"/>
      <c r="AC458" s="646"/>
      <c r="AD458" s="646"/>
      <c r="AE458" s="646"/>
    </row>
    <row r="459" ht="15.75" customHeight="1">
      <c r="X459" s="646"/>
      <c r="Y459" s="646"/>
      <c r="Z459" s="646"/>
      <c r="AA459" s="646"/>
      <c r="AB459" s="646"/>
      <c r="AC459" s="646"/>
      <c r="AD459" s="646"/>
      <c r="AE459" s="646"/>
    </row>
    <row r="460" ht="15.75" customHeight="1">
      <c r="X460" s="646"/>
      <c r="Y460" s="646"/>
      <c r="Z460" s="646"/>
      <c r="AA460" s="646"/>
      <c r="AB460" s="646"/>
      <c r="AC460" s="646"/>
      <c r="AD460" s="646"/>
      <c r="AE460" s="646"/>
    </row>
    <row r="461" ht="15.75" customHeight="1">
      <c r="X461" s="646"/>
      <c r="Y461" s="646"/>
      <c r="Z461" s="646"/>
      <c r="AA461" s="646"/>
      <c r="AB461" s="646"/>
      <c r="AC461" s="646"/>
      <c r="AD461" s="646"/>
      <c r="AE461" s="646"/>
    </row>
    <row r="462" ht="15.75" customHeight="1">
      <c r="X462" s="646"/>
      <c r="Y462" s="646"/>
      <c r="Z462" s="646"/>
      <c r="AA462" s="646"/>
      <c r="AB462" s="646"/>
      <c r="AC462" s="646"/>
      <c r="AD462" s="646"/>
      <c r="AE462" s="646"/>
    </row>
    <row r="463" ht="15.75" customHeight="1">
      <c r="X463" s="646"/>
      <c r="Y463" s="646"/>
      <c r="Z463" s="646"/>
      <c r="AA463" s="646"/>
      <c r="AB463" s="646"/>
      <c r="AC463" s="646"/>
      <c r="AD463" s="646"/>
      <c r="AE463" s="646"/>
    </row>
    <row r="464" ht="15.75" customHeight="1">
      <c r="X464" s="646"/>
      <c r="Y464" s="646"/>
      <c r="Z464" s="646"/>
      <c r="AA464" s="646"/>
      <c r="AB464" s="646"/>
      <c r="AC464" s="646"/>
      <c r="AD464" s="646"/>
      <c r="AE464" s="646"/>
    </row>
    <row r="465" ht="15.75" customHeight="1">
      <c r="X465" s="646"/>
      <c r="Y465" s="646"/>
      <c r="Z465" s="646"/>
      <c r="AA465" s="646"/>
      <c r="AB465" s="646"/>
      <c r="AC465" s="646"/>
      <c r="AD465" s="646"/>
      <c r="AE465" s="646"/>
    </row>
    <row r="466" ht="15.75" customHeight="1">
      <c r="X466" s="646"/>
      <c r="Y466" s="646"/>
      <c r="Z466" s="646"/>
      <c r="AA466" s="646"/>
      <c r="AB466" s="646"/>
      <c r="AC466" s="646"/>
      <c r="AD466" s="646"/>
      <c r="AE466" s="646"/>
    </row>
    <row r="467" ht="15.75" customHeight="1">
      <c r="X467" s="646"/>
      <c r="Y467" s="646"/>
      <c r="Z467" s="646"/>
      <c r="AA467" s="646"/>
      <c r="AB467" s="646"/>
      <c r="AC467" s="646"/>
      <c r="AD467" s="646"/>
      <c r="AE467" s="646"/>
    </row>
    <row r="468" ht="15.75" customHeight="1">
      <c r="X468" s="646"/>
      <c r="Y468" s="646"/>
      <c r="Z468" s="646"/>
      <c r="AA468" s="646"/>
      <c r="AB468" s="646"/>
      <c r="AC468" s="646"/>
      <c r="AD468" s="646"/>
      <c r="AE468" s="646"/>
    </row>
    <row r="469" ht="15.75" customHeight="1">
      <c r="X469" s="646"/>
      <c r="Y469" s="646"/>
      <c r="Z469" s="646"/>
      <c r="AA469" s="646"/>
      <c r="AB469" s="646"/>
      <c r="AC469" s="646"/>
      <c r="AD469" s="646"/>
      <c r="AE469" s="646"/>
    </row>
    <row r="470" ht="15.75" customHeight="1">
      <c r="X470" s="646"/>
      <c r="Y470" s="646"/>
      <c r="Z470" s="646"/>
      <c r="AA470" s="646"/>
      <c r="AB470" s="646"/>
      <c r="AC470" s="646"/>
      <c r="AD470" s="646"/>
      <c r="AE470" s="646"/>
    </row>
    <row r="471" ht="15.75" customHeight="1">
      <c r="X471" s="646"/>
      <c r="Y471" s="646"/>
      <c r="Z471" s="646"/>
      <c r="AA471" s="646"/>
      <c r="AB471" s="646"/>
      <c r="AC471" s="646"/>
      <c r="AD471" s="646"/>
      <c r="AE471" s="646"/>
    </row>
    <row r="472" ht="15.75" customHeight="1">
      <c r="X472" s="646"/>
      <c r="Y472" s="646"/>
      <c r="Z472" s="646"/>
      <c r="AA472" s="646"/>
      <c r="AB472" s="646"/>
      <c r="AC472" s="646"/>
      <c r="AD472" s="646"/>
      <c r="AE472" s="646"/>
    </row>
    <row r="473" ht="15.75" customHeight="1">
      <c r="X473" s="646"/>
      <c r="Y473" s="646"/>
      <c r="Z473" s="646"/>
      <c r="AA473" s="646"/>
      <c r="AB473" s="646"/>
      <c r="AC473" s="646"/>
      <c r="AD473" s="646"/>
      <c r="AE473" s="646"/>
    </row>
    <row r="474" ht="15.75" customHeight="1">
      <c r="X474" s="646"/>
      <c r="Y474" s="646"/>
      <c r="Z474" s="646"/>
      <c r="AA474" s="646"/>
      <c r="AB474" s="646"/>
      <c r="AC474" s="646"/>
      <c r="AD474" s="646"/>
      <c r="AE474" s="646"/>
    </row>
    <row r="475" ht="15.75" customHeight="1">
      <c r="X475" s="646"/>
      <c r="Y475" s="646"/>
      <c r="Z475" s="646"/>
      <c r="AA475" s="646"/>
      <c r="AB475" s="646"/>
      <c r="AC475" s="646"/>
      <c r="AD475" s="646"/>
      <c r="AE475" s="646"/>
    </row>
    <row r="476" ht="15.75" customHeight="1">
      <c r="X476" s="646"/>
      <c r="Y476" s="646"/>
      <c r="Z476" s="646"/>
      <c r="AA476" s="646"/>
      <c r="AB476" s="646"/>
      <c r="AC476" s="646"/>
      <c r="AD476" s="646"/>
      <c r="AE476" s="646"/>
    </row>
    <row r="477" ht="15.75" customHeight="1">
      <c r="X477" s="646"/>
      <c r="Y477" s="646"/>
      <c r="Z477" s="646"/>
      <c r="AA477" s="646"/>
      <c r="AB477" s="646"/>
      <c r="AC477" s="646"/>
      <c r="AD477" s="646"/>
      <c r="AE477" s="646"/>
    </row>
    <row r="478" ht="15.75" customHeight="1">
      <c r="X478" s="646"/>
      <c r="Y478" s="646"/>
      <c r="Z478" s="646"/>
      <c r="AA478" s="646"/>
      <c r="AB478" s="646"/>
      <c r="AC478" s="646"/>
      <c r="AD478" s="646"/>
      <c r="AE478" s="646"/>
    </row>
    <row r="479" ht="15.75" customHeight="1">
      <c r="X479" s="646"/>
      <c r="Y479" s="646"/>
      <c r="Z479" s="646"/>
      <c r="AA479" s="646"/>
      <c r="AB479" s="646"/>
      <c r="AC479" s="646"/>
      <c r="AD479" s="646"/>
      <c r="AE479" s="646"/>
    </row>
    <row r="480" ht="15.75" customHeight="1">
      <c r="X480" s="646"/>
      <c r="Y480" s="646"/>
      <c r="Z480" s="646"/>
      <c r="AA480" s="646"/>
      <c r="AB480" s="646"/>
      <c r="AC480" s="646"/>
      <c r="AD480" s="646"/>
      <c r="AE480" s="646"/>
    </row>
    <row r="481" ht="15.75" customHeight="1">
      <c r="X481" s="646"/>
      <c r="Y481" s="646"/>
      <c r="Z481" s="646"/>
      <c r="AA481" s="646"/>
      <c r="AB481" s="646"/>
      <c r="AC481" s="646"/>
      <c r="AD481" s="646"/>
      <c r="AE481" s="646"/>
    </row>
    <row r="482" ht="15.75" customHeight="1">
      <c r="X482" s="646"/>
      <c r="Y482" s="646"/>
      <c r="Z482" s="646"/>
      <c r="AA482" s="646"/>
      <c r="AB482" s="646"/>
      <c r="AC482" s="646"/>
      <c r="AD482" s="646"/>
      <c r="AE482" s="646"/>
    </row>
    <row r="483" ht="15.75" customHeight="1">
      <c r="X483" s="646"/>
      <c r="Y483" s="646"/>
      <c r="Z483" s="646"/>
      <c r="AA483" s="646"/>
      <c r="AB483" s="646"/>
      <c r="AC483" s="646"/>
      <c r="AD483" s="646"/>
      <c r="AE483" s="646"/>
    </row>
    <row r="484" ht="15.75" customHeight="1">
      <c r="X484" s="646"/>
      <c r="Y484" s="646"/>
      <c r="Z484" s="646"/>
      <c r="AA484" s="646"/>
      <c r="AB484" s="646"/>
      <c r="AC484" s="646"/>
      <c r="AD484" s="646"/>
      <c r="AE484" s="646"/>
    </row>
    <row r="485" ht="15.75" customHeight="1">
      <c r="X485" s="646"/>
      <c r="Y485" s="646"/>
      <c r="Z485" s="646"/>
      <c r="AA485" s="646"/>
      <c r="AB485" s="646"/>
      <c r="AC485" s="646"/>
      <c r="AD485" s="646"/>
      <c r="AE485" s="646"/>
    </row>
    <row r="486" ht="15.75" customHeight="1">
      <c r="X486" s="646"/>
      <c r="Y486" s="646"/>
      <c r="Z486" s="646"/>
      <c r="AA486" s="646"/>
      <c r="AB486" s="646"/>
      <c r="AC486" s="646"/>
      <c r="AD486" s="646"/>
      <c r="AE486" s="646"/>
    </row>
    <row r="487" ht="15.75" customHeight="1">
      <c r="X487" s="646"/>
      <c r="Y487" s="646"/>
      <c r="Z487" s="646"/>
      <c r="AA487" s="646"/>
      <c r="AB487" s="646"/>
      <c r="AC487" s="646"/>
      <c r="AD487" s="646"/>
      <c r="AE487" s="646"/>
    </row>
    <row r="488" ht="15.75" customHeight="1">
      <c r="X488" s="646"/>
      <c r="Y488" s="646"/>
      <c r="Z488" s="646"/>
      <c r="AA488" s="646"/>
      <c r="AB488" s="646"/>
      <c r="AC488" s="646"/>
      <c r="AD488" s="646"/>
      <c r="AE488" s="646"/>
    </row>
    <row r="489" ht="15.75" customHeight="1">
      <c r="X489" s="646"/>
      <c r="Y489" s="646"/>
      <c r="Z489" s="646"/>
      <c r="AA489" s="646"/>
      <c r="AB489" s="646"/>
      <c r="AC489" s="646"/>
      <c r="AD489" s="646"/>
      <c r="AE489" s="646"/>
    </row>
    <row r="490" ht="15.75" customHeight="1">
      <c r="X490" s="646"/>
      <c r="Y490" s="646"/>
      <c r="Z490" s="646"/>
      <c r="AA490" s="646"/>
      <c r="AB490" s="646"/>
      <c r="AC490" s="646"/>
      <c r="AD490" s="646"/>
      <c r="AE490" s="646"/>
    </row>
    <row r="491" ht="15.75" customHeight="1">
      <c r="X491" s="646"/>
      <c r="Y491" s="646"/>
      <c r="Z491" s="646"/>
      <c r="AA491" s="646"/>
      <c r="AB491" s="646"/>
      <c r="AC491" s="646"/>
      <c r="AD491" s="646"/>
      <c r="AE491" s="646"/>
    </row>
    <row r="492" ht="15.75" customHeight="1">
      <c r="X492" s="646"/>
      <c r="Y492" s="646"/>
      <c r="Z492" s="646"/>
      <c r="AA492" s="646"/>
      <c r="AB492" s="646"/>
      <c r="AC492" s="646"/>
      <c r="AD492" s="646"/>
      <c r="AE492" s="646"/>
    </row>
    <row r="493" ht="15.75" customHeight="1">
      <c r="X493" s="646"/>
      <c r="Y493" s="646"/>
      <c r="Z493" s="646"/>
      <c r="AA493" s="646"/>
      <c r="AB493" s="646"/>
      <c r="AC493" s="646"/>
      <c r="AD493" s="646"/>
      <c r="AE493" s="646"/>
    </row>
    <row r="494" ht="15.75" customHeight="1">
      <c r="X494" s="646"/>
      <c r="Y494" s="646"/>
      <c r="Z494" s="646"/>
      <c r="AA494" s="646"/>
      <c r="AB494" s="646"/>
      <c r="AC494" s="646"/>
      <c r="AD494" s="646"/>
      <c r="AE494" s="646"/>
    </row>
    <row r="495" ht="15.75" customHeight="1">
      <c r="X495" s="646"/>
      <c r="Y495" s="646"/>
      <c r="Z495" s="646"/>
      <c r="AA495" s="646"/>
      <c r="AB495" s="646"/>
      <c r="AC495" s="646"/>
      <c r="AD495" s="646"/>
      <c r="AE495" s="646"/>
    </row>
    <row r="496" ht="15.75" customHeight="1">
      <c r="X496" s="646"/>
      <c r="Y496" s="646"/>
      <c r="Z496" s="646"/>
      <c r="AA496" s="646"/>
      <c r="AB496" s="646"/>
      <c r="AC496" s="646"/>
      <c r="AD496" s="646"/>
      <c r="AE496" s="646"/>
    </row>
    <row r="497" ht="15.75" customHeight="1">
      <c r="X497" s="646"/>
      <c r="Y497" s="646"/>
      <c r="Z497" s="646"/>
      <c r="AA497" s="646"/>
      <c r="AB497" s="646"/>
      <c r="AC497" s="646"/>
      <c r="AD497" s="646"/>
      <c r="AE497" s="646"/>
    </row>
    <row r="498" ht="15.75" customHeight="1">
      <c r="X498" s="646"/>
      <c r="Y498" s="646"/>
      <c r="Z498" s="646"/>
      <c r="AA498" s="646"/>
      <c r="AB498" s="646"/>
      <c r="AC498" s="646"/>
      <c r="AD498" s="646"/>
      <c r="AE498" s="646"/>
    </row>
    <row r="499" ht="15.75" customHeight="1">
      <c r="X499" s="646"/>
      <c r="Y499" s="646"/>
      <c r="Z499" s="646"/>
      <c r="AA499" s="646"/>
      <c r="AB499" s="646"/>
      <c r="AC499" s="646"/>
      <c r="AD499" s="646"/>
      <c r="AE499" s="646"/>
    </row>
    <row r="500" ht="15.75" customHeight="1">
      <c r="X500" s="646"/>
      <c r="Y500" s="646"/>
      <c r="Z500" s="646"/>
      <c r="AA500" s="646"/>
      <c r="AB500" s="646"/>
      <c r="AC500" s="646"/>
      <c r="AD500" s="646"/>
      <c r="AE500" s="646"/>
    </row>
    <row r="501" ht="15.75" customHeight="1">
      <c r="X501" s="646"/>
      <c r="Y501" s="646"/>
      <c r="Z501" s="646"/>
      <c r="AA501" s="646"/>
      <c r="AB501" s="646"/>
      <c r="AC501" s="646"/>
      <c r="AD501" s="646"/>
      <c r="AE501" s="646"/>
    </row>
    <row r="502" ht="15.75" customHeight="1">
      <c r="X502" s="646"/>
      <c r="Y502" s="646"/>
      <c r="Z502" s="646"/>
      <c r="AA502" s="646"/>
      <c r="AB502" s="646"/>
      <c r="AC502" s="646"/>
      <c r="AD502" s="646"/>
      <c r="AE502" s="646"/>
    </row>
    <row r="503" ht="15.75" customHeight="1">
      <c r="X503" s="646"/>
      <c r="Y503" s="646"/>
      <c r="Z503" s="646"/>
      <c r="AA503" s="646"/>
      <c r="AB503" s="646"/>
      <c r="AC503" s="646"/>
      <c r="AD503" s="646"/>
      <c r="AE503" s="646"/>
    </row>
    <row r="504" ht="15.75" customHeight="1">
      <c r="X504" s="646"/>
      <c r="Y504" s="646"/>
      <c r="Z504" s="646"/>
      <c r="AA504" s="646"/>
      <c r="AB504" s="646"/>
      <c r="AC504" s="646"/>
      <c r="AD504" s="646"/>
      <c r="AE504" s="646"/>
    </row>
    <row r="505" ht="15.75" customHeight="1">
      <c r="X505" s="646"/>
      <c r="Y505" s="646"/>
      <c r="Z505" s="646"/>
      <c r="AA505" s="646"/>
      <c r="AB505" s="646"/>
      <c r="AC505" s="646"/>
      <c r="AD505" s="646"/>
      <c r="AE505" s="646"/>
    </row>
    <row r="506" ht="15.75" customHeight="1">
      <c r="X506" s="646"/>
      <c r="Y506" s="646"/>
      <c r="Z506" s="646"/>
      <c r="AA506" s="646"/>
      <c r="AB506" s="646"/>
      <c r="AC506" s="646"/>
      <c r="AD506" s="646"/>
      <c r="AE506" s="646"/>
    </row>
    <row r="507" ht="15.75" customHeight="1">
      <c r="X507" s="646"/>
      <c r="Y507" s="646"/>
      <c r="Z507" s="646"/>
      <c r="AA507" s="646"/>
      <c r="AB507" s="646"/>
      <c r="AC507" s="646"/>
      <c r="AD507" s="646"/>
      <c r="AE507" s="646"/>
    </row>
    <row r="508" ht="15.75" customHeight="1">
      <c r="X508" s="646"/>
      <c r="Y508" s="646"/>
      <c r="Z508" s="646"/>
      <c r="AA508" s="646"/>
      <c r="AB508" s="646"/>
      <c r="AC508" s="646"/>
      <c r="AD508" s="646"/>
      <c r="AE508" s="646"/>
    </row>
    <row r="509" ht="15.75" customHeight="1">
      <c r="X509" s="646"/>
      <c r="Y509" s="646"/>
      <c r="Z509" s="646"/>
      <c r="AA509" s="646"/>
      <c r="AB509" s="646"/>
      <c r="AC509" s="646"/>
      <c r="AD509" s="646"/>
      <c r="AE509" s="646"/>
    </row>
    <row r="510" ht="15.75" customHeight="1">
      <c r="X510" s="646"/>
      <c r="Y510" s="646"/>
      <c r="Z510" s="646"/>
      <c r="AA510" s="646"/>
      <c r="AB510" s="646"/>
      <c r="AC510" s="646"/>
      <c r="AD510" s="646"/>
      <c r="AE510" s="646"/>
    </row>
    <row r="511" ht="15.75" customHeight="1">
      <c r="X511" s="646"/>
      <c r="Y511" s="646"/>
      <c r="Z511" s="646"/>
      <c r="AA511" s="646"/>
      <c r="AB511" s="646"/>
      <c r="AC511" s="646"/>
      <c r="AD511" s="646"/>
      <c r="AE511" s="646"/>
    </row>
    <row r="512" ht="15.75" customHeight="1">
      <c r="X512" s="646"/>
      <c r="Y512" s="646"/>
      <c r="Z512" s="646"/>
      <c r="AA512" s="646"/>
      <c r="AB512" s="646"/>
      <c r="AC512" s="646"/>
      <c r="AD512" s="646"/>
      <c r="AE512" s="646"/>
    </row>
    <row r="513" ht="15.75" customHeight="1">
      <c r="X513" s="646"/>
      <c r="Y513" s="646"/>
      <c r="Z513" s="646"/>
      <c r="AA513" s="646"/>
      <c r="AB513" s="646"/>
      <c r="AC513" s="646"/>
      <c r="AD513" s="646"/>
      <c r="AE513" s="646"/>
    </row>
    <row r="514" ht="15.75" customHeight="1">
      <c r="X514" s="646"/>
      <c r="Y514" s="646"/>
      <c r="Z514" s="646"/>
      <c r="AA514" s="646"/>
      <c r="AB514" s="646"/>
      <c r="AC514" s="646"/>
      <c r="AD514" s="646"/>
      <c r="AE514" s="646"/>
    </row>
    <row r="515" ht="15.75" customHeight="1">
      <c r="X515" s="646"/>
      <c r="Y515" s="646"/>
      <c r="Z515" s="646"/>
      <c r="AA515" s="646"/>
      <c r="AB515" s="646"/>
      <c r="AC515" s="646"/>
      <c r="AD515" s="646"/>
      <c r="AE515" s="646"/>
    </row>
    <row r="516" ht="15.75" customHeight="1">
      <c r="X516" s="646"/>
      <c r="Y516" s="646"/>
      <c r="Z516" s="646"/>
      <c r="AA516" s="646"/>
      <c r="AB516" s="646"/>
      <c r="AC516" s="646"/>
      <c r="AD516" s="646"/>
      <c r="AE516" s="646"/>
    </row>
    <row r="517" ht="15.75" customHeight="1">
      <c r="X517" s="646"/>
      <c r="Y517" s="646"/>
      <c r="Z517" s="646"/>
      <c r="AA517" s="646"/>
      <c r="AB517" s="646"/>
      <c r="AC517" s="646"/>
      <c r="AD517" s="646"/>
      <c r="AE517" s="646"/>
    </row>
    <row r="518" ht="15.75" customHeight="1">
      <c r="X518" s="646"/>
      <c r="Y518" s="646"/>
      <c r="Z518" s="646"/>
      <c r="AA518" s="646"/>
      <c r="AB518" s="646"/>
      <c r="AC518" s="646"/>
      <c r="AD518" s="646"/>
      <c r="AE518" s="646"/>
    </row>
    <row r="519" ht="15.75" customHeight="1">
      <c r="X519" s="646"/>
      <c r="Y519" s="646"/>
      <c r="Z519" s="646"/>
      <c r="AA519" s="646"/>
      <c r="AB519" s="646"/>
      <c r="AC519" s="646"/>
      <c r="AD519" s="646"/>
      <c r="AE519" s="646"/>
    </row>
    <row r="520" ht="15.75" customHeight="1">
      <c r="X520" s="646"/>
      <c r="Y520" s="646"/>
      <c r="Z520" s="646"/>
      <c r="AA520" s="646"/>
      <c r="AB520" s="646"/>
      <c r="AC520" s="646"/>
      <c r="AD520" s="646"/>
      <c r="AE520" s="646"/>
    </row>
    <row r="521" ht="15.75" customHeight="1">
      <c r="X521" s="646"/>
      <c r="Y521" s="646"/>
      <c r="Z521" s="646"/>
      <c r="AA521" s="646"/>
      <c r="AB521" s="646"/>
      <c r="AC521" s="646"/>
      <c r="AD521" s="646"/>
      <c r="AE521" s="646"/>
    </row>
    <row r="522" ht="15.75" customHeight="1">
      <c r="X522" s="646"/>
      <c r="Y522" s="646"/>
      <c r="Z522" s="646"/>
      <c r="AA522" s="646"/>
      <c r="AB522" s="646"/>
      <c r="AC522" s="646"/>
      <c r="AD522" s="646"/>
      <c r="AE522" s="646"/>
    </row>
    <row r="523" ht="15.75" customHeight="1">
      <c r="X523" s="646"/>
      <c r="Y523" s="646"/>
      <c r="Z523" s="646"/>
      <c r="AA523" s="646"/>
      <c r="AB523" s="646"/>
      <c r="AC523" s="646"/>
      <c r="AD523" s="646"/>
      <c r="AE523" s="646"/>
    </row>
    <row r="524" ht="15.75" customHeight="1">
      <c r="X524" s="646"/>
      <c r="Y524" s="646"/>
      <c r="Z524" s="646"/>
      <c r="AA524" s="646"/>
      <c r="AB524" s="646"/>
      <c r="AC524" s="646"/>
      <c r="AD524" s="646"/>
      <c r="AE524" s="646"/>
    </row>
    <row r="525" ht="15.75" customHeight="1">
      <c r="X525" s="646"/>
      <c r="Y525" s="646"/>
      <c r="Z525" s="646"/>
      <c r="AA525" s="646"/>
      <c r="AB525" s="646"/>
      <c r="AC525" s="646"/>
      <c r="AD525" s="646"/>
      <c r="AE525" s="646"/>
    </row>
    <row r="526" ht="15.75" customHeight="1">
      <c r="X526" s="646"/>
      <c r="Y526" s="646"/>
      <c r="Z526" s="646"/>
      <c r="AA526" s="646"/>
      <c r="AB526" s="646"/>
      <c r="AC526" s="646"/>
      <c r="AD526" s="646"/>
      <c r="AE526" s="646"/>
    </row>
    <row r="527" ht="15.75" customHeight="1">
      <c r="X527" s="646"/>
      <c r="Y527" s="646"/>
      <c r="Z527" s="646"/>
      <c r="AA527" s="646"/>
      <c r="AB527" s="646"/>
      <c r="AC527" s="646"/>
      <c r="AD527" s="646"/>
      <c r="AE527" s="646"/>
    </row>
    <row r="528" ht="15.75" customHeight="1">
      <c r="X528" s="646"/>
      <c r="Y528" s="646"/>
      <c r="Z528" s="646"/>
      <c r="AA528" s="646"/>
      <c r="AB528" s="646"/>
      <c r="AC528" s="646"/>
      <c r="AD528" s="646"/>
      <c r="AE528" s="646"/>
    </row>
    <row r="529" ht="15.75" customHeight="1">
      <c r="X529" s="646"/>
      <c r="Y529" s="646"/>
      <c r="Z529" s="646"/>
      <c r="AA529" s="646"/>
      <c r="AB529" s="646"/>
      <c r="AC529" s="646"/>
      <c r="AD529" s="646"/>
      <c r="AE529" s="646"/>
    </row>
    <row r="530" ht="15.75" customHeight="1">
      <c r="X530" s="646"/>
      <c r="Y530" s="646"/>
      <c r="Z530" s="646"/>
      <c r="AA530" s="646"/>
      <c r="AB530" s="646"/>
      <c r="AC530" s="646"/>
      <c r="AD530" s="646"/>
      <c r="AE530" s="646"/>
    </row>
    <row r="531" ht="15.75" customHeight="1">
      <c r="X531" s="646"/>
      <c r="Y531" s="646"/>
      <c r="Z531" s="646"/>
      <c r="AA531" s="646"/>
      <c r="AB531" s="646"/>
      <c r="AC531" s="646"/>
      <c r="AD531" s="646"/>
      <c r="AE531" s="646"/>
    </row>
    <row r="532" ht="15.75" customHeight="1">
      <c r="X532" s="646"/>
      <c r="Y532" s="646"/>
      <c r="Z532" s="646"/>
      <c r="AA532" s="646"/>
      <c r="AB532" s="646"/>
      <c r="AC532" s="646"/>
      <c r="AD532" s="646"/>
      <c r="AE532" s="646"/>
    </row>
    <row r="533" ht="15.75" customHeight="1">
      <c r="X533" s="646"/>
      <c r="Y533" s="646"/>
      <c r="Z533" s="646"/>
      <c r="AA533" s="646"/>
      <c r="AB533" s="646"/>
      <c r="AC533" s="646"/>
      <c r="AD533" s="646"/>
      <c r="AE533" s="646"/>
    </row>
    <row r="534" ht="15.75" customHeight="1">
      <c r="X534" s="646"/>
      <c r="Y534" s="646"/>
      <c r="Z534" s="646"/>
      <c r="AA534" s="646"/>
      <c r="AB534" s="646"/>
      <c r="AC534" s="646"/>
      <c r="AD534" s="646"/>
      <c r="AE534" s="646"/>
    </row>
    <row r="535" ht="15.75" customHeight="1">
      <c r="X535" s="646"/>
      <c r="Y535" s="646"/>
      <c r="Z535" s="646"/>
      <c r="AA535" s="646"/>
      <c r="AB535" s="646"/>
      <c r="AC535" s="646"/>
      <c r="AD535" s="646"/>
      <c r="AE535" s="646"/>
    </row>
    <row r="536" ht="15.75" customHeight="1">
      <c r="X536" s="646"/>
      <c r="Y536" s="646"/>
      <c r="Z536" s="646"/>
      <c r="AA536" s="646"/>
      <c r="AB536" s="646"/>
      <c r="AC536" s="646"/>
      <c r="AD536" s="646"/>
      <c r="AE536" s="646"/>
    </row>
    <row r="537" ht="15.75" customHeight="1">
      <c r="X537" s="646"/>
      <c r="Y537" s="646"/>
      <c r="Z537" s="646"/>
      <c r="AA537" s="646"/>
      <c r="AB537" s="646"/>
      <c r="AC537" s="646"/>
      <c r="AD537" s="646"/>
      <c r="AE537" s="646"/>
    </row>
    <row r="538" ht="15.75" customHeight="1">
      <c r="X538" s="646"/>
      <c r="Y538" s="646"/>
      <c r="Z538" s="646"/>
      <c r="AA538" s="646"/>
      <c r="AB538" s="646"/>
      <c r="AC538" s="646"/>
      <c r="AD538" s="646"/>
      <c r="AE538" s="646"/>
    </row>
    <row r="539" ht="15.75" customHeight="1">
      <c r="X539" s="646"/>
      <c r="Y539" s="646"/>
      <c r="Z539" s="646"/>
      <c r="AA539" s="646"/>
      <c r="AB539" s="646"/>
      <c r="AC539" s="646"/>
      <c r="AD539" s="646"/>
      <c r="AE539" s="646"/>
    </row>
    <row r="540" ht="15.75" customHeight="1">
      <c r="X540" s="646"/>
      <c r="Y540" s="646"/>
      <c r="Z540" s="646"/>
      <c r="AA540" s="646"/>
      <c r="AB540" s="646"/>
      <c r="AC540" s="646"/>
      <c r="AD540" s="646"/>
      <c r="AE540" s="646"/>
    </row>
    <row r="541" ht="15.75" customHeight="1">
      <c r="X541" s="646"/>
      <c r="Y541" s="646"/>
      <c r="Z541" s="646"/>
      <c r="AA541" s="646"/>
      <c r="AB541" s="646"/>
      <c r="AC541" s="646"/>
      <c r="AD541" s="646"/>
      <c r="AE541" s="646"/>
    </row>
    <row r="542" ht="15.75" customHeight="1">
      <c r="X542" s="646"/>
      <c r="Y542" s="646"/>
      <c r="Z542" s="646"/>
      <c r="AA542" s="646"/>
      <c r="AB542" s="646"/>
      <c r="AC542" s="646"/>
      <c r="AD542" s="646"/>
      <c r="AE542" s="646"/>
    </row>
    <row r="543" ht="15.75" customHeight="1">
      <c r="X543" s="646"/>
      <c r="Y543" s="646"/>
      <c r="Z543" s="646"/>
      <c r="AA543" s="646"/>
      <c r="AB543" s="646"/>
      <c r="AC543" s="646"/>
      <c r="AD543" s="646"/>
      <c r="AE543" s="646"/>
    </row>
    <row r="544" ht="15.75" customHeight="1">
      <c r="X544" s="646"/>
      <c r="Y544" s="646"/>
      <c r="Z544" s="646"/>
      <c r="AA544" s="646"/>
      <c r="AB544" s="646"/>
      <c r="AC544" s="646"/>
      <c r="AD544" s="646"/>
      <c r="AE544" s="646"/>
    </row>
    <row r="545" ht="15.75" customHeight="1">
      <c r="X545" s="646"/>
      <c r="Y545" s="646"/>
      <c r="Z545" s="646"/>
      <c r="AA545" s="646"/>
      <c r="AB545" s="646"/>
      <c r="AC545" s="646"/>
      <c r="AD545" s="646"/>
      <c r="AE545" s="646"/>
    </row>
    <row r="546" ht="15.75" customHeight="1">
      <c r="X546" s="646"/>
      <c r="Y546" s="646"/>
      <c r="Z546" s="646"/>
      <c r="AA546" s="646"/>
      <c r="AB546" s="646"/>
      <c r="AC546" s="646"/>
      <c r="AD546" s="646"/>
      <c r="AE546" s="646"/>
    </row>
    <row r="547" ht="15.75" customHeight="1">
      <c r="X547" s="646"/>
      <c r="Y547" s="646"/>
      <c r="Z547" s="646"/>
      <c r="AA547" s="646"/>
      <c r="AB547" s="646"/>
      <c r="AC547" s="646"/>
      <c r="AD547" s="646"/>
      <c r="AE547" s="646"/>
    </row>
    <row r="548" ht="15.75" customHeight="1">
      <c r="X548" s="646"/>
      <c r="Y548" s="646"/>
      <c r="Z548" s="646"/>
      <c r="AA548" s="646"/>
      <c r="AB548" s="646"/>
      <c r="AC548" s="646"/>
      <c r="AD548" s="646"/>
      <c r="AE548" s="646"/>
    </row>
    <row r="549" ht="15.75" customHeight="1">
      <c r="X549" s="646"/>
      <c r="Y549" s="646"/>
      <c r="Z549" s="646"/>
      <c r="AA549" s="646"/>
      <c r="AB549" s="646"/>
      <c r="AC549" s="646"/>
      <c r="AD549" s="646"/>
      <c r="AE549" s="646"/>
    </row>
    <row r="550" ht="15.75" customHeight="1">
      <c r="X550" s="646"/>
      <c r="Y550" s="646"/>
      <c r="Z550" s="646"/>
      <c r="AA550" s="646"/>
      <c r="AB550" s="646"/>
      <c r="AC550" s="646"/>
      <c r="AD550" s="646"/>
      <c r="AE550" s="646"/>
    </row>
    <row r="551" ht="15.75" customHeight="1">
      <c r="X551" s="646"/>
      <c r="Y551" s="646"/>
      <c r="Z551" s="646"/>
      <c r="AA551" s="646"/>
      <c r="AB551" s="646"/>
      <c r="AC551" s="646"/>
      <c r="AD551" s="646"/>
      <c r="AE551" s="646"/>
    </row>
    <row r="552" ht="15.75" customHeight="1">
      <c r="X552" s="646"/>
      <c r="Y552" s="646"/>
      <c r="Z552" s="646"/>
      <c r="AA552" s="646"/>
      <c r="AB552" s="646"/>
      <c r="AC552" s="646"/>
      <c r="AD552" s="646"/>
      <c r="AE552" s="646"/>
    </row>
    <row r="553" ht="15.75" customHeight="1">
      <c r="X553" s="646"/>
      <c r="Y553" s="646"/>
      <c r="Z553" s="646"/>
      <c r="AA553" s="646"/>
      <c r="AB553" s="646"/>
      <c r="AC553" s="646"/>
      <c r="AD553" s="646"/>
      <c r="AE553" s="646"/>
    </row>
    <row r="554" ht="15.75" customHeight="1">
      <c r="X554" s="646"/>
      <c r="Y554" s="646"/>
      <c r="Z554" s="646"/>
      <c r="AA554" s="646"/>
      <c r="AB554" s="646"/>
      <c r="AC554" s="646"/>
      <c r="AD554" s="646"/>
      <c r="AE554" s="646"/>
    </row>
    <row r="555" ht="15.75" customHeight="1">
      <c r="X555" s="646"/>
      <c r="Y555" s="646"/>
      <c r="Z555" s="646"/>
      <c r="AA555" s="646"/>
      <c r="AB555" s="646"/>
      <c r="AC555" s="646"/>
      <c r="AD555" s="646"/>
      <c r="AE555" s="646"/>
    </row>
    <row r="556" ht="15.75" customHeight="1">
      <c r="X556" s="646"/>
      <c r="Y556" s="646"/>
      <c r="Z556" s="646"/>
      <c r="AA556" s="646"/>
      <c r="AB556" s="646"/>
      <c r="AC556" s="646"/>
      <c r="AD556" s="646"/>
      <c r="AE556" s="646"/>
    </row>
    <row r="557" ht="15.75" customHeight="1">
      <c r="X557" s="646"/>
      <c r="Y557" s="646"/>
      <c r="Z557" s="646"/>
      <c r="AA557" s="646"/>
      <c r="AB557" s="646"/>
      <c r="AC557" s="646"/>
      <c r="AD557" s="646"/>
      <c r="AE557" s="646"/>
    </row>
    <row r="558" ht="15.75" customHeight="1">
      <c r="X558" s="646"/>
      <c r="Y558" s="646"/>
      <c r="Z558" s="646"/>
      <c r="AA558" s="646"/>
      <c r="AB558" s="646"/>
      <c r="AC558" s="646"/>
      <c r="AD558" s="646"/>
      <c r="AE558" s="646"/>
    </row>
    <row r="559" ht="15.75" customHeight="1">
      <c r="X559" s="646"/>
      <c r="Y559" s="646"/>
      <c r="Z559" s="646"/>
      <c r="AA559" s="646"/>
      <c r="AB559" s="646"/>
      <c r="AC559" s="646"/>
      <c r="AD559" s="646"/>
      <c r="AE559" s="646"/>
    </row>
    <row r="560" ht="15.75" customHeight="1">
      <c r="X560" s="646"/>
      <c r="Y560" s="646"/>
      <c r="Z560" s="646"/>
      <c r="AA560" s="646"/>
      <c r="AB560" s="646"/>
      <c r="AC560" s="646"/>
      <c r="AD560" s="646"/>
      <c r="AE560" s="646"/>
    </row>
    <row r="561" ht="15.75" customHeight="1">
      <c r="X561" s="646"/>
      <c r="Y561" s="646"/>
      <c r="Z561" s="646"/>
      <c r="AA561" s="646"/>
      <c r="AB561" s="646"/>
      <c r="AC561" s="646"/>
      <c r="AD561" s="646"/>
      <c r="AE561" s="646"/>
    </row>
    <row r="562" ht="15.75" customHeight="1">
      <c r="X562" s="646"/>
      <c r="Y562" s="646"/>
      <c r="Z562" s="646"/>
      <c r="AA562" s="646"/>
      <c r="AB562" s="646"/>
      <c r="AC562" s="646"/>
      <c r="AD562" s="646"/>
      <c r="AE562" s="646"/>
    </row>
    <row r="563" ht="15.75" customHeight="1">
      <c r="X563" s="646"/>
      <c r="Y563" s="646"/>
      <c r="Z563" s="646"/>
      <c r="AA563" s="646"/>
      <c r="AB563" s="646"/>
      <c r="AC563" s="646"/>
      <c r="AD563" s="646"/>
      <c r="AE563" s="646"/>
    </row>
    <row r="564" ht="15.75" customHeight="1">
      <c r="X564" s="646"/>
      <c r="Y564" s="646"/>
      <c r="Z564" s="646"/>
      <c r="AA564" s="646"/>
      <c r="AB564" s="646"/>
      <c r="AC564" s="646"/>
      <c r="AD564" s="646"/>
      <c r="AE564" s="646"/>
    </row>
    <row r="565" ht="15.75" customHeight="1">
      <c r="X565" s="646"/>
      <c r="Y565" s="646"/>
      <c r="Z565" s="646"/>
      <c r="AA565" s="646"/>
      <c r="AB565" s="646"/>
      <c r="AC565" s="646"/>
      <c r="AD565" s="646"/>
      <c r="AE565" s="646"/>
    </row>
    <row r="566" ht="15.75" customHeight="1">
      <c r="X566" s="646"/>
      <c r="Y566" s="646"/>
      <c r="Z566" s="646"/>
      <c r="AA566" s="646"/>
      <c r="AB566" s="646"/>
      <c r="AC566" s="646"/>
      <c r="AD566" s="646"/>
      <c r="AE566" s="646"/>
    </row>
    <row r="567" ht="15.75" customHeight="1">
      <c r="X567" s="646"/>
      <c r="Y567" s="646"/>
      <c r="Z567" s="646"/>
      <c r="AA567" s="646"/>
      <c r="AB567" s="646"/>
      <c r="AC567" s="646"/>
      <c r="AD567" s="646"/>
      <c r="AE567" s="646"/>
    </row>
    <row r="568" ht="15.75" customHeight="1">
      <c r="X568" s="646"/>
      <c r="Y568" s="646"/>
      <c r="Z568" s="646"/>
      <c r="AA568" s="646"/>
      <c r="AB568" s="646"/>
      <c r="AC568" s="646"/>
      <c r="AD568" s="646"/>
      <c r="AE568" s="646"/>
    </row>
    <row r="569" ht="15.75" customHeight="1">
      <c r="X569" s="646"/>
      <c r="Y569" s="646"/>
      <c r="Z569" s="646"/>
      <c r="AA569" s="646"/>
      <c r="AB569" s="646"/>
      <c r="AC569" s="646"/>
      <c r="AD569" s="646"/>
      <c r="AE569" s="646"/>
    </row>
    <row r="570" ht="15.75" customHeight="1">
      <c r="X570" s="646"/>
      <c r="Y570" s="646"/>
      <c r="Z570" s="646"/>
      <c r="AA570" s="646"/>
      <c r="AB570" s="646"/>
      <c r="AC570" s="646"/>
      <c r="AD570" s="646"/>
      <c r="AE570" s="646"/>
    </row>
    <row r="571" ht="15.75" customHeight="1">
      <c r="X571" s="646"/>
      <c r="Y571" s="646"/>
      <c r="Z571" s="646"/>
      <c r="AA571" s="646"/>
      <c r="AB571" s="646"/>
      <c r="AC571" s="646"/>
      <c r="AD571" s="646"/>
      <c r="AE571" s="646"/>
    </row>
    <row r="572" ht="15.75" customHeight="1">
      <c r="X572" s="646"/>
      <c r="Y572" s="646"/>
      <c r="Z572" s="646"/>
      <c r="AA572" s="646"/>
      <c r="AB572" s="646"/>
      <c r="AC572" s="646"/>
      <c r="AD572" s="646"/>
      <c r="AE572" s="646"/>
    </row>
    <row r="573" ht="15.75" customHeight="1">
      <c r="X573" s="646"/>
      <c r="Y573" s="646"/>
      <c r="Z573" s="646"/>
      <c r="AA573" s="646"/>
      <c r="AB573" s="646"/>
      <c r="AC573" s="646"/>
      <c r="AD573" s="646"/>
      <c r="AE573" s="646"/>
    </row>
    <row r="574" ht="15.75" customHeight="1">
      <c r="X574" s="646"/>
      <c r="Y574" s="646"/>
      <c r="Z574" s="646"/>
      <c r="AA574" s="646"/>
      <c r="AB574" s="646"/>
      <c r="AC574" s="646"/>
      <c r="AD574" s="646"/>
      <c r="AE574" s="646"/>
    </row>
    <row r="575" ht="15.75" customHeight="1">
      <c r="X575" s="646"/>
      <c r="Y575" s="646"/>
      <c r="Z575" s="646"/>
      <c r="AA575" s="646"/>
      <c r="AB575" s="646"/>
      <c r="AC575" s="646"/>
      <c r="AD575" s="646"/>
      <c r="AE575" s="646"/>
    </row>
    <row r="576" ht="15.75" customHeight="1">
      <c r="X576" s="646"/>
      <c r="Y576" s="646"/>
      <c r="Z576" s="646"/>
      <c r="AA576" s="646"/>
      <c r="AB576" s="646"/>
      <c r="AC576" s="646"/>
      <c r="AD576" s="646"/>
      <c r="AE576" s="646"/>
    </row>
    <row r="577" ht="15.75" customHeight="1">
      <c r="X577" s="646"/>
      <c r="Y577" s="646"/>
      <c r="Z577" s="646"/>
      <c r="AA577" s="646"/>
      <c r="AB577" s="646"/>
      <c r="AC577" s="646"/>
      <c r="AD577" s="646"/>
      <c r="AE577" s="646"/>
    </row>
    <row r="578" ht="15.75" customHeight="1">
      <c r="X578" s="646"/>
      <c r="Y578" s="646"/>
      <c r="Z578" s="646"/>
      <c r="AA578" s="646"/>
      <c r="AB578" s="646"/>
      <c r="AC578" s="646"/>
      <c r="AD578" s="646"/>
      <c r="AE578" s="646"/>
    </row>
    <row r="579" ht="15.75" customHeight="1">
      <c r="X579" s="646"/>
      <c r="Y579" s="646"/>
      <c r="Z579" s="646"/>
      <c r="AA579" s="646"/>
      <c r="AB579" s="646"/>
      <c r="AC579" s="646"/>
      <c r="AD579" s="646"/>
      <c r="AE579" s="646"/>
    </row>
    <row r="580" ht="15.75" customHeight="1">
      <c r="X580" s="646"/>
      <c r="Y580" s="646"/>
      <c r="Z580" s="646"/>
      <c r="AA580" s="646"/>
      <c r="AB580" s="646"/>
      <c r="AC580" s="646"/>
      <c r="AD580" s="646"/>
      <c r="AE580" s="646"/>
    </row>
    <row r="581" ht="15.75" customHeight="1">
      <c r="X581" s="646"/>
      <c r="Y581" s="646"/>
      <c r="Z581" s="646"/>
      <c r="AA581" s="646"/>
      <c r="AB581" s="646"/>
      <c r="AC581" s="646"/>
      <c r="AD581" s="646"/>
      <c r="AE581" s="646"/>
    </row>
    <row r="582" ht="15.75" customHeight="1">
      <c r="X582" s="646"/>
      <c r="Y582" s="646"/>
      <c r="Z582" s="646"/>
      <c r="AA582" s="646"/>
      <c r="AB582" s="646"/>
      <c r="AC582" s="646"/>
      <c r="AD582" s="646"/>
      <c r="AE582" s="646"/>
    </row>
    <row r="583" ht="15.75" customHeight="1">
      <c r="X583" s="646"/>
      <c r="Y583" s="646"/>
      <c r="Z583" s="646"/>
      <c r="AA583" s="646"/>
      <c r="AB583" s="646"/>
      <c r="AC583" s="646"/>
      <c r="AD583" s="646"/>
      <c r="AE583" s="646"/>
    </row>
    <row r="584" ht="15.75" customHeight="1">
      <c r="X584" s="646"/>
      <c r="Y584" s="646"/>
      <c r="Z584" s="646"/>
      <c r="AA584" s="646"/>
      <c r="AB584" s="646"/>
      <c r="AC584" s="646"/>
      <c r="AD584" s="646"/>
      <c r="AE584" s="646"/>
    </row>
    <row r="585" ht="15.75" customHeight="1">
      <c r="X585" s="646"/>
      <c r="Y585" s="646"/>
      <c r="Z585" s="646"/>
      <c r="AA585" s="646"/>
      <c r="AB585" s="646"/>
      <c r="AC585" s="646"/>
      <c r="AD585" s="646"/>
      <c r="AE585" s="646"/>
    </row>
    <row r="586" ht="15.75" customHeight="1">
      <c r="X586" s="646"/>
      <c r="Y586" s="646"/>
      <c r="Z586" s="646"/>
      <c r="AA586" s="646"/>
      <c r="AB586" s="646"/>
      <c r="AC586" s="646"/>
      <c r="AD586" s="646"/>
      <c r="AE586" s="646"/>
    </row>
    <row r="587" ht="15.75" customHeight="1">
      <c r="X587" s="646"/>
      <c r="Y587" s="646"/>
      <c r="Z587" s="646"/>
      <c r="AA587" s="646"/>
      <c r="AB587" s="646"/>
      <c r="AC587" s="646"/>
      <c r="AD587" s="646"/>
      <c r="AE587" s="646"/>
    </row>
    <row r="588" ht="15.75" customHeight="1">
      <c r="X588" s="646"/>
      <c r="Y588" s="646"/>
      <c r="Z588" s="646"/>
      <c r="AA588" s="646"/>
      <c r="AB588" s="646"/>
      <c r="AC588" s="646"/>
      <c r="AD588" s="646"/>
      <c r="AE588" s="646"/>
    </row>
    <row r="589" ht="15.75" customHeight="1">
      <c r="X589" s="646"/>
      <c r="Y589" s="646"/>
      <c r="Z589" s="646"/>
      <c r="AA589" s="646"/>
      <c r="AB589" s="646"/>
      <c r="AC589" s="646"/>
      <c r="AD589" s="646"/>
      <c r="AE589" s="646"/>
    </row>
    <row r="590" ht="15.75" customHeight="1">
      <c r="X590" s="646"/>
      <c r="Y590" s="646"/>
      <c r="Z590" s="646"/>
      <c r="AA590" s="646"/>
      <c r="AB590" s="646"/>
      <c r="AC590" s="646"/>
      <c r="AD590" s="646"/>
      <c r="AE590" s="646"/>
    </row>
    <row r="591" ht="15.75" customHeight="1">
      <c r="X591" s="646"/>
      <c r="Y591" s="646"/>
      <c r="Z591" s="646"/>
      <c r="AA591" s="646"/>
      <c r="AB591" s="646"/>
      <c r="AC591" s="646"/>
      <c r="AD591" s="646"/>
      <c r="AE591" s="646"/>
    </row>
    <row r="592" ht="15.75" customHeight="1">
      <c r="X592" s="646"/>
      <c r="Y592" s="646"/>
      <c r="Z592" s="646"/>
      <c r="AA592" s="646"/>
      <c r="AB592" s="646"/>
      <c r="AC592" s="646"/>
      <c r="AD592" s="646"/>
      <c r="AE592" s="646"/>
    </row>
    <row r="593" ht="15.75" customHeight="1">
      <c r="X593" s="646"/>
      <c r="Y593" s="646"/>
      <c r="Z593" s="646"/>
      <c r="AA593" s="646"/>
      <c r="AB593" s="646"/>
      <c r="AC593" s="646"/>
      <c r="AD593" s="646"/>
      <c r="AE593" s="646"/>
    </row>
    <row r="594" ht="15.75" customHeight="1">
      <c r="X594" s="646"/>
      <c r="Y594" s="646"/>
      <c r="Z594" s="646"/>
      <c r="AA594" s="646"/>
      <c r="AB594" s="646"/>
      <c r="AC594" s="646"/>
      <c r="AD594" s="646"/>
      <c r="AE594" s="646"/>
    </row>
    <row r="595" ht="15.75" customHeight="1">
      <c r="X595" s="646"/>
      <c r="Y595" s="646"/>
      <c r="Z595" s="646"/>
      <c r="AA595" s="646"/>
      <c r="AB595" s="646"/>
      <c r="AC595" s="646"/>
      <c r="AD595" s="646"/>
      <c r="AE595" s="646"/>
    </row>
    <row r="596" ht="15.75" customHeight="1">
      <c r="X596" s="646"/>
      <c r="Y596" s="646"/>
      <c r="Z596" s="646"/>
      <c r="AA596" s="646"/>
      <c r="AB596" s="646"/>
      <c r="AC596" s="646"/>
      <c r="AD596" s="646"/>
      <c r="AE596" s="646"/>
    </row>
    <row r="597" ht="15.75" customHeight="1">
      <c r="X597" s="646"/>
      <c r="Y597" s="646"/>
      <c r="Z597" s="646"/>
      <c r="AA597" s="646"/>
      <c r="AB597" s="646"/>
      <c r="AC597" s="646"/>
      <c r="AD597" s="646"/>
      <c r="AE597" s="646"/>
    </row>
    <row r="598" ht="15.75" customHeight="1">
      <c r="X598" s="646"/>
      <c r="Y598" s="646"/>
      <c r="Z598" s="646"/>
      <c r="AA598" s="646"/>
      <c r="AB598" s="646"/>
      <c r="AC598" s="646"/>
      <c r="AD598" s="646"/>
      <c r="AE598" s="646"/>
    </row>
    <row r="599" ht="15.75" customHeight="1">
      <c r="X599" s="646"/>
      <c r="Y599" s="646"/>
      <c r="Z599" s="646"/>
      <c r="AA599" s="646"/>
      <c r="AB599" s="646"/>
      <c r="AC599" s="646"/>
      <c r="AD599" s="646"/>
      <c r="AE599" s="646"/>
    </row>
    <row r="600" ht="15.75" customHeight="1">
      <c r="X600" s="646"/>
      <c r="Y600" s="646"/>
      <c r="Z600" s="646"/>
      <c r="AA600" s="646"/>
      <c r="AB600" s="646"/>
      <c r="AC600" s="646"/>
      <c r="AD600" s="646"/>
      <c r="AE600" s="646"/>
    </row>
    <row r="601" ht="15.75" customHeight="1">
      <c r="X601" s="646"/>
      <c r="Y601" s="646"/>
      <c r="Z601" s="646"/>
      <c r="AA601" s="646"/>
      <c r="AB601" s="646"/>
      <c r="AC601" s="646"/>
      <c r="AD601" s="646"/>
      <c r="AE601" s="646"/>
    </row>
    <row r="602" ht="15.75" customHeight="1">
      <c r="X602" s="646"/>
      <c r="Y602" s="646"/>
      <c r="Z602" s="646"/>
      <c r="AA602" s="646"/>
      <c r="AB602" s="646"/>
      <c r="AC602" s="646"/>
      <c r="AD602" s="646"/>
      <c r="AE602" s="646"/>
    </row>
    <row r="603" ht="15.75" customHeight="1">
      <c r="X603" s="646"/>
      <c r="Y603" s="646"/>
      <c r="Z603" s="646"/>
      <c r="AA603" s="646"/>
      <c r="AB603" s="646"/>
      <c r="AC603" s="646"/>
      <c r="AD603" s="646"/>
      <c r="AE603" s="646"/>
    </row>
    <row r="604" ht="15.75" customHeight="1">
      <c r="X604" s="646"/>
      <c r="Y604" s="646"/>
      <c r="Z604" s="646"/>
      <c r="AA604" s="646"/>
      <c r="AB604" s="646"/>
      <c r="AC604" s="646"/>
      <c r="AD604" s="646"/>
      <c r="AE604" s="646"/>
    </row>
    <row r="605" ht="15.75" customHeight="1">
      <c r="X605" s="646"/>
      <c r="Y605" s="646"/>
      <c r="Z605" s="646"/>
      <c r="AA605" s="646"/>
      <c r="AB605" s="646"/>
      <c r="AC605" s="646"/>
      <c r="AD605" s="646"/>
      <c r="AE605" s="646"/>
    </row>
    <row r="606" ht="15.75" customHeight="1">
      <c r="X606" s="646"/>
      <c r="Y606" s="646"/>
      <c r="Z606" s="646"/>
      <c r="AA606" s="646"/>
      <c r="AB606" s="646"/>
      <c r="AC606" s="646"/>
      <c r="AD606" s="646"/>
      <c r="AE606" s="646"/>
    </row>
    <row r="607" ht="15.75" customHeight="1">
      <c r="X607" s="646"/>
      <c r="Y607" s="646"/>
      <c r="Z607" s="646"/>
      <c r="AA607" s="646"/>
      <c r="AB607" s="646"/>
      <c r="AC607" s="646"/>
      <c r="AD607" s="646"/>
      <c r="AE607" s="646"/>
    </row>
    <row r="608" ht="15.75" customHeight="1">
      <c r="X608" s="646"/>
      <c r="Y608" s="646"/>
      <c r="Z608" s="646"/>
      <c r="AA608" s="646"/>
      <c r="AB608" s="646"/>
      <c r="AC608" s="646"/>
      <c r="AD608" s="646"/>
      <c r="AE608" s="646"/>
    </row>
    <row r="609" ht="15.75" customHeight="1">
      <c r="X609" s="646"/>
      <c r="Y609" s="646"/>
      <c r="Z609" s="646"/>
      <c r="AA609" s="646"/>
      <c r="AB609" s="646"/>
      <c r="AC609" s="646"/>
      <c r="AD609" s="646"/>
      <c r="AE609" s="646"/>
    </row>
    <row r="610" ht="15.75" customHeight="1">
      <c r="X610" s="646"/>
      <c r="Y610" s="646"/>
      <c r="Z610" s="646"/>
      <c r="AA610" s="646"/>
      <c r="AB610" s="646"/>
      <c r="AC610" s="646"/>
      <c r="AD610" s="646"/>
      <c r="AE610" s="646"/>
    </row>
    <row r="611" ht="15.75" customHeight="1">
      <c r="X611" s="646"/>
      <c r="Y611" s="646"/>
      <c r="Z611" s="646"/>
      <c r="AA611" s="646"/>
      <c r="AB611" s="646"/>
      <c r="AC611" s="646"/>
      <c r="AD611" s="646"/>
      <c r="AE611" s="646"/>
    </row>
    <row r="612" ht="15.75" customHeight="1">
      <c r="X612" s="646"/>
      <c r="Y612" s="646"/>
      <c r="Z612" s="646"/>
      <c r="AA612" s="646"/>
      <c r="AB612" s="646"/>
      <c r="AC612" s="646"/>
      <c r="AD612" s="646"/>
      <c r="AE612" s="646"/>
    </row>
    <row r="613" ht="15.75" customHeight="1">
      <c r="X613" s="646"/>
      <c r="Y613" s="646"/>
      <c r="Z613" s="646"/>
      <c r="AA613" s="646"/>
      <c r="AB613" s="646"/>
      <c r="AC613" s="646"/>
      <c r="AD613" s="646"/>
      <c r="AE613" s="646"/>
    </row>
    <row r="614" ht="15.75" customHeight="1">
      <c r="X614" s="646"/>
      <c r="Y614" s="646"/>
      <c r="Z614" s="646"/>
      <c r="AA614" s="646"/>
      <c r="AB614" s="646"/>
      <c r="AC614" s="646"/>
      <c r="AD614" s="646"/>
      <c r="AE614" s="646"/>
    </row>
    <row r="615" ht="15.75" customHeight="1">
      <c r="X615" s="646"/>
      <c r="Y615" s="646"/>
      <c r="Z615" s="646"/>
      <c r="AA615" s="646"/>
      <c r="AB615" s="646"/>
      <c r="AC615" s="646"/>
      <c r="AD615" s="646"/>
      <c r="AE615" s="646"/>
    </row>
    <row r="616" ht="15.75" customHeight="1">
      <c r="X616" s="646"/>
      <c r="Y616" s="646"/>
      <c r="Z616" s="646"/>
      <c r="AA616" s="646"/>
      <c r="AB616" s="646"/>
      <c r="AC616" s="646"/>
      <c r="AD616" s="646"/>
      <c r="AE616" s="646"/>
    </row>
    <row r="617" ht="15.75" customHeight="1">
      <c r="X617" s="646"/>
      <c r="Y617" s="646"/>
      <c r="Z617" s="646"/>
      <c r="AA617" s="646"/>
      <c r="AB617" s="646"/>
      <c r="AC617" s="646"/>
      <c r="AD617" s="646"/>
      <c r="AE617" s="646"/>
    </row>
    <row r="618" ht="15.75" customHeight="1">
      <c r="X618" s="646"/>
      <c r="Y618" s="646"/>
      <c r="Z618" s="646"/>
      <c r="AA618" s="646"/>
      <c r="AB618" s="646"/>
      <c r="AC618" s="646"/>
      <c r="AD618" s="646"/>
      <c r="AE618" s="646"/>
    </row>
    <row r="619" ht="15.75" customHeight="1">
      <c r="X619" s="646"/>
      <c r="Y619" s="646"/>
      <c r="Z619" s="646"/>
      <c r="AA619" s="646"/>
      <c r="AB619" s="646"/>
      <c r="AC619" s="646"/>
      <c r="AD619" s="646"/>
      <c r="AE619" s="646"/>
    </row>
    <row r="620" ht="15.75" customHeight="1">
      <c r="X620" s="646"/>
      <c r="Y620" s="646"/>
      <c r="Z620" s="646"/>
      <c r="AA620" s="646"/>
      <c r="AB620" s="646"/>
      <c r="AC620" s="646"/>
      <c r="AD620" s="646"/>
      <c r="AE620" s="646"/>
    </row>
    <row r="621" ht="15.75" customHeight="1">
      <c r="X621" s="646"/>
      <c r="Y621" s="646"/>
      <c r="Z621" s="646"/>
      <c r="AA621" s="646"/>
      <c r="AB621" s="646"/>
      <c r="AC621" s="646"/>
      <c r="AD621" s="646"/>
      <c r="AE621" s="646"/>
    </row>
    <row r="622" ht="15.75" customHeight="1">
      <c r="X622" s="646"/>
      <c r="Y622" s="646"/>
      <c r="Z622" s="646"/>
      <c r="AA622" s="646"/>
      <c r="AB622" s="646"/>
      <c r="AC622" s="646"/>
      <c r="AD622" s="646"/>
      <c r="AE622" s="646"/>
    </row>
    <row r="623" ht="15.75" customHeight="1">
      <c r="X623" s="646"/>
      <c r="Y623" s="646"/>
      <c r="Z623" s="646"/>
      <c r="AA623" s="646"/>
      <c r="AB623" s="646"/>
      <c r="AC623" s="646"/>
      <c r="AD623" s="646"/>
      <c r="AE623" s="646"/>
    </row>
    <row r="624" ht="15.75" customHeight="1">
      <c r="X624" s="646"/>
      <c r="Y624" s="646"/>
      <c r="Z624" s="646"/>
      <c r="AA624" s="646"/>
      <c r="AB624" s="646"/>
      <c r="AC624" s="646"/>
      <c r="AD624" s="646"/>
      <c r="AE624" s="646"/>
    </row>
    <row r="625" ht="15.75" customHeight="1">
      <c r="X625" s="646"/>
      <c r="Y625" s="646"/>
      <c r="Z625" s="646"/>
      <c r="AA625" s="646"/>
      <c r="AB625" s="646"/>
      <c r="AC625" s="646"/>
      <c r="AD625" s="646"/>
      <c r="AE625" s="646"/>
    </row>
    <row r="626" ht="15.75" customHeight="1">
      <c r="X626" s="646"/>
      <c r="Y626" s="646"/>
      <c r="Z626" s="646"/>
      <c r="AA626" s="646"/>
      <c r="AB626" s="646"/>
      <c r="AC626" s="646"/>
      <c r="AD626" s="646"/>
      <c r="AE626" s="646"/>
    </row>
    <row r="627" ht="15.75" customHeight="1">
      <c r="X627" s="646"/>
      <c r="Y627" s="646"/>
      <c r="Z627" s="646"/>
      <c r="AA627" s="646"/>
      <c r="AB627" s="646"/>
      <c r="AC627" s="646"/>
      <c r="AD627" s="646"/>
      <c r="AE627" s="646"/>
    </row>
    <row r="628" ht="15.75" customHeight="1">
      <c r="X628" s="646"/>
      <c r="Y628" s="646"/>
      <c r="Z628" s="646"/>
      <c r="AA628" s="646"/>
      <c r="AB628" s="646"/>
      <c r="AC628" s="646"/>
      <c r="AD628" s="646"/>
      <c r="AE628" s="646"/>
    </row>
    <row r="629" ht="15.75" customHeight="1">
      <c r="X629" s="646"/>
      <c r="Y629" s="646"/>
      <c r="Z629" s="646"/>
      <c r="AA629" s="646"/>
      <c r="AB629" s="646"/>
      <c r="AC629" s="646"/>
      <c r="AD629" s="646"/>
      <c r="AE629" s="646"/>
    </row>
    <row r="630" ht="15.75" customHeight="1">
      <c r="X630" s="646"/>
      <c r="Y630" s="646"/>
      <c r="Z630" s="646"/>
      <c r="AA630" s="646"/>
      <c r="AB630" s="646"/>
      <c r="AC630" s="646"/>
      <c r="AD630" s="646"/>
      <c r="AE630" s="646"/>
    </row>
    <row r="631" ht="15.75" customHeight="1">
      <c r="X631" s="646"/>
      <c r="Y631" s="646"/>
      <c r="Z631" s="646"/>
      <c r="AA631" s="646"/>
      <c r="AB631" s="646"/>
      <c r="AC631" s="646"/>
      <c r="AD631" s="646"/>
      <c r="AE631" s="646"/>
    </row>
    <row r="632" ht="15.75" customHeight="1">
      <c r="X632" s="646"/>
      <c r="Y632" s="646"/>
      <c r="Z632" s="646"/>
      <c r="AA632" s="646"/>
      <c r="AB632" s="646"/>
      <c r="AC632" s="646"/>
      <c r="AD632" s="646"/>
      <c r="AE632" s="646"/>
    </row>
    <row r="633" ht="15.75" customHeight="1">
      <c r="X633" s="646"/>
      <c r="Y633" s="646"/>
      <c r="Z633" s="646"/>
      <c r="AA633" s="646"/>
      <c r="AB633" s="646"/>
      <c r="AC633" s="646"/>
      <c r="AD633" s="646"/>
      <c r="AE633" s="646"/>
    </row>
    <row r="634" ht="15.75" customHeight="1">
      <c r="X634" s="646"/>
      <c r="Y634" s="646"/>
      <c r="Z634" s="646"/>
      <c r="AA634" s="646"/>
      <c r="AB634" s="646"/>
      <c r="AC634" s="646"/>
      <c r="AD634" s="646"/>
      <c r="AE634" s="646"/>
    </row>
    <row r="635" ht="15.75" customHeight="1">
      <c r="X635" s="646"/>
      <c r="Y635" s="646"/>
      <c r="Z635" s="646"/>
      <c r="AA635" s="646"/>
      <c r="AB635" s="646"/>
      <c r="AC635" s="646"/>
      <c r="AD635" s="646"/>
      <c r="AE635" s="646"/>
    </row>
    <row r="636" ht="15.75" customHeight="1">
      <c r="X636" s="646"/>
      <c r="Y636" s="646"/>
      <c r="Z636" s="646"/>
      <c r="AA636" s="646"/>
      <c r="AB636" s="646"/>
      <c r="AC636" s="646"/>
      <c r="AD636" s="646"/>
      <c r="AE636" s="646"/>
    </row>
    <row r="637" ht="15.75" customHeight="1">
      <c r="X637" s="646"/>
      <c r="Y637" s="646"/>
      <c r="Z637" s="646"/>
      <c r="AA637" s="646"/>
      <c r="AB637" s="646"/>
      <c r="AC637" s="646"/>
      <c r="AD637" s="646"/>
      <c r="AE637" s="646"/>
    </row>
    <row r="638" ht="15.75" customHeight="1">
      <c r="X638" s="646"/>
      <c r="Y638" s="646"/>
      <c r="Z638" s="646"/>
      <c r="AA638" s="646"/>
      <c r="AB638" s="646"/>
      <c r="AC638" s="646"/>
      <c r="AD638" s="646"/>
      <c r="AE638" s="646"/>
    </row>
    <row r="639" ht="15.75" customHeight="1">
      <c r="X639" s="646"/>
      <c r="Y639" s="646"/>
      <c r="Z639" s="646"/>
      <c r="AA639" s="646"/>
      <c r="AB639" s="646"/>
      <c r="AC639" s="646"/>
      <c r="AD639" s="646"/>
      <c r="AE639" s="646"/>
    </row>
    <row r="640" ht="15.75" customHeight="1">
      <c r="X640" s="646"/>
      <c r="Y640" s="646"/>
      <c r="Z640" s="646"/>
      <c r="AA640" s="646"/>
      <c r="AB640" s="646"/>
      <c r="AC640" s="646"/>
      <c r="AD640" s="646"/>
      <c r="AE640" s="646"/>
    </row>
    <row r="641" ht="15.75" customHeight="1">
      <c r="X641" s="646"/>
      <c r="Y641" s="646"/>
      <c r="Z641" s="646"/>
      <c r="AA641" s="646"/>
      <c r="AB641" s="646"/>
      <c r="AC641" s="646"/>
      <c r="AD641" s="646"/>
      <c r="AE641" s="646"/>
    </row>
    <row r="642" ht="15.75" customHeight="1">
      <c r="X642" s="646"/>
      <c r="Y642" s="646"/>
      <c r="Z642" s="646"/>
      <c r="AA642" s="646"/>
      <c r="AB642" s="646"/>
      <c r="AC642" s="646"/>
      <c r="AD642" s="646"/>
      <c r="AE642" s="646"/>
    </row>
    <row r="643" ht="15.75" customHeight="1">
      <c r="X643" s="646"/>
      <c r="Y643" s="646"/>
      <c r="Z643" s="646"/>
      <c r="AA643" s="646"/>
      <c r="AB643" s="646"/>
      <c r="AC643" s="646"/>
      <c r="AD643" s="646"/>
      <c r="AE643" s="646"/>
    </row>
    <row r="644" ht="15.75" customHeight="1">
      <c r="X644" s="646"/>
      <c r="Y644" s="646"/>
      <c r="Z644" s="646"/>
      <c r="AA644" s="646"/>
      <c r="AB644" s="646"/>
      <c r="AC644" s="646"/>
      <c r="AD644" s="646"/>
      <c r="AE644" s="646"/>
    </row>
    <row r="645" ht="15.75" customHeight="1">
      <c r="X645" s="646"/>
      <c r="Y645" s="646"/>
      <c r="Z645" s="646"/>
      <c r="AA645" s="646"/>
      <c r="AB645" s="646"/>
      <c r="AC645" s="646"/>
      <c r="AD645" s="646"/>
      <c r="AE645" s="646"/>
    </row>
    <row r="646" ht="15.75" customHeight="1">
      <c r="X646" s="646"/>
      <c r="Y646" s="646"/>
      <c r="Z646" s="646"/>
      <c r="AA646" s="646"/>
      <c r="AB646" s="646"/>
      <c r="AC646" s="646"/>
      <c r="AD646" s="646"/>
      <c r="AE646" s="646"/>
    </row>
    <row r="647" ht="15.75" customHeight="1">
      <c r="X647" s="646"/>
      <c r="Y647" s="646"/>
      <c r="Z647" s="646"/>
      <c r="AA647" s="646"/>
      <c r="AB647" s="646"/>
      <c r="AC647" s="646"/>
      <c r="AD647" s="646"/>
      <c r="AE647" s="646"/>
    </row>
    <row r="648" ht="15.75" customHeight="1">
      <c r="X648" s="646"/>
      <c r="Y648" s="646"/>
      <c r="Z648" s="646"/>
      <c r="AA648" s="646"/>
      <c r="AB648" s="646"/>
      <c r="AC648" s="646"/>
      <c r="AD648" s="646"/>
      <c r="AE648" s="646"/>
    </row>
    <row r="649" ht="15.75" customHeight="1">
      <c r="X649" s="646"/>
      <c r="Y649" s="646"/>
      <c r="Z649" s="646"/>
      <c r="AA649" s="646"/>
      <c r="AB649" s="646"/>
      <c r="AC649" s="646"/>
      <c r="AD649" s="646"/>
      <c r="AE649" s="646"/>
    </row>
    <row r="650" ht="15.75" customHeight="1">
      <c r="X650" s="646"/>
      <c r="Y650" s="646"/>
      <c r="Z650" s="646"/>
      <c r="AA650" s="646"/>
      <c r="AB650" s="646"/>
      <c r="AC650" s="646"/>
      <c r="AD650" s="646"/>
      <c r="AE650" s="646"/>
    </row>
    <row r="651" ht="15.75" customHeight="1">
      <c r="X651" s="646"/>
      <c r="Y651" s="646"/>
      <c r="Z651" s="646"/>
      <c r="AA651" s="646"/>
      <c r="AB651" s="646"/>
      <c r="AC651" s="646"/>
      <c r="AD651" s="646"/>
      <c r="AE651" s="646"/>
    </row>
    <row r="652" ht="15.75" customHeight="1">
      <c r="X652" s="646"/>
      <c r="Y652" s="646"/>
      <c r="Z652" s="646"/>
      <c r="AA652" s="646"/>
      <c r="AB652" s="646"/>
      <c r="AC652" s="646"/>
      <c r="AD652" s="646"/>
      <c r="AE652" s="646"/>
    </row>
    <row r="653" ht="15.75" customHeight="1">
      <c r="X653" s="646"/>
      <c r="Y653" s="646"/>
      <c r="Z653" s="646"/>
      <c r="AA653" s="646"/>
      <c r="AB653" s="646"/>
      <c r="AC653" s="646"/>
      <c r="AD653" s="646"/>
      <c r="AE653" s="646"/>
    </row>
    <row r="654" ht="15.75" customHeight="1">
      <c r="X654" s="646"/>
      <c r="Y654" s="646"/>
      <c r="Z654" s="646"/>
      <c r="AA654" s="646"/>
      <c r="AB654" s="646"/>
      <c r="AC654" s="646"/>
      <c r="AD654" s="646"/>
      <c r="AE654" s="646"/>
    </row>
    <row r="655" ht="15.75" customHeight="1">
      <c r="X655" s="646"/>
      <c r="Y655" s="646"/>
      <c r="Z655" s="646"/>
      <c r="AA655" s="646"/>
      <c r="AB655" s="646"/>
      <c r="AC655" s="646"/>
      <c r="AD655" s="646"/>
      <c r="AE655" s="646"/>
    </row>
    <row r="656" ht="15.75" customHeight="1">
      <c r="X656" s="646"/>
      <c r="Y656" s="646"/>
      <c r="Z656" s="646"/>
      <c r="AA656" s="646"/>
      <c r="AB656" s="646"/>
      <c r="AC656" s="646"/>
      <c r="AD656" s="646"/>
      <c r="AE656" s="646"/>
    </row>
    <row r="657" ht="15.75" customHeight="1">
      <c r="X657" s="646"/>
      <c r="Y657" s="646"/>
      <c r="Z657" s="646"/>
      <c r="AA657" s="646"/>
      <c r="AB657" s="646"/>
      <c r="AC657" s="646"/>
      <c r="AD657" s="646"/>
      <c r="AE657" s="646"/>
    </row>
    <row r="658" ht="15.75" customHeight="1">
      <c r="X658" s="646"/>
      <c r="Y658" s="646"/>
      <c r="Z658" s="646"/>
      <c r="AA658" s="646"/>
      <c r="AB658" s="646"/>
      <c r="AC658" s="646"/>
      <c r="AD658" s="646"/>
      <c r="AE658" s="646"/>
    </row>
    <row r="659" ht="15.75" customHeight="1">
      <c r="X659" s="646"/>
      <c r="Y659" s="646"/>
      <c r="Z659" s="646"/>
      <c r="AA659" s="646"/>
      <c r="AB659" s="646"/>
      <c r="AC659" s="646"/>
      <c r="AD659" s="646"/>
      <c r="AE659" s="646"/>
    </row>
    <row r="660" ht="15.75" customHeight="1">
      <c r="X660" s="646"/>
      <c r="Y660" s="646"/>
      <c r="Z660" s="646"/>
      <c r="AA660" s="646"/>
      <c r="AB660" s="646"/>
      <c r="AC660" s="646"/>
      <c r="AD660" s="646"/>
      <c r="AE660" s="646"/>
    </row>
    <row r="661" ht="15.75" customHeight="1">
      <c r="X661" s="646"/>
      <c r="Y661" s="646"/>
      <c r="Z661" s="646"/>
      <c r="AA661" s="646"/>
      <c r="AB661" s="646"/>
      <c r="AC661" s="646"/>
      <c r="AD661" s="646"/>
      <c r="AE661" s="646"/>
    </row>
    <row r="662" ht="15.75" customHeight="1">
      <c r="X662" s="646"/>
      <c r="Y662" s="646"/>
      <c r="Z662" s="646"/>
      <c r="AA662" s="646"/>
      <c r="AB662" s="646"/>
      <c r="AC662" s="646"/>
      <c r="AD662" s="646"/>
      <c r="AE662" s="646"/>
    </row>
    <row r="663" ht="15.75" customHeight="1">
      <c r="X663" s="646"/>
      <c r="Y663" s="646"/>
      <c r="Z663" s="646"/>
      <c r="AA663" s="646"/>
      <c r="AB663" s="646"/>
      <c r="AC663" s="646"/>
      <c r="AD663" s="646"/>
      <c r="AE663" s="646"/>
    </row>
    <row r="664" ht="15.75" customHeight="1">
      <c r="X664" s="646"/>
      <c r="Y664" s="646"/>
      <c r="Z664" s="646"/>
      <c r="AA664" s="646"/>
      <c r="AB664" s="646"/>
      <c r="AC664" s="646"/>
      <c r="AD664" s="646"/>
      <c r="AE664" s="646"/>
    </row>
    <row r="665" ht="15.75" customHeight="1">
      <c r="X665" s="646"/>
      <c r="Y665" s="646"/>
      <c r="Z665" s="646"/>
      <c r="AA665" s="646"/>
      <c r="AB665" s="646"/>
      <c r="AC665" s="646"/>
      <c r="AD665" s="646"/>
      <c r="AE665" s="646"/>
    </row>
    <row r="666" ht="15.75" customHeight="1">
      <c r="X666" s="646"/>
      <c r="Y666" s="646"/>
      <c r="Z666" s="646"/>
      <c r="AA666" s="646"/>
      <c r="AB666" s="646"/>
      <c r="AC666" s="646"/>
      <c r="AD666" s="646"/>
      <c r="AE666" s="646"/>
    </row>
    <row r="667" ht="15.75" customHeight="1">
      <c r="X667" s="646"/>
      <c r="Y667" s="646"/>
      <c r="Z667" s="646"/>
      <c r="AA667" s="646"/>
      <c r="AB667" s="646"/>
      <c r="AC667" s="646"/>
      <c r="AD667" s="646"/>
      <c r="AE667" s="646"/>
    </row>
    <row r="668" ht="15.75" customHeight="1">
      <c r="X668" s="646"/>
      <c r="Y668" s="646"/>
      <c r="Z668" s="646"/>
      <c r="AA668" s="646"/>
      <c r="AB668" s="646"/>
      <c r="AC668" s="646"/>
      <c r="AD668" s="646"/>
      <c r="AE668" s="646"/>
    </row>
    <row r="669" ht="15.75" customHeight="1">
      <c r="X669" s="646"/>
      <c r="Y669" s="646"/>
      <c r="Z669" s="646"/>
      <c r="AA669" s="646"/>
      <c r="AB669" s="646"/>
      <c r="AC669" s="646"/>
      <c r="AD669" s="646"/>
      <c r="AE669" s="646"/>
    </row>
    <row r="670" ht="15.75" customHeight="1">
      <c r="X670" s="646"/>
      <c r="Y670" s="646"/>
      <c r="Z670" s="646"/>
      <c r="AA670" s="646"/>
      <c r="AB670" s="646"/>
      <c r="AC670" s="646"/>
      <c r="AD670" s="646"/>
      <c r="AE670" s="646"/>
    </row>
    <row r="671" ht="15.75" customHeight="1">
      <c r="X671" s="646"/>
      <c r="Y671" s="646"/>
      <c r="Z671" s="646"/>
      <c r="AA671" s="646"/>
      <c r="AB671" s="646"/>
      <c r="AC671" s="646"/>
      <c r="AD671" s="646"/>
      <c r="AE671" s="646"/>
    </row>
    <row r="672" ht="15.75" customHeight="1">
      <c r="X672" s="646"/>
      <c r="Y672" s="646"/>
      <c r="Z672" s="646"/>
      <c r="AA672" s="646"/>
      <c r="AB672" s="646"/>
      <c r="AC672" s="646"/>
      <c r="AD672" s="646"/>
      <c r="AE672" s="646"/>
    </row>
    <row r="673" ht="15.75" customHeight="1">
      <c r="X673" s="646"/>
      <c r="Y673" s="646"/>
      <c r="Z673" s="646"/>
      <c r="AA673" s="646"/>
      <c r="AB673" s="646"/>
      <c r="AC673" s="646"/>
      <c r="AD673" s="646"/>
      <c r="AE673" s="646"/>
    </row>
    <row r="674" ht="15.75" customHeight="1">
      <c r="X674" s="646"/>
      <c r="Y674" s="646"/>
      <c r="Z674" s="646"/>
      <c r="AA674" s="646"/>
      <c r="AB674" s="646"/>
      <c r="AC674" s="646"/>
      <c r="AD674" s="646"/>
      <c r="AE674" s="646"/>
    </row>
    <row r="675" ht="15.75" customHeight="1">
      <c r="X675" s="646"/>
      <c r="Y675" s="646"/>
      <c r="Z675" s="646"/>
      <c r="AA675" s="646"/>
      <c r="AB675" s="646"/>
      <c r="AC675" s="646"/>
      <c r="AD675" s="646"/>
      <c r="AE675" s="646"/>
    </row>
    <row r="676" ht="15.75" customHeight="1">
      <c r="X676" s="646"/>
      <c r="Y676" s="646"/>
      <c r="Z676" s="646"/>
      <c r="AA676" s="646"/>
      <c r="AB676" s="646"/>
      <c r="AC676" s="646"/>
      <c r="AD676" s="646"/>
      <c r="AE676" s="646"/>
    </row>
    <row r="677" ht="15.75" customHeight="1">
      <c r="X677" s="646"/>
      <c r="Y677" s="646"/>
      <c r="Z677" s="646"/>
      <c r="AA677" s="646"/>
      <c r="AB677" s="646"/>
      <c r="AC677" s="646"/>
      <c r="AD677" s="646"/>
      <c r="AE677" s="646"/>
    </row>
    <row r="678" ht="15.75" customHeight="1">
      <c r="X678" s="646"/>
      <c r="Y678" s="646"/>
      <c r="Z678" s="646"/>
      <c r="AA678" s="646"/>
      <c r="AB678" s="646"/>
      <c r="AC678" s="646"/>
      <c r="AD678" s="646"/>
      <c r="AE678" s="646"/>
    </row>
    <row r="679" ht="15.75" customHeight="1">
      <c r="X679" s="646"/>
      <c r="Y679" s="646"/>
      <c r="Z679" s="646"/>
      <c r="AA679" s="646"/>
      <c r="AB679" s="646"/>
      <c r="AC679" s="646"/>
      <c r="AD679" s="646"/>
      <c r="AE679" s="646"/>
    </row>
    <row r="680" ht="15.75" customHeight="1">
      <c r="X680" s="646"/>
      <c r="Y680" s="646"/>
      <c r="Z680" s="646"/>
      <c r="AA680" s="646"/>
      <c r="AB680" s="646"/>
      <c r="AC680" s="646"/>
      <c r="AD680" s="646"/>
      <c r="AE680" s="646"/>
    </row>
    <row r="681" ht="15.75" customHeight="1">
      <c r="X681" s="646"/>
      <c r="Y681" s="646"/>
      <c r="Z681" s="646"/>
      <c r="AA681" s="646"/>
      <c r="AB681" s="646"/>
      <c r="AC681" s="646"/>
      <c r="AD681" s="646"/>
      <c r="AE681" s="646"/>
    </row>
    <row r="682" ht="15.75" customHeight="1">
      <c r="X682" s="646"/>
      <c r="Y682" s="646"/>
      <c r="Z682" s="646"/>
      <c r="AA682" s="646"/>
      <c r="AB682" s="646"/>
      <c r="AC682" s="646"/>
      <c r="AD682" s="646"/>
      <c r="AE682" s="646"/>
    </row>
    <row r="683" ht="15.75" customHeight="1">
      <c r="X683" s="646"/>
      <c r="Y683" s="646"/>
      <c r="Z683" s="646"/>
      <c r="AA683" s="646"/>
      <c r="AB683" s="646"/>
      <c r="AC683" s="646"/>
      <c r="AD683" s="646"/>
      <c r="AE683" s="646"/>
    </row>
    <row r="684" ht="15.75" customHeight="1">
      <c r="X684" s="646"/>
      <c r="Y684" s="646"/>
      <c r="Z684" s="646"/>
      <c r="AA684" s="646"/>
      <c r="AB684" s="646"/>
      <c r="AC684" s="646"/>
      <c r="AD684" s="646"/>
      <c r="AE684" s="646"/>
    </row>
    <row r="685" ht="15.75" customHeight="1">
      <c r="X685" s="646"/>
      <c r="Y685" s="646"/>
      <c r="Z685" s="646"/>
      <c r="AA685" s="646"/>
      <c r="AB685" s="646"/>
      <c r="AC685" s="646"/>
      <c r="AD685" s="646"/>
      <c r="AE685" s="646"/>
    </row>
    <row r="686" ht="15.75" customHeight="1">
      <c r="X686" s="646"/>
      <c r="Y686" s="646"/>
      <c r="Z686" s="646"/>
      <c r="AA686" s="646"/>
      <c r="AB686" s="646"/>
      <c r="AC686" s="646"/>
      <c r="AD686" s="646"/>
      <c r="AE686" s="646"/>
    </row>
    <row r="687" ht="15.75" customHeight="1">
      <c r="X687" s="646"/>
      <c r="Y687" s="646"/>
      <c r="Z687" s="646"/>
      <c r="AA687" s="646"/>
      <c r="AB687" s="646"/>
      <c r="AC687" s="646"/>
      <c r="AD687" s="646"/>
      <c r="AE687" s="646"/>
    </row>
    <row r="688" ht="15.75" customHeight="1">
      <c r="X688" s="646"/>
      <c r="Y688" s="646"/>
      <c r="Z688" s="646"/>
      <c r="AA688" s="646"/>
      <c r="AB688" s="646"/>
      <c r="AC688" s="646"/>
      <c r="AD688" s="646"/>
      <c r="AE688" s="646"/>
    </row>
    <row r="689" ht="15.75" customHeight="1">
      <c r="X689" s="646"/>
      <c r="Y689" s="646"/>
      <c r="Z689" s="646"/>
      <c r="AA689" s="646"/>
      <c r="AB689" s="646"/>
      <c r="AC689" s="646"/>
      <c r="AD689" s="646"/>
      <c r="AE689" s="646"/>
    </row>
    <row r="690" ht="15.75" customHeight="1">
      <c r="X690" s="646"/>
      <c r="Y690" s="646"/>
      <c r="Z690" s="646"/>
      <c r="AA690" s="646"/>
      <c r="AB690" s="646"/>
      <c r="AC690" s="646"/>
      <c r="AD690" s="646"/>
      <c r="AE690" s="646"/>
    </row>
    <row r="691" ht="15.75" customHeight="1">
      <c r="X691" s="646"/>
      <c r="Y691" s="646"/>
      <c r="Z691" s="646"/>
      <c r="AA691" s="646"/>
      <c r="AB691" s="646"/>
      <c r="AC691" s="646"/>
      <c r="AD691" s="646"/>
      <c r="AE691" s="646"/>
    </row>
    <row r="692" ht="15.75" customHeight="1">
      <c r="X692" s="646"/>
      <c r="Y692" s="646"/>
      <c r="Z692" s="646"/>
      <c r="AA692" s="646"/>
      <c r="AB692" s="646"/>
      <c r="AC692" s="646"/>
      <c r="AD692" s="646"/>
      <c r="AE692" s="646"/>
    </row>
    <row r="693" ht="15.75" customHeight="1">
      <c r="X693" s="646"/>
      <c r="Y693" s="646"/>
      <c r="Z693" s="646"/>
      <c r="AA693" s="646"/>
      <c r="AB693" s="646"/>
      <c r="AC693" s="646"/>
      <c r="AD693" s="646"/>
      <c r="AE693" s="646"/>
    </row>
    <row r="694" ht="15.75" customHeight="1">
      <c r="X694" s="646"/>
      <c r="Y694" s="646"/>
      <c r="Z694" s="646"/>
      <c r="AA694" s="646"/>
      <c r="AB694" s="646"/>
      <c r="AC694" s="646"/>
      <c r="AD694" s="646"/>
      <c r="AE694" s="646"/>
    </row>
    <row r="695" ht="15.75" customHeight="1">
      <c r="X695" s="646"/>
      <c r="Y695" s="646"/>
      <c r="Z695" s="646"/>
      <c r="AA695" s="646"/>
      <c r="AB695" s="646"/>
      <c r="AC695" s="646"/>
      <c r="AD695" s="646"/>
      <c r="AE695" s="646"/>
    </row>
    <row r="696" ht="15.75" customHeight="1">
      <c r="X696" s="646"/>
      <c r="Y696" s="646"/>
      <c r="Z696" s="646"/>
      <c r="AA696" s="646"/>
      <c r="AB696" s="646"/>
      <c r="AC696" s="646"/>
      <c r="AD696" s="646"/>
      <c r="AE696" s="646"/>
    </row>
    <row r="697" ht="15.75" customHeight="1">
      <c r="X697" s="646"/>
      <c r="Y697" s="646"/>
      <c r="Z697" s="646"/>
      <c r="AA697" s="646"/>
      <c r="AB697" s="646"/>
      <c r="AC697" s="646"/>
      <c r="AD697" s="646"/>
      <c r="AE697" s="646"/>
    </row>
    <row r="698" ht="15.75" customHeight="1">
      <c r="X698" s="646"/>
      <c r="Y698" s="646"/>
      <c r="Z698" s="646"/>
      <c r="AA698" s="646"/>
      <c r="AB698" s="646"/>
      <c r="AC698" s="646"/>
      <c r="AD698" s="646"/>
      <c r="AE698" s="646"/>
    </row>
    <row r="699" ht="15.75" customHeight="1">
      <c r="X699" s="646"/>
      <c r="Y699" s="646"/>
      <c r="Z699" s="646"/>
      <c r="AA699" s="646"/>
      <c r="AB699" s="646"/>
      <c r="AC699" s="646"/>
      <c r="AD699" s="646"/>
      <c r="AE699" s="646"/>
    </row>
    <row r="700" ht="15.75" customHeight="1">
      <c r="X700" s="646"/>
      <c r="Y700" s="646"/>
      <c r="Z700" s="646"/>
      <c r="AA700" s="646"/>
      <c r="AB700" s="646"/>
      <c r="AC700" s="646"/>
      <c r="AD700" s="646"/>
      <c r="AE700" s="646"/>
    </row>
    <row r="701" ht="15.75" customHeight="1">
      <c r="X701" s="646"/>
      <c r="Y701" s="646"/>
      <c r="Z701" s="646"/>
      <c r="AA701" s="646"/>
      <c r="AB701" s="646"/>
      <c r="AC701" s="646"/>
      <c r="AD701" s="646"/>
      <c r="AE701" s="646"/>
    </row>
    <row r="702" ht="15.75" customHeight="1">
      <c r="X702" s="646"/>
      <c r="Y702" s="646"/>
      <c r="Z702" s="646"/>
      <c r="AA702" s="646"/>
      <c r="AB702" s="646"/>
      <c r="AC702" s="646"/>
      <c r="AD702" s="646"/>
      <c r="AE702" s="646"/>
    </row>
    <row r="703" ht="15.75" customHeight="1">
      <c r="X703" s="646"/>
      <c r="Y703" s="646"/>
      <c r="Z703" s="646"/>
      <c r="AA703" s="646"/>
      <c r="AB703" s="646"/>
      <c r="AC703" s="646"/>
      <c r="AD703" s="646"/>
      <c r="AE703" s="646"/>
    </row>
    <row r="704" ht="15.75" customHeight="1">
      <c r="X704" s="646"/>
      <c r="Y704" s="646"/>
      <c r="Z704" s="646"/>
      <c r="AA704" s="646"/>
      <c r="AB704" s="646"/>
      <c r="AC704" s="646"/>
      <c r="AD704" s="646"/>
      <c r="AE704" s="646"/>
    </row>
    <row r="705" ht="15.75" customHeight="1">
      <c r="X705" s="646"/>
      <c r="Y705" s="646"/>
      <c r="Z705" s="646"/>
      <c r="AA705" s="646"/>
      <c r="AB705" s="646"/>
      <c r="AC705" s="646"/>
      <c r="AD705" s="646"/>
      <c r="AE705" s="646"/>
    </row>
    <row r="706" ht="15.75" customHeight="1">
      <c r="X706" s="646"/>
      <c r="Y706" s="646"/>
      <c r="Z706" s="646"/>
      <c r="AA706" s="646"/>
      <c r="AB706" s="646"/>
      <c r="AC706" s="646"/>
      <c r="AD706" s="646"/>
      <c r="AE706" s="646"/>
    </row>
    <row r="707" ht="15.75" customHeight="1">
      <c r="X707" s="646"/>
      <c r="Y707" s="646"/>
      <c r="Z707" s="646"/>
      <c r="AA707" s="646"/>
      <c r="AB707" s="646"/>
      <c r="AC707" s="646"/>
      <c r="AD707" s="646"/>
      <c r="AE707" s="646"/>
    </row>
    <row r="708" ht="15.75" customHeight="1">
      <c r="X708" s="646"/>
      <c r="Y708" s="646"/>
      <c r="Z708" s="646"/>
      <c r="AA708" s="646"/>
      <c r="AB708" s="646"/>
      <c r="AC708" s="646"/>
      <c r="AD708" s="646"/>
      <c r="AE708" s="646"/>
    </row>
    <row r="709" ht="15.75" customHeight="1">
      <c r="X709" s="646"/>
      <c r="Y709" s="646"/>
      <c r="Z709" s="646"/>
      <c r="AA709" s="646"/>
      <c r="AB709" s="646"/>
      <c r="AC709" s="646"/>
      <c r="AD709" s="646"/>
      <c r="AE709" s="646"/>
    </row>
    <row r="710" ht="15.75" customHeight="1">
      <c r="X710" s="646"/>
      <c r="Y710" s="646"/>
      <c r="Z710" s="646"/>
      <c r="AA710" s="646"/>
      <c r="AB710" s="646"/>
      <c r="AC710" s="646"/>
      <c r="AD710" s="646"/>
      <c r="AE710" s="646"/>
    </row>
    <row r="711" ht="15.75" customHeight="1">
      <c r="X711" s="646"/>
      <c r="Y711" s="646"/>
      <c r="Z711" s="646"/>
      <c r="AA711" s="646"/>
      <c r="AB711" s="646"/>
      <c r="AC711" s="646"/>
      <c r="AD711" s="646"/>
      <c r="AE711" s="646"/>
    </row>
    <row r="712" ht="15.75" customHeight="1">
      <c r="X712" s="646"/>
      <c r="Y712" s="646"/>
      <c r="Z712" s="646"/>
      <c r="AA712" s="646"/>
      <c r="AB712" s="646"/>
      <c r="AC712" s="646"/>
      <c r="AD712" s="646"/>
      <c r="AE712" s="646"/>
    </row>
    <row r="713" ht="15.75" customHeight="1">
      <c r="X713" s="646"/>
      <c r="Y713" s="646"/>
      <c r="Z713" s="646"/>
      <c r="AA713" s="646"/>
      <c r="AB713" s="646"/>
      <c r="AC713" s="646"/>
      <c r="AD713" s="646"/>
      <c r="AE713" s="646"/>
    </row>
    <row r="714" ht="15.75" customHeight="1">
      <c r="X714" s="646"/>
      <c r="Y714" s="646"/>
      <c r="Z714" s="646"/>
      <c r="AA714" s="646"/>
      <c r="AB714" s="646"/>
      <c r="AC714" s="646"/>
      <c r="AD714" s="646"/>
      <c r="AE714" s="646"/>
    </row>
    <row r="715" ht="15.75" customHeight="1">
      <c r="X715" s="646"/>
      <c r="Y715" s="646"/>
      <c r="Z715" s="646"/>
      <c r="AA715" s="646"/>
      <c r="AB715" s="646"/>
      <c r="AC715" s="646"/>
      <c r="AD715" s="646"/>
      <c r="AE715" s="646"/>
    </row>
    <row r="716" ht="15.75" customHeight="1">
      <c r="X716" s="646"/>
      <c r="Y716" s="646"/>
      <c r="Z716" s="646"/>
      <c r="AA716" s="646"/>
      <c r="AB716" s="646"/>
      <c r="AC716" s="646"/>
      <c r="AD716" s="646"/>
      <c r="AE716" s="646"/>
    </row>
    <row r="717" ht="15.75" customHeight="1">
      <c r="X717" s="646"/>
      <c r="Y717" s="646"/>
      <c r="Z717" s="646"/>
      <c r="AA717" s="646"/>
      <c r="AB717" s="646"/>
      <c r="AC717" s="646"/>
      <c r="AD717" s="646"/>
      <c r="AE717" s="646"/>
    </row>
    <row r="718" ht="15.75" customHeight="1">
      <c r="X718" s="646"/>
      <c r="Y718" s="646"/>
      <c r="Z718" s="646"/>
      <c r="AA718" s="646"/>
      <c r="AB718" s="646"/>
      <c r="AC718" s="646"/>
      <c r="AD718" s="646"/>
      <c r="AE718" s="646"/>
    </row>
    <row r="719" ht="15.75" customHeight="1">
      <c r="X719" s="646"/>
      <c r="Y719" s="646"/>
      <c r="Z719" s="646"/>
      <c r="AA719" s="646"/>
      <c r="AB719" s="646"/>
      <c r="AC719" s="646"/>
      <c r="AD719" s="646"/>
      <c r="AE719" s="646"/>
    </row>
    <row r="720" ht="15.75" customHeight="1">
      <c r="X720" s="646"/>
      <c r="Y720" s="646"/>
      <c r="Z720" s="646"/>
      <c r="AA720" s="646"/>
      <c r="AB720" s="646"/>
      <c r="AC720" s="646"/>
      <c r="AD720" s="646"/>
      <c r="AE720" s="646"/>
    </row>
    <row r="721" ht="15.75" customHeight="1">
      <c r="X721" s="646"/>
      <c r="Y721" s="646"/>
      <c r="Z721" s="646"/>
      <c r="AA721" s="646"/>
      <c r="AB721" s="646"/>
      <c r="AC721" s="646"/>
      <c r="AD721" s="646"/>
      <c r="AE721" s="646"/>
    </row>
    <row r="722" ht="15.75" customHeight="1">
      <c r="X722" s="646"/>
      <c r="Y722" s="646"/>
      <c r="Z722" s="646"/>
      <c r="AA722" s="646"/>
      <c r="AB722" s="646"/>
      <c r="AC722" s="646"/>
      <c r="AD722" s="646"/>
      <c r="AE722" s="646"/>
    </row>
    <row r="723" ht="15.75" customHeight="1">
      <c r="X723" s="646"/>
      <c r="Y723" s="646"/>
      <c r="Z723" s="646"/>
      <c r="AA723" s="646"/>
      <c r="AB723" s="646"/>
      <c r="AC723" s="646"/>
      <c r="AD723" s="646"/>
      <c r="AE723" s="646"/>
    </row>
    <row r="724" ht="15.75" customHeight="1">
      <c r="X724" s="646"/>
      <c r="Y724" s="646"/>
      <c r="Z724" s="646"/>
      <c r="AA724" s="646"/>
      <c r="AB724" s="646"/>
      <c r="AC724" s="646"/>
      <c r="AD724" s="646"/>
      <c r="AE724" s="646"/>
    </row>
    <row r="725" ht="15.75" customHeight="1">
      <c r="X725" s="646"/>
      <c r="Y725" s="646"/>
      <c r="Z725" s="646"/>
      <c r="AA725" s="646"/>
      <c r="AB725" s="646"/>
      <c r="AC725" s="646"/>
      <c r="AD725" s="646"/>
      <c r="AE725" s="646"/>
    </row>
    <row r="726" ht="15.75" customHeight="1">
      <c r="X726" s="646"/>
      <c r="Y726" s="646"/>
      <c r="Z726" s="646"/>
      <c r="AA726" s="646"/>
      <c r="AB726" s="646"/>
      <c r="AC726" s="646"/>
      <c r="AD726" s="646"/>
      <c r="AE726" s="646"/>
    </row>
    <row r="727" ht="15.75" customHeight="1">
      <c r="X727" s="646"/>
      <c r="Y727" s="646"/>
      <c r="Z727" s="646"/>
      <c r="AA727" s="646"/>
      <c r="AB727" s="646"/>
      <c r="AC727" s="646"/>
      <c r="AD727" s="646"/>
      <c r="AE727" s="646"/>
    </row>
    <row r="728" ht="15.75" customHeight="1">
      <c r="X728" s="646"/>
      <c r="Y728" s="646"/>
      <c r="Z728" s="646"/>
      <c r="AA728" s="646"/>
      <c r="AB728" s="646"/>
      <c r="AC728" s="646"/>
      <c r="AD728" s="646"/>
      <c r="AE728" s="646"/>
    </row>
    <row r="729" ht="15.75" customHeight="1">
      <c r="X729" s="646"/>
      <c r="Y729" s="646"/>
      <c r="Z729" s="646"/>
      <c r="AA729" s="646"/>
      <c r="AB729" s="646"/>
      <c r="AC729" s="646"/>
      <c r="AD729" s="646"/>
      <c r="AE729" s="646"/>
    </row>
    <row r="730" ht="15.75" customHeight="1">
      <c r="X730" s="646"/>
      <c r="Y730" s="646"/>
      <c r="Z730" s="646"/>
      <c r="AA730" s="646"/>
      <c r="AB730" s="646"/>
      <c r="AC730" s="646"/>
      <c r="AD730" s="646"/>
      <c r="AE730" s="646"/>
    </row>
    <row r="731" ht="15.75" customHeight="1">
      <c r="X731" s="646"/>
      <c r="Y731" s="646"/>
      <c r="Z731" s="646"/>
      <c r="AA731" s="646"/>
      <c r="AB731" s="646"/>
      <c r="AC731" s="646"/>
      <c r="AD731" s="646"/>
      <c r="AE731" s="646"/>
    </row>
    <row r="732" ht="15.75" customHeight="1">
      <c r="X732" s="646"/>
      <c r="Y732" s="646"/>
      <c r="Z732" s="646"/>
      <c r="AA732" s="646"/>
      <c r="AB732" s="646"/>
      <c r="AC732" s="646"/>
      <c r="AD732" s="646"/>
      <c r="AE732" s="646"/>
    </row>
    <row r="733" ht="15.75" customHeight="1">
      <c r="X733" s="646"/>
      <c r="Y733" s="646"/>
      <c r="Z733" s="646"/>
      <c r="AA733" s="646"/>
      <c r="AB733" s="646"/>
      <c r="AC733" s="646"/>
      <c r="AD733" s="646"/>
      <c r="AE733" s="646"/>
    </row>
    <row r="734" ht="15.75" customHeight="1">
      <c r="X734" s="646"/>
      <c r="Y734" s="646"/>
      <c r="Z734" s="646"/>
      <c r="AA734" s="646"/>
      <c r="AB734" s="646"/>
      <c r="AC734" s="646"/>
      <c r="AD734" s="646"/>
      <c r="AE734" s="646"/>
    </row>
    <row r="735" ht="15.75" customHeight="1">
      <c r="X735" s="646"/>
      <c r="Y735" s="646"/>
      <c r="Z735" s="646"/>
      <c r="AA735" s="646"/>
      <c r="AB735" s="646"/>
      <c r="AC735" s="646"/>
      <c r="AD735" s="646"/>
      <c r="AE735" s="646"/>
    </row>
    <row r="736" ht="15.75" customHeight="1">
      <c r="X736" s="646"/>
      <c r="Y736" s="646"/>
      <c r="Z736" s="646"/>
      <c r="AA736" s="646"/>
      <c r="AB736" s="646"/>
      <c r="AC736" s="646"/>
      <c r="AD736" s="646"/>
      <c r="AE736" s="646"/>
    </row>
    <row r="737" ht="15.75" customHeight="1">
      <c r="X737" s="646"/>
      <c r="Y737" s="646"/>
      <c r="Z737" s="646"/>
      <c r="AA737" s="646"/>
      <c r="AB737" s="646"/>
      <c r="AC737" s="646"/>
      <c r="AD737" s="646"/>
      <c r="AE737" s="646"/>
    </row>
    <row r="738" ht="15.75" customHeight="1">
      <c r="X738" s="646"/>
      <c r="Y738" s="646"/>
      <c r="Z738" s="646"/>
      <c r="AA738" s="646"/>
      <c r="AB738" s="646"/>
      <c r="AC738" s="646"/>
      <c r="AD738" s="646"/>
      <c r="AE738" s="646"/>
    </row>
    <row r="739" ht="15.75" customHeight="1">
      <c r="X739" s="646"/>
      <c r="Y739" s="646"/>
      <c r="Z739" s="646"/>
      <c r="AA739" s="646"/>
      <c r="AB739" s="646"/>
      <c r="AC739" s="646"/>
      <c r="AD739" s="646"/>
      <c r="AE739" s="646"/>
    </row>
    <row r="740" ht="15.75" customHeight="1">
      <c r="X740" s="646"/>
      <c r="Y740" s="646"/>
      <c r="Z740" s="646"/>
      <c r="AA740" s="646"/>
      <c r="AB740" s="646"/>
      <c r="AC740" s="646"/>
      <c r="AD740" s="646"/>
      <c r="AE740" s="646"/>
    </row>
    <row r="741" ht="15.75" customHeight="1">
      <c r="X741" s="646"/>
      <c r="Y741" s="646"/>
      <c r="Z741" s="646"/>
      <c r="AA741" s="646"/>
      <c r="AB741" s="646"/>
      <c r="AC741" s="646"/>
      <c r="AD741" s="646"/>
      <c r="AE741" s="646"/>
    </row>
    <row r="742" ht="15.75" customHeight="1">
      <c r="X742" s="646"/>
      <c r="Y742" s="646"/>
      <c r="Z742" s="646"/>
      <c r="AA742" s="646"/>
      <c r="AB742" s="646"/>
      <c r="AC742" s="646"/>
      <c r="AD742" s="646"/>
      <c r="AE742" s="646"/>
    </row>
    <row r="743" ht="15.75" customHeight="1">
      <c r="X743" s="646"/>
      <c r="Y743" s="646"/>
      <c r="Z743" s="646"/>
      <c r="AA743" s="646"/>
      <c r="AB743" s="646"/>
      <c r="AC743" s="646"/>
      <c r="AD743" s="646"/>
      <c r="AE743" s="646"/>
    </row>
    <row r="744" ht="15.75" customHeight="1">
      <c r="X744" s="646"/>
      <c r="Y744" s="646"/>
      <c r="Z744" s="646"/>
      <c r="AA744" s="646"/>
      <c r="AB744" s="646"/>
      <c r="AC744" s="646"/>
      <c r="AD744" s="646"/>
      <c r="AE744" s="646"/>
    </row>
    <row r="745" ht="15.75" customHeight="1">
      <c r="X745" s="646"/>
      <c r="Y745" s="646"/>
      <c r="Z745" s="646"/>
      <c r="AA745" s="646"/>
      <c r="AB745" s="646"/>
      <c r="AC745" s="646"/>
      <c r="AD745" s="646"/>
      <c r="AE745" s="646"/>
    </row>
    <row r="746" ht="15.75" customHeight="1">
      <c r="X746" s="646"/>
      <c r="Y746" s="646"/>
      <c r="Z746" s="646"/>
      <c r="AA746" s="646"/>
      <c r="AB746" s="646"/>
      <c r="AC746" s="646"/>
      <c r="AD746" s="646"/>
      <c r="AE746" s="646"/>
    </row>
    <row r="747" ht="15.75" customHeight="1">
      <c r="X747" s="646"/>
      <c r="Y747" s="646"/>
      <c r="Z747" s="646"/>
      <c r="AA747" s="646"/>
      <c r="AB747" s="646"/>
      <c r="AC747" s="646"/>
      <c r="AD747" s="646"/>
      <c r="AE747" s="646"/>
    </row>
    <row r="748" ht="15.75" customHeight="1">
      <c r="X748" s="646"/>
      <c r="Y748" s="646"/>
      <c r="Z748" s="646"/>
      <c r="AA748" s="646"/>
      <c r="AB748" s="646"/>
      <c r="AC748" s="646"/>
      <c r="AD748" s="646"/>
      <c r="AE748" s="646"/>
    </row>
    <row r="749" ht="15.75" customHeight="1">
      <c r="X749" s="646"/>
      <c r="Y749" s="646"/>
      <c r="Z749" s="646"/>
      <c r="AA749" s="646"/>
      <c r="AB749" s="646"/>
      <c r="AC749" s="646"/>
      <c r="AD749" s="646"/>
      <c r="AE749" s="646"/>
    </row>
    <row r="750" ht="15.75" customHeight="1">
      <c r="X750" s="646"/>
      <c r="Y750" s="646"/>
      <c r="Z750" s="646"/>
      <c r="AA750" s="646"/>
      <c r="AB750" s="646"/>
      <c r="AC750" s="646"/>
      <c r="AD750" s="646"/>
      <c r="AE750" s="646"/>
    </row>
    <row r="751" ht="15.75" customHeight="1">
      <c r="X751" s="646"/>
      <c r="Y751" s="646"/>
      <c r="Z751" s="646"/>
      <c r="AA751" s="646"/>
      <c r="AB751" s="646"/>
      <c r="AC751" s="646"/>
      <c r="AD751" s="646"/>
      <c r="AE751" s="646"/>
    </row>
    <row r="752" ht="15.75" customHeight="1">
      <c r="X752" s="646"/>
      <c r="Y752" s="646"/>
      <c r="Z752" s="646"/>
      <c r="AA752" s="646"/>
      <c r="AB752" s="646"/>
      <c r="AC752" s="646"/>
      <c r="AD752" s="646"/>
      <c r="AE752" s="646"/>
    </row>
    <row r="753" ht="15.75" customHeight="1">
      <c r="X753" s="646"/>
      <c r="Y753" s="646"/>
      <c r="Z753" s="646"/>
      <c r="AA753" s="646"/>
      <c r="AB753" s="646"/>
      <c r="AC753" s="646"/>
      <c r="AD753" s="646"/>
      <c r="AE753" s="646"/>
    </row>
    <row r="754" ht="15.75" customHeight="1">
      <c r="X754" s="646"/>
      <c r="Y754" s="646"/>
      <c r="Z754" s="646"/>
      <c r="AA754" s="646"/>
      <c r="AB754" s="646"/>
      <c r="AC754" s="646"/>
      <c r="AD754" s="646"/>
      <c r="AE754" s="646"/>
    </row>
    <row r="755" ht="15.75" customHeight="1">
      <c r="X755" s="646"/>
      <c r="Y755" s="646"/>
      <c r="Z755" s="646"/>
      <c r="AA755" s="646"/>
      <c r="AB755" s="646"/>
      <c r="AC755" s="646"/>
      <c r="AD755" s="646"/>
      <c r="AE755" s="646"/>
    </row>
    <row r="756" ht="15.75" customHeight="1">
      <c r="X756" s="646"/>
      <c r="Y756" s="646"/>
      <c r="Z756" s="646"/>
      <c r="AA756" s="646"/>
      <c r="AB756" s="646"/>
      <c r="AC756" s="646"/>
      <c r="AD756" s="646"/>
      <c r="AE756" s="646"/>
    </row>
    <row r="757" ht="15.75" customHeight="1">
      <c r="X757" s="646"/>
      <c r="Y757" s="646"/>
      <c r="Z757" s="646"/>
      <c r="AA757" s="646"/>
      <c r="AB757" s="646"/>
      <c r="AC757" s="646"/>
      <c r="AD757" s="646"/>
      <c r="AE757" s="646"/>
    </row>
    <row r="758" ht="15.75" customHeight="1">
      <c r="X758" s="646"/>
      <c r="Y758" s="646"/>
      <c r="Z758" s="646"/>
      <c r="AA758" s="646"/>
      <c r="AB758" s="646"/>
      <c r="AC758" s="646"/>
      <c r="AD758" s="646"/>
      <c r="AE758" s="646"/>
    </row>
    <row r="759" ht="15.75" customHeight="1">
      <c r="X759" s="646"/>
      <c r="Y759" s="646"/>
      <c r="Z759" s="646"/>
      <c r="AA759" s="646"/>
      <c r="AB759" s="646"/>
      <c r="AC759" s="646"/>
      <c r="AD759" s="646"/>
      <c r="AE759" s="646"/>
    </row>
    <row r="760" ht="15.75" customHeight="1">
      <c r="X760" s="646"/>
      <c r="Y760" s="646"/>
      <c r="Z760" s="646"/>
      <c r="AA760" s="646"/>
      <c r="AB760" s="646"/>
      <c r="AC760" s="646"/>
      <c r="AD760" s="646"/>
      <c r="AE760" s="646"/>
    </row>
    <row r="761" ht="15.75" customHeight="1">
      <c r="X761" s="646"/>
      <c r="Y761" s="646"/>
      <c r="Z761" s="646"/>
      <c r="AA761" s="646"/>
      <c r="AB761" s="646"/>
      <c r="AC761" s="646"/>
      <c r="AD761" s="646"/>
      <c r="AE761" s="646"/>
    </row>
    <row r="762" ht="15.75" customHeight="1">
      <c r="X762" s="646"/>
      <c r="Y762" s="646"/>
      <c r="Z762" s="646"/>
      <c r="AA762" s="646"/>
      <c r="AB762" s="646"/>
      <c r="AC762" s="646"/>
      <c r="AD762" s="646"/>
      <c r="AE762" s="646"/>
    </row>
    <row r="763" ht="15.75" customHeight="1">
      <c r="X763" s="646"/>
      <c r="Y763" s="646"/>
      <c r="Z763" s="646"/>
      <c r="AA763" s="646"/>
      <c r="AB763" s="646"/>
      <c r="AC763" s="646"/>
      <c r="AD763" s="646"/>
      <c r="AE763" s="646"/>
    </row>
    <row r="764" ht="15.75" customHeight="1">
      <c r="X764" s="646"/>
      <c r="Y764" s="646"/>
      <c r="Z764" s="646"/>
      <c r="AA764" s="646"/>
      <c r="AB764" s="646"/>
      <c r="AC764" s="646"/>
      <c r="AD764" s="646"/>
      <c r="AE764" s="646"/>
    </row>
    <row r="765" ht="15.75" customHeight="1">
      <c r="X765" s="646"/>
      <c r="Y765" s="646"/>
      <c r="Z765" s="646"/>
      <c r="AA765" s="646"/>
      <c r="AB765" s="646"/>
      <c r="AC765" s="646"/>
      <c r="AD765" s="646"/>
      <c r="AE765" s="646"/>
    </row>
    <row r="766" ht="15.75" customHeight="1">
      <c r="X766" s="646"/>
      <c r="Y766" s="646"/>
      <c r="Z766" s="646"/>
      <c r="AA766" s="646"/>
      <c r="AB766" s="646"/>
      <c r="AC766" s="646"/>
      <c r="AD766" s="646"/>
      <c r="AE766" s="646"/>
    </row>
    <row r="767" ht="15.75" customHeight="1">
      <c r="X767" s="646"/>
      <c r="Y767" s="646"/>
      <c r="Z767" s="646"/>
      <c r="AA767" s="646"/>
      <c r="AB767" s="646"/>
      <c r="AC767" s="646"/>
      <c r="AD767" s="646"/>
      <c r="AE767" s="646"/>
    </row>
    <row r="768" ht="15.75" customHeight="1">
      <c r="X768" s="646"/>
      <c r="Y768" s="646"/>
      <c r="Z768" s="646"/>
      <c r="AA768" s="646"/>
      <c r="AB768" s="646"/>
      <c r="AC768" s="646"/>
      <c r="AD768" s="646"/>
      <c r="AE768" s="646"/>
    </row>
    <row r="769" ht="15.75" customHeight="1">
      <c r="X769" s="646"/>
      <c r="Y769" s="646"/>
      <c r="Z769" s="646"/>
      <c r="AA769" s="646"/>
      <c r="AB769" s="646"/>
      <c r="AC769" s="646"/>
      <c r="AD769" s="646"/>
      <c r="AE769" s="646"/>
    </row>
    <row r="770" ht="15.75" customHeight="1">
      <c r="X770" s="646"/>
      <c r="Y770" s="646"/>
      <c r="Z770" s="646"/>
      <c r="AA770" s="646"/>
      <c r="AB770" s="646"/>
      <c r="AC770" s="646"/>
      <c r="AD770" s="646"/>
      <c r="AE770" s="646"/>
    </row>
    <row r="771" ht="15.75" customHeight="1">
      <c r="X771" s="646"/>
      <c r="Y771" s="646"/>
      <c r="Z771" s="646"/>
      <c r="AA771" s="646"/>
      <c r="AB771" s="646"/>
      <c r="AC771" s="646"/>
      <c r="AD771" s="646"/>
      <c r="AE771" s="646"/>
    </row>
    <row r="772" ht="15.75" customHeight="1">
      <c r="X772" s="646"/>
      <c r="Y772" s="646"/>
      <c r="Z772" s="646"/>
      <c r="AA772" s="646"/>
      <c r="AB772" s="646"/>
      <c r="AC772" s="646"/>
      <c r="AD772" s="646"/>
      <c r="AE772" s="646"/>
    </row>
    <row r="773" ht="15.75" customHeight="1">
      <c r="X773" s="646"/>
      <c r="Y773" s="646"/>
      <c r="Z773" s="646"/>
      <c r="AA773" s="646"/>
      <c r="AB773" s="646"/>
      <c r="AC773" s="646"/>
      <c r="AD773" s="646"/>
      <c r="AE773" s="646"/>
    </row>
    <row r="774" ht="15.75" customHeight="1">
      <c r="X774" s="646"/>
      <c r="Y774" s="646"/>
      <c r="Z774" s="646"/>
      <c r="AA774" s="646"/>
      <c r="AB774" s="646"/>
      <c r="AC774" s="646"/>
      <c r="AD774" s="646"/>
      <c r="AE774" s="646"/>
    </row>
    <row r="775" ht="15.75" customHeight="1">
      <c r="X775" s="646"/>
      <c r="Y775" s="646"/>
      <c r="Z775" s="646"/>
      <c r="AA775" s="646"/>
      <c r="AB775" s="646"/>
      <c r="AC775" s="646"/>
      <c r="AD775" s="646"/>
      <c r="AE775" s="646"/>
    </row>
    <row r="776" ht="15.75" customHeight="1">
      <c r="X776" s="646"/>
      <c r="Y776" s="646"/>
      <c r="Z776" s="646"/>
      <c r="AA776" s="646"/>
      <c r="AB776" s="646"/>
      <c r="AC776" s="646"/>
      <c r="AD776" s="646"/>
      <c r="AE776" s="646"/>
    </row>
    <row r="777" ht="15.75" customHeight="1">
      <c r="X777" s="646"/>
      <c r="Y777" s="646"/>
      <c r="Z777" s="646"/>
      <c r="AA777" s="646"/>
      <c r="AB777" s="646"/>
      <c r="AC777" s="646"/>
      <c r="AD777" s="646"/>
      <c r="AE777" s="646"/>
    </row>
    <row r="778" ht="15.75" customHeight="1">
      <c r="X778" s="646"/>
      <c r="Y778" s="646"/>
      <c r="Z778" s="646"/>
      <c r="AA778" s="646"/>
      <c r="AB778" s="646"/>
      <c r="AC778" s="646"/>
      <c r="AD778" s="646"/>
      <c r="AE778" s="646"/>
    </row>
    <row r="779" ht="15.75" customHeight="1">
      <c r="X779" s="646"/>
      <c r="Y779" s="646"/>
      <c r="Z779" s="646"/>
      <c r="AA779" s="646"/>
      <c r="AB779" s="646"/>
      <c r="AC779" s="646"/>
      <c r="AD779" s="646"/>
      <c r="AE779" s="646"/>
    </row>
    <row r="780" ht="15.75" customHeight="1">
      <c r="X780" s="646"/>
      <c r="Y780" s="646"/>
      <c r="Z780" s="646"/>
      <c r="AA780" s="646"/>
      <c r="AB780" s="646"/>
      <c r="AC780" s="646"/>
      <c r="AD780" s="646"/>
      <c r="AE780" s="646"/>
    </row>
    <row r="781" ht="15.75" customHeight="1">
      <c r="X781" s="646"/>
      <c r="Y781" s="646"/>
      <c r="Z781" s="646"/>
      <c r="AA781" s="646"/>
      <c r="AB781" s="646"/>
      <c r="AC781" s="646"/>
      <c r="AD781" s="646"/>
      <c r="AE781" s="646"/>
    </row>
    <row r="782" ht="15.75" customHeight="1">
      <c r="X782" s="646"/>
      <c r="Y782" s="646"/>
      <c r="Z782" s="646"/>
      <c r="AA782" s="646"/>
      <c r="AB782" s="646"/>
      <c r="AC782" s="646"/>
      <c r="AD782" s="646"/>
      <c r="AE782" s="646"/>
    </row>
    <row r="783" ht="15.75" customHeight="1">
      <c r="X783" s="646"/>
      <c r="Y783" s="646"/>
      <c r="Z783" s="646"/>
      <c r="AA783" s="646"/>
      <c r="AB783" s="646"/>
      <c r="AC783" s="646"/>
      <c r="AD783" s="646"/>
      <c r="AE783" s="646"/>
    </row>
    <row r="784" ht="15.75" customHeight="1">
      <c r="X784" s="646"/>
      <c r="Y784" s="646"/>
      <c r="Z784" s="646"/>
      <c r="AA784" s="646"/>
      <c r="AB784" s="646"/>
      <c r="AC784" s="646"/>
      <c r="AD784" s="646"/>
      <c r="AE784" s="646"/>
    </row>
    <row r="785" ht="15.75" customHeight="1">
      <c r="X785" s="646"/>
      <c r="Y785" s="646"/>
      <c r="Z785" s="646"/>
      <c r="AA785" s="646"/>
      <c r="AB785" s="646"/>
      <c r="AC785" s="646"/>
      <c r="AD785" s="646"/>
      <c r="AE785" s="646"/>
    </row>
    <row r="786" ht="15.75" customHeight="1">
      <c r="X786" s="646"/>
      <c r="Y786" s="646"/>
      <c r="Z786" s="646"/>
      <c r="AA786" s="646"/>
      <c r="AB786" s="646"/>
      <c r="AC786" s="646"/>
      <c r="AD786" s="646"/>
      <c r="AE786" s="646"/>
    </row>
    <row r="787" ht="15.75" customHeight="1">
      <c r="X787" s="646"/>
      <c r="Y787" s="646"/>
      <c r="Z787" s="646"/>
      <c r="AA787" s="646"/>
      <c r="AB787" s="646"/>
      <c r="AC787" s="646"/>
      <c r="AD787" s="646"/>
      <c r="AE787" s="646"/>
    </row>
    <row r="788" ht="15.75" customHeight="1">
      <c r="X788" s="646"/>
      <c r="Y788" s="646"/>
      <c r="Z788" s="646"/>
      <c r="AA788" s="646"/>
      <c r="AB788" s="646"/>
      <c r="AC788" s="646"/>
      <c r="AD788" s="646"/>
      <c r="AE788" s="646"/>
    </row>
    <row r="789" ht="15.75" customHeight="1">
      <c r="X789" s="646"/>
      <c r="Y789" s="646"/>
      <c r="Z789" s="646"/>
      <c r="AA789" s="646"/>
      <c r="AB789" s="646"/>
      <c r="AC789" s="646"/>
      <c r="AD789" s="646"/>
      <c r="AE789" s="646"/>
    </row>
    <row r="790" ht="15.75" customHeight="1">
      <c r="X790" s="646"/>
      <c r="Y790" s="646"/>
      <c r="Z790" s="646"/>
      <c r="AA790" s="646"/>
      <c r="AB790" s="646"/>
      <c r="AC790" s="646"/>
      <c r="AD790" s="646"/>
      <c r="AE790" s="646"/>
    </row>
    <row r="791" ht="15.75" customHeight="1">
      <c r="X791" s="646"/>
      <c r="Y791" s="646"/>
      <c r="Z791" s="646"/>
      <c r="AA791" s="646"/>
      <c r="AB791" s="646"/>
      <c r="AC791" s="646"/>
      <c r="AD791" s="646"/>
      <c r="AE791" s="646"/>
    </row>
    <row r="792" ht="15.75" customHeight="1">
      <c r="X792" s="646"/>
      <c r="Y792" s="646"/>
      <c r="Z792" s="646"/>
      <c r="AA792" s="646"/>
      <c r="AB792" s="646"/>
      <c r="AC792" s="646"/>
      <c r="AD792" s="646"/>
      <c r="AE792" s="646"/>
    </row>
    <row r="793" ht="15.75" customHeight="1">
      <c r="X793" s="646"/>
      <c r="Y793" s="646"/>
      <c r="Z793" s="646"/>
      <c r="AA793" s="646"/>
      <c r="AB793" s="646"/>
      <c r="AC793" s="646"/>
      <c r="AD793" s="646"/>
      <c r="AE793" s="646"/>
    </row>
    <row r="794" ht="15.75" customHeight="1">
      <c r="X794" s="646"/>
      <c r="Y794" s="646"/>
      <c r="Z794" s="646"/>
      <c r="AA794" s="646"/>
      <c r="AB794" s="646"/>
      <c r="AC794" s="646"/>
      <c r="AD794" s="646"/>
      <c r="AE794" s="646"/>
    </row>
    <row r="795" ht="15.75" customHeight="1">
      <c r="X795" s="646"/>
      <c r="Y795" s="646"/>
      <c r="Z795" s="646"/>
      <c r="AA795" s="646"/>
      <c r="AB795" s="646"/>
      <c r="AC795" s="646"/>
      <c r="AD795" s="646"/>
      <c r="AE795" s="646"/>
    </row>
    <row r="796" ht="15.75" customHeight="1">
      <c r="X796" s="646"/>
      <c r="Y796" s="646"/>
      <c r="Z796" s="646"/>
      <c r="AA796" s="646"/>
      <c r="AB796" s="646"/>
      <c r="AC796" s="646"/>
      <c r="AD796" s="646"/>
      <c r="AE796" s="646"/>
    </row>
    <row r="797" ht="15.75" customHeight="1">
      <c r="X797" s="646"/>
      <c r="Y797" s="646"/>
      <c r="Z797" s="646"/>
      <c r="AA797" s="646"/>
      <c r="AB797" s="646"/>
      <c r="AC797" s="646"/>
      <c r="AD797" s="646"/>
      <c r="AE797" s="646"/>
    </row>
    <row r="798" ht="15.75" customHeight="1">
      <c r="X798" s="646"/>
      <c r="Y798" s="646"/>
      <c r="Z798" s="646"/>
      <c r="AA798" s="646"/>
      <c r="AB798" s="646"/>
      <c r="AC798" s="646"/>
      <c r="AD798" s="646"/>
      <c r="AE798" s="646"/>
    </row>
    <row r="799" ht="15.75" customHeight="1">
      <c r="X799" s="646"/>
      <c r="Y799" s="646"/>
      <c r="Z799" s="646"/>
      <c r="AA799" s="646"/>
      <c r="AB799" s="646"/>
      <c r="AC799" s="646"/>
      <c r="AD799" s="646"/>
      <c r="AE799" s="646"/>
    </row>
    <row r="800" ht="15.75" customHeight="1">
      <c r="X800" s="646"/>
      <c r="Y800" s="646"/>
      <c r="Z800" s="646"/>
      <c r="AA800" s="646"/>
      <c r="AB800" s="646"/>
      <c r="AC800" s="646"/>
      <c r="AD800" s="646"/>
      <c r="AE800" s="646"/>
    </row>
    <row r="801" ht="15.75" customHeight="1">
      <c r="X801" s="646"/>
      <c r="Y801" s="646"/>
      <c r="Z801" s="646"/>
      <c r="AA801" s="646"/>
      <c r="AB801" s="646"/>
      <c r="AC801" s="646"/>
      <c r="AD801" s="646"/>
      <c r="AE801" s="646"/>
    </row>
    <row r="802" ht="15.75" customHeight="1">
      <c r="X802" s="646"/>
      <c r="Y802" s="646"/>
      <c r="Z802" s="646"/>
      <c r="AA802" s="646"/>
      <c r="AB802" s="646"/>
      <c r="AC802" s="646"/>
      <c r="AD802" s="646"/>
      <c r="AE802" s="646"/>
    </row>
    <row r="803" ht="15.75" customHeight="1">
      <c r="X803" s="646"/>
      <c r="Y803" s="646"/>
      <c r="Z803" s="646"/>
      <c r="AA803" s="646"/>
      <c r="AB803" s="646"/>
      <c r="AC803" s="646"/>
      <c r="AD803" s="646"/>
      <c r="AE803" s="646"/>
    </row>
    <row r="804" ht="15.75" customHeight="1">
      <c r="X804" s="646"/>
      <c r="Y804" s="646"/>
      <c r="Z804" s="646"/>
      <c r="AA804" s="646"/>
      <c r="AB804" s="646"/>
      <c r="AC804" s="646"/>
      <c r="AD804" s="646"/>
      <c r="AE804" s="646"/>
    </row>
    <row r="805" ht="15.75" customHeight="1">
      <c r="X805" s="646"/>
      <c r="Y805" s="646"/>
      <c r="Z805" s="646"/>
      <c r="AA805" s="646"/>
      <c r="AB805" s="646"/>
      <c r="AC805" s="646"/>
      <c r="AD805" s="646"/>
      <c r="AE805" s="646"/>
    </row>
    <row r="806" ht="15.75" customHeight="1">
      <c r="X806" s="646"/>
      <c r="Y806" s="646"/>
      <c r="Z806" s="646"/>
      <c r="AA806" s="646"/>
      <c r="AB806" s="646"/>
      <c r="AC806" s="646"/>
      <c r="AD806" s="646"/>
      <c r="AE806" s="646"/>
    </row>
    <row r="807" ht="15.75" customHeight="1">
      <c r="X807" s="646"/>
      <c r="Y807" s="646"/>
      <c r="Z807" s="646"/>
      <c r="AA807" s="646"/>
      <c r="AB807" s="646"/>
      <c r="AC807" s="646"/>
      <c r="AD807" s="646"/>
      <c r="AE807" s="646"/>
    </row>
    <row r="808" ht="15.75" customHeight="1">
      <c r="X808" s="646"/>
      <c r="Y808" s="646"/>
      <c r="Z808" s="646"/>
      <c r="AA808" s="646"/>
      <c r="AB808" s="646"/>
      <c r="AC808" s="646"/>
      <c r="AD808" s="646"/>
      <c r="AE808" s="646"/>
    </row>
    <row r="809" ht="15.75" customHeight="1">
      <c r="X809" s="646"/>
      <c r="Y809" s="646"/>
      <c r="Z809" s="646"/>
      <c r="AA809" s="646"/>
      <c r="AB809" s="646"/>
      <c r="AC809" s="646"/>
      <c r="AD809" s="646"/>
      <c r="AE809" s="646"/>
    </row>
    <row r="810" ht="15.75" customHeight="1">
      <c r="X810" s="646"/>
      <c r="Y810" s="646"/>
      <c r="Z810" s="646"/>
      <c r="AA810" s="646"/>
      <c r="AB810" s="646"/>
      <c r="AC810" s="646"/>
      <c r="AD810" s="646"/>
      <c r="AE810" s="646"/>
    </row>
    <row r="811" ht="15.75" customHeight="1">
      <c r="X811" s="646"/>
      <c r="Y811" s="646"/>
      <c r="Z811" s="646"/>
      <c r="AA811" s="646"/>
      <c r="AB811" s="646"/>
      <c r="AC811" s="646"/>
      <c r="AD811" s="646"/>
      <c r="AE811" s="646"/>
    </row>
    <row r="812" ht="15.75" customHeight="1">
      <c r="X812" s="646"/>
      <c r="Y812" s="646"/>
      <c r="Z812" s="646"/>
      <c r="AA812" s="646"/>
      <c r="AB812" s="646"/>
      <c r="AC812" s="646"/>
      <c r="AD812" s="646"/>
      <c r="AE812" s="646"/>
    </row>
    <row r="813" ht="15.75" customHeight="1">
      <c r="X813" s="646"/>
      <c r="Y813" s="646"/>
      <c r="Z813" s="646"/>
      <c r="AA813" s="646"/>
      <c r="AB813" s="646"/>
      <c r="AC813" s="646"/>
      <c r="AD813" s="646"/>
      <c r="AE813" s="646"/>
    </row>
    <row r="814" ht="15.75" customHeight="1">
      <c r="X814" s="646"/>
      <c r="Y814" s="646"/>
      <c r="Z814" s="646"/>
      <c r="AA814" s="646"/>
      <c r="AB814" s="646"/>
      <c r="AC814" s="646"/>
      <c r="AD814" s="646"/>
      <c r="AE814" s="646"/>
    </row>
    <row r="815" ht="15.75" customHeight="1">
      <c r="X815" s="646"/>
      <c r="Y815" s="646"/>
      <c r="Z815" s="646"/>
      <c r="AA815" s="646"/>
      <c r="AB815" s="646"/>
      <c r="AC815" s="646"/>
      <c r="AD815" s="646"/>
      <c r="AE815" s="646"/>
    </row>
    <row r="816" ht="15.75" customHeight="1">
      <c r="X816" s="646"/>
      <c r="Y816" s="646"/>
      <c r="Z816" s="646"/>
      <c r="AA816" s="646"/>
      <c r="AB816" s="646"/>
      <c r="AC816" s="646"/>
      <c r="AD816" s="646"/>
      <c r="AE816" s="646"/>
    </row>
    <row r="817" ht="15.75" customHeight="1">
      <c r="X817" s="646"/>
      <c r="Y817" s="646"/>
      <c r="Z817" s="646"/>
      <c r="AA817" s="646"/>
      <c r="AB817" s="646"/>
      <c r="AC817" s="646"/>
      <c r="AD817" s="646"/>
      <c r="AE817" s="646"/>
    </row>
    <row r="818" ht="15.75" customHeight="1">
      <c r="X818" s="646"/>
      <c r="Y818" s="646"/>
      <c r="Z818" s="646"/>
      <c r="AA818" s="646"/>
      <c r="AB818" s="646"/>
      <c r="AC818" s="646"/>
      <c r="AD818" s="646"/>
      <c r="AE818" s="646"/>
    </row>
    <row r="819" ht="15.75" customHeight="1">
      <c r="X819" s="646"/>
      <c r="Y819" s="646"/>
      <c r="Z819" s="646"/>
      <c r="AA819" s="646"/>
      <c r="AB819" s="646"/>
      <c r="AC819" s="646"/>
      <c r="AD819" s="646"/>
      <c r="AE819" s="646"/>
    </row>
    <row r="820" ht="15.75" customHeight="1">
      <c r="X820" s="646"/>
      <c r="Y820" s="646"/>
      <c r="Z820" s="646"/>
      <c r="AA820" s="646"/>
      <c r="AB820" s="646"/>
      <c r="AC820" s="646"/>
      <c r="AD820" s="646"/>
      <c r="AE820" s="646"/>
    </row>
    <row r="821" ht="15.75" customHeight="1">
      <c r="X821" s="646"/>
      <c r="Y821" s="646"/>
      <c r="Z821" s="646"/>
      <c r="AA821" s="646"/>
      <c r="AB821" s="646"/>
      <c r="AC821" s="646"/>
      <c r="AD821" s="646"/>
      <c r="AE821" s="646"/>
    </row>
    <row r="822" ht="15.75" customHeight="1">
      <c r="X822" s="646"/>
      <c r="Y822" s="646"/>
      <c r="Z822" s="646"/>
      <c r="AA822" s="646"/>
      <c r="AB822" s="646"/>
      <c r="AC822" s="646"/>
      <c r="AD822" s="646"/>
      <c r="AE822" s="646"/>
    </row>
    <row r="823" ht="15.75" customHeight="1">
      <c r="X823" s="646"/>
      <c r="Y823" s="646"/>
      <c r="Z823" s="646"/>
      <c r="AA823" s="646"/>
      <c r="AB823" s="646"/>
      <c r="AC823" s="646"/>
      <c r="AD823" s="646"/>
      <c r="AE823" s="646"/>
    </row>
    <row r="824" ht="15.75" customHeight="1">
      <c r="X824" s="646"/>
      <c r="Y824" s="646"/>
      <c r="Z824" s="646"/>
      <c r="AA824" s="646"/>
      <c r="AB824" s="646"/>
      <c r="AC824" s="646"/>
      <c r="AD824" s="646"/>
      <c r="AE824" s="646"/>
    </row>
    <row r="825" ht="15.75" customHeight="1">
      <c r="X825" s="646"/>
      <c r="Y825" s="646"/>
      <c r="Z825" s="646"/>
      <c r="AA825" s="646"/>
      <c r="AB825" s="646"/>
      <c r="AC825" s="646"/>
      <c r="AD825" s="646"/>
      <c r="AE825" s="646"/>
    </row>
    <row r="826" ht="15.75" customHeight="1">
      <c r="X826" s="646"/>
      <c r="Y826" s="646"/>
      <c r="Z826" s="646"/>
      <c r="AA826" s="646"/>
      <c r="AB826" s="646"/>
      <c r="AC826" s="646"/>
      <c r="AD826" s="646"/>
      <c r="AE826" s="646"/>
    </row>
    <row r="827" ht="15.75" customHeight="1">
      <c r="X827" s="646"/>
      <c r="Y827" s="646"/>
      <c r="Z827" s="646"/>
      <c r="AA827" s="646"/>
      <c r="AB827" s="646"/>
      <c r="AC827" s="646"/>
      <c r="AD827" s="646"/>
      <c r="AE827" s="646"/>
    </row>
    <row r="828" ht="15.75" customHeight="1">
      <c r="X828" s="646"/>
      <c r="Y828" s="646"/>
      <c r="Z828" s="646"/>
      <c r="AA828" s="646"/>
      <c r="AB828" s="646"/>
      <c r="AC828" s="646"/>
      <c r="AD828" s="646"/>
      <c r="AE828" s="646"/>
    </row>
    <row r="829" ht="15.75" customHeight="1">
      <c r="X829" s="646"/>
      <c r="Y829" s="646"/>
      <c r="Z829" s="646"/>
      <c r="AA829" s="646"/>
      <c r="AB829" s="646"/>
      <c r="AC829" s="646"/>
      <c r="AD829" s="646"/>
      <c r="AE829" s="646"/>
    </row>
    <row r="830" ht="15.75" customHeight="1">
      <c r="X830" s="646"/>
      <c r="Y830" s="646"/>
      <c r="Z830" s="646"/>
      <c r="AA830" s="646"/>
      <c r="AB830" s="646"/>
      <c r="AC830" s="646"/>
      <c r="AD830" s="646"/>
      <c r="AE830" s="646"/>
    </row>
    <row r="831" ht="15.75" customHeight="1">
      <c r="X831" s="646"/>
      <c r="Y831" s="646"/>
      <c r="Z831" s="646"/>
      <c r="AA831" s="646"/>
      <c r="AB831" s="646"/>
      <c r="AC831" s="646"/>
      <c r="AD831" s="646"/>
      <c r="AE831" s="646"/>
    </row>
    <row r="832" ht="15.75" customHeight="1">
      <c r="X832" s="646"/>
      <c r="Y832" s="646"/>
      <c r="Z832" s="646"/>
      <c r="AA832" s="646"/>
      <c r="AB832" s="646"/>
      <c r="AC832" s="646"/>
      <c r="AD832" s="646"/>
      <c r="AE832" s="646"/>
    </row>
    <row r="833" ht="15.75" customHeight="1">
      <c r="X833" s="646"/>
      <c r="Y833" s="646"/>
      <c r="Z833" s="646"/>
      <c r="AA833" s="646"/>
      <c r="AB833" s="646"/>
      <c r="AC833" s="646"/>
      <c r="AD833" s="646"/>
      <c r="AE833" s="646"/>
    </row>
    <row r="834" ht="15.75" customHeight="1">
      <c r="X834" s="646"/>
      <c r="Y834" s="646"/>
      <c r="Z834" s="646"/>
      <c r="AA834" s="646"/>
      <c r="AB834" s="646"/>
      <c r="AC834" s="646"/>
      <c r="AD834" s="646"/>
      <c r="AE834" s="646"/>
    </row>
    <row r="835" ht="15.75" customHeight="1">
      <c r="X835" s="646"/>
      <c r="Y835" s="646"/>
      <c r="Z835" s="646"/>
      <c r="AA835" s="646"/>
      <c r="AB835" s="646"/>
      <c r="AC835" s="646"/>
      <c r="AD835" s="646"/>
      <c r="AE835" s="646"/>
    </row>
    <row r="836" ht="15.75" customHeight="1">
      <c r="X836" s="646"/>
      <c r="Y836" s="646"/>
      <c r="Z836" s="646"/>
      <c r="AA836" s="646"/>
      <c r="AB836" s="646"/>
      <c r="AC836" s="646"/>
      <c r="AD836" s="646"/>
      <c r="AE836" s="646"/>
    </row>
    <row r="837" ht="15.75" customHeight="1">
      <c r="X837" s="646"/>
      <c r="Y837" s="646"/>
      <c r="Z837" s="646"/>
      <c r="AA837" s="646"/>
      <c r="AB837" s="646"/>
      <c r="AC837" s="646"/>
      <c r="AD837" s="646"/>
      <c r="AE837" s="646"/>
    </row>
    <row r="838" ht="15.75" customHeight="1">
      <c r="X838" s="646"/>
      <c r="Y838" s="646"/>
      <c r="Z838" s="646"/>
      <c r="AA838" s="646"/>
      <c r="AB838" s="646"/>
      <c r="AC838" s="646"/>
      <c r="AD838" s="646"/>
      <c r="AE838" s="646"/>
    </row>
    <row r="839" ht="15.75" customHeight="1">
      <c r="X839" s="646"/>
      <c r="Y839" s="646"/>
      <c r="Z839" s="646"/>
      <c r="AA839" s="646"/>
      <c r="AB839" s="646"/>
      <c r="AC839" s="646"/>
      <c r="AD839" s="646"/>
      <c r="AE839" s="646"/>
    </row>
    <row r="840" ht="15.75" customHeight="1">
      <c r="X840" s="646"/>
      <c r="Y840" s="646"/>
      <c r="Z840" s="646"/>
      <c r="AA840" s="646"/>
      <c r="AB840" s="646"/>
      <c r="AC840" s="646"/>
      <c r="AD840" s="646"/>
      <c r="AE840" s="646"/>
    </row>
    <row r="841" ht="15.75" customHeight="1">
      <c r="X841" s="646"/>
      <c r="Y841" s="646"/>
      <c r="Z841" s="646"/>
      <c r="AA841" s="646"/>
      <c r="AB841" s="646"/>
      <c r="AC841" s="646"/>
      <c r="AD841" s="646"/>
      <c r="AE841" s="646"/>
    </row>
    <row r="842" ht="15.75" customHeight="1">
      <c r="X842" s="646"/>
      <c r="Y842" s="646"/>
      <c r="Z842" s="646"/>
      <c r="AA842" s="646"/>
      <c r="AB842" s="646"/>
      <c r="AC842" s="646"/>
      <c r="AD842" s="646"/>
      <c r="AE842" s="646"/>
    </row>
    <row r="843" ht="15.75" customHeight="1">
      <c r="X843" s="646"/>
      <c r="Y843" s="646"/>
      <c r="Z843" s="646"/>
      <c r="AA843" s="646"/>
      <c r="AB843" s="646"/>
      <c r="AC843" s="646"/>
      <c r="AD843" s="646"/>
      <c r="AE843" s="646"/>
    </row>
    <row r="844" ht="15.75" customHeight="1">
      <c r="X844" s="646"/>
      <c r="Y844" s="646"/>
      <c r="Z844" s="646"/>
      <c r="AA844" s="646"/>
      <c r="AB844" s="646"/>
      <c r="AC844" s="646"/>
      <c r="AD844" s="646"/>
      <c r="AE844" s="646"/>
    </row>
    <row r="845" ht="15.75" customHeight="1">
      <c r="X845" s="646"/>
      <c r="Y845" s="646"/>
      <c r="Z845" s="646"/>
      <c r="AA845" s="646"/>
      <c r="AB845" s="646"/>
      <c r="AC845" s="646"/>
      <c r="AD845" s="646"/>
      <c r="AE845" s="646"/>
    </row>
    <row r="846" ht="15.75" customHeight="1">
      <c r="X846" s="646"/>
      <c r="Y846" s="646"/>
      <c r="Z846" s="646"/>
      <c r="AA846" s="646"/>
      <c r="AB846" s="646"/>
      <c r="AC846" s="646"/>
      <c r="AD846" s="646"/>
      <c r="AE846" s="646"/>
    </row>
    <row r="847" ht="15.75" customHeight="1">
      <c r="X847" s="646"/>
      <c r="Y847" s="646"/>
      <c r="Z847" s="646"/>
      <c r="AA847" s="646"/>
      <c r="AB847" s="646"/>
      <c r="AC847" s="646"/>
      <c r="AD847" s="646"/>
      <c r="AE847" s="646"/>
    </row>
    <row r="848" ht="15.75" customHeight="1">
      <c r="X848" s="646"/>
      <c r="Y848" s="646"/>
      <c r="Z848" s="646"/>
      <c r="AA848" s="646"/>
      <c r="AB848" s="646"/>
      <c r="AC848" s="646"/>
      <c r="AD848" s="646"/>
      <c r="AE848" s="646"/>
    </row>
    <row r="849" ht="15.75" customHeight="1">
      <c r="X849" s="646"/>
      <c r="Y849" s="646"/>
      <c r="Z849" s="646"/>
      <c r="AA849" s="646"/>
      <c r="AB849" s="646"/>
      <c r="AC849" s="646"/>
      <c r="AD849" s="646"/>
      <c r="AE849" s="646"/>
    </row>
    <row r="850" ht="15.75" customHeight="1">
      <c r="X850" s="646"/>
      <c r="Y850" s="646"/>
      <c r="Z850" s="646"/>
      <c r="AA850" s="646"/>
      <c r="AB850" s="646"/>
      <c r="AC850" s="646"/>
      <c r="AD850" s="646"/>
      <c r="AE850" s="646"/>
    </row>
    <row r="851" ht="15.75" customHeight="1">
      <c r="X851" s="646"/>
      <c r="Y851" s="646"/>
      <c r="Z851" s="646"/>
      <c r="AA851" s="646"/>
      <c r="AB851" s="646"/>
      <c r="AC851" s="646"/>
      <c r="AD851" s="646"/>
      <c r="AE851" s="646"/>
    </row>
    <row r="852" ht="15.75" customHeight="1">
      <c r="X852" s="646"/>
      <c r="Y852" s="646"/>
      <c r="Z852" s="646"/>
      <c r="AA852" s="646"/>
      <c r="AB852" s="646"/>
      <c r="AC852" s="646"/>
      <c r="AD852" s="646"/>
      <c r="AE852" s="646"/>
    </row>
    <row r="853" ht="15.75" customHeight="1">
      <c r="X853" s="646"/>
      <c r="Y853" s="646"/>
      <c r="Z853" s="646"/>
      <c r="AA853" s="646"/>
      <c r="AB853" s="646"/>
      <c r="AC853" s="646"/>
      <c r="AD853" s="646"/>
      <c r="AE853" s="646"/>
    </row>
    <row r="854" ht="15.75" customHeight="1">
      <c r="X854" s="646"/>
      <c r="Y854" s="646"/>
      <c r="Z854" s="646"/>
      <c r="AA854" s="646"/>
      <c r="AB854" s="646"/>
      <c r="AC854" s="646"/>
      <c r="AD854" s="646"/>
      <c r="AE854" s="646"/>
    </row>
    <row r="855" ht="15.75" customHeight="1">
      <c r="X855" s="646"/>
      <c r="Y855" s="646"/>
      <c r="Z855" s="646"/>
      <c r="AA855" s="646"/>
      <c r="AB855" s="646"/>
      <c r="AC855" s="646"/>
      <c r="AD855" s="646"/>
      <c r="AE855" s="646"/>
    </row>
    <row r="856" ht="15.75" customHeight="1">
      <c r="X856" s="646"/>
      <c r="Y856" s="646"/>
      <c r="Z856" s="646"/>
      <c r="AA856" s="646"/>
      <c r="AB856" s="646"/>
      <c r="AC856" s="646"/>
      <c r="AD856" s="646"/>
      <c r="AE856" s="646"/>
    </row>
    <row r="857" ht="15.75" customHeight="1">
      <c r="X857" s="646"/>
      <c r="Y857" s="646"/>
      <c r="Z857" s="646"/>
      <c r="AA857" s="646"/>
      <c r="AB857" s="646"/>
      <c r="AC857" s="646"/>
      <c r="AD857" s="646"/>
      <c r="AE857" s="646"/>
    </row>
    <row r="858" ht="15.75" customHeight="1">
      <c r="X858" s="646"/>
      <c r="Y858" s="646"/>
      <c r="Z858" s="646"/>
      <c r="AA858" s="646"/>
      <c r="AB858" s="646"/>
      <c r="AC858" s="646"/>
      <c r="AD858" s="646"/>
      <c r="AE858" s="646"/>
    </row>
    <row r="859" ht="15.75" customHeight="1">
      <c r="X859" s="646"/>
      <c r="Y859" s="646"/>
      <c r="Z859" s="646"/>
      <c r="AA859" s="646"/>
      <c r="AB859" s="646"/>
      <c r="AC859" s="646"/>
      <c r="AD859" s="646"/>
      <c r="AE859" s="646"/>
    </row>
    <row r="860" ht="15.75" customHeight="1">
      <c r="X860" s="646"/>
      <c r="Y860" s="646"/>
      <c r="Z860" s="646"/>
      <c r="AA860" s="646"/>
      <c r="AB860" s="646"/>
      <c r="AC860" s="646"/>
      <c r="AD860" s="646"/>
      <c r="AE860" s="646"/>
    </row>
    <row r="861" ht="15.75" customHeight="1">
      <c r="X861" s="646"/>
      <c r="Y861" s="646"/>
      <c r="Z861" s="646"/>
      <c r="AA861" s="646"/>
      <c r="AB861" s="646"/>
      <c r="AC861" s="646"/>
      <c r="AD861" s="646"/>
      <c r="AE861" s="646"/>
    </row>
    <row r="862" ht="15.75" customHeight="1">
      <c r="X862" s="646"/>
      <c r="Y862" s="646"/>
      <c r="Z862" s="646"/>
      <c r="AA862" s="646"/>
      <c r="AB862" s="646"/>
      <c r="AC862" s="646"/>
      <c r="AD862" s="646"/>
      <c r="AE862" s="646"/>
    </row>
    <row r="863" ht="15.75" customHeight="1">
      <c r="X863" s="646"/>
      <c r="Y863" s="646"/>
      <c r="Z863" s="646"/>
      <c r="AA863" s="646"/>
      <c r="AB863" s="646"/>
      <c r="AC863" s="646"/>
      <c r="AD863" s="646"/>
      <c r="AE863" s="646"/>
    </row>
    <row r="864" ht="15.75" customHeight="1">
      <c r="X864" s="646"/>
      <c r="Y864" s="646"/>
      <c r="Z864" s="646"/>
      <c r="AA864" s="646"/>
      <c r="AB864" s="646"/>
      <c r="AC864" s="646"/>
      <c r="AD864" s="646"/>
      <c r="AE864" s="646"/>
    </row>
    <row r="865" ht="15.75" customHeight="1">
      <c r="X865" s="646"/>
      <c r="Y865" s="646"/>
      <c r="Z865" s="646"/>
      <c r="AA865" s="646"/>
      <c r="AB865" s="646"/>
      <c r="AC865" s="646"/>
      <c r="AD865" s="646"/>
      <c r="AE865" s="646"/>
    </row>
    <row r="866" ht="15.75" customHeight="1">
      <c r="X866" s="646"/>
      <c r="Y866" s="646"/>
      <c r="Z866" s="646"/>
      <c r="AA866" s="646"/>
      <c r="AB866" s="646"/>
      <c r="AC866" s="646"/>
      <c r="AD866" s="646"/>
      <c r="AE866" s="646"/>
    </row>
    <row r="867" ht="15.75" customHeight="1">
      <c r="X867" s="646"/>
      <c r="Y867" s="646"/>
      <c r="Z867" s="646"/>
      <c r="AA867" s="646"/>
      <c r="AB867" s="646"/>
      <c r="AC867" s="646"/>
      <c r="AD867" s="646"/>
      <c r="AE867" s="646"/>
    </row>
    <row r="868" ht="15.75" customHeight="1">
      <c r="X868" s="646"/>
      <c r="Y868" s="646"/>
      <c r="Z868" s="646"/>
      <c r="AA868" s="646"/>
      <c r="AB868" s="646"/>
      <c r="AC868" s="646"/>
      <c r="AD868" s="646"/>
      <c r="AE868" s="646"/>
    </row>
    <row r="869" ht="15.75" customHeight="1">
      <c r="X869" s="646"/>
      <c r="Y869" s="646"/>
      <c r="Z869" s="646"/>
      <c r="AA869" s="646"/>
      <c r="AB869" s="646"/>
      <c r="AC869" s="646"/>
      <c r="AD869" s="646"/>
      <c r="AE869" s="646"/>
    </row>
    <row r="870" ht="15.75" customHeight="1">
      <c r="X870" s="646"/>
      <c r="Y870" s="646"/>
      <c r="Z870" s="646"/>
      <c r="AA870" s="646"/>
      <c r="AB870" s="646"/>
      <c r="AC870" s="646"/>
      <c r="AD870" s="646"/>
      <c r="AE870" s="646"/>
    </row>
    <row r="871" ht="15.75" customHeight="1">
      <c r="X871" s="646"/>
      <c r="Y871" s="646"/>
      <c r="Z871" s="646"/>
      <c r="AA871" s="646"/>
      <c r="AB871" s="646"/>
      <c r="AC871" s="646"/>
      <c r="AD871" s="646"/>
      <c r="AE871" s="646"/>
    </row>
    <row r="872" ht="15.75" customHeight="1">
      <c r="X872" s="646"/>
      <c r="Y872" s="646"/>
      <c r="Z872" s="646"/>
      <c r="AA872" s="646"/>
      <c r="AB872" s="646"/>
      <c r="AC872" s="646"/>
      <c r="AD872" s="646"/>
      <c r="AE872" s="646"/>
    </row>
    <row r="873" ht="15.75" customHeight="1">
      <c r="X873" s="646"/>
      <c r="Y873" s="646"/>
      <c r="Z873" s="646"/>
      <c r="AA873" s="646"/>
      <c r="AB873" s="646"/>
      <c r="AC873" s="646"/>
      <c r="AD873" s="646"/>
      <c r="AE873" s="646"/>
    </row>
    <row r="874" ht="15.75" customHeight="1">
      <c r="X874" s="646"/>
      <c r="Y874" s="646"/>
      <c r="Z874" s="646"/>
      <c r="AA874" s="646"/>
      <c r="AB874" s="646"/>
      <c r="AC874" s="646"/>
      <c r="AD874" s="646"/>
      <c r="AE874" s="646"/>
    </row>
    <row r="875" ht="15.75" customHeight="1">
      <c r="X875" s="646"/>
      <c r="Y875" s="646"/>
      <c r="Z875" s="646"/>
      <c r="AA875" s="646"/>
      <c r="AB875" s="646"/>
      <c r="AC875" s="646"/>
      <c r="AD875" s="646"/>
      <c r="AE875" s="646"/>
    </row>
    <row r="876" ht="15.75" customHeight="1">
      <c r="X876" s="646"/>
      <c r="Y876" s="646"/>
      <c r="Z876" s="646"/>
      <c r="AA876" s="646"/>
      <c r="AB876" s="646"/>
      <c r="AC876" s="646"/>
      <c r="AD876" s="646"/>
      <c r="AE876" s="646"/>
    </row>
    <row r="877" ht="15.75" customHeight="1">
      <c r="X877" s="646"/>
      <c r="Y877" s="646"/>
      <c r="Z877" s="646"/>
      <c r="AA877" s="646"/>
      <c r="AB877" s="646"/>
      <c r="AC877" s="646"/>
      <c r="AD877" s="646"/>
      <c r="AE877" s="646"/>
    </row>
    <row r="878" ht="15.75" customHeight="1">
      <c r="X878" s="646"/>
      <c r="Y878" s="646"/>
      <c r="Z878" s="646"/>
      <c r="AA878" s="646"/>
      <c r="AB878" s="646"/>
      <c r="AC878" s="646"/>
      <c r="AD878" s="646"/>
      <c r="AE878" s="646"/>
    </row>
    <row r="879" ht="15.75" customHeight="1">
      <c r="X879" s="646"/>
      <c r="Y879" s="646"/>
      <c r="Z879" s="646"/>
      <c r="AA879" s="646"/>
      <c r="AB879" s="646"/>
      <c r="AC879" s="646"/>
      <c r="AD879" s="646"/>
      <c r="AE879" s="646"/>
    </row>
    <row r="880" ht="15.75" customHeight="1">
      <c r="X880" s="646"/>
      <c r="Y880" s="646"/>
      <c r="Z880" s="646"/>
      <c r="AA880" s="646"/>
      <c r="AB880" s="646"/>
      <c r="AC880" s="646"/>
      <c r="AD880" s="646"/>
      <c r="AE880" s="646"/>
    </row>
    <row r="881" ht="15.75" customHeight="1">
      <c r="X881" s="646"/>
      <c r="Y881" s="646"/>
      <c r="Z881" s="646"/>
      <c r="AA881" s="646"/>
      <c r="AB881" s="646"/>
      <c r="AC881" s="646"/>
      <c r="AD881" s="646"/>
      <c r="AE881" s="646"/>
    </row>
    <row r="882" ht="15.75" customHeight="1">
      <c r="X882" s="646"/>
      <c r="Y882" s="646"/>
      <c r="Z882" s="646"/>
      <c r="AA882" s="646"/>
      <c r="AB882" s="646"/>
      <c r="AC882" s="646"/>
      <c r="AD882" s="646"/>
      <c r="AE882" s="646"/>
    </row>
    <row r="883" ht="15.75" customHeight="1">
      <c r="X883" s="646"/>
      <c r="Y883" s="646"/>
      <c r="Z883" s="646"/>
      <c r="AA883" s="646"/>
      <c r="AB883" s="646"/>
      <c r="AC883" s="646"/>
      <c r="AD883" s="646"/>
      <c r="AE883" s="646"/>
    </row>
    <row r="884" ht="15.75" customHeight="1">
      <c r="X884" s="646"/>
      <c r="Y884" s="646"/>
      <c r="Z884" s="646"/>
      <c r="AA884" s="646"/>
      <c r="AB884" s="646"/>
      <c r="AC884" s="646"/>
      <c r="AD884" s="646"/>
      <c r="AE884" s="646"/>
    </row>
    <row r="885" ht="15.75" customHeight="1">
      <c r="X885" s="646"/>
      <c r="Y885" s="646"/>
      <c r="Z885" s="646"/>
      <c r="AA885" s="646"/>
      <c r="AB885" s="646"/>
      <c r="AC885" s="646"/>
      <c r="AD885" s="646"/>
      <c r="AE885" s="646"/>
    </row>
    <row r="886" ht="15.75" customHeight="1">
      <c r="X886" s="646"/>
      <c r="Y886" s="646"/>
      <c r="Z886" s="646"/>
      <c r="AA886" s="646"/>
      <c r="AB886" s="646"/>
      <c r="AC886" s="646"/>
      <c r="AD886" s="646"/>
      <c r="AE886" s="646"/>
    </row>
    <row r="887" ht="15.75" customHeight="1">
      <c r="X887" s="646"/>
      <c r="Y887" s="646"/>
      <c r="Z887" s="646"/>
      <c r="AA887" s="646"/>
      <c r="AB887" s="646"/>
      <c r="AC887" s="646"/>
      <c r="AD887" s="646"/>
      <c r="AE887" s="646"/>
    </row>
    <row r="888" ht="15.75" customHeight="1">
      <c r="X888" s="646"/>
      <c r="Y888" s="646"/>
      <c r="Z888" s="646"/>
      <c r="AA888" s="646"/>
      <c r="AB888" s="646"/>
      <c r="AC888" s="646"/>
      <c r="AD888" s="646"/>
      <c r="AE888" s="646"/>
    </row>
    <row r="889" ht="15.75" customHeight="1">
      <c r="X889" s="646"/>
      <c r="Y889" s="646"/>
      <c r="Z889" s="646"/>
      <c r="AA889" s="646"/>
      <c r="AB889" s="646"/>
      <c r="AC889" s="646"/>
      <c r="AD889" s="646"/>
      <c r="AE889" s="646"/>
    </row>
    <row r="890" ht="15.75" customHeight="1">
      <c r="X890" s="646"/>
      <c r="Y890" s="646"/>
      <c r="Z890" s="646"/>
      <c r="AA890" s="646"/>
      <c r="AB890" s="646"/>
      <c r="AC890" s="646"/>
      <c r="AD890" s="646"/>
      <c r="AE890" s="646"/>
    </row>
    <row r="891" ht="15.75" customHeight="1">
      <c r="X891" s="646"/>
      <c r="Y891" s="646"/>
      <c r="Z891" s="646"/>
      <c r="AA891" s="646"/>
      <c r="AB891" s="646"/>
      <c r="AC891" s="646"/>
      <c r="AD891" s="646"/>
      <c r="AE891" s="646"/>
    </row>
    <row r="892" ht="15.75" customHeight="1">
      <c r="X892" s="646"/>
      <c r="Y892" s="646"/>
      <c r="Z892" s="646"/>
      <c r="AA892" s="646"/>
      <c r="AB892" s="646"/>
      <c r="AC892" s="646"/>
      <c r="AD892" s="646"/>
      <c r="AE892" s="646"/>
    </row>
    <row r="893" ht="15.75" customHeight="1">
      <c r="X893" s="646"/>
      <c r="Y893" s="646"/>
      <c r="Z893" s="646"/>
      <c r="AA893" s="646"/>
      <c r="AB893" s="646"/>
      <c r="AC893" s="646"/>
      <c r="AD893" s="646"/>
      <c r="AE893" s="646"/>
    </row>
    <row r="894" ht="15.75" customHeight="1">
      <c r="X894" s="646"/>
      <c r="Y894" s="646"/>
      <c r="Z894" s="646"/>
      <c r="AA894" s="646"/>
      <c r="AB894" s="646"/>
      <c r="AC894" s="646"/>
      <c r="AD894" s="646"/>
      <c r="AE894" s="646"/>
    </row>
    <row r="895" ht="15.75" customHeight="1">
      <c r="X895" s="646"/>
      <c r="Y895" s="646"/>
      <c r="Z895" s="646"/>
      <c r="AA895" s="646"/>
      <c r="AB895" s="646"/>
      <c r="AC895" s="646"/>
      <c r="AD895" s="646"/>
      <c r="AE895" s="646"/>
    </row>
    <row r="896" ht="15.75" customHeight="1">
      <c r="X896" s="646"/>
      <c r="Y896" s="646"/>
      <c r="Z896" s="646"/>
      <c r="AA896" s="646"/>
      <c r="AB896" s="646"/>
      <c r="AC896" s="646"/>
      <c r="AD896" s="646"/>
      <c r="AE896" s="646"/>
    </row>
    <row r="897" ht="15.75" customHeight="1">
      <c r="X897" s="646"/>
      <c r="Y897" s="646"/>
      <c r="Z897" s="646"/>
      <c r="AA897" s="646"/>
      <c r="AB897" s="646"/>
      <c r="AC897" s="646"/>
      <c r="AD897" s="646"/>
      <c r="AE897" s="646"/>
    </row>
    <row r="898" ht="15.75" customHeight="1">
      <c r="X898" s="646"/>
      <c r="Y898" s="646"/>
      <c r="Z898" s="646"/>
      <c r="AA898" s="646"/>
      <c r="AB898" s="646"/>
      <c r="AC898" s="646"/>
      <c r="AD898" s="646"/>
      <c r="AE898" s="646"/>
    </row>
    <row r="899" ht="15.75" customHeight="1">
      <c r="X899" s="646"/>
      <c r="Y899" s="646"/>
      <c r="Z899" s="646"/>
      <c r="AA899" s="646"/>
      <c r="AB899" s="646"/>
      <c r="AC899" s="646"/>
      <c r="AD899" s="646"/>
      <c r="AE899" s="646"/>
    </row>
    <row r="900" ht="15.75" customHeight="1">
      <c r="X900" s="646"/>
      <c r="Y900" s="646"/>
      <c r="Z900" s="646"/>
      <c r="AA900" s="646"/>
      <c r="AB900" s="646"/>
      <c r="AC900" s="646"/>
      <c r="AD900" s="646"/>
      <c r="AE900" s="646"/>
    </row>
    <row r="901" ht="15.75" customHeight="1">
      <c r="X901" s="646"/>
      <c r="Y901" s="646"/>
      <c r="Z901" s="646"/>
      <c r="AA901" s="646"/>
      <c r="AB901" s="646"/>
      <c r="AC901" s="646"/>
      <c r="AD901" s="646"/>
      <c r="AE901" s="646"/>
    </row>
    <row r="902" ht="15.75" customHeight="1">
      <c r="X902" s="646"/>
      <c r="Y902" s="646"/>
      <c r="Z902" s="646"/>
      <c r="AA902" s="646"/>
      <c r="AB902" s="646"/>
      <c r="AC902" s="646"/>
      <c r="AD902" s="646"/>
      <c r="AE902" s="646"/>
    </row>
    <row r="903" ht="15.75" customHeight="1">
      <c r="X903" s="646"/>
      <c r="Y903" s="646"/>
      <c r="Z903" s="646"/>
      <c r="AA903" s="646"/>
      <c r="AB903" s="646"/>
      <c r="AC903" s="646"/>
      <c r="AD903" s="646"/>
      <c r="AE903" s="646"/>
    </row>
    <row r="904" ht="15.75" customHeight="1">
      <c r="X904" s="646"/>
      <c r="Y904" s="646"/>
      <c r="Z904" s="646"/>
      <c r="AA904" s="646"/>
      <c r="AB904" s="646"/>
      <c r="AC904" s="646"/>
      <c r="AD904" s="646"/>
      <c r="AE904" s="646"/>
    </row>
    <row r="905" ht="15.75" customHeight="1">
      <c r="X905" s="646"/>
      <c r="Y905" s="646"/>
      <c r="Z905" s="646"/>
      <c r="AA905" s="646"/>
      <c r="AB905" s="646"/>
      <c r="AC905" s="646"/>
      <c r="AD905" s="646"/>
      <c r="AE905" s="646"/>
    </row>
    <row r="906" ht="15.75" customHeight="1">
      <c r="X906" s="646"/>
      <c r="Y906" s="646"/>
      <c r="Z906" s="646"/>
      <c r="AA906" s="646"/>
      <c r="AB906" s="646"/>
      <c r="AC906" s="646"/>
      <c r="AD906" s="646"/>
      <c r="AE906" s="646"/>
    </row>
    <row r="907" ht="15.75" customHeight="1">
      <c r="X907" s="646"/>
      <c r="Y907" s="646"/>
      <c r="Z907" s="646"/>
      <c r="AA907" s="646"/>
      <c r="AB907" s="646"/>
      <c r="AC907" s="646"/>
      <c r="AD907" s="646"/>
      <c r="AE907" s="646"/>
    </row>
    <row r="908" ht="15.75" customHeight="1">
      <c r="X908" s="646"/>
      <c r="Y908" s="646"/>
      <c r="Z908" s="646"/>
      <c r="AA908" s="646"/>
      <c r="AB908" s="646"/>
      <c r="AC908" s="646"/>
      <c r="AD908" s="646"/>
      <c r="AE908" s="646"/>
    </row>
    <row r="909" ht="15.75" customHeight="1">
      <c r="X909" s="646"/>
      <c r="Y909" s="646"/>
      <c r="Z909" s="646"/>
      <c r="AA909" s="646"/>
      <c r="AB909" s="646"/>
      <c r="AC909" s="646"/>
      <c r="AD909" s="646"/>
      <c r="AE909" s="646"/>
    </row>
    <row r="910" ht="15.75" customHeight="1">
      <c r="X910" s="646"/>
      <c r="Y910" s="646"/>
      <c r="Z910" s="646"/>
      <c r="AA910" s="646"/>
      <c r="AB910" s="646"/>
      <c r="AC910" s="646"/>
      <c r="AD910" s="646"/>
      <c r="AE910" s="646"/>
    </row>
    <row r="911" ht="15.75" customHeight="1">
      <c r="X911" s="646"/>
      <c r="Y911" s="646"/>
      <c r="Z911" s="646"/>
      <c r="AA911" s="646"/>
      <c r="AB911" s="646"/>
      <c r="AC911" s="646"/>
      <c r="AD911" s="646"/>
      <c r="AE911" s="646"/>
    </row>
    <row r="912" ht="15.75" customHeight="1">
      <c r="X912" s="646"/>
      <c r="Y912" s="646"/>
      <c r="Z912" s="646"/>
      <c r="AA912" s="646"/>
      <c r="AB912" s="646"/>
      <c r="AC912" s="646"/>
      <c r="AD912" s="646"/>
      <c r="AE912" s="646"/>
    </row>
    <row r="913" ht="15.75" customHeight="1">
      <c r="X913" s="646"/>
      <c r="Y913" s="646"/>
      <c r="Z913" s="646"/>
      <c r="AA913" s="646"/>
      <c r="AB913" s="646"/>
      <c r="AC913" s="646"/>
      <c r="AD913" s="646"/>
      <c r="AE913" s="646"/>
    </row>
    <row r="914" ht="15.75" customHeight="1">
      <c r="X914" s="646"/>
      <c r="Y914" s="646"/>
      <c r="Z914" s="646"/>
      <c r="AA914" s="646"/>
      <c r="AB914" s="646"/>
      <c r="AC914" s="646"/>
      <c r="AD914" s="646"/>
      <c r="AE914" s="646"/>
    </row>
    <row r="915" ht="15.75" customHeight="1">
      <c r="X915" s="646"/>
      <c r="Y915" s="646"/>
      <c r="Z915" s="646"/>
      <c r="AA915" s="646"/>
      <c r="AB915" s="646"/>
      <c r="AC915" s="646"/>
      <c r="AD915" s="646"/>
      <c r="AE915" s="646"/>
    </row>
    <row r="916" ht="15.75" customHeight="1">
      <c r="X916" s="646"/>
      <c r="Y916" s="646"/>
      <c r="Z916" s="646"/>
      <c r="AA916" s="646"/>
      <c r="AB916" s="646"/>
      <c r="AC916" s="646"/>
      <c r="AD916" s="646"/>
      <c r="AE916" s="646"/>
    </row>
    <row r="917" ht="15.75" customHeight="1">
      <c r="X917" s="646"/>
      <c r="Y917" s="646"/>
      <c r="Z917" s="646"/>
      <c r="AA917" s="646"/>
      <c r="AB917" s="646"/>
      <c r="AC917" s="646"/>
      <c r="AD917" s="646"/>
      <c r="AE917" s="646"/>
    </row>
    <row r="918" ht="15.75" customHeight="1">
      <c r="X918" s="646"/>
      <c r="Y918" s="646"/>
      <c r="Z918" s="646"/>
      <c r="AA918" s="646"/>
      <c r="AB918" s="646"/>
      <c r="AC918" s="646"/>
      <c r="AD918" s="646"/>
      <c r="AE918" s="646"/>
    </row>
    <row r="919" ht="15.75" customHeight="1">
      <c r="X919" s="646"/>
      <c r="Y919" s="646"/>
      <c r="Z919" s="646"/>
      <c r="AA919" s="646"/>
      <c r="AB919" s="646"/>
      <c r="AC919" s="646"/>
      <c r="AD919" s="646"/>
      <c r="AE919" s="646"/>
    </row>
    <row r="920" ht="15.75" customHeight="1">
      <c r="X920" s="646"/>
      <c r="Y920" s="646"/>
      <c r="Z920" s="646"/>
      <c r="AA920" s="646"/>
      <c r="AB920" s="646"/>
      <c r="AC920" s="646"/>
      <c r="AD920" s="646"/>
      <c r="AE920" s="646"/>
    </row>
    <row r="921" ht="15.75" customHeight="1">
      <c r="X921" s="646"/>
      <c r="Y921" s="646"/>
      <c r="Z921" s="646"/>
      <c r="AA921" s="646"/>
      <c r="AB921" s="646"/>
      <c r="AC921" s="646"/>
      <c r="AD921" s="646"/>
      <c r="AE921" s="646"/>
    </row>
    <row r="922" ht="15.75" customHeight="1">
      <c r="X922" s="646"/>
      <c r="Y922" s="646"/>
      <c r="Z922" s="646"/>
      <c r="AA922" s="646"/>
      <c r="AB922" s="646"/>
      <c r="AC922" s="646"/>
      <c r="AD922" s="646"/>
      <c r="AE922" s="646"/>
    </row>
    <row r="923" ht="15.75" customHeight="1">
      <c r="X923" s="646"/>
      <c r="Y923" s="646"/>
      <c r="Z923" s="646"/>
      <c r="AA923" s="646"/>
      <c r="AB923" s="646"/>
      <c r="AC923" s="646"/>
      <c r="AD923" s="646"/>
      <c r="AE923" s="646"/>
    </row>
    <row r="924" ht="15.75" customHeight="1">
      <c r="X924" s="646"/>
      <c r="Y924" s="646"/>
      <c r="Z924" s="646"/>
      <c r="AA924" s="646"/>
      <c r="AB924" s="646"/>
      <c r="AC924" s="646"/>
      <c r="AD924" s="646"/>
      <c r="AE924" s="646"/>
    </row>
    <row r="925" ht="15.75" customHeight="1">
      <c r="X925" s="646"/>
      <c r="Y925" s="646"/>
      <c r="Z925" s="646"/>
      <c r="AA925" s="646"/>
      <c r="AB925" s="646"/>
      <c r="AC925" s="646"/>
      <c r="AD925" s="646"/>
      <c r="AE925" s="646"/>
    </row>
    <row r="926" ht="15.75" customHeight="1">
      <c r="X926" s="646"/>
      <c r="Y926" s="646"/>
      <c r="Z926" s="646"/>
      <c r="AA926" s="646"/>
      <c r="AB926" s="646"/>
      <c r="AC926" s="646"/>
      <c r="AD926" s="646"/>
      <c r="AE926" s="646"/>
    </row>
    <row r="927" ht="15.75" customHeight="1">
      <c r="X927" s="646"/>
      <c r="Y927" s="646"/>
      <c r="Z927" s="646"/>
      <c r="AA927" s="646"/>
      <c r="AB927" s="646"/>
      <c r="AC927" s="646"/>
      <c r="AD927" s="646"/>
      <c r="AE927" s="646"/>
    </row>
    <row r="928" ht="15.75" customHeight="1">
      <c r="X928" s="646"/>
      <c r="Y928" s="646"/>
      <c r="Z928" s="646"/>
      <c r="AA928" s="646"/>
      <c r="AB928" s="646"/>
      <c r="AC928" s="646"/>
      <c r="AD928" s="646"/>
      <c r="AE928" s="646"/>
    </row>
    <row r="929" ht="15.75" customHeight="1">
      <c r="X929" s="646"/>
      <c r="Y929" s="646"/>
      <c r="Z929" s="646"/>
      <c r="AA929" s="646"/>
      <c r="AB929" s="646"/>
      <c r="AC929" s="646"/>
      <c r="AD929" s="646"/>
      <c r="AE929" s="646"/>
    </row>
    <row r="930" ht="15.75" customHeight="1">
      <c r="X930" s="646"/>
      <c r="Y930" s="646"/>
      <c r="Z930" s="646"/>
      <c r="AA930" s="646"/>
      <c r="AB930" s="646"/>
      <c r="AC930" s="646"/>
      <c r="AD930" s="646"/>
      <c r="AE930" s="646"/>
    </row>
    <row r="931" ht="15.75" customHeight="1">
      <c r="X931" s="646"/>
      <c r="Y931" s="646"/>
      <c r="Z931" s="646"/>
      <c r="AA931" s="646"/>
      <c r="AB931" s="646"/>
      <c r="AC931" s="646"/>
      <c r="AD931" s="646"/>
      <c r="AE931" s="646"/>
    </row>
    <row r="932" ht="15.75" customHeight="1">
      <c r="X932" s="646"/>
      <c r="Y932" s="646"/>
      <c r="Z932" s="646"/>
      <c r="AA932" s="646"/>
      <c r="AB932" s="646"/>
      <c r="AC932" s="646"/>
      <c r="AD932" s="646"/>
      <c r="AE932" s="646"/>
    </row>
    <row r="933" ht="15.75" customHeight="1">
      <c r="X933" s="646"/>
      <c r="Y933" s="646"/>
      <c r="Z933" s="646"/>
      <c r="AA933" s="646"/>
      <c r="AB933" s="646"/>
      <c r="AC933" s="646"/>
      <c r="AD933" s="646"/>
      <c r="AE933" s="646"/>
    </row>
    <row r="934" ht="15.75" customHeight="1">
      <c r="X934" s="646"/>
      <c r="Y934" s="646"/>
      <c r="Z934" s="646"/>
      <c r="AA934" s="646"/>
      <c r="AB934" s="646"/>
      <c r="AC934" s="646"/>
      <c r="AD934" s="646"/>
      <c r="AE934" s="646"/>
    </row>
    <row r="935" ht="15.75" customHeight="1">
      <c r="X935" s="646"/>
      <c r="Y935" s="646"/>
      <c r="Z935" s="646"/>
      <c r="AA935" s="646"/>
      <c r="AB935" s="646"/>
      <c r="AC935" s="646"/>
      <c r="AD935" s="646"/>
      <c r="AE935" s="646"/>
    </row>
    <row r="936" ht="15.75" customHeight="1">
      <c r="X936" s="646"/>
      <c r="Y936" s="646"/>
      <c r="Z936" s="646"/>
      <c r="AA936" s="646"/>
      <c r="AB936" s="646"/>
      <c r="AC936" s="646"/>
      <c r="AD936" s="646"/>
      <c r="AE936" s="646"/>
    </row>
    <row r="937" ht="15.75" customHeight="1">
      <c r="X937" s="646"/>
      <c r="Y937" s="646"/>
      <c r="Z937" s="646"/>
      <c r="AA937" s="646"/>
      <c r="AB937" s="646"/>
      <c r="AC937" s="646"/>
      <c r="AD937" s="646"/>
      <c r="AE937" s="646"/>
    </row>
    <row r="938" ht="15.75" customHeight="1">
      <c r="X938" s="646"/>
      <c r="Y938" s="646"/>
      <c r="Z938" s="646"/>
      <c r="AA938" s="646"/>
      <c r="AB938" s="646"/>
      <c r="AC938" s="646"/>
      <c r="AD938" s="646"/>
      <c r="AE938" s="646"/>
    </row>
    <row r="939" ht="15.75" customHeight="1">
      <c r="X939" s="646"/>
      <c r="Y939" s="646"/>
      <c r="Z939" s="646"/>
      <c r="AA939" s="646"/>
      <c r="AB939" s="646"/>
      <c r="AC939" s="646"/>
      <c r="AD939" s="646"/>
      <c r="AE939" s="646"/>
    </row>
    <row r="940" ht="15.75" customHeight="1">
      <c r="X940" s="646"/>
      <c r="Y940" s="646"/>
      <c r="Z940" s="646"/>
      <c r="AA940" s="646"/>
      <c r="AB940" s="646"/>
      <c r="AC940" s="646"/>
      <c r="AD940" s="646"/>
      <c r="AE940" s="646"/>
    </row>
    <row r="941" ht="15.75" customHeight="1">
      <c r="X941" s="646"/>
      <c r="Y941" s="646"/>
      <c r="Z941" s="646"/>
      <c r="AA941" s="646"/>
      <c r="AB941" s="646"/>
      <c r="AC941" s="646"/>
      <c r="AD941" s="646"/>
      <c r="AE941" s="646"/>
    </row>
    <row r="942" ht="15.75" customHeight="1">
      <c r="X942" s="646"/>
      <c r="Y942" s="646"/>
      <c r="Z942" s="646"/>
      <c r="AA942" s="646"/>
      <c r="AB942" s="646"/>
      <c r="AC942" s="646"/>
      <c r="AD942" s="646"/>
      <c r="AE942" s="646"/>
    </row>
    <row r="943" ht="15.75" customHeight="1">
      <c r="X943" s="646"/>
      <c r="Y943" s="646"/>
      <c r="Z943" s="646"/>
      <c r="AA943" s="646"/>
      <c r="AB943" s="646"/>
      <c r="AC943" s="646"/>
      <c r="AD943" s="646"/>
      <c r="AE943" s="646"/>
    </row>
    <row r="944" ht="15.75" customHeight="1">
      <c r="X944" s="646"/>
      <c r="Y944" s="646"/>
      <c r="Z944" s="646"/>
      <c r="AA944" s="646"/>
      <c r="AB944" s="646"/>
      <c r="AC944" s="646"/>
      <c r="AD944" s="646"/>
      <c r="AE944" s="646"/>
    </row>
    <row r="945" ht="15.75" customHeight="1">
      <c r="X945" s="646"/>
      <c r="Y945" s="646"/>
      <c r="Z945" s="646"/>
      <c r="AA945" s="646"/>
      <c r="AB945" s="646"/>
      <c r="AC945" s="646"/>
      <c r="AD945" s="646"/>
      <c r="AE945" s="646"/>
    </row>
    <row r="946" ht="15.75" customHeight="1">
      <c r="X946" s="646"/>
      <c r="Y946" s="646"/>
      <c r="Z946" s="646"/>
      <c r="AA946" s="646"/>
      <c r="AB946" s="646"/>
      <c r="AC946" s="646"/>
      <c r="AD946" s="646"/>
      <c r="AE946" s="646"/>
    </row>
    <row r="947" ht="15.75" customHeight="1">
      <c r="X947" s="646"/>
      <c r="Y947" s="646"/>
      <c r="Z947" s="646"/>
      <c r="AA947" s="646"/>
      <c r="AB947" s="646"/>
      <c r="AC947" s="646"/>
      <c r="AD947" s="646"/>
      <c r="AE947" s="646"/>
    </row>
    <row r="948" ht="15.75" customHeight="1">
      <c r="X948" s="646"/>
      <c r="Y948" s="646"/>
      <c r="Z948" s="646"/>
      <c r="AA948" s="646"/>
      <c r="AB948" s="646"/>
      <c r="AC948" s="646"/>
      <c r="AD948" s="646"/>
      <c r="AE948" s="646"/>
    </row>
    <row r="949" ht="15.75" customHeight="1">
      <c r="X949" s="646"/>
      <c r="Y949" s="646"/>
      <c r="Z949" s="646"/>
      <c r="AA949" s="646"/>
      <c r="AB949" s="646"/>
      <c r="AC949" s="646"/>
      <c r="AD949" s="646"/>
      <c r="AE949" s="646"/>
    </row>
    <row r="950" ht="15.75" customHeight="1">
      <c r="X950" s="646"/>
      <c r="Y950" s="646"/>
      <c r="Z950" s="646"/>
      <c r="AA950" s="646"/>
      <c r="AB950" s="646"/>
      <c r="AC950" s="646"/>
      <c r="AD950" s="646"/>
      <c r="AE950" s="646"/>
    </row>
    <row r="951" ht="15.75" customHeight="1">
      <c r="X951" s="646"/>
      <c r="Y951" s="646"/>
      <c r="Z951" s="646"/>
      <c r="AA951" s="646"/>
      <c r="AB951" s="646"/>
      <c r="AC951" s="646"/>
      <c r="AD951" s="646"/>
      <c r="AE951" s="646"/>
    </row>
    <row r="952" ht="15.75" customHeight="1">
      <c r="X952" s="646"/>
      <c r="Y952" s="646"/>
      <c r="Z952" s="646"/>
      <c r="AA952" s="646"/>
      <c r="AB952" s="646"/>
      <c r="AC952" s="646"/>
      <c r="AD952" s="646"/>
      <c r="AE952" s="646"/>
    </row>
    <row r="953" ht="15.75" customHeight="1">
      <c r="X953" s="646"/>
      <c r="Y953" s="646"/>
      <c r="Z953" s="646"/>
      <c r="AA953" s="646"/>
      <c r="AB953" s="646"/>
      <c r="AC953" s="646"/>
      <c r="AD953" s="646"/>
      <c r="AE953" s="646"/>
    </row>
    <row r="954" ht="15.75" customHeight="1">
      <c r="X954" s="646"/>
      <c r="Y954" s="646"/>
      <c r="Z954" s="646"/>
      <c r="AA954" s="646"/>
      <c r="AB954" s="646"/>
      <c r="AC954" s="646"/>
      <c r="AD954" s="646"/>
      <c r="AE954" s="646"/>
    </row>
    <row r="955" ht="15.75" customHeight="1">
      <c r="X955" s="646"/>
      <c r="Y955" s="646"/>
      <c r="Z955" s="646"/>
      <c r="AA955" s="646"/>
      <c r="AB955" s="646"/>
      <c r="AC955" s="646"/>
      <c r="AD955" s="646"/>
      <c r="AE955" s="646"/>
    </row>
    <row r="956" ht="15.75" customHeight="1">
      <c r="X956" s="646"/>
      <c r="Y956" s="646"/>
      <c r="Z956" s="646"/>
      <c r="AA956" s="646"/>
      <c r="AB956" s="646"/>
      <c r="AC956" s="646"/>
      <c r="AD956" s="646"/>
      <c r="AE956" s="646"/>
    </row>
    <row r="957" ht="15.75" customHeight="1">
      <c r="X957" s="646"/>
      <c r="Y957" s="646"/>
      <c r="Z957" s="646"/>
      <c r="AA957" s="646"/>
      <c r="AB957" s="646"/>
      <c r="AC957" s="646"/>
      <c r="AD957" s="646"/>
      <c r="AE957" s="646"/>
    </row>
    <row r="958" ht="15.75" customHeight="1">
      <c r="X958" s="646"/>
      <c r="Y958" s="646"/>
      <c r="Z958" s="646"/>
      <c r="AA958" s="646"/>
      <c r="AB958" s="646"/>
      <c r="AC958" s="646"/>
      <c r="AD958" s="646"/>
      <c r="AE958" s="646"/>
    </row>
    <row r="959" ht="15.75" customHeight="1">
      <c r="X959" s="646"/>
      <c r="Y959" s="646"/>
      <c r="Z959" s="646"/>
      <c r="AA959" s="646"/>
      <c r="AB959" s="646"/>
      <c r="AC959" s="646"/>
      <c r="AD959" s="646"/>
      <c r="AE959" s="646"/>
    </row>
    <row r="960" ht="15.75" customHeight="1">
      <c r="X960" s="646"/>
      <c r="Y960" s="646"/>
      <c r="Z960" s="646"/>
      <c r="AA960" s="646"/>
      <c r="AB960" s="646"/>
      <c r="AC960" s="646"/>
      <c r="AD960" s="646"/>
      <c r="AE960" s="646"/>
    </row>
    <row r="961" ht="15.75" customHeight="1">
      <c r="X961" s="646"/>
      <c r="Y961" s="646"/>
      <c r="Z961" s="646"/>
      <c r="AA961" s="646"/>
      <c r="AB961" s="646"/>
      <c r="AC961" s="646"/>
      <c r="AD961" s="646"/>
      <c r="AE961" s="646"/>
    </row>
    <row r="962" ht="15.75" customHeight="1">
      <c r="X962" s="646"/>
      <c r="Y962" s="646"/>
      <c r="Z962" s="646"/>
      <c r="AA962" s="646"/>
      <c r="AB962" s="646"/>
      <c r="AC962" s="646"/>
      <c r="AD962" s="646"/>
      <c r="AE962" s="646"/>
    </row>
    <row r="963" ht="15.75" customHeight="1">
      <c r="X963" s="646"/>
      <c r="Y963" s="646"/>
      <c r="Z963" s="646"/>
      <c r="AA963" s="646"/>
      <c r="AB963" s="646"/>
      <c r="AC963" s="646"/>
      <c r="AD963" s="646"/>
      <c r="AE963" s="646"/>
    </row>
    <row r="964" ht="15.75" customHeight="1">
      <c r="X964" s="646"/>
      <c r="Y964" s="646"/>
      <c r="Z964" s="646"/>
      <c r="AA964" s="646"/>
      <c r="AB964" s="646"/>
      <c r="AC964" s="646"/>
      <c r="AD964" s="646"/>
      <c r="AE964" s="646"/>
    </row>
    <row r="965" ht="15.75" customHeight="1">
      <c r="X965" s="646"/>
      <c r="Y965" s="646"/>
      <c r="Z965" s="646"/>
      <c r="AA965" s="646"/>
      <c r="AB965" s="646"/>
      <c r="AC965" s="646"/>
      <c r="AD965" s="646"/>
      <c r="AE965" s="646"/>
    </row>
    <row r="966" ht="15.75" customHeight="1">
      <c r="X966" s="646"/>
      <c r="Y966" s="646"/>
      <c r="Z966" s="646"/>
      <c r="AA966" s="646"/>
      <c r="AB966" s="646"/>
      <c r="AC966" s="646"/>
      <c r="AD966" s="646"/>
      <c r="AE966" s="646"/>
    </row>
    <row r="967" ht="15.75" customHeight="1">
      <c r="X967" s="646"/>
      <c r="Y967" s="646"/>
      <c r="Z967" s="646"/>
      <c r="AA967" s="646"/>
      <c r="AB967" s="646"/>
      <c r="AC967" s="646"/>
      <c r="AD967" s="646"/>
      <c r="AE967" s="646"/>
    </row>
    <row r="968" ht="15.75" customHeight="1">
      <c r="X968" s="646"/>
      <c r="Y968" s="646"/>
      <c r="Z968" s="646"/>
      <c r="AA968" s="646"/>
      <c r="AB968" s="646"/>
      <c r="AC968" s="646"/>
      <c r="AD968" s="646"/>
      <c r="AE968" s="646"/>
    </row>
    <row r="969" ht="15.75" customHeight="1">
      <c r="X969" s="646"/>
      <c r="Y969" s="646"/>
      <c r="Z969" s="646"/>
      <c r="AA969" s="646"/>
      <c r="AB969" s="646"/>
      <c r="AC969" s="646"/>
      <c r="AD969" s="646"/>
      <c r="AE969" s="646"/>
    </row>
    <row r="970" ht="15.75" customHeight="1">
      <c r="X970" s="646"/>
      <c r="Y970" s="646"/>
      <c r="Z970" s="646"/>
      <c r="AA970" s="646"/>
      <c r="AB970" s="646"/>
      <c r="AC970" s="646"/>
      <c r="AD970" s="646"/>
      <c r="AE970" s="646"/>
    </row>
    <row r="971" ht="15.75" customHeight="1">
      <c r="X971" s="646"/>
      <c r="Y971" s="646"/>
      <c r="Z971" s="646"/>
      <c r="AA971" s="646"/>
      <c r="AB971" s="646"/>
      <c r="AC971" s="646"/>
      <c r="AD971" s="646"/>
      <c r="AE971" s="646"/>
    </row>
    <row r="972" ht="15.75" customHeight="1">
      <c r="X972" s="646"/>
      <c r="Y972" s="646"/>
      <c r="Z972" s="646"/>
      <c r="AA972" s="646"/>
      <c r="AB972" s="646"/>
      <c r="AC972" s="646"/>
      <c r="AD972" s="646"/>
      <c r="AE972" s="646"/>
    </row>
    <row r="973" ht="15.75" customHeight="1">
      <c r="X973" s="646"/>
      <c r="Y973" s="646"/>
      <c r="Z973" s="646"/>
      <c r="AA973" s="646"/>
      <c r="AB973" s="646"/>
      <c r="AC973" s="646"/>
      <c r="AD973" s="646"/>
      <c r="AE973" s="646"/>
    </row>
    <row r="974" ht="15.75" customHeight="1">
      <c r="X974" s="646"/>
      <c r="Y974" s="646"/>
      <c r="Z974" s="646"/>
      <c r="AA974" s="646"/>
      <c r="AB974" s="646"/>
      <c r="AC974" s="646"/>
      <c r="AD974" s="646"/>
      <c r="AE974" s="646"/>
    </row>
    <row r="975" ht="15.75" customHeight="1">
      <c r="X975" s="646"/>
      <c r="Y975" s="646"/>
      <c r="Z975" s="646"/>
      <c r="AA975" s="646"/>
      <c r="AB975" s="646"/>
      <c r="AC975" s="646"/>
      <c r="AD975" s="646"/>
      <c r="AE975" s="646"/>
    </row>
    <row r="976" ht="15.75" customHeight="1">
      <c r="X976" s="646"/>
      <c r="Y976" s="646"/>
      <c r="Z976" s="646"/>
      <c r="AA976" s="646"/>
      <c r="AB976" s="646"/>
      <c r="AC976" s="646"/>
      <c r="AD976" s="646"/>
      <c r="AE976" s="646"/>
    </row>
    <row r="977" ht="15.75" customHeight="1">
      <c r="X977" s="646"/>
      <c r="Y977" s="646"/>
      <c r="Z977" s="646"/>
      <c r="AA977" s="646"/>
      <c r="AB977" s="646"/>
      <c r="AC977" s="646"/>
      <c r="AD977" s="646"/>
      <c r="AE977" s="646"/>
    </row>
    <row r="978" ht="15.75" customHeight="1">
      <c r="X978" s="646"/>
      <c r="Y978" s="646"/>
      <c r="Z978" s="646"/>
      <c r="AA978" s="646"/>
      <c r="AB978" s="646"/>
      <c r="AC978" s="646"/>
      <c r="AD978" s="646"/>
      <c r="AE978" s="646"/>
    </row>
    <row r="979" ht="15.75" customHeight="1">
      <c r="X979" s="646"/>
      <c r="Y979" s="646"/>
      <c r="Z979" s="646"/>
      <c r="AA979" s="646"/>
      <c r="AB979" s="646"/>
      <c r="AC979" s="646"/>
      <c r="AD979" s="646"/>
      <c r="AE979" s="646"/>
    </row>
    <row r="980" ht="15.75" customHeight="1">
      <c r="X980" s="646"/>
      <c r="Y980" s="646"/>
      <c r="Z980" s="646"/>
      <c r="AA980" s="646"/>
      <c r="AB980" s="646"/>
      <c r="AC980" s="646"/>
      <c r="AD980" s="646"/>
      <c r="AE980" s="646"/>
    </row>
    <row r="981" ht="15.75" customHeight="1">
      <c r="X981" s="646"/>
      <c r="Y981" s="646"/>
      <c r="Z981" s="646"/>
      <c r="AA981" s="646"/>
      <c r="AB981" s="646"/>
      <c r="AC981" s="646"/>
      <c r="AD981" s="646"/>
      <c r="AE981" s="646"/>
    </row>
    <row r="982" ht="15.75" customHeight="1">
      <c r="X982" s="646"/>
      <c r="Y982" s="646"/>
      <c r="Z982" s="646"/>
      <c r="AA982" s="646"/>
      <c r="AB982" s="646"/>
      <c r="AC982" s="646"/>
      <c r="AD982" s="646"/>
      <c r="AE982" s="646"/>
    </row>
    <row r="983" ht="15.75" customHeight="1">
      <c r="X983" s="646"/>
      <c r="Y983" s="646"/>
      <c r="Z983" s="646"/>
      <c r="AA983" s="646"/>
      <c r="AB983" s="646"/>
      <c r="AC983" s="646"/>
      <c r="AD983" s="646"/>
      <c r="AE983" s="646"/>
    </row>
    <row r="984" ht="15.75" customHeight="1">
      <c r="X984" s="646"/>
      <c r="Y984" s="646"/>
      <c r="Z984" s="646"/>
      <c r="AA984" s="646"/>
      <c r="AB984" s="646"/>
      <c r="AC984" s="646"/>
      <c r="AD984" s="646"/>
      <c r="AE984" s="646"/>
    </row>
    <row r="985" ht="15.75" customHeight="1">
      <c r="X985" s="646"/>
      <c r="Y985" s="646"/>
      <c r="Z985" s="646"/>
      <c r="AA985" s="646"/>
      <c r="AB985" s="646"/>
      <c r="AC985" s="646"/>
      <c r="AD985" s="646"/>
      <c r="AE985" s="646"/>
    </row>
    <row r="986" ht="15.75" customHeight="1">
      <c r="X986" s="646"/>
      <c r="Y986" s="646"/>
      <c r="Z986" s="646"/>
      <c r="AA986" s="646"/>
      <c r="AB986" s="646"/>
      <c r="AC986" s="646"/>
      <c r="AD986" s="646"/>
      <c r="AE986" s="646"/>
    </row>
    <row r="987" ht="15.75" customHeight="1">
      <c r="X987" s="646"/>
      <c r="Y987" s="646"/>
      <c r="Z987" s="646"/>
      <c r="AA987" s="646"/>
      <c r="AB987" s="646"/>
      <c r="AC987" s="646"/>
      <c r="AD987" s="646"/>
      <c r="AE987" s="646"/>
    </row>
    <row r="988" ht="15.75" customHeight="1">
      <c r="X988" s="646"/>
      <c r="Y988" s="646"/>
      <c r="Z988" s="646"/>
      <c r="AA988" s="646"/>
      <c r="AB988" s="646"/>
      <c r="AC988" s="646"/>
      <c r="AD988" s="646"/>
      <c r="AE988" s="646"/>
    </row>
    <row r="989" ht="15.75" customHeight="1">
      <c r="X989" s="646"/>
      <c r="Y989" s="646"/>
      <c r="Z989" s="646"/>
      <c r="AA989" s="646"/>
      <c r="AB989" s="646"/>
      <c r="AC989" s="646"/>
      <c r="AD989" s="646"/>
      <c r="AE989" s="646"/>
    </row>
    <row r="990" ht="15.75" customHeight="1">
      <c r="X990" s="646"/>
      <c r="Y990" s="646"/>
      <c r="Z990" s="646"/>
      <c r="AA990" s="646"/>
      <c r="AB990" s="646"/>
      <c r="AC990" s="646"/>
      <c r="AD990" s="646"/>
      <c r="AE990" s="646"/>
    </row>
    <row r="991" ht="15.75" customHeight="1">
      <c r="X991" s="646"/>
      <c r="Y991" s="646"/>
      <c r="Z991" s="646"/>
      <c r="AA991" s="646"/>
      <c r="AB991" s="646"/>
      <c r="AC991" s="646"/>
      <c r="AD991" s="646"/>
      <c r="AE991" s="646"/>
    </row>
    <row r="992" ht="15.75" customHeight="1">
      <c r="X992" s="646"/>
      <c r="Y992" s="646"/>
      <c r="Z992" s="646"/>
      <c r="AA992" s="646"/>
      <c r="AB992" s="646"/>
      <c r="AC992" s="646"/>
      <c r="AD992" s="646"/>
      <c r="AE992" s="646"/>
    </row>
    <row r="993" ht="15.75" customHeight="1">
      <c r="X993" s="646"/>
      <c r="Y993" s="646"/>
      <c r="Z993" s="646"/>
      <c r="AA993" s="646"/>
      <c r="AB993" s="646"/>
      <c r="AC993" s="646"/>
      <c r="AD993" s="646"/>
      <c r="AE993" s="646"/>
    </row>
    <row r="994" ht="15.75" customHeight="1">
      <c r="X994" s="646"/>
      <c r="Y994" s="646"/>
      <c r="Z994" s="646"/>
      <c r="AA994" s="646"/>
      <c r="AB994" s="646"/>
      <c r="AC994" s="646"/>
      <c r="AD994" s="646"/>
      <c r="AE994" s="646"/>
    </row>
    <row r="995" ht="15.75" customHeight="1">
      <c r="X995" s="646"/>
      <c r="Y995" s="646"/>
      <c r="Z995" s="646"/>
      <c r="AA995" s="646"/>
      <c r="AB995" s="646"/>
      <c r="AC995" s="646"/>
      <c r="AD995" s="646"/>
      <c r="AE995" s="646"/>
    </row>
    <row r="996" ht="15.75" customHeight="1">
      <c r="X996" s="646"/>
      <c r="Y996" s="646"/>
      <c r="Z996" s="646"/>
      <c r="AA996" s="646"/>
      <c r="AB996" s="646"/>
      <c r="AC996" s="646"/>
      <c r="AD996" s="646"/>
      <c r="AE996" s="646"/>
    </row>
    <row r="997" ht="15.75" customHeight="1">
      <c r="X997" s="646"/>
      <c r="Y997" s="646"/>
      <c r="Z997" s="646"/>
      <c r="AA997" s="646"/>
      <c r="AB997" s="646"/>
      <c r="AC997" s="646"/>
      <c r="AD997" s="646"/>
      <c r="AE997" s="646"/>
    </row>
    <row r="998" ht="15.75" customHeight="1">
      <c r="X998" s="646"/>
      <c r="Y998" s="646"/>
      <c r="Z998" s="646"/>
      <c r="AA998" s="646"/>
      <c r="AB998" s="646"/>
      <c r="AC998" s="646"/>
      <c r="AD998" s="646"/>
      <c r="AE998" s="646"/>
    </row>
    <row r="999" ht="15.75" customHeight="1">
      <c r="X999" s="646"/>
      <c r="Y999" s="646"/>
      <c r="Z999" s="646"/>
      <c r="AA999" s="646"/>
      <c r="AB999" s="646"/>
      <c r="AC999" s="646"/>
      <c r="AD999" s="646"/>
      <c r="AE999" s="646"/>
    </row>
    <row r="1000" ht="15.75" customHeight="1">
      <c r="X1000" s="646"/>
      <c r="Y1000" s="646"/>
      <c r="Z1000" s="646"/>
      <c r="AA1000" s="646"/>
      <c r="AB1000" s="646"/>
      <c r="AC1000" s="646"/>
      <c r="AD1000" s="646"/>
      <c r="AE1000" s="646"/>
    </row>
  </sheetData>
  <mergeCells count="1">
    <mergeCell ref="Q5:U5"/>
  </mergeCells>
  <printOptions/>
  <pageMargins bottom="0.75" footer="0.0" header="0.0" left="0.25" right="0.25"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fitToPage="1"/>
  </sheetPr>
  <sheetViews>
    <sheetView showGridLines="0" workbookViewId="0">
      <pane xSplit="10.0" ySplit="5.0" topLeftCell="K6" activePane="bottomRight" state="frozen"/>
      <selection activeCell="K1" sqref="K1" pane="topRight"/>
      <selection activeCell="A6" sqref="A6" pane="bottomLeft"/>
      <selection activeCell="K6" sqref="K6" pane="bottomRight"/>
    </sheetView>
  </sheetViews>
  <sheetFormatPr customHeight="1" defaultColWidth="14.43" defaultRowHeight="15.0" outlineLevelCol="2"/>
  <cols>
    <col customWidth="1" hidden="1" min="1" max="1" width="7.71" outlineLevel="2"/>
    <col customWidth="1" hidden="1" min="2" max="2" width="9.71" outlineLevel="2"/>
    <col collapsed="1" customWidth="1" min="3" max="3" width="3.57"/>
    <col customWidth="1" min="4" max="4" width="1.43"/>
    <col customWidth="1" min="5" max="5" width="13.43"/>
    <col customWidth="1" min="6" max="6" width="2.14" outlineLevel="2"/>
    <col customWidth="1" hidden="1" min="7" max="7" width="11.43" outlineLevel="2"/>
    <col customWidth="1" hidden="1" min="8" max="8" width="3.57" outlineLevel="2"/>
    <col customWidth="1" min="9" max="9" width="7.43" outlineLevel="2"/>
    <col customWidth="1" min="10" max="10" width="3.57" outlineLevel="1"/>
    <col customWidth="1" min="11" max="13" width="6.43" outlineLevel="1"/>
    <col customWidth="1" min="14" max="14" width="2.71"/>
    <col customWidth="1" min="15" max="15" width="9.57"/>
    <col customWidth="1" min="16" max="16" width="1.86"/>
    <col customWidth="1" min="17" max="17" width="9.57"/>
    <col customWidth="1" min="18" max="18" width="2.0" outlineLevel="1"/>
    <col customWidth="1" min="19" max="19" width="11.43"/>
    <col customWidth="1" min="20" max="20" width="2.0"/>
    <col customWidth="1" min="21" max="23" width="7.71" outlineLevel="1"/>
    <col customWidth="1" min="24" max="24" width="4.57"/>
    <col customWidth="1" min="25" max="27" width="7.43"/>
    <col customWidth="1" min="28" max="29" width="3.57"/>
    <col customWidth="1" min="30" max="30" width="5.57"/>
    <col customWidth="1" min="31" max="31" width="1.71"/>
    <col customWidth="1" min="32" max="32" width="5.57"/>
    <col customWidth="1" min="33" max="33" width="3.57"/>
    <col customWidth="1" min="34" max="34" width="6.43" outlineLevel="1"/>
    <col customWidth="1" min="35" max="35" width="2.14" outlineLevel="1"/>
    <col customWidth="1" min="36" max="36" width="6.43" outlineLevel="1"/>
    <col customWidth="1" min="37" max="37" width="1.0"/>
    <col customWidth="1" min="38" max="38" width="1.86"/>
    <col customWidth="1" min="39" max="44" width="9.14"/>
    <col customWidth="1" min="45" max="45" width="16.71"/>
    <col customWidth="1" min="46" max="54" width="9.14"/>
    <col customWidth="1" min="55" max="55" width="13.43"/>
    <col customWidth="1" min="56" max="56" width="9.14"/>
  </cols>
  <sheetData>
    <row r="1" ht="11.25" customHeight="1">
      <c r="A1" s="647"/>
      <c r="B1" s="647"/>
      <c r="C1" s="552" t="s">
        <v>144</v>
      </c>
      <c r="D1" s="552"/>
      <c r="E1" s="552"/>
      <c r="F1" s="552"/>
      <c r="G1" s="552"/>
      <c r="H1" s="552"/>
      <c r="I1" s="552"/>
      <c r="J1" s="552"/>
      <c r="K1" s="552"/>
      <c r="L1" s="552"/>
      <c r="M1" s="552"/>
      <c r="N1" s="552"/>
      <c r="O1" s="552"/>
      <c r="P1" s="552"/>
      <c r="Q1" s="552"/>
      <c r="R1" s="552"/>
      <c r="S1" s="648"/>
      <c r="T1" s="552"/>
      <c r="U1" s="552"/>
      <c r="V1" s="552"/>
      <c r="W1" s="552"/>
      <c r="X1" s="552"/>
      <c r="Y1" s="552"/>
      <c r="Z1" s="552"/>
      <c r="AA1" s="552"/>
      <c r="AB1" s="552"/>
      <c r="AC1" s="552"/>
      <c r="AD1" s="552"/>
      <c r="AE1" s="552"/>
      <c r="AF1" s="552"/>
      <c r="AG1" s="554"/>
      <c r="AH1" s="554"/>
      <c r="AI1" s="554"/>
      <c r="AJ1" s="554"/>
      <c r="AK1" s="554"/>
      <c r="AL1" s="552"/>
      <c r="AM1" s="649"/>
      <c r="AN1" s="649"/>
      <c r="AO1" s="649"/>
      <c r="AP1" s="649"/>
      <c r="AQ1" s="649"/>
      <c r="AR1" s="649"/>
      <c r="AS1" s="649"/>
      <c r="AT1" s="649"/>
      <c r="AU1" s="649"/>
      <c r="AV1" s="649"/>
      <c r="AW1" s="649"/>
      <c r="AX1" s="649"/>
      <c r="AY1" s="649"/>
      <c r="AZ1" s="649"/>
      <c r="BA1" s="649"/>
      <c r="BB1" s="649"/>
      <c r="BC1" s="552"/>
      <c r="BD1" s="650"/>
    </row>
    <row r="2" ht="11.25" customHeight="1">
      <c r="A2" s="651"/>
      <c r="B2" s="651"/>
      <c r="C2" s="556"/>
      <c r="D2" s="556"/>
      <c r="E2" s="652"/>
      <c r="F2" s="652"/>
      <c r="G2" s="652"/>
      <c r="H2" s="652"/>
      <c r="I2" s="652"/>
      <c r="J2" s="652"/>
      <c r="K2" s="652"/>
      <c r="L2" s="652"/>
      <c r="M2" s="652"/>
      <c r="N2" s="652"/>
      <c r="O2" s="652"/>
      <c r="P2" s="652"/>
      <c r="Q2" s="652"/>
      <c r="R2" s="652"/>
      <c r="S2" s="653"/>
      <c r="T2" s="652"/>
      <c r="U2" s="652"/>
      <c r="V2" s="652"/>
      <c r="W2" s="652"/>
      <c r="X2" s="652"/>
      <c r="Y2" s="652"/>
      <c r="Z2" s="652"/>
      <c r="AA2" s="652"/>
      <c r="AB2" s="652"/>
      <c r="AC2" s="652"/>
      <c r="AD2" s="652"/>
      <c r="AE2" s="652"/>
      <c r="AF2" s="652"/>
      <c r="AG2" s="557"/>
      <c r="AH2" s="557"/>
      <c r="AI2" s="557"/>
      <c r="AJ2" s="557"/>
      <c r="AK2" s="557"/>
      <c r="AL2" s="556"/>
      <c r="AM2" s="654"/>
      <c r="AN2" s="654"/>
      <c r="AO2" s="654"/>
      <c r="AP2" s="654"/>
      <c r="AQ2" s="654"/>
      <c r="AR2" s="654"/>
      <c r="AS2" s="654"/>
      <c r="AT2" s="654"/>
      <c r="AU2" s="654"/>
      <c r="AV2" s="654"/>
      <c r="AW2" s="654"/>
      <c r="AX2" s="654"/>
      <c r="AY2" s="654"/>
      <c r="AZ2" s="654"/>
      <c r="BA2" s="654"/>
      <c r="BB2" s="654"/>
      <c r="BC2" s="556"/>
      <c r="BD2" s="655"/>
    </row>
    <row r="3" ht="14.25" customHeight="1">
      <c r="A3" s="656">
        <v>43531.0</v>
      </c>
      <c r="B3" s="657"/>
      <c r="C3" s="658" t="s">
        <v>112</v>
      </c>
      <c r="D3" s="337"/>
      <c r="E3" s="345"/>
      <c r="F3" s="345"/>
      <c r="G3" s="550"/>
      <c r="H3" s="345"/>
      <c r="I3" s="550"/>
      <c r="J3" s="550"/>
      <c r="K3" s="550"/>
      <c r="L3" s="550"/>
      <c r="M3" s="550"/>
      <c r="N3" s="550"/>
      <c r="O3" s="550"/>
      <c r="P3" s="550"/>
      <c r="Q3" s="550"/>
      <c r="R3" s="345"/>
      <c r="S3" s="659"/>
      <c r="T3" s="550"/>
      <c r="U3" s="550"/>
      <c r="V3" s="550"/>
      <c r="W3" s="550"/>
      <c r="X3" s="550"/>
      <c r="Y3" s="550"/>
      <c r="Z3" s="550"/>
      <c r="AA3" s="550"/>
      <c r="AB3" s="550"/>
      <c r="AC3" s="550"/>
      <c r="AD3" s="550"/>
      <c r="AE3" s="550"/>
      <c r="AF3" s="550"/>
      <c r="AG3" s="550"/>
      <c r="AH3" s="550"/>
      <c r="AI3" s="550"/>
      <c r="AJ3" s="550"/>
      <c r="AK3" s="660"/>
      <c r="AL3" s="337"/>
      <c r="AM3" s="631"/>
      <c r="AN3" s="631"/>
      <c r="AO3" s="631"/>
      <c r="AP3" s="631"/>
      <c r="AQ3" s="631"/>
      <c r="AR3" s="631"/>
      <c r="AS3" s="631"/>
      <c r="AT3" s="631"/>
      <c r="AU3" s="631"/>
      <c r="AV3" s="631"/>
      <c r="AW3" s="631"/>
      <c r="AX3" s="631"/>
      <c r="AY3" s="631"/>
      <c r="AZ3" s="631"/>
      <c r="BA3" s="631"/>
      <c r="BB3" s="631"/>
      <c r="BC3" s="337"/>
      <c r="BD3" s="661"/>
    </row>
    <row r="4" ht="14.25" customHeight="1">
      <c r="A4" s="644"/>
      <c r="B4" s="657"/>
      <c r="C4" s="337"/>
      <c r="D4" s="337"/>
      <c r="E4" s="550"/>
      <c r="F4" s="345"/>
      <c r="G4" s="581" t="s">
        <v>145</v>
      </c>
      <c r="H4" s="345"/>
      <c r="I4" s="550"/>
      <c r="J4" s="578"/>
      <c r="K4" s="662" t="s">
        <v>63</v>
      </c>
      <c r="L4" s="663"/>
      <c r="M4" s="664"/>
      <c r="N4" s="345"/>
      <c r="O4" s="662" t="s">
        <v>146</v>
      </c>
      <c r="P4" s="663"/>
      <c r="Q4" s="664"/>
      <c r="R4" s="345"/>
      <c r="S4" s="577" t="s">
        <v>147</v>
      </c>
      <c r="T4" s="345"/>
      <c r="U4" s="568" t="s">
        <v>24</v>
      </c>
      <c r="V4" s="6"/>
      <c r="W4" s="6"/>
      <c r="X4" s="7"/>
      <c r="Y4" s="568" t="s">
        <v>148</v>
      </c>
      <c r="Z4" s="6"/>
      <c r="AA4" s="6"/>
      <c r="AB4" s="7"/>
      <c r="AC4" s="345"/>
      <c r="AD4" s="662" t="s">
        <v>149</v>
      </c>
      <c r="AE4" s="663"/>
      <c r="AF4" s="664"/>
      <c r="AG4" s="549"/>
      <c r="AH4" s="665" t="s">
        <v>150</v>
      </c>
      <c r="AI4" s="666"/>
      <c r="AJ4" s="666"/>
      <c r="AK4" s="660"/>
      <c r="AL4" s="337"/>
      <c r="AM4" s="631"/>
      <c r="AN4" s="631"/>
      <c r="AO4" s="631"/>
      <c r="AP4" s="631"/>
      <c r="AQ4" s="631"/>
      <c r="AR4" s="631"/>
      <c r="AS4" s="631"/>
      <c r="AT4" s="631"/>
      <c r="AU4" s="631"/>
      <c r="AV4" s="631"/>
      <c r="AW4" s="631"/>
      <c r="AX4" s="631"/>
      <c r="AY4" s="631"/>
      <c r="AZ4" s="631"/>
      <c r="BA4" s="631"/>
      <c r="BB4" s="631"/>
      <c r="BC4" s="337"/>
      <c r="BD4" s="661"/>
    </row>
    <row r="5" ht="11.25" customHeight="1">
      <c r="A5" s="667" t="s">
        <v>151</v>
      </c>
      <c r="B5" s="668" t="s">
        <v>152</v>
      </c>
      <c r="C5" s="337"/>
      <c r="D5" s="337"/>
      <c r="E5" s="669" t="s">
        <v>153</v>
      </c>
      <c r="F5" s="345"/>
      <c r="G5" s="670" t="s">
        <v>154</v>
      </c>
      <c r="H5" s="345"/>
      <c r="I5" s="669" t="s">
        <v>155</v>
      </c>
      <c r="J5" s="578"/>
      <c r="K5" s="577" t="s">
        <v>4</v>
      </c>
      <c r="L5" s="577" t="s">
        <v>156</v>
      </c>
      <c r="M5" s="577" t="s">
        <v>157</v>
      </c>
      <c r="N5" s="345"/>
      <c r="O5" s="671" t="s">
        <v>158</v>
      </c>
      <c r="P5" s="672"/>
      <c r="Q5" s="671" t="s">
        <v>159</v>
      </c>
      <c r="R5" s="345"/>
      <c r="S5" s="673" t="s">
        <v>4</v>
      </c>
      <c r="T5" s="345"/>
      <c r="U5" s="577" t="s">
        <v>4</v>
      </c>
      <c r="V5" s="577" t="s">
        <v>156</v>
      </c>
      <c r="W5" s="577" t="s">
        <v>157</v>
      </c>
      <c r="X5" s="345"/>
      <c r="Y5" s="674" t="s">
        <v>4</v>
      </c>
      <c r="Z5" s="673" t="s">
        <v>156</v>
      </c>
      <c r="AA5" s="673" t="s">
        <v>157</v>
      </c>
      <c r="AB5" s="675"/>
      <c r="AC5" s="345"/>
      <c r="AD5" s="576" t="s">
        <v>4</v>
      </c>
      <c r="AE5" s="345"/>
      <c r="AF5" s="576" t="s">
        <v>156</v>
      </c>
      <c r="AG5" s="676"/>
      <c r="AH5" s="665" t="str">
        <f>AD5</f>
        <v>2018A</v>
      </c>
      <c r="AI5" s="660"/>
      <c r="AJ5" s="665" t="str">
        <f>AF5</f>
        <v>2019E</v>
      </c>
      <c r="AK5" s="660"/>
      <c r="AL5" s="337"/>
      <c r="AM5" s="631"/>
      <c r="AN5" s="631"/>
      <c r="AO5" s="631"/>
      <c r="AP5" s="631"/>
      <c r="AQ5" s="631"/>
      <c r="AR5" s="631"/>
      <c r="AS5" s="631"/>
      <c r="AT5" s="631"/>
      <c r="AU5" s="631"/>
      <c r="AV5" s="631"/>
      <c r="AW5" s="631"/>
      <c r="AX5" s="631"/>
      <c r="AY5" s="631"/>
      <c r="AZ5" s="631"/>
      <c r="BA5" s="631"/>
      <c r="BB5" s="631"/>
      <c r="BC5" s="337"/>
      <c r="BD5" s="661"/>
    </row>
    <row r="6" ht="30.75" customHeight="1">
      <c r="A6" s="677" t="str">
        <f>A51</f>
        <v/>
      </c>
      <c r="B6" s="678" t="s">
        <v>160</v>
      </c>
      <c r="C6" s="679" t="s">
        <v>161</v>
      </c>
      <c r="D6" s="680"/>
      <c r="E6" s="681" t="s">
        <v>124</v>
      </c>
      <c r="F6" s="682"/>
      <c r="G6" s="683">
        <v>67.19</v>
      </c>
      <c r="H6" s="684"/>
      <c r="I6" s="685">
        <v>2358.380503</v>
      </c>
      <c r="J6" s="686"/>
      <c r="K6" s="685">
        <v>389.373</v>
      </c>
      <c r="L6" s="685">
        <v>440.9</v>
      </c>
      <c r="M6" s="685">
        <v>485.8</v>
      </c>
      <c r="N6" s="682"/>
      <c r="O6" s="687">
        <f t="shared" ref="O6:O9" si="2">L6/K6-1</f>
        <v>0.132333264</v>
      </c>
      <c r="P6" s="687"/>
      <c r="Q6" s="687">
        <f t="shared" ref="Q6:Q9" si="3">M6/L6-1</f>
        <v>0.1018371513</v>
      </c>
      <c r="R6" s="688"/>
      <c r="S6" s="689">
        <v>0.6309874622494738</v>
      </c>
      <c r="T6" s="690"/>
      <c r="U6" s="685">
        <v>91.101</v>
      </c>
      <c r="V6" s="685">
        <v>127.864</v>
      </c>
      <c r="W6" s="685">
        <v>143.297</v>
      </c>
      <c r="X6" s="691"/>
      <c r="Y6" s="692">
        <f t="shared" ref="Y6:AA6" si="1">U6/K6</f>
        <v>0.233968457</v>
      </c>
      <c r="Z6" s="693">
        <f t="shared" si="1"/>
        <v>0.2900068043</v>
      </c>
      <c r="AA6" s="693">
        <f t="shared" si="1"/>
        <v>0.2949711816</v>
      </c>
      <c r="AB6" s="694"/>
      <c r="AC6" s="682"/>
      <c r="AD6" s="695">
        <f t="shared" ref="AD6:AD11" si="5">$I6/K6</f>
        <v>6.056867073</v>
      </c>
      <c r="AE6" s="696"/>
      <c r="AF6" s="695">
        <f t="shared" ref="AF6:AF7" si="6">$I6/L6</f>
        <v>5.349014523</v>
      </c>
      <c r="AG6" s="697"/>
      <c r="AH6" s="698">
        <f t="shared" ref="AH6:AH7" si="7">$I6/U6</f>
        <v>25.88753694</v>
      </c>
      <c r="AI6" s="699"/>
      <c r="AJ6" s="698">
        <f t="shared" ref="AJ6:AJ7" si="8">$I6/V6</f>
        <v>18.4444449</v>
      </c>
      <c r="AK6" s="700"/>
      <c r="AL6" s="701"/>
      <c r="AM6" s="642"/>
      <c r="AN6" s="642"/>
      <c r="AO6" s="642"/>
      <c r="AP6" s="642"/>
      <c r="AQ6" s="642"/>
      <c r="AR6" s="642"/>
      <c r="AS6" s="642"/>
      <c r="AT6" s="642"/>
      <c r="AU6" s="642"/>
      <c r="AV6" s="642"/>
      <c r="AW6" s="642"/>
      <c r="AX6" s="642"/>
      <c r="AY6" s="642"/>
      <c r="AZ6" s="642"/>
      <c r="BA6" s="642"/>
      <c r="BB6" s="642"/>
      <c r="BC6" s="701"/>
      <c r="BD6" s="702"/>
    </row>
    <row r="7" ht="30.75" customHeight="1">
      <c r="A7" s="677" t="str">
        <f>A49</f>
        <v/>
      </c>
      <c r="B7" s="678" t="s">
        <v>160</v>
      </c>
      <c r="C7" s="703"/>
      <c r="D7" s="680"/>
      <c r="E7" s="681" t="s">
        <v>162</v>
      </c>
      <c r="F7" s="682"/>
      <c r="G7" s="683">
        <v>97.23</v>
      </c>
      <c r="H7" s="684"/>
      <c r="I7" s="685">
        <v>1880.713241</v>
      </c>
      <c r="J7" s="686"/>
      <c r="K7" s="685">
        <v>358.111</v>
      </c>
      <c r="L7" s="685">
        <v>435.0</v>
      </c>
      <c r="M7" s="685">
        <v>519.848</v>
      </c>
      <c r="N7" s="682"/>
      <c r="O7" s="687">
        <f t="shared" si="2"/>
        <v>0.2147071718</v>
      </c>
      <c r="P7" s="687"/>
      <c r="Q7" s="687">
        <f t="shared" si="3"/>
        <v>0.1950528736</v>
      </c>
      <c r="R7" s="688"/>
      <c r="S7" s="689">
        <v>0.4860406193122139</v>
      </c>
      <c r="T7" s="690"/>
      <c r="U7" s="685">
        <v>48.491</v>
      </c>
      <c r="V7" s="685">
        <v>70.208</v>
      </c>
      <c r="W7" s="685">
        <v>85.4</v>
      </c>
      <c r="X7" s="691"/>
      <c r="Y7" s="693">
        <f t="shared" ref="Y7:AA7" si="4">U7/K7</f>
        <v>0.1354077367</v>
      </c>
      <c r="Z7" s="693">
        <f t="shared" si="4"/>
        <v>0.1613977011</v>
      </c>
      <c r="AA7" s="693">
        <f t="shared" si="4"/>
        <v>0.1642787892</v>
      </c>
      <c r="AB7" s="694"/>
      <c r="AC7" s="682"/>
      <c r="AD7" s="695">
        <f t="shared" si="5"/>
        <v>5.251760602</v>
      </c>
      <c r="AE7" s="696"/>
      <c r="AF7" s="695">
        <f t="shared" si="6"/>
        <v>4.323478715</v>
      </c>
      <c r="AG7" s="697"/>
      <c r="AH7" s="698">
        <f t="shared" si="7"/>
        <v>38.78478978</v>
      </c>
      <c r="AI7" s="699"/>
      <c r="AJ7" s="698">
        <f t="shared" si="8"/>
        <v>26.78773418</v>
      </c>
      <c r="AK7" s="700"/>
      <c r="AL7" s="701"/>
      <c r="AM7" s="642"/>
      <c r="AN7" s="642"/>
      <c r="AO7" s="642"/>
      <c r="AP7" s="642"/>
      <c r="AQ7" s="642"/>
      <c r="AR7" s="642"/>
      <c r="AS7" s="642"/>
      <c r="AT7" s="642"/>
      <c r="AU7" s="642"/>
      <c r="AV7" s="642"/>
      <c r="AW7" s="642"/>
      <c r="AX7" s="642"/>
      <c r="AY7" s="642"/>
      <c r="AZ7" s="642"/>
      <c r="BA7" s="642"/>
      <c r="BB7" s="642"/>
      <c r="BC7" s="701"/>
      <c r="BD7" s="702"/>
    </row>
    <row r="8" ht="30.75" customHeight="1">
      <c r="A8" s="677" t="str">
        <f>A48</f>
        <v/>
      </c>
      <c r="B8" s="678" t="s">
        <v>160</v>
      </c>
      <c r="C8" s="704"/>
      <c r="D8" s="680"/>
      <c r="E8" s="681" t="s">
        <v>72</v>
      </c>
      <c r="F8" s="682"/>
      <c r="G8" s="683">
        <v>89.89</v>
      </c>
      <c r="H8" s="684"/>
      <c r="I8" s="685">
        <v>2155.585498</v>
      </c>
      <c r="J8" s="686"/>
      <c r="K8" s="685">
        <v>147.293</v>
      </c>
      <c r="L8" s="685">
        <v>205.4</v>
      </c>
      <c r="M8" s="685">
        <v>268.073</v>
      </c>
      <c r="N8" s="682"/>
      <c r="O8" s="687">
        <f t="shared" si="2"/>
        <v>0.3944993992</v>
      </c>
      <c r="P8" s="687"/>
      <c r="Q8" s="687">
        <f t="shared" si="3"/>
        <v>0.3051265823</v>
      </c>
      <c r="R8" s="688"/>
      <c r="S8" s="689">
        <v>0.7187262077576668</v>
      </c>
      <c r="T8" s="690"/>
      <c r="U8" s="685">
        <v>-42.852</v>
      </c>
      <c r="V8" s="685">
        <v>-36.722</v>
      </c>
      <c r="W8" s="685">
        <v>12.0</v>
      </c>
      <c r="X8" s="691"/>
      <c r="Y8" s="693" t="s">
        <v>80</v>
      </c>
      <c r="Z8" s="693" t="s">
        <v>80</v>
      </c>
      <c r="AA8" s="693">
        <f>W8/M8</f>
        <v>0.04476392624</v>
      </c>
      <c r="AB8" s="694"/>
      <c r="AC8" s="682"/>
      <c r="AD8" s="695">
        <f t="shared" si="5"/>
        <v>14.63467713</v>
      </c>
      <c r="AE8" s="696"/>
      <c r="AF8" s="695">
        <f>$I8/M8</f>
        <v>8.041039187</v>
      </c>
      <c r="AG8" s="697"/>
      <c r="AH8" s="705" t="s">
        <v>80</v>
      </c>
      <c r="AI8" s="699"/>
      <c r="AJ8" s="705" t="s">
        <v>80</v>
      </c>
      <c r="AK8" s="700"/>
      <c r="AL8" s="701"/>
      <c r="AM8" s="642"/>
      <c r="AN8" s="642"/>
      <c r="AO8" s="642"/>
      <c r="AP8" s="642"/>
      <c r="AQ8" s="642"/>
      <c r="AR8" s="642"/>
      <c r="AS8" s="642"/>
      <c r="AT8" s="642"/>
      <c r="AU8" s="642"/>
      <c r="AV8" s="642"/>
      <c r="AW8" s="642"/>
      <c r="AX8" s="642"/>
      <c r="AY8" s="642"/>
      <c r="AZ8" s="642"/>
      <c r="BA8" s="642"/>
      <c r="BB8" s="642"/>
      <c r="BC8" s="701"/>
      <c r="BD8" s="702"/>
    </row>
    <row r="9" ht="30.75" customHeight="1">
      <c r="A9" s="677" t="str">
        <f>A50</f>
        <v/>
      </c>
      <c r="B9" s="678" t="s">
        <v>163</v>
      </c>
      <c r="C9" s="706" t="s">
        <v>164</v>
      </c>
      <c r="D9" s="680"/>
      <c r="E9" s="681" t="s">
        <v>165</v>
      </c>
      <c r="F9" s="682"/>
      <c r="G9" s="683">
        <v>10.188262850411931</v>
      </c>
      <c r="H9" s="684"/>
      <c r="I9" s="685">
        <v>5828.584661434776</v>
      </c>
      <c r="J9" s="686"/>
      <c r="K9" s="685">
        <v>688.7711380255942</v>
      </c>
      <c r="L9" s="685">
        <v>742.527</v>
      </c>
      <c r="M9" s="685">
        <v>822.245</v>
      </c>
      <c r="N9" s="682"/>
      <c r="O9" s="687">
        <f t="shared" si="2"/>
        <v>0.07804604317</v>
      </c>
      <c r="P9" s="687"/>
      <c r="Q9" s="687">
        <f t="shared" si="3"/>
        <v>0.1073604057</v>
      </c>
      <c r="R9" s="688"/>
      <c r="S9" s="689">
        <v>0.6503991921849879</v>
      </c>
      <c r="T9" s="690"/>
      <c r="U9" s="685">
        <v>224.59152193784274</v>
      </c>
      <c r="V9" s="685">
        <v>234.377</v>
      </c>
      <c r="W9" s="685">
        <v>277.335</v>
      </c>
      <c r="X9" s="691"/>
      <c r="Y9" s="693">
        <f t="shared" ref="Y9:AA9" si="9">U9/K9</f>
        <v>0.3260756869</v>
      </c>
      <c r="Z9" s="693">
        <f t="shared" si="9"/>
        <v>0.3156477812</v>
      </c>
      <c r="AA9" s="693">
        <f t="shared" si="9"/>
        <v>0.3372899805</v>
      </c>
      <c r="AB9" s="694"/>
      <c r="AC9" s="682"/>
      <c r="AD9" s="695">
        <f t="shared" si="5"/>
        <v>8.462295151</v>
      </c>
      <c r="AE9" s="696"/>
      <c r="AF9" s="695">
        <f>$I9/L9</f>
        <v>7.84966023</v>
      </c>
      <c r="AG9" s="697"/>
      <c r="AH9" s="698">
        <f>$I9/U9</f>
        <v>25.95193537</v>
      </c>
      <c r="AI9" s="699"/>
      <c r="AJ9" s="698">
        <f>$I9/V9</f>
        <v>24.86841568</v>
      </c>
      <c r="AK9" s="700"/>
      <c r="AL9" s="701"/>
      <c r="AM9" s="642"/>
      <c r="AN9" s="642"/>
      <c r="AO9" s="642"/>
      <c r="AP9" s="642"/>
      <c r="AQ9" s="642"/>
      <c r="AR9" s="642"/>
      <c r="AS9" s="642"/>
      <c r="AT9" s="642"/>
      <c r="AU9" s="642"/>
      <c r="AV9" s="642"/>
      <c r="AW9" s="642"/>
      <c r="AX9" s="642"/>
      <c r="AY9" s="642"/>
      <c r="AZ9" s="642"/>
      <c r="BA9" s="642"/>
      <c r="BB9" s="642"/>
      <c r="BC9" s="701"/>
      <c r="BD9" s="702"/>
    </row>
    <row r="10" ht="30.75" customHeight="1">
      <c r="A10" s="677" t="str">
        <f>A47</f>
        <v/>
      </c>
      <c r="B10" s="678" t="s">
        <v>163</v>
      </c>
      <c r="C10" s="703"/>
      <c r="D10" s="680"/>
      <c r="E10" s="681" t="s">
        <v>166</v>
      </c>
      <c r="F10" s="682"/>
      <c r="G10" s="683">
        <v>0.3578838317945991</v>
      </c>
      <c r="H10" s="684"/>
      <c r="I10" s="685">
        <v>106.79798670954625</v>
      </c>
      <c r="J10" s="686"/>
      <c r="K10" s="707">
        <v>20.701</v>
      </c>
      <c r="L10" s="707" t="s">
        <v>74</v>
      </c>
      <c r="M10" s="707" t="s">
        <v>74</v>
      </c>
      <c r="N10" s="682"/>
      <c r="O10" s="687" t="s">
        <v>74</v>
      </c>
      <c r="P10" s="687"/>
      <c r="Q10" s="687" t="s">
        <v>74</v>
      </c>
      <c r="R10" s="688"/>
      <c r="S10" s="689">
        <v>0.7299891540130152</v>
      </c>
      <c r="T10" s="690"/>
      <c r="U10" s="707">
        <v>-0.28</v>
      </c>
      <c r="V10" s="707" t="s">
        <v>74</v>
      </c>
      <c r="W10" s="707" t="s">
        <v>74</v>
      </c>
      <c r="X10" s="691"/>
      <c r="Y10" s="708" t="s">
        <v>80</v>
      </c>
      <c r="Z10" s="693" t="s">
        <v>74</v>
      </c>
      <c r="AA10" s="693" t="s">
        <v>74</v>
      </c>
      <c r="AB10" s="694"/>
      <c r="AC10" s="708"/>
      <c r="AD10" s="695">
        <f t="shared" si="5"/>
        <v>5.159073799</v>
      </c>
      <c r="AE10" s="696"/>
      <c r="AF10" s="709" t="s">
        <v>80</v>
      </c>
      <c r="AG10" s="710"/>
      <c r="AH10" s="705" t="s">
        <v>80</v>
      </c>
      <c r="AI10" s="699"/>
      <c r="AJ10" s="705" t="s">
        <v>80</v>
      </c>
      <c r="AK10" s="700"/>
      <c r="AL10" s="701"/>
      <c r="AM10" s="642"/>
      <c r="AN10" s="642"/>
      <c r="AO10" s="642"/>
      <c r="AP10" s="642"/>
      <c r="AQ10" s="642"/>
      <c r="AR10" s="642"/>
      <c r="AS10" s="642"/>
      <c r="AT10" s="642"/>
      <c r="AU10" s="642"/>
      <c r="AV10" s="642"/>
      <c r="AW10" s="642"/>
      <c r="AX10" s="642"/>
      <c r="AY10" s="642"/>
      <c r="AZ10" s="642"/>
      <c r="BA10" s="642"/>
      <c r="BB10" s="642"/>
      <c r="BC10" s="701"/>
      <c r="BD10" s="702"/>
    </row>
    <row r="11" ht="30.75" customHeight="1">
      <c r="A11" s="677" t="str">
        <f>A46</f>
        <v/>
      </c>
      <c r="B11" s="678" t="s">
        <v>163</v>
      </c>
      <c r="C11" s="704"/>
      <c r="D11" s="680"/>
      <c r="E11" s="681" t="s">
        <v>167</v>
      </c>
      <c r="F11" s="682"/>
      <c r="G11" s="683">
        <v>100.49</v>
      </c>
      <c r="H11" s="684"/>
      <c r="I11" s="685">
        <v>15448.227904</v>
      </c>
      <c r="J11" s="686"/>
      <c r="K11" s="707">
        <v>2340.196</v>
      </c>
      <c r="L11" s="707">
        <v>2601.0</v>
      </c>
      <c r="M11" s="707">
        <v>2881.0</v>
      </c>
      <c r="N11" s="682"/>
      <c r="O11" s="687">
        <f>L11/K11-1</f>
        <v>0.1114453661</v>
      </c>
      <c r="P11" s="687"/>
      <c r="Q11" s="687">
        <f>M11/L11-1</f>
        <v>0.1076509035</v>
      </c>
      <c r="R11" s="688"/>
      <c r="S11" s="689">
        <v>0.5814697274012126</v>
      </c>
      <c r="T11" s="690"/>
      <c r="U11" s="707">
        <v>653.249</v>
      </c>
      <c r="V11" s="711">
        <v>775.189</v>
      </c>
      <c r="W11" s="711">
        <v>860.071</v>
      </c>
      <c r="X11" s="691"/>
      <c r="Y11" s="690">
        <f t="shared" ref="Y11:AA11" si="10">U11/K11</f>
        <v>0.2791428581</v>
      </c>
      <c r="Z11" s="693">
        <f t="shared" si="10"/>
        <v>0.2980349865</v>
      </c>
      <c r="AA11" s="693">
        <f t="shared" si="10"/>
        <v>0.2985321069</v>
      </c>
      <c r="AB11" s="694"/>
      <c r="AC11" s="682"/>
      <c r="AD11" s="695">
        <f t="shared" si="5"/>
        <v>6.601253871</v>
      </c>
      <c r="AE11" s="696"/>
      <c r="AF11" s="695">
        <f>$I11/L11</f>
        <v>5.939341755</v>
      </c>
      <c r="AG11" s="697"/>
      <c r="AH11" s="698">
        <f>$I11/U11</f>
        <v>23.64829935</v>
      </c>
      <c r="AI11" s="699"/>
      <c r="AJ11" s="698">
        <f>$I11/V11</f>
        <v>19.92833735</v>
      </c>
      <c r="AK11" s="700"/>
      <c r="AL11" s="701"/>
      <c r="AM11" s="642"/>
      <c r="AN11" s="642"/>
      <c r="AO11" s="642"/>
      <c r="AP11" s="642"/>
      <c r="AQ11" s="642"/>
      <c r="AR11" s="642"/>
      <c r="AS11" s="642"/>
      <c r="AT11" s="642"/>
      <c r="AU11" s="642"/>
      <c r="AV11" s="642"/>
      <c r="AW11" s="642"/>
      <c r="AX11" s="642"/>
      <c r="AY11" s="642"/>
      <c r="AZ11" s="642"/>
      <c r="BA11" s="642"/>
      <c r="BB11" s="642"/>
      <c r="BC11" s="701"/>
      <c r="BD11" s="702"/>
    </row>
    <row r="12" ht="11.25" customHeight="1">
      <c r="A12" s="712"/>
      <c r="B12" s="713"/>
      <c r="C12" s="337"/>
      <c r="D12" s="337"/>
      <c r="E12" s="714"/>
      <c r="F12" s="598"/>
      <c r="G12" s="715"/>
      <c r="H12" s="598"/>
      <c r="I12" s="715"/>
      <c r="J12" s="715"/>
      <c r="K12" s="716"/>
      <c r="L12" s="716"/>
      <c r="M12" s="716"/>
      <c r="N12" s="598"/>
      <c r="O12" s="717"/>
      <c r="P12" s="717"/>
      <c r="Q12" s="717"/>
      <c r="R12" s="718"/>
      <c r="S12" s="717"/>
      <c r="T12" s="602"/>
      <c r="U12" s="716"/>
      <c r="V12" s="716"/>
      <c r="W12" s="716"/>
      <c r="X12" s="602"/>
      <c r="Y12" s="602"/>
      <c r="Z12" s="602"/>
      <c r="AA12" s="602"/>
      <c r="AB12" s="602"/>
      <c r="AC12" s="598"/>
      <c r="AD12" s="603"/>
      <c r="AE12" s="604"/>
      <c r="AF12" s="603"/>
      <c r="AG12" s="719"/>
      <c r="AH12" s="603"/>
      <c r="AI12" s="604"/>
      <c r="AJ12" s="603"/>
      <c r="AK12" s="598"/>
      <c r="AL12" s="337"/>
      <c r="AM12" s="631"/>
      <c r="AN12" s="631"/>
      <c r="AO12" s="631"/>
      <c r="AP12" s="631"/>
      <c r="AQ12" s="631"/>
      <c r="AR12" s="631"/>
      <c r="AS12" s="631"/>
      <c r="AT12" s="631"/>
      <c r="AU12" s="631"/>
      <c r="AV12" s="631"/>
      <c r="AW12" s="631"/>
      <c r="AX12" s="631"/>
      <c r="AY12" s="631"/>
      <c r="AZ12" s="631"/>
      <c r="BA12" s="631"/>
      <c r="BB12" s="631"/>
      <c r="BC12" s="337"/>
      <c r="BD12" s="661"/>
    </row>
    <row r="13" ht="4.5" customHeight="1">
      <c r="A13" s="712"/>
      <c r="B13" s="713"/>
      <c r="C13" s="337"/>
      <c r="D13" s="337"/>
      <c r="E13" s="720"/>
      <c r="F13" s="598"/>
      <c r="G13" s="715"/>
      <c r="H13" s="598"/>
      <c r="I13" s="715"/>
      <c r="J13" s="715"/>
      <c r="K13" s="716"/>
      <c r="L13" s="716"/>
      <c r="M13" s="716"/>
      <c r="N13" s="598"/>
      <c r="O13" s="717"/>
      <c r="P13" s="717"/>
      <c r="Q13" s="717"/>
      <c r="R13" s="718"/>
      <c r="S13" s="717"/>
      <c r="T13" s="602"/>
      <c r="U13" s="716"/>
      <c r="V13" s="721"/>
      <c r="W13" s="722"/>
      <c r="X13" s="608"/>
      <c r="Y13" s="608"/>
      <c r="Z13" s="608"/>
      <c r="AA13" s="608"/>
      <c r="AB13" s="608"/>
      <c r="AC13" s="606"/>
      <c r="AD13" s="609"/>
      <c r="AE13" s="610"/>
      <c r="AF13" s="609"/>
      <c r="AG13" s="723"/>
      <c r="AH13" s="609"/>
      <c r="AI13" s="610"/>
      <c r="AJ13" s="609"/>
      <c r="AK13" s="724"/>
      <c r="AL13" s="337"/>
      <c r="AM13" s="631"/>
      <c r="AN13" s="631"/>
      <c r="AO13" s="631"/>
      <c r="AP13" s="631"/>
      <c r="AQ13" s="631"/>
      <c r="AR13" s="631"/>
      <c r="AS13" s="631"/>
      <c r="AT13" s="631"/>
      <c r="AU13" s="631"/>
      <c r="AV13" s="631"/>
      <c r="AW13" s="631"/>
      <c r="AX13" s="631"/>
      <c r="AY13" s="631"/>
      <c r="AZ13" s="631"/>
      <c r="BA13" s="631"/>
      <c r="BB13" s="631"/>
      <c r="BC13" s="337"/>
      <c r="BD13" s="661"/>
    </row>
    <row r="14" ht="11.25" customHeight="1">
      <c r="A14" s="644"/>
      <c r="B14" s="725"/>
      <c r="C14" s="337"/>
      <c r="D14" s="337"/>
      <c r="E14" s="550"/>
      <c r="F14" s="425"/>
      <c r="G14" s="726"/>
      <c r="H14" s="425"/>
      <c r="I14" s="337"/>
      <c r="J14" s="337"/>
      <c r="K14" s="727"/>
      <c r="L14" s="727"/>
      <c r="M14" s="727"/>
      <c r="N14" s="425"/>
      <c r="O14" s="727"/>
      <c r="P14" s="727"/>
      <c r="Q14" s="727"/>
      <c r="R14" s="727"/>
      <c r="S14" s="727"/>
      <c r="T14" s="388"/>
      <c r="U14" s="601"/>
      <c r="V14" s="613" t="s">
        <v>76</v>
      </c>
      <c r="W14" s="425"/>
      <c r="X14" s="388"/>
      <c r="Y14" s="388">
        <f t="shared" ref="Y14:AA14" si="11">PERCENTILE(Y6:Y11, 0.75)</f>
        <v>0.2908760653</v>
      </c>
      <c r="Z14" s="388">
        <f t="shared" si="11"/>
        <v>0.3024381852</v>
      </c>
      <c r="AA14" s="388">
        <f t="shared" si="11"/>
        <v>0.2985321069</v>
      </c>
      <c r="AB14" s="389"/>
      <c r="AC14" s="728"/>
      <c r="AD14" s="614">
        <f>PERCENTILE(AD6:AD11, 0.75)</f>
        <v>7.997034831</v>
      </c>
      <c r="AE14" s="614"/>
      <c r="AF14" s="614">
        <f>PERCENTILE(AF6:AF11, 0.75)</f>
        <v>7.84966023</v>
      </c>
      <c r="AG14" s="614"/>
      <c r="AH14" s="614">
        <f>PERCENTILE(AH6:AH11, 0.75)</f>
        <v>29.16014897</v>
      </c>
      <c r="AI14" s="614"/>
      <c r="AJ14" s="614">
        <f>PERCENTILE(AJ6:AJ11, 0.75)</f>
        <v>25.3482453</v>
      </c>
      <c r="AK14" s="729"/>
      <c r="AL14" s="337"/>
      <c r="AM14" s="631"/>
      <c r="AN14" s="631"/>
      <c r="AO14" s="631"/>
      <c r="AP14" s="631"/>
      <c r="AQ14" s="631"/>
      <c r="AR14" s="631"/>
      <c r="AS14" s="631"/>
      <c r="AT14" s="631"/>
      <c r="AU14" s="631"/>
      <c r="AV14" s="631"/>
      <c r="AW14" s="631"/>
      <c r="AX14" s="631"/>
      <c r="AY14" s="631"/>
      <c r="AZ14" s="631"/>
      <c r="BA14" s="631"/>
      <c r="BB14" s="631"/>
      <c r="BC14" s="337"/>
      <c r="BD14" s="661"/>
    </row>
    <row r="15" ht="11.25" customHeight="1">
      <c r="A15" s="644"/>
      <c r="B15" s="730"/>
      <c r="C15" s="337"/>
      <c r="D15" s="337"/>
      <c r="E15" s="337"/>
      <c r="F15" s="425"/>
      <c r="G15" s="731"/>
      <c r="H15" s="425"/>
      <c r="I15" s="337"/>
      <c r="J15" s="337"/>
      <c r="K15" s="727"/>
      <c r="L15" s="727"/>
      <c r="M15" s="727"/>
      <c r="N15" s="425"/>
      <c r="O15" s="727"/>
      <c r="P15" s="727"/>
      <c r="Q15" s="727"/>
      <c r="R15" s="727"/>
      <c r="S15" s="727"/>
      <c r="T15" s="388"/>
      <c r="U15" s="601"/>
      <c r="V15" s="616" t="s">
        <v>77</v>
      </c>
      <c r="W15" s="425"/>
      <c r="X15" s="388"/>
      <c r="Y15" s="388">
        <f t="shared" ref="Y15:AA15" si="12">MEDIAN(Y6:Y11)</f>
        <v>0.2565556576</v>
      </c>
      <c r="Z15" s="388">
        <f t="shared" si="12"/>
        <v>0.2940208954</v>
      </c>
      <c r="AA15" s="388">
        <f t="shared" si="12"/>
        <v>0.2949711816</v>
      </c>
      <c r="AB15" s="389"/>
      <c r="AC15" s="728"/>
      <c r="AD15" s="614">
        <f>MEDIAN(AD6:AD11)</f>
        <v>6.329060472</v>
      </c>
      <c r="AE15" s="614"/>
      <c r="AF15" s="614">
        <f>MEDIAN(AF6:AF11)</f>
        <v>5.939341755</v>
      </c>
      <c r="AG15" s="614"/>
      <c r="AH15" s="614">
        <f>MEDIAN(AH6:AH11)</f>
        <v>25.91973616</v>
      </c>
      <c r="AI15" s="614"/>
      <c r="AJ15" s="614">
        <f>MEDIAN(AJ6:AJ11)</f>
        <v>22.39837652</v>
      </c>
      <c r="AK15" s="729"/>
      <c r="AL15" s="337"/>
      <c r="AM15" s="631"/>
      <c r="AN15" s="631"/>
      <c r="AO15" s="631"/>
      <c r="AP15" s="631"/>
      <c r="AQ15" s="631"/>
      <c r="AR15" s="631"/>
      <c r="AS15" s="631"/>
      <c r="AT15" s="631"/>
      <c r="AU15" s="631"/>
      <c r="AV15" s="631"/>
      <c r="AW15" s="631"/>
      <c r="AX15" s="631"/>
      <c r="AY15" s="631"/>
      <c r="AZ15" s="631"/>
      <c r="BA15" s="631"/>
      <c r="BB15" s="631"/>
      <c r="BC15" s="337"/>
      <c r="BD15" s="661"/>
    </row>
    <row r="16" ht="11.25" customHeight="1">
      <c r="A16" s="644"/>
      <c r="B16" s="730"/>
      <c r="C16" s="337"/>
      <c r="D16" s="337"/>
      <c r="E16" s="337"/>
      <c r="F16" s="425"/>
      <c r="G16" s="731"/>
      <c r="H16" s="425"/>
      <c r="I16" s="337"/>
      <c r="J16" s="337"/>
      <c r="K16" s="727"/>
      <c r="L16" s="727"/>
      <c r="M16" s="727"/>
      <c r="N16" s="425"/>
      <c r="O16" s="727"/>
      <c r="P16" s="727"/>
      <c r="Q16" s="727"/>
      <c r="R16" s="727"/>
      <c r="S16" s="727"/>
      <c r="T16" s="388"/>
      <c r="U16" s="601"/>
      <c r="V16" s="617" t="s">
        <v>78</v>
      </c>
      <c r="W16" s="425"/>
      <c r="X16" s="388"/>
      <c r="Y16" s="388">
        <f t="shared" ref="Y16:AA16" si="13">PERCENTILE(Y6:Y11, 0.25)</f>
        <v>0.2093282769</v>
      </c>
      <c r="Z16" s="388">
        <f t="shared" si="13"/>
        <v>0.2578545285</v>
      </c>
      <c r="AA16" s="388">
        <f t="shared" si="13"/>
        <v>0.1642787892</v>
      </c>
      <c r="AB16" s="389"/>
      <c r="AC16" s="728"/>
      <c r="AD16" s="614">
        <f>PERCENTILE(AD6:AD11, 0.25)</f>
        <v>5.45303722</v>
      </c>
      <c r="AE16" s="614"/>
      <c r="AF16" s="614">
        <f>PERCENTILE(AF6:AF11, 0.25)</f>
        <v>5.349014523</v>
      </c>
      <c r="AG16" s="614"/>
      <c r="AH16" s="614">
        <f>PERCENTILE(AH6:AH11, 0.25)</f>
        <v>25.32772755</v>
      </c>
      <c r="AI16" s="614"/>
      <c r="AJ16" s="614">
        <f>PERCENTILE(AJ6:AJ11, 0.25)</f>
        <v>19.55736424</v>
      </c>
      <c r="AK16" s="729"/>
      <c r="AL16" s="337"/>
      <c r="AM16" s="631"/>
      <c r="AN16" s="631"/>
      <c r="AO16" s="631"/>
      <c r="AP16" s="631"/>
      <c r="AQ16" s="631"/>
      <c r="AR16" s="631"/>
      <c r="AS16" s="631"/>
      <c r="AT16" s="631"/>
      <c r="AU16" s="631"/>
      <c r="AV16" s="631"/>
      <c r="AW16" s="631"/>
      <c r="AX16" s="631"/>
      <c r="AY16" s="631"/>
      <c r="AZ16" s="631"/>
      <c r="BA16" s="631"/>
      <c r="BB16" s="631"/>
      <c r="BC16" s="337"/>
      <c r="BD16" s="661"/>
    </row>
    <row r="17" ht="6.0" customHeight="1">
      <c r="A17" s="644"/>
      <c r="B17" s="730"/>
      <c r="C17" s="337"/>
      <c r="D17" s="337"/>
      <c r="E17" s="337"/>
      <c r="F17" s="425"/>
      <c r="G17" s="731"/>
      <c r="H17" s="425"/>
      <c r="I17" s="732"/>
      <c r="J17" s="732"/>
      <c r="K17" s="727"/>
      <c r="L17" s="727"/>
      <c r="M17" s="727"/>
      <c r="N17" s="425"/>
      <c r="O17" s="727"/>
      <c r="P17" s="727"/>
      <c r="Q17" s="727"/>
      <c r="R17" s="727"/>
      <c r="S17" s="727"/>
      <c r="T17" s="388"/>
      <c r="U17" s="601"/>
      <c r="V17" s="733"/>
      <c r="W17" s="734"/>
      <c r="X17" s="395"/>
      <c r="Y17" s="395"/>
      <c r="Z17" s="395"/>
      <c r="AA17" s="395"/>
      <c r="AB17" s="395"/>
      <c r="AC17" s="735"/>
      <c r="AD17" s="736"/>
      <c r="AE17" s="736"/>
      <c r="AF17" s="736"/>
      <c r="AG17" s="736"/>
      <c r="AH17" s="736"/>
      <c r="AI17" s="736"/>
      <c r="AJ17" s="736"/>
      <c r="AK17" s="737"/>
      <c r="AL17" s="337"/>
      <c r="AM17" s="631"/>
      <c r="AN17" s="631"/>
      <c r="AO17" s="631"/>
      <c r="AP17" s="631"/>
      <c r="AQ17" s="631"/>
      <c r="AR17" s="631"/>
      <c r="AS17" s="631"/>
      <c r="AT17" s="631"/>
      <c r="AU17" s="631"/>
      <c r="AV17" s="631"/>
      <c r="AW17" s="631"/>
      <c r="AX17" s="631"/>
      <c r="AY17" s="631"/>
      <c r="AZ17" s="631"/>
      <c r="BA17" s="631"/>
      <c r="BB17" s="631"/>
      <c r="BC17" s="337"/>
      <c r="BD17" s="661"/>
    </row>
    <row r="18" ht="11.25" customHeight="1">
      <c r="A18" s="644"/>
      <c r="B18" s="730"/>
      <c r="C18" s="337"/>
      <c r="D18" s="337"/>
      <c r="E18" s="337"/>
      <c r="F18" s="425"/>
      <c r="G18" s="731"/>
      <c r="H18" s="425"/>
      <c r="I18" s="732"/>
      <c r="J18" s="732"/>
      <c r="K18" s="727"/>
      <c r="L18" s="727"/>
      <c r="M18" s="727"/>
      <c r="N18" s="425"/>
      <c r="O18" s="727"/>
      <c r="P18" s="727"/>
      <c r="Q18" s="727"/>
      <c r="R18" s="727"/>
      <c r="S18" s="727"/>
      <c r="T18" s="388"/>
      <c r="U18" s="601"/>
      <c r="V18" s="601"/>
      <c r="W18" s="601"/>
      <c r="X18" s="388"/>
      <c r="Y18" s="388"/>
      <c r="Z18" s="388"/>
      <c r="AA18" s="388"/>
      <c r="AB18" s="388"/>
      <c r="AC18" s="728"/>
      <c r="AD18" s="614"/>
      <c r="AE18" s="614"/>
      <c r="AF18" s="614"/>
      <c r="AG18" s="614"/>
      <c r="AH18" s="614"/>
      <c r="AI18" s="614"/>
      <c r="AJ18" s="614"/>
      <c r="AK18" s="425"/>
      <c r="AL18" s="337"/>
      <c r="AM18" s="631"/>
      <c r="AN18" s="631"/>
      <c r="AO18" s="631"/>
      <c r="AP18" s="631"/>
      <c r="AQ18" s="631"/>
      <c r="AR18" s="631"/>
      <c r="AS18" s="631"/>
      <c r="AT18" s="631"/>
      <c r="AU18" s="631"/>
      <c r="AV18" s="631"/>
      <c r="AW18" s="631"/>
      <c r="AX18" s="631"/>
      <c r="AY18" s="631"/>
      <c r="AZ18" s="631"/>
      <c r="BA18" s="631"/>
      <c r="BB18" s="631"/>
      <c r="BC18" s="337"/>
      <c r="BD18" s="661"/>
    </row>
    <row r="19" ht="16.5" customHeight="1">
      <c r="A19" s="644"/>
      <c r="B19" s="730"/>
      <c r="C19" s="337"/>
      <c r="D19" s="337"/>
      <c r="E19" s="622" t="s">
        <v>168</v>
      </c>
      <c r="F19" s="623"/>
      <c r="G19" s="623"/>
      <c r="H19" s="623"/>
      <c r="I19" s="624"/>
      <c r="J19" s="625"/>
      <c r="K19" s="628">
        <f>'Standalone Case'!G4</f>
        <v>27.1</v>
      </c>
      <c r="L19" s="628">
        <f>'Standalone Case'!H4</f>
        <v>31.8</v>
      </c>
      <c r="M19" s="628">
        <f>'Standalone Case'!I4</f>
        <v>45.2</v>
      </c>
      <c r="N19" s="623"/>
      <c r="O19" s="738">
        <f t="shared" ref="O19:O20" si="15">L19/K19-1</f>
        <v>0.1734317343</v>
      </c>
      <c r="P19" s="738"/>
      <c r="Q19" s="738">
        <f t="shared" ref="Q19:Q20" si="16">M19/L19-1</f>
        <v>0.4213836478</v>
      </c>
      <c r="R19" s="623"/>
      <c r="S19" s="738">
        <f>'Standalone Case'!G11</f>
        <v>0.5962147232</v>
      </c>
      <c r="T19" s="623"/>
      <c r="U19" s="628">
        <f>'Standalone Case'!G32</f>
        <v>3.732172</v>
      </c>
      <c r="V19" s="628">
        <f>'Standalone Case'!H32</f>
        <v>0.48</v>
      </c>
      <c r="W19" s="628">
        <f>'Standalone Case'!I32</f>
        <v>5.3</v>
      </c>
      <c r="X19" s="623"/>
      <c r="Y19" s="738">
        <f t="shared" ref="Y19:AA19" si="14">U19/K19</f>
        <v>0.137718524</v>
      </c>
      <c r="Z19" s="738">
        <f t="shared" si="14"/>
        <v>0.01509433962</v>
      </c>
      <c r="AA19" s="738">
        <f t="shared" si="14"/>
        <v>0.1172566372</v>
      </c>
      <c r="AB19" s="623"/>
      <c r="AC19" s="701"/>
      <c r="AD19" s="701"/>
      <c r="AE19" s="701"/>
      <c r="AF19" s="701"/>
      <c r="AG19" s="701"/>
      <c r="AH19" s="701"/>
      <c r="AI19" s="701"/>
      <c r="AJ19" s="701"/>
      <c r="AK19" s="701"/>
      <c r="AL19" s="337"/>
      <c r="AM19" s="631"/>
      <c r="AN19" s="631"/>
      <c r="AO19" s="631"/>
      <c r="AP19" s="631"/>
      <c r="AQ19" s="631"/>
      <c r="AR19" s="631"/>
      <c r="AS19" s="631"/>
      <c r="AT19" s="631"/>
      <c r="AU19" s="631"/>
      <c r="AV19" s="631"/>
      <c r="AW19" s="631"/>
      <c r="AX19" s="631"/>
      <c r="AY19" s="631"/>
      <c r="AZ19" s="631"/>
      <c r="BA19" s="631"/>
      <c r="BB19" s="631"/>
      <c r="BC19" s="337"/>
      <c r="BD19" s="661"/>
    </row>
    <row r="20" ht="16.5" customHeight="1">
      <c r="A20" s="644"/>
      <c r="B20" s="730"/>
      <c r="C20" s="337"/>
      <c r="D20" s="337"/>
      <c r="E20" s="622" t="s">
        <v>169</v>
      </c>
      <c r="F20" s="623"/>
      <c r="G20" s="623"/>
      <c r="H20" s="623"/>
      <c r="I20" s="624"/>
      <c r="J20" s="625"/>
      <c r="K20" s="628">
        <f>K19</f>
        <v>27.1</v>
      </c>
      <c r="L20" s="628">
        <f>'SYNERGY CASE '!H4</f>
        <v>33.8</v>
      </c>
      <c r="M20" s="628">
        <f>'SYNERGY CASE '!I4</f>
        <v>59.73</v>
      </c>
      <c r="N20" s="628"/>
      <c r="O20" s="738">
        <f t="shared" si="15"/>
        <v>0.2472324723</v>
      </c>
      <c r="P20" s="738"/>
      <c r="Q20" s="738">
        <f t="shared" si="16"/>
        <v>0.7671597633</v>
      </c>
      <c r="R20" s="623"/>
      <c r="S20" s="738">
        <f>S19</f>
        <v>0.5962147232</v>
      </c>
      <c r="T20" s="623"/>
      <c r="U20" s="628">
        <f>U19</f>
        <v>3.732172</v>
      </c>
      <c r="V20" s="628">
        <f>'SYNERGY CASE '!H32</f>
        <v>-1.42</v>
      </c>
      <c r="W20" s="628">
        <f>'SYNERGY CASE '!I32</f>
        <v>7.67</v>
      </c>
      <c r="X20" s="623"/>
      <c r="Y20" s="738">
        <f t="shared" ref="Y20:AA20" si="17">U20/K20</f>
        <v>0.137718524</v>
      </c>
      <c r="Z20" s="738">
        <f t="shared" si="17"/>
        <v>-0.04201183432</v>
      </c>
      <c r="AA20" s="738">
        <f t="shared" si="17"/>
        <v>0.1284111837</v>
      </c>
      <c r="AB20" s="623"/>
      <c r="AC20" s="701"/>
      <c r="AD20" s="701"/>
      <c r="AE20" s="701"/>
      <c r="AF20" s="701"/>
      <c r="AG20" s="701"/>
      <c r="AH20" s="701"/>
      <c r="AI20" s="701"/>
      <c r="AJ20" s="701"/>
      <c r="AK20" s="701"/>
      <c r="AL20" s="337"/>
      <c r="AM20" s="631"/>
      <c r="AN20" s="631"/>
      <c r="AO20" s="631"/>
      <c r="AP20" s="631"/>
      <c r="AQ20" s="631"/>
      <c r="AR20" s="631"/>
      <c r="AS20" s="631"/>
      <c r="AT20" s="631"/>
      <c r="AU20" s="631"/>
      <c r="AV20" s="631"/>
      <c r="AW20" s="631"/>
      <c r="AX20" s="631"/>
      <c r="AY20" s="631"/>
      <c r="AZ20" s="631"/>
      <c r="BA20" s="631"/>
      <c r="BB20" s="631"/>
      <c r="BC20" s="337"/>
      <c r="BD20" s="661"/>
    </row>
    <row r="21" ht="11.25" customHeight="1">
      <c r="A21" s="644"/>
      <c r="B21" s="730"/>
      <c r="C21" s="337"/>
      <c r="D21" s="337"/>
      <c r="E21" s="337"/>
      <c r="F21" s="425"/>
      <c r="G21" s="731"/>
      <c r="H21" s="425"/>
      <c r="I21" s="732"/>
      <c r="J21" s="732"/>
      <c r="K21" s="727"/>
      <c r="L21" s="727"/>
      <c r="M21" s="727"/>
      <c r="N21" s="425"/>
      <c r="O21" s="727"/>
      <c r="P21" s="727"/>
      <c r="Q21" s="727"/>
      <c r="R21" s="727"/>
      <c r="S21" s="727"/>
      <c r="T21" s="388"/>
      <c r="U21" s="601"/>
      <c r="V21" s="601"/>
      <c r="W21" s="601"/>
      <c r="X21" s="388"/>
      <c r="Y21" s="388"/>
      <c r="Z21" s="388"/>
      <c r="AA21" s="388"/>
      <c r="AB21" s="388"/>
      <c r="AC21" s="728"/>
      <c r="AD21" s="614"/>
      <c r="AE21" s="614"/>
      <c r="AF21" s="614"/>
      <c r="AG21" s="614"/>
      <c r="AH21" s="614"/>
      <c r="AI21" s="614"/>
      <c r="AJ21" s="614"/>
      <c r="AK21" s="425"/>
      <c r="AL21" s="337"/>
      <c r="AM21" s="631"/>
      <c r="AN21" s="631"/>
      <c r="AO21" s="631"/>
      <c r="AP21" s="631"/>
      <c r="AQ21" s="631"/>
      <c r="AR21" s="631"/>
      <c r="AS21" s="631"/>
      <c r="AT21" s="631"/>
      <c r="AU21" s="631"/>
      <c r="AV21" s="631"/>
      <c r="AW21" s="631"/>
      <c r="AX21" s="631"/>
      <c r="AY21" s="631"/>
      <c r="AZ21" s="631"/>
      <c r="BA21" s="631"/>
      <c r="BB21" s="631"/>
      <c r="BC21" s="337"/>
      <c r="BD21" s="661"/>
    </row>
    <row r="22" ht="11.25" customHeight="1">
      <c r="A22" s="644"/>
      <c r="B22" s="730"/>
      <c r="C22" s="739"/>
      <c r="D22" s="337"/>
      <c r="E22" s="740" t="s">
        <v>170</v>
      </c>
      <c r="F22" s="425"/>
      <c r="G22" s="731"/>
      <c r="H22" s="425"/>
      <c r="I22" s="731"/>
      <c r="J22" s="731"/>
      <c r="K22" s="716"/>
      <c r="L22" s="716"/>
      <c r="M22" s="716"/>
      <c r="N22" s="425"/>
      <c r="O22" s="741"/>
      <c r="P22" s="741"/>
      <c r="Q22" s="741"/>
      <c r="R22" s="718"/>
      <c r="S22" s="717"/>
      <c r="T22" s="742"/>
      <c r="U22" s="716"/>
      <c r="V22" s="716"/>
      <c r="W22" s="716"/>
      <c r="X22" s="742"/>
      <c r="Y22" s="742"/>
      <c r="Z22" s="742"/>
      <c r="AA22" s="742"/>
      <c r="AB22" s="742"/>
      <c r="AC22" s="742"/>
      <c r="AD22" s="614"/>
      <c r="AE22" s="614"/>
      <c r="AF22" s="614"/>
      <c r="AG22" s="614"/>
      <c r="AH22" s="614"/>
      <c r="AI22" s="614"/>
      <c r="AJ22" s="614"/>
      <c r="AK22" s="425"/>
      <c r="AL22" s="337"/>
      <c r="AM22" s="631"/>
      <c r="AN22" s="631"/>
      <c r="AO22" s="631"/>
      <c r="AP22" s="631"/>
      <c r="AQ22" s="631"/>
      <c r="AR22" s="631"/>
      <c r="AS22" s="631"/>
      <c r="AT22" s="631"/>
      <c r="AU22" s="631"/>
      <c r="AV22" s="631"/>
      <c r="AW22" s="631"/>
      <c r="AX22" s="631"/>
      <c r="AY22" s="631"/>
      <c r="AZ22" s="631"/>
      <c r="BA22" s="631"/>
      <c r="BB22" s="631"/>
      <c r="BC22" s="337"/>
      <c r="BD22" s="661"/>
    </row>
    <row r="23" ht="11.25" customHeight="1">
      <c r="A23" s="743"/>
      <c r="B23" s="743"/>
      <c r="C23" s="739"/>
      <c r="D23" s="744"/>
      <c r="E23" s="744"/>
      <c r="F23" s="744"/>
      <c r="G23" s="744"/>
      <c r="H23" s="744"/>
      <c r="I23" s="744"/>
      <c r="J23" s="744"/>
      <c r="K23" s="745"/>
      <c r="L23" s="745"/>
      <c r="M23" s="745"/>
      <c r="N23" s="746"/>
      <c r="O23" s="747"/>
      <c r="P23" s="747"/>
      <c r="Q23" s="747"/>
      <c r="R23" s="745"/>
      <c r="S23" s="748"/>
      <c r="T23" s="747"/>
      <c r="U23" s="745"/>
      <c r="V23" s="745"/>
      <c r="W23" s="745"/>
      <c r="X23" s="747"/>
      <c r="Y23" s="747"/>
      <c r="Z23" s="747"/>
      <c r="AA23" s="747"/>
      <c r="AB23" s="747"/>
      <c r="AC23" s="746"/>
      <c r="AD23" s="749"/>
      <c r="AE23" s="750"/>
      <c r="AF23" s="749"/>
      <c r="AG23" s="751"/>
      <c r="AH23" s="749"/>
      <c r="AI23" s="750"/>
      <c r="AJ23" s="749"/>
      <c r="AK23" s="746"/>
      <c r="AL23" s="744"/>
      <c r="AM23" s="641"/>
      <c r="AN23" s="641"/>
      <c r="AO23" s="641"/>
      <c r="AP23" s="641"/>
      <c r="AQ23" s="641"/>
      <c r="AR23" s="641"/>
      <c r="AS23" s="641"/>
      <c r="AT23" s="641"/>
      <c r="AU23" s="641"/>
      <c r="AV23" s="641"/>
      <c r="AW23" s="641"/>
      <c r="AX23" s="641"/>
      <c r="AY23" s="641"/>
      <c r="AZ23" s="641"/>
      <c r="BA23" s="641"/>
      <c r="BB23" s="641"/>
      <c r="BC23" s="744"/>
      <c r="BD23" s="752"/>
    </row>
    <row r="24" ht="11.25" customHeight="1">
      <c r="A24" s="753"/>
      <c r="B24" s="753"/>
      <c r="C24" s="754"/>
      <c r="D24" s="755"/>
      <c r="E24" s="755"/>
      <c r="F24" s="755"/>
      <c r="G24" s="755"/>
      <c r="H24" s="755"/>
      <c r="I24" s="755"/>
      <c r="J24" s="755"/>
      <c r="K24" s="756"/>
      <c r="L24" s="756"/>
      <c r="M24" s="756"/>
      <c r="N24" s="757"/>
      <c r="O24" s="758"/>
      <c r="P24" s="758"/>
      <c r="Q24" s="758"/>
      <c r="R24" s="756"/>
      <c r="S24" s="759"/>
      <c r="T24" s="758"/>
      <c r="U24" s="756"/>
      <c r="V24" s="756"/>
      <c r="W24" s="756"/>
      <c r="X24" s="758"/>
      <c r="Y24" s="758"/>
      <c r="Z24" s="758"/>
      <c r="AA24" s="758"/>
      <c r="AB24" s="758"/>
      <c r="AC24" s="757"/>
      <c r="AD24" s="760"/>
      <c r="AE24" s="761"/>
      <c r="AF24" s="760"/>
      <c r="AG24" s="762"/>
      <c r="AH24" s="760"/>
      <c r="AI24" s="761"/>
      <c r="AJ24" s="760"/>
      <c r="AK24" s="757"/>
      <c r="AL24" s="755"/>
      <c r="AM24" s="753"/>
      <c r="AN24" s="753"/>
      <c r="AO24" s="753"/>
      <c r="AP24" s="753"/>
      <c r="AQ24" s="753"/>
      <c r="AR24" s="753"/>
      <c r="AS24" s="753"/>
      <c r="AT24" s="753"/>
      <c r="AU24" s="753"/>
      <c r="AV24" s="753"/>
      <c r="AW24" s="753"/>
      <c r="AX24" s="753"/>
      <c r="AY24" s="753"/>
      <c r="AZ24" s="753"/>
      <c r="BA24" s="753"/>
      <c r="BB24" s="753"/>
      <c r="BC24" s="753"/>
      <c r="BD24" s="753"/>
    </row>
    <row r="25" ht="11.25" customHeight="1">
      <c r="A25" s="753"/>
      <c r="B25" s="753"/>
      <c r="C25" s="754"/>
      <c r="D25" s="755"/>
      <c r="E25" s="755"/>
      <c r="F25" s="755"/>
      <c r="G25" s="755"/>
      <c r="H25" s="755"/>
      <c r="I25" s="755"/>
      <c r="J25" s="755"/>
      <c r="K25" s="756"/>
      <c r="L25" s="756"/>
      <c r="M25" s="756"/>
      <c r="N25" s="757"/>
      <c r="O25" s="758"/>
      <c r="P25" s="758"/>
      <c r="Q25" s="758"/>
      <c r="R25" s="756"/>
      <c r="S25" s="759"/>
      <c r="T25" s="758"/>
      <c r="U25" s="756"/>
      <c r="V25" s="756"/>
      <c r="W25" s="756"/>
      <c r="X25" s="758"/>
      <c r="Y25" s="758"/>
      <c r="Z25" s="758"/>
      <c r="AA25" s="758"/>
      <c r="AB25" s="758"/>
      <c r="AC25" s="757"/>
      <c r="AD25" s="760"/>
      <c r="AE25" s="761"/>
      <c r="AF25" s="760"/>
      <c r="AG25" s="762"/>
      <c r="AH25" s="760"/>
      <c r="AI25" s="761"/>
      <c r="AJ25" s="760"/>
      <c r="AK25" s="757"/>
      <c r="AL25" s="755"/>
      <c r="AM25" s="753"/>
      <c r="AN25" s="753"/>
      <c r="AO25" s="753"/>
      <c r="AP25" s="753"/>
      <c r="AQ25" s="753"/>
      <c r="AR25" s="753"/>
      <c r="AS25" s="753"/>
      <c r="AT25" s="753"/>
      <c r="AU25" s="753"/>
      <c r="AV25" s="753"/>
      <c r="AW25" s="753"/>
      <c r="AX25" s="753"/>
      <c r="AY25" s="753"/>
      <c r="AZ25" s="753"/>
      <c r="BA25" s="753"/>
      <c r="BB25" s="753"/>
      <c r="BC25" s="753"/>
      <c r="BD25" s="753"/>
    </row>
    <row r="26" ht="11.25" customHeight="1">
      <c r="A26" s="753"/>
      <c r="B26" s="753"/>
      <c r="C26" s="754"/>
      <c r="D26" s="755"/>
      <c r="E26" s="763"/>
      <c r="F26" s="755"/>
      <c r="G26" s="755"/>
      <c r="H26" s="755"/>
      <c r="I26" s="755"/>
      <c r="J26" s="755"/>
      <c r="K26" s="756"/>
      <c r="L26" s="756"/>
      <c r="M26" s="756"/>
      <c r="N26" s="757"/>
      <c r="O26" s="758"/>
      <c r="P26" s="758"/>
      <c r="Q26" s="758"/>
      <c r="R26" s="756"/>
      <c r="S26" s="759"/>
      <c r="T26" s="758"/>
      <c r="U26" s="756"/>
      <c r="V26" s="756"/>
      <c r="W26" s="756"/>
      <c r="X26" s="758"/>
      <c r="Y26" s="758"/>
      <c r="Z26" s="758"/>
      <c r="AA26" s="758"/>
      <c r="AB26" s="758"/>
      <c r="AC26" s="757"/>
      <c r="AD26" s="760"/>
      <c r="AE26" s="761"/>
      <c r="AF26" s="760"/>
      <c r="AG26" s="762"/>
      <c r="AH26" s="760"/>
      <c r="AI26" s="761"/>
      <c r="AJ26" s="760"/>
      <c r="AK26" s="757"/>
      <c r="AL26" s="755"/>
      <c r="AM26" s="753"/>
      <c r="AN26" s="753"/>
      <c r="AO26" s="753"/>
      <c r="AP26" s="753"/>
      <c r="AQ26" s="753"/>
      <c r="AR26" s="753"/>
      <c r="AS26" s="753"/>
      <c r="AT26" s="753"/>
      <c r="AU26" s="753"/>
      <c r="AV26" s="753"/>
      <c r="AW26" s="753"/>
      <c r="AX26" s="753"/>
      <c r="AY26" s="753"/>
      <c r="AZ26" s="753"/>
      <c r="BA26" s="753"/>
      <c r="BB26" s="753"/>
      <c r="BC26" s="753"/>
      <c r="BD26" s="753"/>
    </row>
    <row r="27" ht="11.25" customHeight="1">
      <c r="A27" s="753"/>
      <c r="B27" s="753"/>
      <c r="C27" s="754"/>
      <c r="D27" s="755"/>
      <c r="E27" s="763"/>
      <c r="F27" s="755"/>
      <c r="G27" s="755"/>
      <c r="H27" s="755"/>
      <c r="I27" s="755"/>
      <c r="J27" s="755"/>
      <c r="K27" s="756"/>
      <c r="L27" s="756"/>
      <c r="M27" s="756"/>
      <c r="N27" s="757"/>
      <c r="O27" s="758"/>
      <c r="P27" s="758"/>
      <c r="Q27" s="758"/>
      <c r="R27" s="756"/>
      <c r="S27" s="759"/>
      <c r="T27" s="758"/>
      <c r="U27" s="756"/>
      <c r="V27" s="756"/>
      <c r="W27" s="756"/>
      <c r="X27" s="758"/>
      <c r="Y27" s="758"/>
      <c r="Z27" s="758"/>
      <c r="AA27" s="758"/>
      <c r="AB27" s="758"/>
      <c r="AC27" s="757"/>
      <c r="AD27" s="760"/>
      <c r="AE27" s="761"/>
      <c r="AF27" s="760"/>
      <c r="AG27" s="762"/>
      <c r="AH27" s="760"/>
      <c r="AI27" s="761"/>
      <c r="AJ27" s="760"/>
      <c r="AK27" s="757"/>
      <c r="AL27" s="755"/>
      <c r="AM27" s="753"/>
      <c r="AN27" s="753"/>
      <c r="AO27" s="753"/>
      <c r="AP27" s="753"/>
      <c r="AQ27" s="753"/>
      <c r="AR27" s="753"/>
      <c r="AS27" s="753"/>
      <c r="AT27" s="753"/>
      <c r="AU27" s="753"/>
      <c r="AV27" s="753"/>
      <c r="AW27" s="753"/>
      <c r="AX27" s="753"/>
      <c r="AY27" s="753"/>
      <c r="AZ27" s="753"/>
      <c r="BA27" s="753"/>
      <c r="BB27" s="753"/>
      <c r="BC27" s="753"/>
      <c r="BD27" s="753"/>
    </row>
    <row r="28" ht="11.25" customHeight="1">
      <c r="A28" s="753"/>
      <c r="B28" s="753"/>
      <c r="C28" s="754"/>
      <c r="D28" s="755"/>
      <c r="E28" s="763"/>
      <c r="F28" s="755"/>
      <c r="G28" s="755"/>
      <c r="H28" s="755"/>
      <c r="I28" s="755"/>
      <c r="J28" s="755"/>
      <c r="K28" s="756"/>
      <c r="L28" s="756"/>
      <c r="M28" s="756"/>
      <c r="N28" s="757"/>
      <c r="O28" s="758"/>
      <c r="P28" s="758"/>
      <c r="Q28" s="758"/>
      <c r="R28" s="756"/>
      <c r="S28" s="759"/>
      <c r="T28" s="758"/>
      <c r="U28" s="756"/>
      <c r="V28" s="756"/>
      <c r="W28" s="756"/>
      <c r="X28" s="758"/>
      <c r="Y28" s="758"/>
      <c r="Z28" s="758"/>
      <c r="AA28" s="758"/>
      <c r="AB28" s="758"/>
      <c r="AC28" s="757"/>
      <c r="AD28" s="760"/>
      <c r="AE28" s="761"/>
      <c r="AF28" s="760"/>
      <c r="AG28" s="762"/>
      <c r="AH28" s="760"/>
      <c r="AI28" s="761"/>
      <c r="AJ28" s="760"/>
      <c r="AK28" s="757"/>
      <c r="AL28" s="755"/>
      <c r="AM28" s="753"/>
      <c r="AN28" s="753"/>
      <c r="AO28" s="753"/>
      <c r="AP28" s="753"/>
      <c r="AQ28" s="753"/>
      <c r="AR28" s="753"/>
      <c r="AS28" s="753"/>
      <c r="AT28" s="753"/>
      <c r="AU28" s="753"/>
      <c r="AV28" s="753"/>
      <c r="AW28" s="753"/>
      <c r="AX28" s="753"/>
      <c r="AY28" s="753"/>
      <c r="AZ28" s="753"/>
      <c r="BA28" s="753"/>
      <c r="BB28" s="753"/>
      <c r="BC28" s="753"/>
      <c r="BD28" s="753"/>
    </row>
    <row r="29" ht="11.25" customHeight="1">
      <c r="A29" s="753"/>
      <c r="B29" s="753"/>
      <c r="C29" s="754"/>
      <c r="D29" s="755"/>
      <c r="E29" s="763"/>
      <c r="F29" s="755"/>
      <c r="G29" s="755"/>
      <c r="H29" s="755"/>
      <c r="I29" s="755"/>
      <c r="J29" s="755"/>
      <c r="K29" s="756"/>
      <c r="L29" s="756"/>
      <c r="M29" s="756"/>
      <c r="N29" s="757"/>
      <c r="O29" s="758"/>
      <c r="P29" s="758"/>
      <c r="Q29" s="758"/>
      <c r="R29" s="756"/>
      <c r="S29" s="759"/>
      <c r="T29" s="758"/>
      <c r="U29" s="756"/>
      <c r="V29" s="756"/>
      <c r="W29" s="756"/>
      <c r="X29" s="758"/>
      <c r="Y29" s="758"/>
      <c r="Z29" s="758"/>
      <c r="AA29" s="758"/>
      <c r="AB29" s="758"/>
      <c r="AC29" s="757"/>
      <c r="AD29" s="760"/>
      <c r="AE29" s="761"/>
      <c r="AF29" s="760"/>
      <c r="AG29" s="762"/>
      <c r="AH29" s="760"/>
      <c r="AI29" s="761"/>
      <c r="AJ29" s="760"/>
      <c r="AK29" s="757"/>
      <c r="AL29" s="755"/>
      <c r="AM29" s="753"/>
      <c r="AN29" s="753"/>
      <c r="AO29" s="753"/>
      <c r="AP29" s="753"/>
      <c r="AQ29" s="753"/>
      <c r="AR29" s="753"/>
      <c r="AS29" s="753"/>
      <c r="AT29" s="753"/>
      <c r="AU29" s="753"/>
      <c r="AV29" s="753"/>
      <c r="AW29" s="753"/>
      <c r="AX29" s="753"/>
      <c r="AY29" s="753"/>
      <c r="AZ29" s="753"/>
      <c r="BA29" s="753"/>
      <c r="BB29" s="753"/>
      <c r="BC29" s="753"/>
      <c r="BD29" s="753"/>
    </row>
    <row r="30" ht="11.25" customHeight="1">
      <c r="A30" s="753"/>
      <c r="B30" s="753"/>
      <c r="C30" s="754"/>
      <c r="D30" s="755"/>
      <c r="E30" s="755"/>
      <c r="F30" s="755"/>
      <c r="G30" s="755"/>
      <c r="H30" s="755"/>
      <c r="I30" s="755"/>
      <c r="J30" s="755"/>
      <c r="K30" s="756"/>
      <c r="L30" s="756"/>
      <c r="M30" s="756"/>
      <c r="N30" s="757"/>
      <c r="O30" s="758"/>
      <c r="P30" s="758"/>
      <c r="Q30" s="758"/>
      <c r="R30" s="756"/>
      <c r="S30" s="759"/>
      <c r="T30" s="758"/>
      <c r="U30" s="756"/>
      <c r="V30" s="756"/>
      <c r="W30" s="756"/>
      <c r="X30" s="758"/>
      <c r="Y30" s="758"/>
      <c r="Z30" s="758"/>
      <c r="AA30" s="758"/>
      <c r="AB30" s="758"/>
      <c r="AC30" s="757"/>
      <c r="AD30" s="760"/>
      <c r="AE30" s="761"/>
      <c r="AF30" s="760"/>
      <c r="AG30" s="762"/>
      <c r="AH30" s="760"/>
      <c r="AI30" s="761"/>
      <c r="AJ30" s="760"/>
      <c r="AK30" s="757"/>
      <c r="AL30" s="755"/>
      <c r="AM30" s="753"/>
      <c r="AN30" s="753"/>
      <c r="AO30" s="753"/>
      <c r="AP30" s="753"/>
      <c r="AQ30" s="753"/>
      <c r="AR30" s="753"/>
      <c r="AS30" s="753"/>
      <c r="AT30" s="753"/>
      <c r="AU30" s="753"/>
      <c r="AV30" s="753"/>
      <c r="AW30" s="753"/>
      <c r="AX30" s="753"/>
      <c r="AY30" s="753"/>
      <c r="AZ30" s="753"/>
      <c r="BA30" s="753"/>
      <c r="BB30" s="753"/>
      <c r="BC30" s="753"/>
      <c r="BD30" s="753"/>
    </row>
    <row r="31" ht="11.25" customHeight="1">
      <c r="A31" s="753"/>
      <c r="B31" s="753"/>
      <c r="C31" s="754"/>
      <c r="D31" s="755"/>
      <c r="E31" s="755"/>
      <c r="F31" s="755"/>
      <c r="G31" s="755"/>
      <c r="H31" s="755"/>
      <c r="I31" s="755"/>
      <c r="J31" s="755"/>
      <c r="K31" s="756"/>
      <c r="L31" s="756"/>
      <c r="M31" s="756"/>
      <c r="N31" s="757"/>
      <c r="O31" s="758"/>
      <c r="P31" s="758"/>
      <c r="Q31" s="758"/>
      <c r="R31" s="756"/>
      <c r="S31" s="759"/>
      <c r="T31" s="758"/>
      <c r="U31" s="756"/>
      <c r="V31" s="756"/>
      <c r="W31" s="756"/>
      <c r="X31" s="758"/>
      <c r="Y31" s="758"/>
      <c r="Z31" s="758"/>
      <c r="AA31" s="758"/>
      <c r="AB31" s="758"/>
      <c r="AC31" s="757"/>
      <c r="AD31" s="760"/>
      <c r="AE31" s="761"/>
      <c r="AF31" s="760"/>
      <c r="AG31" s="762"/>
      <c r="AH31" s="760"/>
      <c r="AI31" s="761"/>
      <c r="AJ31" s="760"/>
      <c r="AK31" s="757"/>
      <c r="AL31" s="755"/>
      <c r="AM31" s="753"/>
      <c r="AN31" s="753"/>
      <c r="AO31" s="753"/>
      <c r="AP31" s="753"/>
      <c r="AQ31" s="753"/>
      <c r="AR31" s="753"/>
      <c r="AS31" s="753"/>
      <c r="AT31" s="753"/>
      <c r="AU31" s="753"/>
      <c r="AV31" s="753"/>
      <c r="AW31" s="753"/>
      <c r="AX31" s="753"/>
      <c r="AY31" s="753"/>
      <c r="AZ31" s="753"/>
      <c r="BA31" s="753"/>
      <c r="BB31" s="753"/>
      <c r="BC31" s="753"/>
      <c r="BD31" s="753"/>
    </row>
    <row r="32" ht="11.25" customHeight="1">
      <c r="A32" s="629"/>
      <c r="B32" s="629"/>
      <c r="C32" s="755"/>
      <c r="D32" s="755"/>
      <c r="E32" s="764"/>
      <c r="F32" s="755"/>
      <c r="G32" s="755"/>
      <c r="H32" s="755"/>
      <c r="I32" s="755"/>
      <c r="J32" s="755"/>
      <c r="K32" s="756"/>
      <c r="L32" s="756"/>
      <c r="M32" s="756"/>
      <c r="N32" s="757"/>
      <c r="O32" s="758"/>
      <c r="P32" s="758"/>
      <c r="Q32" s="758"/>
      <c r="R32" s="756"/>
      <c r="S32" s="759"/>
      <c r="T32" s="758"/>
      <c r="U32" s="756"/>
      <c r="V32" s="756"/>
      <c r="W32" s="756"/>
      <c r="X32" s="758"/>
      <c r="Y32" s="758"/>
      <c r="Z32" s="758"/>
      <c r="AA32" s="758"/>
      <c r="AB32" s="758"/>
      <c r="AC32" s="757"/>
      <c r="AD32" s="760"/>
      <c r="AE32" s="761"/>
      <c r="AF32" s="760"/>
      <c r="AG32" s="762"/>
      <c r="AH32" s="760"/>
      <c r="AI32" s="761"/>
      <c r="AJ32" s="760"/>
      <c r="AK32" s="757"/>
      <c r="AL32" s="755"/>
      <c r="AM32" s="629"/>
      <c r="AN32" s="629"/>
      <c r="AO32" s="629"/>
      <c r="AP32" s="629"/>
      <c r="AQ32" s="629"/>
      <c r="AR32" s="629"/>
      <c r="AS32" s="629"/>
      <c r="AT32" s="629"/>
      <c r="AU32" s="629"/>
      <c r="AV32" s="629"/>
      <c r="AW32" s="629"/>
      <c r="AX32" s="629"/>
      <c r="AY32" s="629"/>
      <c r="AZ32" s="629"/>
      <c r="BA32" s="629"/>
      <c r="BB32" s="629"/>
      <c r="BC32" s="629"/>
      <c r="BD32" s="629"/>
    </row>
    <row r="33" ht="11.25" customHeight="1">
      <c r="A33" s="551"/>
      <c r="B33" s="551"/>
      <c r="C33" s="765"/>
      <c r="D33" s="765"/>
      <c r="E33" s="765"/>
      <c r="F33" s="765"/>
      <c r="G33" s="765"/>
      <c r="H33" s="765"/>
      <c r="I33" s="765"/>
      <c r="J33" s="765"/>
      <c r="K33" s="766"/>
      <c r="L33" s="766"/>
      <c r="M33" s="766"/>
      <c r="N33" s="765"/>
      <c r="O33" s="765"/>
      <c r="P33" s="765"/>
      <c r="Q33" s="765"/>
      <c r="R33" s="765"/>
      <c r="S33" s="767"/>
      <c r="T33" s="765"/>
      <c r="U33" s="765"/>
      <c r="V33" s="765"/>
      <c r="W33" s="765"/>
      <c r="X33" s="765"/>
      <c r="Y33" s="765"/>
      <c r="Z33" s="765"/>
      <c r="AA33" s="765"/>
      <c r="AB33" s="765"/>
      <c r="AC33" s="765"/>
      <c r="AD33" s="765"/>
      <c r="AE33" s="768"/>
      <c r="AF33" s="765"/>
      <c r="AG33" s="765"/>
      <c r="AH33" s="765"/>
      <c r="AI33" s="765"/>
      <c r="AJ33" s="765"/>
      <c r="AK33" s="765"/>
      <c r="AL33" s="765"/>
      <c r="AM33" s="551"/>
      <c r="AN33" s="551"/>
      <c r="AO33" s="551"/>
      <c r="AP33" s="551"/>
      <c r="AQ33" s="551"/>
      <c r="AR33" s="551"/>
      <c r="AS33" s="551"/>
      <c r="AT33" s="551"/>
      <c r="AU33" s="551"/>
      <c r="AV33" s="551"/>
      <c r="AW33" s="551"/>
      <c r="AX33" s="551"/>
      <c r="AY33" s="551"/>
      <c r="AZ33" s="551"/>
      <c r="BA33" s="551"/>
      <c r="BB33" s="551"/>
      <c r="BC33" s="551"/>
      <c r="BD33" s="551"/>
    </row>
    <row r="34" ht="11.25" customHeight="1">
      <c r="A34" s="551"/>
      <c r="B34" s="551"/>
      <c r="C34" s="765"/>
      <c r="D34" s="765"/>
      <c r="E34" s="765"/>
      <c r="F34" s="765"/>
      <c r="G34" s="765"/>
      <c r="H34" s="765"/>
      <c r="I34" s="765"/>
      <c r="J34" s="765"/>
      <c r="K34" s="769"/>
      <c r="L34" s="769"/>
      <c r="M34" s="769"/>
      <c r="N34" s="765"/>
      <c r="O34" s="765"/>
      <c r="P34" s="765"/>
      <c r="Q34" s="765"/>
      <c r="R34" s="765"/>
      <c r="S34" s="767"/>
      <c r="T34" s="765"/>
      <c r="U34" s="765"/>
      <c r="V34" s="765"/>
      <c r="W34" s="765"/>
      <c r="X34" s="765"/>
      <c r="Y34" s="765"/>
      <c r="Z34" s="765"/>
      <c r="AA34" s="765"/>
      <c r="AB34" s="765"/>
      <c r="AC34" s="765"/>
      <c r="AD34" s="770"/>
      <c r="AE34" s="770"/>
      <c r="AF34" s="770"/>
      <c r="AG34" s="765"/>
      <c r="AH34" s="765"/>
      <c r="AI34" s="765"/>
      <c r="AJ34" s="765"/>
      <c r="AK34" s="765"/>
      <c r="AL34" s="765"/>
      <c r="AM34" s="551"/>
      <c r="AN34" s="551"/>
      <c r="AO34" s="551"/>
      <c r="AP34" s="551"/>
      <c r="AQ34" s="551"/>
      <c r="AR34" s="551"/>
      <c r="AS34" s="551"/>
      <c r="AT34" s="551"/>
      <c r="AU34" s="551"/>
      <c r="AV34" s="551"/>
      <c r="AW34" s="551"/>
      <c r="AX34" s="551"/>
      <c r="AY34" s="551"/>
      <c r="AZ34" s="551"/>
      <c r="BA34" s="551"/>
      <c r="BB34" s="551"/>
      <c r="BC34" s="551"/>
      <c r="BD34" s="551"/>
    </row>
    <row r="35" ht="11.25" customHeight="1">
      <c r="A35" s="771"/>
      <c r="B35" s="772"/>
      <c r="C35" s="765"/>
      <c r="D35" s="765"/>
      <c r="E35" s="773"/>
      <c r="F35" s="774"/>
      <c r="G35" s="775"/>
      <c r="H35" s="774"/>
      <c r="I35" s="776"/>
      <c r="J35" s="776"/>
      <c r="K35" s="776"/>
      <c r="L35" s="776"/>
      <c r="M35" s="776"/>
      <c r="N35" s="774"/>
      <c r="O35" s="777"/>
      <c r="P35" s="777"/>
      <c r="Q35" s="777"/>
      <c r="R35" s="778"/>
      <c r="S35" s="779"/>
      <c r="T35" s="780"/>
      <c r="U35" s="776"/>
      <c r="V35" s="776"/>
      <c r="W35" s="776"/>
      <c r="X35" s="780"/>
      <c r="Y35" s="780"/>
      <c r="Z35" s="780"/>
      <c r="AA35" s="780"/>
      <c r="AB35" s="780"/>
      <c r="AC35" s="774"/>
      <c r="AD35" s="781"/>
      <c r="AE35" s="782"/>
      <c r="AF35" s="781"/>
      <c r="AG35" s="777"/>
      <c r="AH35" s="781"/>
      <c r="AI35" s="782"/>
      <c r="AJ35" s="781"/>
      <c r="AK35" s="774"/>
      <c r="AL35" s="765"/>
      <c r="AM35" s="551"/>
      <c r="AN35" s="551"/>
      <c r="AO35" s="551"/>
      <c r="AP35" s="551"/>
      <c r="AQ35" s="551"/>
      <c r="AR35" s="551"/>
      <c r="AS35" s="551"/>
      <c r="AT35" s="551"/>
      <c r="AU35" s="551"/>
      <c r="AV35" s="551"/>
      <c r="AW35" s="551"/>
      <c r="AX35" s="551"/>
      <c r="AY35" s="551"/>
      <c r="AZ35" s="551"/>
      <c r="BA35" s="551"/>
      <c r="BB35" s="551"/>
      <c r="BC35" s="551"/>
      <c r="BD35" s="551"/>
    </row>
    <row r="36" ht="11.25" customHeight="1">
      <c r="A36" s="551"/>
      <c r="B36" s="551"/>
      <c r="C36" s="765"/>
      <c r="D36" s="765"/>
      <c r="E36" s="765"/>
      <c r="F36" s="765"/>
      <c r="G36" s="765"/>
      <c r="H36" s="765"/>
      <c r="I36" s="765"/>
      <c r="J36" s="765"/>
      <c r="K36" s="765"/>
      <c r="L36" s="765"/>
      <c r="M36" s="765"/>
      <c r="N36" s="765"/>
      <c r="O36" s="765"/>
      <c r="P36" s="765"/>
      <c r="Q36" s="765"/>
      <c r="R36" s="765"/>
      <c r="S36" s="767"/>
      <c r="T36" s="765"/>
      <c r="U36" s="765"/>
      <c r="V36" s="765"/>
      <c r="W36" s="765"/>
      <c r="X36" s="765"/>
      <c r="Y36" s="765"/>
      <c r="Z36" s="765"/>
      <c r="AA36" s="765"/>
      <c r="AB36" s="765"/>
      <c r="AC36" s="765"/>
      <c r="AD36" s="768"/>
      <c r="AE36" s="765"/>
      <c r="AF36" s="768"/>
      <c r="AG36" s="765"/>
      <c r="AH36" s="765"/>
      <c r="AI36" s="765"/>
      <c r="AJ36" s="765"/>
      <c r="AK36" s="765"/>
      <c r="AL36" s="765"/>
      <c r="AM36" s="551"/>
      <c r="AN36" s="551"/>
      <c r="AO36" s="551"/>
      <c r="AP36" s="551"/>
      <c r="AQ36" s="551"/>
      <c r="AR36" s="551"/>
      <c r="AS36" s="551"/>
      <c r="AT36" s="551"/>
      <c r="AU36" s="551"/>
      <c r="AV36" s="551"/>
      <c r="AW36" s="551"/>
      <c r="AX36" s="551"/>
      <c r="AY36" s="551"/>
      <c r="AZ36" s="551"/>
      <c r="BA36" s="551"/>
      <c r="BB36" s="551"/>
      <c r="BC36" s="551"/>
      <c r="BD36" s="551"/>
    </row>
    <row r="37" ht="11.25" customHeight="1">
      <c r="A37" s="551"/>
      <c r="B37" s="551"/>
      <c r="C37" s="765"/>
      <c r="D37" s="765"/>
      <c r="E37" s="765"/>
      <c r="F37" s="765"/>
      <c r="G37" s="765"/>
      <c r="H37" s="765"/>
      <c r="I37" s="765"/>
      <c r="J37" s="765"/>
      <c r="K37" s="765"/>
      <c r="L37" s="765"/>
      <c r="M37" s="765"/>
      <c r="N37" s="765"/>
      <c r="O37" s="765"/>
      <c r="P37" s="765"/>
      <c r="Q37" s="765"/>
      <c r="R37" s="765"/>
      <c r="S37" s="767"/>
      <c r="T37" s="765"/>
      <c r="U37" s="765"/>
      <c r="V37" s="765"/>
      <c r="W37" s="765"/>
      <c r="X37" s="765"/>
      <c r="Y37" s="765"/>
      <c r="Z37" s="765"/>
      <c r="AA37" s="765"/>
      <c r="AB37" s="765"/>
      <c r="AC37" s="765"/>
      <c r="AD37" s="765"/>
      <c r="AE37" s="765"/>
      <c r="AF37" s="765"/>
      <c r="AG37" s="765"/>
      <c r="AH37" s="765"/>
      <c r="AI37" s="765"/>
      <c r="AJ37" s="765"/>
      <c r="AK37" s="765"/>
      <c r="AL37" s="765"/>
      <c r="AM37" s="551"/>
      <c r="AN37" s="551"/>
      <c r="AO37" s="551"/>
      <c r="AP37" s="551"/>
      <c r="AQ37" s="551"/>
      <c r="AR37" s="551"/>
      <c r="AS37" s="551"/>
      <c r="AT37" s="551"/>
      <c r="AU37" s="551"/>
      <c r="AV37" s="551"/>
      <c r="AW37" s="551"/>
      <c r="AX37" s="551"/>
      <c r="AY37" s="551"/>
      <c r="AZ37" s="551"/>
      <c r="BA37" s="551"/>
      <c r="BB37" s="551"/>
      <c r="BC37" s="551"/>
      <c r="BD37" s="551"/>
    </row>
    <row r="38" ht="11.25" customHeight="1">
      <c r="A38" s="551"/>
      <c r="B38" s="551"/>
      <c r="C38" s="551"/>
      <c r="D38" s="551"/>
      <c r="E38" s="551"/>
      <c r="F38" s="551"/>
      <c r="G38" s="551"/>
      <c r="H38" s="551"/>
      <c r="I38" s="551"/>
      <c r="J38" s="551"/>
      <c r="K38" s="551"/>
      <c r="L38" s="551"/>
      <c r="M38" s="551"/>
      <c r="N38" s="551"/>
      <c r="O38" s="551"/>
      <c r="P38" s="551"/>
      <c r="Q38" s="551"/>
      <c r="R38" s="551"/>
      <c r="S38" s="783"/>
      <c r="T38" s="551"/>
      <c r="U38" s="551"/>
      <c r="V38" s="551"/>
      <c r="W38" s="551"/>
      <c r="X38" s="551"/>
      <c r="Y38" s="551"/>
      <c r="Z38" s="551"/>
      <c r="AA38" s="551"/>
      <c r="AB38" s="551"/>
      <c r="AC38" s="551"/>
      <c r="AD38" s="551"/>
      <c r="AE38" s="551"/>
      <c r="AF38" s="551"/>
      <c r="AG38" s="643"/>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1"/>
      <c r="BD38" s="551"/>
    </row>
    <row r="39" ht="11.25" customHeight="1">
      <c r="A39" s="551"/>
      <c r="B39" s="551"/>
      <c r="C39" s="551"/>
      <c r="D39" s="551"/>
      <c r="E39" s="551"/>
      <c r="F39" s="551"/>
      <c r="G39" s="551"/>
      <c r="H39" s="551"/>
      <c r="I39" s="551"/>
      <c r="J39" s="551"/>
      <c r="K39" s="551"/>
      <c r="L39" s="551"/>
      <c r="M39" s="551"/>
      <c r="N39" s="551"/>
      <c r="O39" s="551"/>
      <c r="P39" s="551"/>
      <c r="Q39" s="551"/>
      <c r="R39" s="551"/>
      <c r="S39" s="783"/>
      <c r="T39" s="551"/>
      <c r="U39" s="551"/>
      <c r="V39" s="551"/>
      <c r="W39" s="551"/>
      <c r="X39" s="551"/>
      <c r="Y39" s="551"/>
      <c r="Z39" s="551"/>
      <c r="AA39" s="551"/>
      <c r="AB39" s="551"/>
      <c r="AC39" s="551"/>
      <c r="AD39" s="551"/>
      <c r="AE39" s="551"/>
      <c r="AF39" s="551"/>
      <c r="AG39" s="643"/>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1"/>
      <c r="BD39" s="551"/>
    </row>
    <row r="40" ht="11.25" customHeight="1">
      <c r="A40" s="551"/>
      <c r="B40" s="551"/>
      <c r="C40" s="551"/>
      <c r="D40" s="551"/>
      <c r="E40" s="551"/>
      <c r="F40" s="551"/>
      <c r="G40" s="551"/>
      <c r="H40" s="551"/>
      <c r="I40" s="551"/>
      <c r="J40" s="551"/>
      <c r="K40" s="551"/>
      <c r="L40" s="551"/>
      <c r="M40" s="551"/>
      <c r="N40" s="551"/>
      <c r="O40" s="551"/>
      <c r="P40" s="551"/>
      <c r="Q40" s="551"/>
      <c r="R40" s="551"/>
      <c r="S40" s="783"/>
      <c r="T40" s="551"/>
      <c r="U40" s="551"/>
      <c r="V40" s="551"/>
      <c r="W40" s="551"/>
      <c r="X40" s="551"/>
      <c r="Y40" s="551"/>
      <c r="Z40" s="551"/>
      <c r="AA40" s="551"/>
      <c r="AB40" s="551"/>
      <c r="AC40" s="551"/>
      <c r="AD40" s="551"/>
      <c r="AE40" s="551"/>
      <c r="AF40" s="551"/>
      <c r="AG40" s="643"/>
      <c r="AH40" s="551"/>
      <c r="AI40" s="551"/>
      <c r="AJ40" s="551"/>
      <c r="AK40" s="551"/>
      <c r="AL40" s="551"/>
      <c r="AM40" s="551"/>
      <c r="AN40" s="551"/>
      <c r="AO40" s="551"/>
      <c r="AP40" s="551"/>
      <c r="AQ40" s="551"/>
      <c r="AR40" s="551"/>
      <c r="AS40" s="551"/>
      <c r="AT40" s="551"/>
      <c r="AU40" s="551"/>
      <c r="AV40" s="551"/>
      <c r="AW40" s="551"/>
      <c r="AX40" s="551"/>
      <c r="AY40" s="551"/>
      <c r="AZ40" s="551"/>
      <c r="BA40" s="551"/>
      <c r="BB40" s="551"/>
      <c r="BC40" s="551"/>
      <c r="BD40" s="551"/>
    </row>
    <row r="41" ht="11.25" customHeight="1">
      <c r="A41" s="551"/>
      <c r="B41" s="551"/>
      <c r="C41" s="551"/>
      <c r="D41" s="551"/>
      <c r="E41" s="551"/>
      <c r="F41" s="551"/>
      <c r="G41" s="551"/>
      <c r="H41" s="551"/>
      <c r="I41" s="551"/>
      <c r="J41" s="551"/>
      <c r="K41" s="551"/>
      <c r="L41" s="551"/>
      <c r="M41" s="551"/>
      <c r="N41" s="551"/>
      <c r="O41" s="551"/>
      <c r="P41" s="551"/>
      <c r="Q41" s="551"/>
      <c r="R41" s="551"/>
      <c r="S41" s="783"/>
      <c r="T41" s="551"/>
      <c r="U41" s="551"/>
      <c r="V41" s="551"/>
      <c r="W41" s="551"/>
      <c r="X41" s="551"/>
      <c r="Y41" s="551"/>
      <c r="Z41" s="551"/>
      <c r="AA41" s="551"/>
      <c r="AB41" s="551"/>
      <c r="AC41" s="551"/>
      <c r="AD41" s="551"/>
      <c r="AE41" s="551"/>
      <c r="AF41" s="551"/>
      <c r="AG41" s="643"/>
      <c r="AH41" s="551"/>
      <c r="AI41" s="551"/>
      <c r="AJ41" s="551"/>
      <c r="AK41" s="551"/>
      <c r="AL41" s="551"/>
      <c r="AM41" s="551"/>
      <c r="AN41" s="551"/>
      <c r="AO41" s="551"/>
      <c r="AP41" s="551"/>
      <c r="AQ41" s="551"/>
      <c r="AR41" s="551"/>
      <c r="AS41" s="551"/>
      <c r="AT41" s="551"/>
      <c r="AU41" s="551"/>
      <c r="AV41" s="551"/>
      <c r="AW41" s="551"/>
      <c r="AX41" s="551"/>
      <c r="AY41" s="551"/>
      <c r="AZ41" s="551"/>
      <c r="BA41" s="551"/>
      <c r="BB41" s="551"/>
      <c r="BC41" s="551"/>
      <c r="BD41" s="551"/>
    </row>
    <row r="42" ht="11.25" customHeight="1">
      <c r="A42" s="551"/>
      <c r="B42" s="551"/>
      <c r="C42" s="551"/>
      <c r="D42" s="551"/>
      <c r="E42" s="551"/>
      <c r="F42" s="551"/>
      <c r="G42" s="551"/>
      <c r="H42" s="551"/>
      <c r="I42" s="551"/>
      <c r="J42" s="551"/>
      <c r="K42" s="551"/>
      <c r="L42" s="551"/>
      <c r="M42" s="551"/>
      <c r="N42" s="551"/>
      <c r="O42" s="551"/>
      <c r="P42" s="551"/>
      <c r="Q42" s="551"/>
      <c r="R42" s="551"/>
      <c r="S42" s="783"/>
      <c r="T42" s="551"/>
      <c r="U42" s="551"/>
      <c r="V42" s="551"/>
      <c r="W42" s="551"/>
      <c r="X42" s="551"/>
      <c r="Y42" s="551"/>
      <c r="Z42" s="551"/>
      <c r="AA42" s="551"/>
      <c r="AB42" s="551"/>
      <c r="AC42" s="551"/>
      <c r="AD42" s="551"/>
      <c r="AE42" s="551"/>
      <c r="AF42" s="551"/>
      <c r="AG42" s="643"/>
      <c r="AH42" s="551"/>
      <c r="AI42" s="551"/>
      <c r="AJ42" s="551"/>
      <c r="AK42" s="551"/>
      <c r="AL42" s="551"/>
      <c r="AM42" s="551"/>
      <c r="AN42" s="551"/>
      <c r="AO42" s="551"/>
      <c r="AP42" s="551"/>
      <c r="AQ42" s="551"/>
      <c r="AR42" s="551"/>
      <c r="AS42" s="551"/>
      <c r="AT42" s="551"/>
      <c r="AU42" s="551"/>
      <c r="AV42" s="551"/>
      <c r="AW42" s="551"/>
      <c r="AX42" s="551"/>
      <c r="AY42" s="551"/>
      <c r="AZ42" s="551"/>
      <c r="BA42" s="551"/>
      <c r="BB42" s="551"/>
      <c r="BC42" s="551"/>
      <c r="BD42" s="551"/>
    </row>
    <row r="43" ht="11.25" customHeight="1">
      <c r="A43" s="551"/>
      <c r="B43" s="551"/>
      <c r="C43" s="551"/>
      <c r="D43" s="551"/>
      <c r="E43" s="551"/>
      <c r="F43" s="551"/>
      <c r="G43" s="551"/>
      <c r="H43" s="551"/>
      <c r="I43" s="551"/>
      <c r="J43" s="551"/>
      <c r="K43" s="551"/>
      <c r="L43" s="551"/>
      <c r="M43" s="551"/>
      <c r="N43" s="551"/>
      <c r="O43" s="551"/>
      <c r="P43" s="551"/>
      <c r="Q43" s="551"/>
      <c r="R43" s="551"/>
      <c r="S43" s="783"/>
      <c r="T43" s="551"/>
      <c r="U43" s="551"/>
      <c r="V43" s="551"/>
      <c r="W43" s="551"/>
      <c r="X43" s="551"/>
      <c r="Y43" s="551"/>
      <c r="Z43" s="551"/>
      <c r="AA43" s="551"/>
      <c r="AB43" s="551"/>
      <c r="AC43" s="551"/>
      <c r="AD43" s="551"/>
      <c r="AE43" s="551"/>
      <c r="AF43" s="551"/>
      <c r="AG43" s="643"/>
      <c r="AH43" s="551"/>
      <c r="AI43" s="551"/>
      <c r="AJ43" s="551"/>
      <c r="AK43" s="551"/>
      <c r="AL43" s="551"/>
      <c r="AM43" s="551"/>
      <c r="AN43" s="551"/>
      <c r="AO43" s="551"/>
      <c r="AP43" s="551"/>
      <c r="AQ43" s="551"/>
      <c r="AR43" s="551"/>
      <c r="AS43" s="551"/>
      <c r="AT43" s="551"/>
      <c r="AU43" s="551"/>
      <c r="AV43" s="551"/>
      <c r="AW43" s="551"/>
      <c r="AX43" s="551"/>
      <c r="AY43" s="551"/>
      <c r="AZ43" s="551"/>
      <c r="BA43" s="551"/>
      <c r="BB43" s="551"/>
      <c r="BC43" s="551"/>
      <c r="BD43" s="551"/>
    </row>
    <row r="44" ht="11.25" customHeight="1">
      <c r="A44" s="551"/>
      <c r="B44" s="551"/>
      <c r="C44" s="551"/>
      <c r="D44" s="551"/>
      <c r="E44" s="551"/>
      <c r="F44" s="551"/>
      <c r="G44" s="551"/>
      <c r="H44" s="551"/>
      <c r="I44" s="551"/>
      <c r="J44" s="551"/>
      <c r="K44" s="551"/>
      <c r="L44" s="551"/>
      <c r="M44" s="551"/>
      <c r="N44" s="551"/>
      <c r="O44" s="551"/>
      <c r="P44" s="551"/>
      <c r="Q44" s="551"/>
      <c r="R44" s="551"/>
      <c r="S44" s="783"/>
      <c r="T44" s="551"/>
      <c r="U44" s="551"/>
      <c r="V44" s="551"/>
      <c r="W44" s="551"/>
      <c r="X44" s="551"/>
      <c r="Y44" s="551"/>
      <c r="Z44" s="551"/>
      <c r="AA44" s="551"/>
      <c r="AB44" s="551"/>
      <c r="AC44" s="551"/>
      <c r="AD44" s="551"/>
      <c r="AE44" s="551"/>
      <c r="AF44" s="551"/>
      <c r="AG44" s="643"/>
      <c r="AH44" s="551"/>
      <c r="AI44" s="551"/>
      <c r="AJ44" s="551"/>
      <c r="AK44" s="551"/>
      <c r="AL44" s="551"/>
      <c r="AM44" s="551"/>
      <c r="AN44" s="551"/>
      <c r="AO44" s="551"/>
      <c r="AP44" s="551"/>
      <c r="AQ44" s="551"/>
      <c r="AR44" s="551"/>
      <c r="AS44" s="551"/>
      <c r="AT44" s="551"/>
      <c r="AU44" s="551"/>
      <c r="AV44" s="551"/>
      <c r="AW44" s="551"/>
      <c r="AX44" s="551"/>
      <c r="AY44" s="551"/>
      <c r="AZ44" s="551"/>
      <c r="BA44" s="551"/>
      <c r="BB44" s="551"/>
      <c r="BC44" s="551"/>
      <c r="BD44" s="551"/>
    </row>
    <row r="45" ht="11.25" customHeight="1">
      <c r="A45" s="551"/>
      <c r="B45" s="551"/>
      <c r="C45" s="551"/>
      <c r="D45" s="551"/>
      <c r="E45" s="551"/>
      <c r="F45" s="551"/>
      <c r="G45" s="551"/>
      <c r="H45" s="551"/>
      <c r="I45" s="551"/>
      <c r="J45" s="551"/>
      <c r="K45" s="551"/>
      <c r="L45" s="551"/>
      <c r="M45" s="551"/>
      <c r="N45" s="551"/>
      <c r="O45" s="551"/>
      <c r="P45" s="551"/>
      <c r="Q45" s="551"/>
      <c r="R45" s="551"/>
      <c r="S45" s="783"/>
      <c r="T45" s="551"/>
      <c r="U45" s="551"/>
      <c r="V45" s="551"/>
      <c r="W45" s="551"/>
      <c r="X45" s="551"/>
      <c r="Y45" s="551"/>
      <c r="Z45" s="551"/>
      <c r="AA45" s="551"/>
      <c r="AB45" s="551"/>
      <c r="AC45" s="551"/>
      <c r="AD45" s="551"/>
      <c r="AE45" s="551"/>
      <c r="AF45" s="551"/>
      <c r="AG45" s="643"/>
      <c r="AH45" s="551"/>
      <c r="AI45" s="551"/>
      <c r="AJ45" s="551"/>
      <c r="AK45" s="551"/>
      <c r="AL45" s="551"/>
      <c r="AM45" s="551"/>
      <c r="AN45" s="551"/>
      <c r="AO45" s="551"/>
      <c r="AP45" s="551"/>
      <c r="AQ45" s="551"/>
      <c r="AR45" s="551"/>
      <c r="AS45" s="551"/>
      <c r="AT45" s="551"/>
      <c r="AU45" s="551"/>
      <c r="AV45" s="551"/>
      <c r="AW45" s="551"/>
      <c r="AX45" s="551"/>
      <c r="AY45" s="551"/>
      <c r="AZ45" s="551"/>
      <c r="BA45" s="551"/>
      <c r="BB45" s="551"/>
      <c r="BC45" s="551"/>
      <c r="BD45" s="551"/>
    </row>
    <row r="46" ht="11.25" customHeight="1">
      <c r="A46" s="784"/>
      <c r="B46" s="784"/>
      <c r="C46" s="551"/>
      <c r="D46" s="551"/>
      <c r="E46" s="551"/>
      <c r="F46" s="551"/>
      <c r="G46" s="551"/>
      <c r="H46" s="551"/>
      <c r="I46" s="551"/>
      <c r="J46" s="551"/>
      <c r="K46" s="551"/>
      <c r="L46" s="551"/>
      <c r="M46" s="551"/>
      <c r="N46" s="551"/>
      <c r="O46" s="551"/>
      <c r="P46" s="551"/>
      <c r="Q46" s="551"/>
      <c r="R46" s="551"/>
      <c r="S46" s="783"/>
      <c r="T46" s="551"/>
      <c r="U46" s="551"/>
      <c r="V46" s="551"/>
      <c r="W46" s="551"/>
      <c r="X46" s="551"/>
      <c r="Y46" s="551"/>
      <c r="Z46" s="551"/>
      <c r="AA46" s="551"/>
      <c r="AB46" s="551"/>
      <c r="AC46" s="551"/>
      <c r="AD46" s="551"/>
      <c r="AE46" s="551"/>
      <c r="AF46" s="551"/>
      <c r="AG46" s="643"/>
      <c r="AH46" s="551"/>
      <c r="AI46" s="551"/>
      <c r="AJ46" s="551"/>
      <c r="AK46" s="551"/>
      <c r="AL46" s="551"/>
      <c r="AM46" s="551"/>
      <c r="AN46" s="551"/>
      <c r="AO46" s="551"/>
      <c r="AP46" s="551"/>
      <c r="AQ46" s="551"/>
      <c r="AR46" s="551"/>
      <c r="AS46" s="551"/>
      <c r="AT46" s="551"/>
      <c r="AU46" s="551"/>
      <c r="AV46" s="551"/>
      <c r="AW46" s="551"/>
      <c r="AX46" s="551"/>
      <c r="AY46" s="551"/>
      <c r="AZ46" s="551"/>
      <c r="BA46" s="551"/>
      <c r="BB46" s="551"/>
      <c r="BC46" s="551"/>
      <c r="BD46" s="551"/>
    </row>
    <row r="47" ht="11.25" customHeight="1">
      <c r="A47" s="784"/>
      <c r="B47" s="784"/>
      <c r="C47" s="551"/>
      <c r="D47" s="551"/>
      <c r="E47" s="551"/>
      <c r="F47" s="551"/>
      <c r="G47" s="551"/>
      <c r="H47" s="551"/>
      <c r="I47" s="551"/>
      <c r="J47" s="551"/>
      <c r="K47" s="551"/>
      <c r="L47" s="551"/>
      <c r="M47" s="551"/>
      <c r="N47" s="551"/>
      <c r="O47" s="551"/>
      <c r="P47" s="551"/>
      <c r="Q47" s="551"/>
      <c r="R47" s="551"/>
      <c r="S47" s="783"/>
      <c r="T47" s="551"/>
      <c r="U47" s="551"/>
      <c r="V47" s="551"/>
      <c r="W47" s="551"/>
      <c r="X47" s="551"/>
      <c r="Y47" s="551"/>
      <c r="Z47" s="551"/>
      <c r="AA47" s="551"/>
      <c r="AB47" s="551"/>
      <c r="AC47" s="551"/>
      <c r="AD47" s="551"/>
      <c r="AE47" s="551"/>
      <c r="AF47" s="551"/>
      <c r="AG47" s="643"/>
      <c r="AH47" s="551"/>
      <c r="AI47" s="551"/>
      <c r="AJ47" s="551"/>
      <c r="AK47" s="551"/>
      <c r="AL47" s="551"/>
      <c r="AM47" s="551"/>
      <c r="AN47" s="551"/>
      <c r="AO47" s="551"/>
      <c r="AP47" s="551"/>
      <c r="AQ47" s="551"/>
      <c r="AR47" s="551"/>
      <c r="AS47" s="551"/>
      <c r="AT47" s="551"/>
      <c r="AU47" s="551"/>
      <c r="AV47" s="551"/>
      <c r="AW47" s="551"/>
      <c r="AX47" s="551"/>
      <c r="AY47" s="551"/>
      <c r="AZ47" s="551"/>
      <c r="BA47" s="551"/>
      <c r="BB47" s="551"/>
      <c r="BC47" s="551"/>
      <c r="BD47" s="551"/>
    </row>
    <row r="48" ht="11.25" customHeight="1">
      <c r="A48" s="784"/>
      <c r="B48" s="784"/>
      <c r="C48" s="551"/>
      <c r="D48" s="551"/>
      <c r="E48" s="551"/>
      <c r="F48" s="551"/>
      <c r="G48" s="551"/>
      <c r="H48" s="551"/>
      <c r="I48" s="551"/>
      <c r="J48" s="551"/>
      <c r="K48" s="551"/>
      <c r="L48" s="551"/>
      <c r="M48" s="551"/>
      <c r="N48" s="551"/>
      <c r="O48" s="551"/>
      <c r="P48" s="551"/>
      <c r="Q48" s="551"/>
      <c r="R48" s="551"/>
      <c r="S48" s="783"/>
      <c r="T48" s="551"/>
      <c r="U48" s="551"/>
      <c r="V48" s="551"/>
      <c r="W48" s="551"/>
      <c r="X48" s="551"/>
      <c r="Y48" s="551"/>
      <c r="Z48" s="551"/>
      <c r="AA48" s="551"/>
      <c r="AB48" s="551"/>
      <c r="AC48" s="551"/>
      <c r="AD48" s="551"/>
      <c r="AE48" s="551"/>
      <c r="AF48" s="551"/>
      <c r="AG48" s="643"/>
      <c r="AH48" s="551"/>
      <c r="AI48" s="551"/>
      <c r="AJ48" s="551"/>
      <c r="AK48" s="551"/>
      <c r="AL48" s="551"/>
      <c r="AM48" s="551"/>
      <c r="AN48" s="551"/>
      <c r="AO48" s="551"/>
      <c r="AP48" s="551"/>
      <c r="AQ48" s="551"/>
      <c r="AR48" s="551"/>
      <c r="AS48" s="551"/>
      <c r="AT48" s="551"/>
      <c r="AU48" s="551"/>
      <c r="AV48" s="551"/>
      <c r="AW48" s="551"/>
      <c r="AX48" s="551"/>
      <c r="AY48" s="551"/>
      <c r="AZ48" s="551"/>
      <c r="BA48" s="551"/>
      <c r="BB48" s="551"/>
      <c r="BC48" s="551"/>
      <c r="BD48" s="551"/>
    </row>
    <row r="49" ht="11.25" customHeight="1">
      <c r="A49" s="784"/>
      <c r="B49" s="784"/>
      <c r="C49" s="551"/>
      <c r="D49" s="551"/>
      <c r="E49" s="551"/>
      <c r="F49" s="551"/>
      <c r="G49" s="551"/>
      <c r="H49" s="551"/>
      <c r="I49" s="551"/>
      <c r="J49" s="551"/>
      <c r="K49" s="551"/>
      <c r="L49" s="551"/>
      <c r="M49" s="551"/>
      <c r="N49" s="551"/>
      <c r="O49" s="551"/>
      <c r="P49" s="551"/>
      <c r="Q49" s="551"/>
      <c r="R49" s="551"/>
      <c r="S49" s="783"/>
      <c r="T49" s="551"/>
      <c r="U49" s="551"/>
      <c r="V49" s="551"/>
      <c r="W49" s="551"/>
      <c r="X49" s="551"/>
      <c r="Y49" s="551"/>
      <c r="Z49" s="551"/>
      <c r="AA49" s="551"/>
      <c r="AB49" s="551"/>
      <c r="AC49" s="551"/>
      <c r="AD49" s="551"/>
      <c r="AE49" s="551"/>
      <c r="AF49" s="551"/>
      <c r="AG49" s="643"/>
      <c r="AH49" s="551"/>
      <c r="AI49" s="551"/>
      <c r="AJ49" s="551"/>
      <c r="AK49" s="551"/>
      <c r="AL49" s="551"/>
      <c r="AM49" s="551"/>
      <c r="AN49" s="551"/>
      <c r="AO49" s="551"/>
      <c r="AP49" s="551"/>
      <c r="AQ49" s="551"/>
      <c r="AR49" s="551"/>
      <c r="AS49" s="551"/>
      <c r="AT49" s="551"/>
      <c r="AU49" s="551"/>
      <c r="AV49" s="551"/>
      <c r="AW49" s="551"/>
      <c r="AX49" s="551"/>
      <c r="AY49" s="551"/>
      <c r="AZ49" s="551"/>
      <c r="BA49" s="551"/>
      <c r="BB49" s="551"/>
      <c r="BC49" s="551"/>
      <c r="BD49" s="551"/>
    </row>
    <row r="50" ht="11.25" customHeight="1">
      <c r="A50" s="784"/>
      <c r="B50" s="784"/>
      <c r="C50" s="551"/>
      <c r="D50" s="551"/>
      <c r="E50" s="551"/>
      <c r="F50" s="551"/>
      <c r="G50" s="551"/>
      <c r="H50" s="551"/>
      <c r="I50" s="551"/>
      <c r="J50" s="551"/>
      <c r="K50" s="551"/>
      <c r="L50" s="551"/>
      <c r="M50" s="551"/>
      <c r="N50" s="551"/>
      <c r="O50" s="551"/>
      <c r="P50" s="551"/>
      <c r="Q50" s="551"/>
      <c r="R50" s="551"/>
      <c r="S50" s="783"/>
      <c r="T50" s="551"/>
      <c r="U50" s="551"/>
      <c r="V50" s="551"/>
      <c r="W50" s="551"/>
      <c r="X50" s="551"/>
      <c r="Y50" s="551"/>
      <c r="Z50" s="551"/>
      <c r="AA50" s="551"/>
      <c r="AB50" s="551"/>
      <c r="AC50" s="551"/>
      <c r="AD50" s="551"/>
      <c r="AE50" s="551"/>
      <c r="AF50" s="551"/>
      <c r="AG50" s="643"/>
      <c r="AH50" s="551"/>
      <c r="AI50" s="551"/>
      <c r="AJ50" s="551"/>
      <c r="AK50" s="551"/>
      <c r="AL50" s="551"/>
      <c r="AM50" s="551"/>
      <c r="AN50" s="551"/>
      <c r="AO50" s="551"/>
      <c r="AP50" s="551"/>
      <c r="AQ50" s="551"/>
      <c r="AR50" s="551"/>
      <c r="AS50" s="551"/>
      <c r="AT50" s="551"/>
      <c r="AU50" s="551"/>
      <c r="AV50" s="551"/>
      <c r="AW50" s="551"/>
      <c r="AX50" s="551"/>
      <c r="AY50" s="551"/>
      <c r="AZ50" s="551"/>
      <c r="BA50" s="551"/>
      <c r="BB50" s="551"/>
      <c r="BC50" s="551"/>
      <c r="BD50" s="551"/>
    </row>
    <row r="51" ht="11.25" customHeight="1">
      <c r="A51" s="784"/>
      <c r="B51" s="784"/>
      <c r="C51" s="551"/>
      <c r="D51" s="551"/>
      <c r="E51" s="551"/>
      <c r="F51" s="551"/>
      <c r="G51" s="551"/>
      <c r="H51" s="551"/>
      <c r="I51" s="551"/>
      <c r="J51" s="551"/>
      <c r="K51" s="551"/>
      <c r="L51" s="551"/>
      <c r="M51" s="551"/>
      <c r="N51" s="551"/>
      <c r="O51" s="551"/>
      <c r="P51" s="551"/>
      <c r="Q51" s="551"/>
      <c r="R51" s="551"/>
      <c r="S51" s="783"/>
      <c r="T51" s="551"/>
      <c r="U51" s="551"/>
      <c r="V51" s="551"/>
      <c r="W51" s="551"/>
      <c r="X51" s="551"/>
      <c r="Y51" s="551"/>
      <c r="Z51" s="551"/>
      <c r="AA51" s="551"/>
      <c r="AB51" s="551"/>
      <c r="AC51" s="551"/>
      <c r="AD51" s="551"/>
      <c r="AE51" s="551"/>
      <c r="AF51" s="551"/>
      <c r="AG51" s="643"/>
      <c r="AH51" s="551"/>
      <c r="AI51" s="551"/>
      <c r="AJ51" s="551"/>
      <c r="AK51" s="551"/>
      <c r="AL51" s="551"/>
      <c r="AM51" s="551"/>
      <c r="AN51" s="551"/>
      <c r="AO51" s="551"/>
      <c r="AP51" s="551"/>
      <c r="AQ51" s="551"/>
      <c r="AR51" s="551"/>
      <c r="AS51" s="551"/>
      <c r="AT51" s="551"/>
      <c r="AU51" s="551"/>
      <c r="AV51" s="551"/>
      <c r="AW51" s="551"/>
      <c r="AX51" s="551"/>
      <c r="AY51" s="551"/>
      <c r="AZ51" s="551"/>
      <c r="BA51" s="551"/>
      <c r="BB51" s="551"/>
      <c r="BC51" s="551"/>
      <c r="BD51" s="551"/>
    </row>
    <row r="52" ht="11.25" customHeight="1">
      <c r="A52" s="551"/>
      <c r="B52" s="551"/>
      <c r="C52" s="551"/>
      <c r="D52" s="551"/>
      <c r="E52" s="551"/>
      <c r="F52" s="551"/>
      <c r="G52" s="551"/>
      <c r="H52" s="551"/>
      <c r="I52" s="551"/>
      <c r="J52" s="551"/>
      <c r="K52" s="551"/>
      <c r="L52" s="551"/>
      <c r="M52" s="551"/>
      <c r="N52" s="551"/>
      <c r="O52" s="551"/>
      <c r="P52" s="551"/>
      <c r="Q52" s="551"/>
      <c r="R52" s="551"/>
      <c r="S52" s="783"/>
      <c r="T52" s="551"/>
      <c r="U52" s="551"/>
      <c r="V52" s="551"/>
      <c r="W52" s="551"/>
      <c r="X52" s="551"/>
      <c r="Y52" s="551"/>
      <c r="Z52" s="551"/>
      <c r="AA52" s="551"/>
      <c r="AB52" s="551"/>
      <c r="AC52" s="551"/>
      <c r="AD52" s="551"/>
      <c r="AE52" s="551"/>
      <c r="AF52" s="551"/>
      <c r="AG52" s="643"/>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row>
    <row r="53" ht="11.25" customHeight="1">
      <c r="A53" s="551"/>
      <c r="B53" s="551"/>
      <c r="C53" s="551"/>
      <c r="D53" s="551"/>
      <c r="E53" s="551"/>
      <c r="F53" s="551"/>
      <c r="G53" s="551"/>
      <c r="H53" s="551"/>
      <c r="I53" s="551"/>
      <c r="J53" s="551"/>
      <c r="K53" s="551"/>
      <c r="L53" s="551"/>
      <c r="M53" s="551"/>
      <c r="N53" s="551"/>
      <c r="O53" s="551"/>
      <c r="P53" s="551"/>
      <c r="Q53" s="551"/>
      <c r="R53" s="551"/>
      <c r="S53" s="783"/>
      <c r="T53" s="551"/>
      <c r="U53" s="551"/>
      <c r="V53" s="551"/>
      <c r="W53" s="551"/>
      <c r="X53" s="551"/>
      <c r="Y53" s="551"/>
      <c r="Z53" s="551"/>
      <c r="AA53" s="551"/>
      <c r="AB53" s="551"/>
      <c r="AC53" s="551"/>
      <c r="AD53" s="551"/>
      <c r="AE53" s="551"/>
      <c r="AF53" s="551"/>
      <c r="AG53" s="643"/>
      <c r="AH53" s="551"/>
      <c r="AI53" s="551"/>
      <c r="AJ53" s="551"/>
      <c r="AK53" s="551"/>
      <c r="AL53" s="551"/>
      <c r="AM53" s="551"/>
      <c r="AN53" s="551"/>
      <c r="AO53" s="551"/>
      <c r="AP53" s="551"/>
      <c r="AQ53" s="551"/>
      <c r="AR53" s="551"/>
      <c r="AS53" s="551"/>
      <c r="AT53" s="551"/>
      <c r="AU53" s="551"/>
      <c r="AV53" s="551"/>
      <c r="AW53" s="551"/>
      <c r="AX53" s="551"/>
      <c r="AY53" s="551"/>
      <c r="AZ53" s="551"/>
      <c r="BA53" s="551"/>
      <c r="BB53" s="551"/>
      <c r="BC53" s="551"/>
      <c r="BD53" s="551"/>
    </row>
    <row r="54" ht="11.25" customHeight="1">
      <c r="A54" s="551"/>
      <c r="B54" s="551"/>
      <c r="C54" s="551"/>
      <c r="D54" s="551"/>
      <c r="E54" s="551"/>
      <c r="F54" s="551"/>
      <c r="G54" s="551"/>
      <c r="H54" s="551"/>
      <c r="I54" s="551"/>
      <c r="J54" s="551"/>
      <c r="K54" s="551"/>
      <c r="L54" s="551"/>
      <c r="M54" s="551"/>
      <c r="N54" s="551"/>
      <c r="O54" s="551"/>
      <c r="P54" s="551"/>
      <c r="Q54" s="551"/>
      <c r="R54" s="551"/>
      <c r="S54" s="783"/>
      <c r="T54" s="551"/>
      <c r="U54" s="551"/>
      <c r="V54" s="551"/>
      <c r="W54" s="551"/>
      <c r="X54" s="551"/>
      <c r="Y54" s="551"/>
      <c r="Z54" s="551"/>
      <c r="AA54" s="551"/>
      <c r="AB54" s="551"/>
      <c r="AC54" s="551"/>
      <c r="AD54" s="551"/>
      <c r="AE54" s="551"/>
      <c r="AF54" s="551"/>
      <c r="AG54" s="643"/>
      <c r="AH54" s="551"/>
      <c r="AI54" s="551"/>
      <c r="AJ54" s="551"/>
      <c r="AK54" s="551"/>
      <c r="AL54" s="551"/>
      <c r="AM54" s="551"/>
      <c r="AN54" s="551"/>
      <c r="AO54" s="551"/>
      <c r="AP54" s="551"/>
      <c r="AQ54" s="551"/>
      <c r="AR54" s="551"/>
      <c r="AS54" s="551"/>
      <c r="AT54" s="551"/>
      <c r="AU54" s="551"/>
      <c r="AV54" s="551"/>
      <c r="AW54" s="551"/>
      <c r="AX54" s="551"/>
      <c r="AY54" s="551"/>
      <c r="AZ54" s="551"/>
      <c r="BA54" s="551"/>
      <c r="BB54" s="551"/>
      <c r="BC54" s="551"/>
      <c r="BD54" s="551"/>
    </row>
    <row r="55" ht="11.25" customHeight="1">
      <c r="A55" s="551"/>
      <c r="B55" s="551"/>
      <c r="C55" s="551"/>
      <c r="D55" s="551"/>
      <c r="E55" s="551"/>
      <c r="F55" s="551"/>
      <c r="G55" s="551"/>
      <c r="H55" s="551"/>
      <c r="I55" s="551"/>
      <c r="J55" s="551"/>
      <c r="K55" s="551"/>
      <c r="L55" s="551"/>
      <c r="M55" s="551"/>
      <c r="N55" s="551"/>
      <c r="O55" s="551"/>
      <c r="P55" s="551"/>
      <c r="Q55" s="551"/>
      <c r="R55" s="551"/>
      <c r="S55" s="783"/>
      <c r="T55" s="551"/>
      <c r="U55" s="551"/>
      <c r="V55" s="551"/>
      <c r="W55" s="551"/>
      <c r="X55" s="551"/>
      <c r="Y55" s="551"/>
      <c r="Z55" s="551"/>
      <c r="AA55" s="551"/>
      <c r="AB55" s="551"/>
      <c r="AC55" s="551"/>
      <c r="AD55" s="551"/>
      <c r="AE55" s="551"/>
      <c r="AF55" s="551"/>
      <c r="AG55" s="643"/>
      <c r="AH55" s="551"/>
      <c r="AI55" s="551"/>
      <c r="AJ55" s="551"/>
      <c r="AK55" s="551"/>
      <c r="AL55" s="551"/>
      <c r="AM55" s="551"/>
      <c r="AN55" s="551"/>
      <c r="AO55" s="551"/>
      <c r="AP55" s="551"/>
      <c r="AQ55" s="551"/>
      <c r="AR55" s="551"/>
      <c r="AS55" s="551"/>
      <c r="AT55" s="551"/>
      <c r="AU55" s="551"/>
      <c r="AV55" s="551"/>
      <c r="AW55" s="551"/>
      <c r="AX55" s="551"/>
      <c r="AY55" s="551"/>
      <c r="AZ55" s="551"/>
      <c r="BA55" s="551"/>
      <c r="BB55" s="551"/>
      <c r="BC55" s="551"/>
      <c r="BD55" s="551"/>
    </row>
    <row r="56" ht="11.25" customHeight="1">
      <c r="A56" s="551"/>
      <c r="B56" s="551"/>
      <c r="C56" s="551"/>
      <c r="D56" s="551"/>
      <c r="E56" s="551"/>
      <c r="F56" s="551"/>
      <c r="G56" s="551"/>
      <c r="H56" s="551"/>
      <c r="I56" s="551"/>
      <c r="J56" s="551"/>
      <c r="K56" s="551"/>
      <c r="L56" s="551"/>
      <c r="M56" s="551"/>
      <c r="N56" s="551"/>
      <c r="O56" s="551"/>
      <c r="P56" s="551"/>
      <c r="Q56" s="551"/>
      <c r="R56" s="551"/>
      <c r="S56" s="783"/>
      <c r="T56" s="551"/>
      <c r="U56" s="551"/>
      <c r="V56" s="551"/>
      <c r="W56" s="551"/>
      <c r="X56" s="551"/>
      <c r="Y56" s="551"/>
      <c r="Z56" s="551"/>
      <c r="AA56" s="551"/>
      <c r="AB56" s="551"/>
      <c r="AC56" s="551"/>
      <c r="AD56" s="551"/>
      <c r="AE56" s="551"/>
      <c r="AF56" s="551"/>
      <c r="AG56" s="643"/>
      <c r="AH56" s="551"/>
      <c r="AI56" s="551"/>
      <c r="AJ56" s="551"/>
      <c r="AK56" s="551"/>
      <c r="AL56" s="551"/>
      <c r="AM56" s="551"/>
      <c r="AN56" s="551"/>
      <c r="AO56" s="551"/>
      <c r="AP56" s="551"/>
      <c r="AQ56" s="551"/>
      <c r="AR56" s="551"/>
      <c r="AS56" s="551"/>
      <c r="AT56" s="551"/>
      <c r="AU56" s="551"/>
      <c r="AV56" s="551"/>
      <c r="AW56" s="551"/>
      <c r="AX56" s="551"/>
      <c r="AY56" s="551"/>
      <c r="AZ56" s="551"/>
      <c r="BA56" s="551"/>
      <c r="BB56" s="551"/>
      <c r="BC56" s="551"/>
      <c r="BD56" s="551"/>
    </row>
    <row r="57" ht="11.25" customHeight="1">
      <c r="A57" s="551"/>
      <c r="B57" s="551"/>
      <c r="C57" s="551"/>
      <c r="D57" s="551"/>
      <c r="E57" s="551"/>
      <c r="F57" s="551"/>
      <c r="G57" s="551"/>
      <c r="H57" s="551"/>
      <c r="I57" s="551"/>
      <c r="J57" s="551"/>
      <c r="K57" s="551"/>
      <c r="L57" s="551"/>
      <c r="M57" s="551"/>
      <c r="N57" s="551"/>
      <c r="O57" s="551"/>
      <c r="P57" s="551"/>
      <c r="Q57" s="551"/>
      <c r="R57" s="551"/>
      <c r="S57" s="783"/>
      <c r="T57" s="551"/>
      <c r="U57" s="551"/>
      <c r="V57" s="551"/>
      <c r="W57" s="551"/>
      <c r="X57" s="551"/>
      <c r="Y57" s="551"/>
      <c r="Z57" s="551"/>
      <c r="AA57" s="551"/>
      <c r="AB57" s="551"/>
      <c r="AC57" s="551"/>
      <c r="AD57" s="551"/>
      <c r="AE57" s="551"/>
      <c r="AF57" s="551"/>
      <c r="AG57" s="643"/>
      <c r="AH57" s="551"/>
      <c r="AI57" s="551"/>
      <c r="AJ57" s="551"/>
      <c r="AK57" s="551"/>
      <c r="AL57" s="551"/>
      <c r="AM57" s="551"/>
      <c r="AN57" s="551"/>
      <c r="AO57" s="551"/>
      <c r="AP57" s="551"/>
      <c r="AQ57" s="551"/>
      <c r="AR57" s="551"/>
      <c r="AS57" s="551"/>
      <c r="AT57" s="551"/>
      <c r="AU57" s="551"/>
      <c r="AV57" s="551"/>
      <c r="AW57" s="551"/>
      <c r="AX57" s="551"/>
      <c r="AY57" s="551"/>
      <c r="AZ57" s="551"/>
      <c r="BA57" s="551"/>
      <c r="BB57" s="551"/>
      <c r="BC57" s="551"/>
      <c r="BD57" s="551"/>
    </row>
    <row r="58" ht="11.25" customHeight="1">
      <c r="A58" s="551"/>
      <c r="B58" s="551"/>
      <c r="C58" s="551"/>
      <c r="D58" s="551"/>
      <c r="E58" s="551"/>
      <c r="F58" s="551"/>
      <c r="G58" s="551"/>
      <c r="H58" s="551"/>
      <c r="I58" s="551"/>
      <c r="J58" s="551"/>
      <c r="K58" s="551"/>
      <c r="L58" s="551"/>
      <c r="M58" s="551"/>
      <c r="N58" s="551"/>
      <c r="O58" s="551"/>
      <c r="P58" s="551"/>
      <c r="Q58" s="551"/>
      <c r="R58" s="551"/>
      <c r="S58" s="783"/>
      <c r="T58" s="551"/>
      <c r="U58" s="551"/>
      <c r="V58" s="551"/>
      <c r="W58" s="551"/>
      <c r="X58" s="551"/>
      <c r="Y58" s="551"/>
      <c r="Z58" s="551"/>
      <c r="AA58" s="551"/>
      <c r="AB58" s="551"/>
      <c r="AC58" s="551"/>
      <c r="AD58" s="551"/>
      <c r="AE58" s="551"/>
      <c r="AF58" s="551"/>
      <c r="AG58" s="643"/>
      <c r="AH58" s="551"/>
      <c r="AI58" s="551"/>
      <c r="AJ58" s="551"/>
      <c r="AK58" s="551"/>
      <c r="AL58" s="551"/>
      <c r="AM58" s="551"/>
      <c r="AN58" s="551"/>
      <c r="AO58" s="551"/>
      <c r="AP58" s="551"/>
      <c r="AQ58" s="551"/>
      <c r="AR58" s="551"/>
      <c r="AS58" s="551"/>
      <c r="AT58" s="551"/>
      <c r="AU58" s="551"/>
      <c r="AV58" s="551"/>
      <c r="AW58" s="551"/>
      <c r="AX58" s="551"/>
      <c r="AY58" s="551"/>
      <c r="AZ58" s="551"/>
      <c r="BA58" s="551"/>
      <c r="BB58" s="551"/>
      <c r="BC58" s="551"/>
      <c r="BD58" s="551"/>
    </row>
    <row r="59" ht="11.25" customHeight="1">
      <c r="A59" s="551"/>
      <c r="B59" s="551"/>
      <c r="C59" s="551"/>
      <c r="D59" s="551"/>
      <c r="E59" s="551"/>
      <c r="F59" s="551"/>
      <c r="G59" s="551"/>
      <c r="H59" s="551"/>
      <c r="I59" s="551"/>
      <c r="J59" s="551"/>
      <c r="K59" s="551"/>
      <c r="L59" s="551"/>
      <c r="M59" s="551"/>
      <c r="N59" s="551"/>
      <c r="O59" s="551"/>
      <c r="P59" s="551"/>
      <c r="Q59" s="551"/>
      <c r="R59" s="551"/>
      <c r="S59" s="783"/>
      <c r="T59" s="551"/>
      <c r="U59" s="551"/>
      <c r="V59" s="551"/>
      <c r="W59" s="551"/>
      <c r="X59" s="551"/>
      <c r="Y59" s="551"/>
      <c r="Z59" s="551"/>
      <c r="AA59" s="551"/>
      <c r="AB59" s="551"/>
      <c r="AC59" s="551"/>
      <c r="AD59" s="551"/>
      <c r="AE59" s="551"/>
      <c r="AF59" s="551"/>
      <c r="AG59" s="643"/>
      <c r="AH59" s="551"/>
      <c r="AI59" s="551"/>
      <c r="AJ59" s="551"/>
      <c r="AK59" s="551"/>
      <c r="AL59" s="551"/>
      <c r="AM59" s="551"/>
      <c r="AN59" s="551"/>
      <c r="AO59" s="551"/>
      <c r="AP59" s="551"/>
      <c r="AQ59" s="551"/>
      <c r="AR59" s="551"/>
      <c r="AS59" s="551"/>
      <c r="AT59" s="551"/>
      <c r="AU59" s="551"/>
      <c r="AV59" s="551"/>
      <c r="AW59" s="551"/>
      <c r="AX59" s="551"/>
      <c r="AY59" s="551"/>
      <c r="AZ59" s="551"/>
      <c r="BA59" s="551"/>
      <c r="BB59" s="551"/>
      <c r="BC59" s="551"/>
      <c r="BD59" s="551"/>
    </row>
    <row r="60" ht="11.25" customHeight="1">
      <c r="A60" s="551"/>
      <c r="B60" s="551"/>
      <c r="C60" s="551"/>
      <c r="D60" s="551"/>
      <c r="E60" s="551"/>
      <c r="F60" s="551"/>
      <c r="G60" s="551"/>
      <c r="H60" s="551"/>
      <c r="I60" s="551"/>
      <c r="J60" s="551"/>
      <c r="K60" s="551"/>
      <c r="L60" s="551"/>
      <c r="M60" s="551"/>
      <c r="N60" s="551"/>
      <c r="O60" s="551"/>
      <c r="P60" s="551"/>
      <c r="Q60" s="551"/>
      <c r="R60" s="551"/>
      <c r="S60" s="783"/>
      <c r="T60" s="551"/>
      <c r="U60" s="551"/>
      <c r="V60" s="551"/>
      <c r="W60" s="551"/>
      <c r="X60" s="551"/>
      <c r="Y60" s="551"/>
      <c r="Z60" s="551"/>
      <c r="AA60" s="551"/>
      <c r="AB60" s="551"/>
      <c r="AC60" s="551"/>
      <c r="AD60" s="551"/>
      <c r="AE60" s="551"/>
      <c r="AF60" s="551"/>
      <c r="AG60" s="643"/>
      <c r="AH60" s="551"/>
      <c r="AI60" s="551"/>
      <c r="AJ60" s="551"/>
      <c r="AK60" s="551"/>
      <c r="AL60" s="551"/>
      <c r="AM60" s="551"/>
      <c r="AN60" s="551"/>
      <c r="AO60" s="551"/>
      <c r="AP60" s="551"/>
      <c r="AQ60" s="551"/>
      <c r="AR60" s="551"/>
      <c r="AS60" s="551"/>
      <c r="AT60" s="551"/>
      <c r="AU60" s="551"/>
      <c r="AV60" s="551"/>
      <c r="AW60" s="551"/>
      <c r="AX60" s="551"/>
      <c r="AY60" s="551"/>
      <c r="AZ60" s="551"/>
      <c r="BA60" s="551"/>
      <c r="BB60" s="551"/>
      <c r="BC60" s="551"/>
      <c r="BD60" s="551"/>
    </row>
    <row r="61" ht="11.25" customHeight="1">
      <c r="A61" s="551"/>
      <c r="B61" s="551"/>
      <c r="C61" s="551"/>
      <c r="D61" s="551"/>
      <c r="E61" s="551"/>
      <c r="F61" s="551"/>
      <c r="G61" s="551"/>
      <c r="H61" s="551"/>
      <c r="I61" s="551"/>
      <c r="J61" s="551"/>
      <c r="K61" s="551"/>
      <c r="L61" s="551"/>
      <c r="M61" s="551"/>
      <c r="N61" s="551"/>
      <c r="O61" s="551"/>
      <c r="P61" s="551"/>
      <c r="Q61" s="551"/>
      <c r="R61" s="551"/>
      <c r="S61" s="783"/>
      <c r="T61" s="551"/>
      <c r="U61" s="551"/>
      <c r="V61" s="551"/>
      <c r="W61" s="551"/>
      <c r="X61" s="551"/>
      <c r="Y61" s="551"/>
      <c r="Z61" s="551"/>
      <c r="AA61" s="551"/>
      <c r="AB61" s="551"/>
      <c r="AC61" s="551"/>
      <c r="AD61" s="551"/>
      <c r="AE61" s="551"/>
      <c r="AF61" s="551"/>
      <c r="AG61" s="643"/>
      <c r="AH61" s="551"/>
      <c r="AI61" s="551"/>
      <c r="AJ61" s="551"/>
      <c r="AK61" s="551"/>
      <c r="AL61" s="551"/>
      <c r="AM61" s="551"/>
      <c r="AN61" s="551"/>
      <c r="AO61" s="551"/>
      <c r="AP61" s="551"/>
      <c r="AQ61" s="551"/>
      <c r="AR61" s="551"/>
      <c r="AS61" s="551"/>
      <c r="AT61" s="551"/>
      <c r="AU61" s="551"/>
      <c r="AV61" s="551"/>
      <c r="AW61" s="551"/>
      <c r="AX61" s="551"/>
      <c r="AY61" s="551"/>
      <c r="AZ61" s="551"/>
      <c r="BA61" s="551"/>
      <c r="BB61" s="551"/>
      <c r="BC61" s="551"/>
      <c r="BD61" s="551"/>
    </row>
    <row r="62" ht="11.25" customHeight="1">
      <c r="A62" s="551"/>
      <c r="B62" s="551"/>
      <c r="C62" s="551"/>
      <c r="D62" s="551"/>
      <c r="E62" s="551"/>
      <c r="F62" s="551"/>
      <c r="G62" s="551"/>
      <c r="H62" s="551"/>
      <c r="I62" s="551"/>
      <c r="J62" s="551"/>
      <c r="K62" s="551"/>
      <c r="L62" s="551"/>
      <c r="M62" s="551"/>
      <c r="N62" s="551"/>
      <c r="O62" s="551"/>
      <c r="P62" s="551"/>
      <c r="Q62" s="551"/>
      <c r="R62" s="551"/>
      <c r="S62" s="783"/>
      <c r="T62" s="551"/>
      <c r="U62" s="551"/>
      <c r="V62" s="551"/>
      <c r="W62" s="551"/>
      <c r="X62" s="551"/>
      <c r="Y62" s="551"/>
      <c r="Z62" s="551"/>
      <c r="AA62" s="551"/>
      <c r="AB62" s="551"/>
      <c r="AC62" s="551"/>
      <c r="AD62" s="551"/>
      <c r="AE62" s="551"/>
      <c r="AF62" s="551"/>
      <c r="AG62" s="643"/>
      <c r="AH62" s="551"/>
      <c r="AI62" s="551"/>
      <c r="AJ62" s="551"/>
      <c r="AK62" s="551"/>
      <c r="AL62" s="551"/>
      <c r="AM62" s="551"/>
      <c r="AN62" s="551"/>
      <c r="AO62" s="551"/>
      <c r="AP62" s="551"/>
      <c r="AQ62" s="551"/>
      <c r="AR62" s="551"/>
      <c r="AS62" s="551"/>
      <c r="AT62" s="551"/>
      <c r="AU62" s="551"/>
      <c r="AV62" s="551"/>
      <c r="AW62" s="551"/>
      <c r="AX62" s="551"/>
      <c r="AY62" s="551"/>
      <c r="AZ62" s="551"/>
      <c r="BA62" s="551"/>
      <c r="BB62" s="551"/>
      <c r="BC62" s="551"/>
      <c r="BD62" s="551"/>
    </row>
    <row r="63" ht="11.25" customHeight="1">
      <c r="A63" s="551"/>
      <c r="B63" s="551"/>
      <c r="C63" s="551"/>
      <c r="D63" s="551"/>
      <c r="E63" s="551"/>
      <c r="F63" s="551"/>
      <c r="G63" s="551"/>
      <c r="H63" s="551"/>
      <c r="I63" s="551"/>
      <c r="J63" s="551"/>
      <c r="K63" s="551"/>
      <c r="L63" s="551"/>
      <c r="M63" s="551"/>
      <c r="N63" s="551"/>
      <c r="O63" s="551"/>
      <c r="P63" s="551"/>
      <c r="Q63" s="551"/>
      <c r="R63" s="551"/>
      <c r="S63" s="783"/>
      <c r="T63" s="551"/>
      <c r="U63" s="551"/>
      <c r="V63" s="551"/>
      <c r="W63" s="551"/>
      <c r="X63" s="551"/>
      <c r="Y63" s="551"/>
      <c r="Z63" s="551"/>
      <c r="AA63" s="551"/>
      <c r="AB63" s="551"/>
      <c r="AC63" s="551"/>
      <c r="AD63" s="551"/>
      <c r="AE63" s="551"/>
      <c r="AF63" s="551"/>
      <c r="AG63" s="643"/>
      <c r="AH63" s="551"/>
      <c r="AI63" s="551"/>
      <c r="AJ63" s="551"/>
      <c r="AK63" s="551"/>
      <c r="AL63" s="551"/>
      <c r="AM63" s="551"/>
      <c r="AN63" s="551"/>
      <c r="AO63" s="551"/>
      <c r="AP63" s="551"/>
      <c r="AQ63" s="551"/>
      <c r="AR63" s="551"/>
      <c r="AS63" s="551"/>
      <c r="AT63" s="551"/>
      <c r="AU63" s="551"/>
      <c r="AV63" s="551"/>
      <c r="AW63" s="551"/>
      <c r="AX63" s="551"/>
      <c r="AY63" s="551"/>
      <c r="AZ63" s="551"/>
      <c r="BA63" s="551"/>
      <c r="BB63" s="551"/>
      <c r="BC63" s="551"/>
      <c r="BD63" s="551"/>
    </row>
    <row r="64" ht="11.25" customHeight="1">
      <c r="A64" s="551"/>
      <c r="B64" s="551"/>
      <c r="C64" s="551"/>
      <c r="D64" s="551"/>
      <c r="E64" s="551"/>
      <c r="F64" s="551"/>
      <c r="G64" s="551"/>
      <c r="H64" s="551"/>
      <c r="I64" s="551"/>
      <c r="J64" s="551"/>
      <c r="K64" s="551"/>
      <c r="L64" s="551"/>
      <c r="M64" s="551"/>
      <c r="N64" s="551"/>
      <c r="O64" s="551"/>
      <c r="P64" s="551"/>
      <c r="Q64" s="551"/>
      <c r="R64" s="551"/>
      <c r="S64" s="783"/>
      <c r="T64" s="551"/>
      <c r="U64" s="551"/>
      <c r="V64" s="551"/>
      <c r="W64" s="551"/>
      <c r="X64" s="551"/>
      <c r="Y64" s="551"/>
      <c r="Z64" s="551"/>
      <c r="AA64" s="551"/>
      <c r="AB64" s="551"/>
      <c r="AC64" s="551"/>
      <c r="AD64" s="551"/>
      <c r="AE64" s="551"/>
      <c r="AF64" s="551"/>
      <c r="AG64" s="643"/>
      <c r="AH64" s="551"/>
      <c r="AI64" s="551"/>
      <c r="AJ64" s="551"/>
      <c r="AK64" s="551"/>
      <c r="AL64" s="551"/>
      <c r="AM64" s="551"/>
      <c r="AN64" s="551"/>
      <c r="AO64" s="551"/>
      <c r="AP64" s="551"/>
      <c r="AQ64" s="551"/>
      <c r="AR64" s="551"/>
      <c r="AS64" s="551"/>
      <c r="AT64" s="551"/>
      <c r="AU64" s="551"/>
      <c r="AV64" s="551"/>
      <c r="AW64" s="551"/>
      <c r="AX64" s="551"/>
      <c r="AY64" s="551"/>
      <c r="AZ64" s="551"/>
      <c r="BA64" s="551"/>
      <c r="BB64" s="551"/>
      <c r="BC64" s="551"/>
      <c r="BD64" s="551"/>
    </row>
    <row r="65" ht="11.25" customHeight="1">
      <c r="A65" s="551"/>
      <c r="B65" s="551"/>
      <c r="C65" s="551"/>
      <c r="D65" s="551"/>
      <c r="E65" s="551"/>
      <c r="F65" s="551"/>
      <c r="G65" s="551"/>
      <c r="H65" s="551"/>
      <c r="I65" s="551"/>
      <c r="J65" s="551"/>
      <c r="K65" s="551"/>
      <c r="L65" s="551"/>
      <c r="M65" s="551"/>
      <c r="N65" s="551"/>
      <c r="O65" s="551"/>
      <c r="P65" s="551"/>
      <c r="Q65" s="551"/>
      <c r="R65" s="551"/>
      <c r="S65" s="783"/>
      <c r="T65" s="551"/>
      <c r="U65" s="551"/>
      <c r="V65" s="551"/>
      <c r="W65" s="551"/>
      <c r="X65" s="551"/>
      <c r="Y65" s="551"/>
      <c r="Z65" s="551"/>
      <c r="AA65" s="551"/>
      <c r="AB65" s="551"/>
      <c r="AC65" s="551"/>
      <c r="AD65" s="551"/>
      <c r="AE65" s="551"/>
      <c r="AF65" s="551"/>
      <c r="AG65" s="643"/>
      <c r="AH65" s="551"/>
      <c r="AI65" s="551"/>
      <c r="AJ65" s="551"/>
      <c r="AK65" s="551"/>
      <c r="AL65" s="551"/>
      <c r="AM65" s="551"/>
      <c r="AN65" s="551"/>
      <c r="AO65" s="551"/>
      <c r="AP65" s="551"/>
      <c r="AQ65" s="551"/>
      <c r="AR65" s="551"/>
      <c r="AS65" s="551"/>
      <c r="AT65" s="551"/>
      <c r="AU65" s="551"/>
      <c r="AV65" s="551"/>
      <c r="AW65" s="551"/>
      <c r="AX65" s="551"/>
      <c r="AY65" s="551"/>
      <c r="AZ65" s="551"/>
      <c r="BA65" s="551"/>
      <c r="BB65" s="551"/>
      <c r="BC65" s="551"/>
      <c r="BD65" s="551"/>
    </row>
    <row r="66" ht="11.25" customHeight="1">
      <c r="A66" s="551"/>
      <c r="B66" s="551"/>
      <c r="C66" s="551"/>
      <c r="D66" s="551"/>
      <c r="E66" s="551"/>
      <c r="F66" s="551"/>
      <c r="G66" s="551"/>
      <c r="H66" s="551"/>
      <c r="I66" s="551"/>
      <c r="J66" s="551"/>
      <c r="K66" s="551"/>
      <c r="L66" s="551"/>
      <c r="M66" s="551"/>
      <c r="N66" s="551"/>
      <c r="O66" s="551"/>
      <c r="P66" s="551"/>
      <c r="Q66" s="551"/>
      <c r="R66" s="551"/>
      <c r="S66" s="783"/>
      <c r="T66" s="551"/>
      <c r="U66" s="551"/>
      <c r="V66" s="551"/>
      <c r="W66" s="551"/>
      <c r="X66" s="551"/>
      <c r="Y66" s="551"/>
      <c r="Z66" s="551"/>
      <c r="AA66" s="551"/>
      <c r="AB66" s="551"/>
      <c r="AC66" s="551"/>
      <c r="AD66" s="551"/>
      <c r="AE66" s="551"/>
      <c r="AF66" s="551"/>
      <c r="AG66" s="643"/>
      <c r="AH66" s="551"/>
      <c r="AI66" s="551"/>
      <c r="AJ66" s="551"/>
      <c r="AK66" s="551"/>
      <c r="AL66" s="551"/>
      <c r="AM66" s="551"/>
      <c r="AN66" s="551"/>
      <c r="AO66" s="551"/>
      <c r="AP66" s="551"/>
      <c r="AQ66" s="551"/>
      <c r="AR66" s="551"/>
      <c r="AS66" s="551"/>
      <c r="AT66" s="551"/>
      <c r="AU66" s="551"/>
      <c r="AV66" s="551"/>
      <c r="AW66" s="551"/>
      <c r="AX66" s="551"/>
      <c r="AY66" s="551"/>
      <c r="AZ66" s="551"/>
      <c r="BA66" s="551"/>
      <c r="BB66" s="551"/>
      <c r="BC66" s="551"/>
      <c r="BD66" s="551"/>
    </row>
    <row r="67" ht="11.25" customHeight="1">
      <c r="A67" s="551"/>
      <c r="B67" s="551"/>
      <c r="C67" s="551"/>
      <c r="D67" s="551"/>
      <c r="E67" s="551"/>
      <c r="F67" s="551"/>
      <c r="G67" s="551"/>
      <c r="H67" s="551"/>
      <c r="I67" s="551"/>
      <c r="J67" s="551"/>
      <c r="K67" s="551"/>
      <c r="L67" s="551"/>
      <c r="M67" s="551"/>
      <c r="N67" s="551"/>
      <c r="O67" s="551"/>
      <c r="P67" s="551"/>
      <c r="Q67" s="551"/>
      <c r="R67" s="551"/>
      <c r="S67" s="783"/>
      <c r="T67" s="551"/>
      <c r="U67" s="551"/>
      <c r="V67" s="551"/>
      <c r="W67" s="551"/>
      <c r="X67" s="551"/>
      <c r="Y67" s="551"/>
      <c r="Z67" s="551"/>
      <c r="AA67" s="551"/>
      <c r="AB67" s="551"/>
      <c r="AC67" s="551"/>
      <c r="AD67" s="551"/>
      <c r="AE67" s="551"/>
      <c r="AF67" s="551"/>
      <c r="AG67" s="643"/>
      <c r="AH67" s="551"/>
      <c r="AI67" s="551"/>
      <c r="AJ67" s="551"/>
      <c r="AK67" s="551"/>
      <c r="AL67" s="551"/>
      <c r="AM67" s="551"/>
      <c r="AN67" s="551"/>
      <c r="AO67" s="551"/>
      <c r="AP67" s="551"/>
      <c r="AQ67" s="551"/>
      <c r="AR67" s="551"/>
      <c r="AS67" s="551"/>
      <c r="AT67" s="551"/>
      <c r="AU67" s="551"/>
      <c r="AV67" s="551"/>
      <c r="AW67" s="551"/>
      <c r="AX67" s="551"/>
      <c r="AY67" s="551"/>
      <c r="AZ67" s="551"/>
      <c r="BA67" s="551"/>
      <c r="BB67" s="551"/>
      <c r="BC67" s="551"/>
      <c r="BD67" s="551"/>
    </row>
    <row r="68" ht="11.25" customHeight="1">
      <c r="A68" s="551"/>
      <c r="B68" s="551"/>
      <c r="C68" s="551"/>
      <c r="D68" s="551"/>
      <c r="E68" s="551"/>
      <c r="F68" s="551"/>
      <c r="G68" s="551"/>
      <c r="H68" s="551"/>
      <c r="I68" s="551"/>
      <c r="J68" s="551"/>
      <c r="K68" s="551"/>
      <c r="L68" s="551"/>
      <c r="M68" s="551"/>
      <c r="N68" s="551"/>
      <c r="O68" s="551"/>
      <c r="P68" s="551"/>
      <c r="Q68" s="551"/>
      <c r="R68" s="551"/>
      <c r="S68" s="783"/>
      <c r="T68" s="551"/>
      <c r="U68" s="551"/>
      <c r="V68" s="551"/>
      <c r="W68" s="551"/>
      <c r="X68" s="551"/>
      <c r="Y68" s="551"/>
      <c r="Z68" s="551"/>
      <c r="AA68" s="551"/>
      <c r="AB68" s="551"/>
      <c r="AC68" s="551"/>
      <c r="AD68" s="551"/>
      <c r="AE68" s="551"/>
      <c r="AF68" s="551"/>
      <c r="AG68" s="643"/>
      <c r="AH68" s="551"/>
      <c r="AI68" s="551"/>
      <c r="AJ68" s="551"/>
      <c r="AK68" s="551"/>
      <c r="AL68" s="551"/>
      <c r="AM68" s="551"/>
      <c r="AN68" s="551"/>
      <c r="AO68" s="551"/>
      <c r="AP68" s="551"/>
      <c r="AQ68" s="551"/>
      <c r="AR68" s="551"/>
      <c r="AS68" s="551"/>
      <c r="AT68" s="551"/>
      <c r="AU68" s="551"/>
      <c r="AV68" s="551"/>
      <c r="AW68" s="551"/>
      <c r="AX68" s="551"/>
      <c r="AY68" s="551"/>
      <c r="AZ68" s="551"/>
      <c r="BA68" s="551"/>
      <c r="BB68" s="551"/>
      <c r="BC68" s="551"/>
      <c r="BD68" s="551"/>
    </row>
    <row r="69" ht="11.25" customHeight="1">
      <c r="A69" s="551"/>
      <c r="B69" s="551"/>
      <c r="C69" s="551"/>
      <c r="D69" s="551"/>
      <c r="E69" s="551"/>
      <c r="F69" s="551"/>
      <c r="G69" s="551"/>
      <c r="H69" s="551"/>
      <c r="I69" s="551"/>
      <c r="J69" s="551"/>
      <c r="K69" s="551"/>
      <c r="L69" s="551"/>
      <c r="M69" s="551"/>
      <c r="N69" s="551"/>
      <c r="O69" s="551"/>
      <c r="P69" s="551"/>
      <c r="Q69" s="551"/>
      <c r="R69" s="551"/>
      <c r="S69" s="783"/>
      <c r="T69" s="551"/>
      <c r="U69" s="551"/>
      <c r="V69" s="551"/>
      <c r="W69" s="551"/>
      <c r="X69" s="551"/>
      <c r="Y69" s="551"/>
      <c r="Z69" s="551"/>
      <c r="AA69" s="551"/>
      <c r="AB69" s="551"/>
      <c r="AC69" s="551"/>
      <c r="AD69" s="551"/>
      <c r="AE69" s="551"/>
      <c r="AF69" s="551"/>
      <c r="AG69" s="643"/>
      <c r="AH69" s="551"/>
      <c r="AI69" s="551"/>
      <c r="AJ69" s="551"/>
      <c r="AK69" s="551"/>
      <c r="AL69" s="551"/>
      <c r="AM69" s="551"/>
      <c r="AN69" s="551"/>
      <c r="AO69" s="551"/>
      <c r="AP69" s="551"/>
      <c r="AQ69" s="551"/>
      <c r="AR69" s="551"/>
      <c r="AS69" s="551"/>
      <c r="AT69" s="551"/>
      <c r="AU69" s="551"/>
      <c r="AV69" s="551"/>
      <c r="AW69" s="551"/>
      <c r="AX69" s="551"/>
      <c r="AY69" s="551"/>
      <c r="AZ69" s="551"/>
      <c r="BA69" s="551"/>
      <c r="BB69" s="551"/>
      <c r="BC69" s="551"/>
      <c r="BD69" s="551"/>
    </row>
    <row r="70" ht="11.25" customHeight="1">
      <c r="A70" s="551"/>
      <c r="B70" s="551"/>
      <c r="C70" s="551"/>
      <c r="D70" s="551"/>
      <c r="E70" s="551"/>
      <c r="F70" s="551"/>
      <c r="G70" s="551"/>
      <c r="H70" s="551"/>
      <c r="I70" s="551"/>
      <c r="J70" s="551"/>
      <c r="K70" s="551"/>
      <c r="L70" s="551"/>
      <c r="M70" s="551"/>
      <c r="N70" s="551"/>
      <c r="O70" s="551"/>
      <c r="P70" s="551"/>
      <c r="Q70" s="551"/>
      <c r="R70" s="551"/>
      <c r="S70" s="783"/>
      <c r="T70" s="551"/>
      <c r="U70" s="551"/>
      <c r="V70" s="551"/>
      <c r="W70" s="551"/>
      <c r="X70" s="551"/>
      <c r="Y70" s="551"/>
      <c r="Z70" s="551"/>
      <c r="AA70" s="551"/>
      <c r="AB70" s="551"/>
      <c r="AC70" s="551"/>
      <c r="AD70" s="551"/>
      <c r="AE70" s="551"/>
      <c r="AF70" s="551"/>
      <c r="AG70" s="643"/>
      <c r="AH70" s="551"/>
      <c r="AI70" s="551"/>
      <c r="AJ70" s="551"/>
      <c r="AK70" s="551"/>
      <c r="AL70" s="551"/>
      <c r="AM70" s="551"/>
      <c r="AN70" s="551"/>
      <c r="AO70" s="551"/>
      <c r="AP70" s="551"/>
      <c r="AQ70" s="551"/>
      <c r="AR70" s="551"/>
      <c r="AS70" s="551"/>
      <c r="AT70" s="551"/>
      <c r="AU70" s="551"/>
      <c r="AV70" s="551"/>
      <c r="AW70" s="551"/>
      <c r="AX70" s="551"/>
      <c r="AY70" s="551"/>
      <c r="AZ70" s="551"/>
      <c r="BA70" s="551"/>
      <c r="BB70" s="551"/>
      <c r="BC70" s="551"/>
      <c r="BD70" s="551"/>
    </row>
    <row r="71" ht="11.25" customHeight="1">
      <c r="A71" s="551"/>
      <c r="B71" s="551"/>
      <c r="C71" s="551"/>
      <c r="D71" s="551"/>
      <c r="E71" s="551"/>
      <c r="F71" s="551"/>
      <c r="G71" s="551"/>
      <c r="H71" s="551"/>
      <c r="I71" s="551"/>
      <c r="J71" s="551"/>
      <c r="K71" s="551"/>
      <c r="L71" s="551"/>
      <c r="M71" s="551"/>
      <c r="N71" s="551"/>
      <c r="O71" s="551"/>
      <c r="P71" s="551"/>
      <c r="Q71" s="551"/>
      <c r="R71" s="551"/>
      <c r="S71" s="783"/>
      <c r="T71" s="551"/>
      <c r="U71" s="551"/>
      <c r="V71" s="551"/>
      <c r="W71" s="551"/>
      <c r="X71" s="551"/>
      <c r="Y71" s="551"/>
      <c r="Z71" s="551"/>
      <c r="AA71" s="551"/>
      <c r="AB71" s="551"/>
      <c r="AC71" s="551"/>
      <c r="AD71" s="551"/>
      <c r="AE71" s="551"/>
      <c r="AF71" s="551"/>
      <c r="AG71" s="643"/>
      <c r="AH71" s="551"/>
      <c r="AI71" s="551"/>
      <c r="AJ71" s="551"/>
      <c r="AK71" s="551"/>
      <c r="AL71" s="551"/>
      <c r="AM71" s="551"/>
      <c r="AN71" s="551"/>
      <c r="AO71" s="551"/>
      <c r="AP71" s="551"/>
      <c r="AQ71" s="551"/>
      <c r="AR71" s="551"/>
      <c r="AS71" s="551"/>
      <c r="AT71" s="551"/>
      <c r="AU71" s="551"/>
      <c r="AV71" s="551"/>
      <c r="AW71" s="551"/>
      <c r="AX71" s="551"/>
      <c r="AY71" s="551"/>
      <c r="AZ71" s="551"/>
      <c r="BA71" s="551"/>
      <c r="BB71" s="551"/>
      <c r="BC71" s="551"/>
      <c r="BD71" s="551"/>
    </row>
    <row r="72" ht="11.25" customHeight="1">
      <c r="A72" s="551"/>
      <c r="B72" s="551"/>
      <c r="C72" s="551"/>
      <c r="D72" s="551"/>
      <c r="E72" s="551"/>
      <c r="F72" s="551"/>
      <c r="G72" s="551"/>
      <c r="H72" s="551"/>
      <c r="I72" s="551"/>
      <c r="J72" s="551"/>
      <c r="K72" s="551"/>
      <c r="L72" s="551"/>
      <c r="M72" s="551"/>
      <c r="N72" s="551"/>
      <c r="O72" s="551"/>
      <c r="P72" s="551"/>
      <c r="Q72" s="551"/>
      <c r="R72" s="551"/>
      <c r="S72" s="783"/>
      <c r="T72" s="551"/>
      <c r="U72" s="551"/>
      <c r="V72" s="551"/>
      <c r="W72" s="551"/>
      <c r="X72" s="551"/>
      <c r="Y72" s="551"/>
      <c r="Z72" s="551"/>
      <c r="AA72" s="551"/>
      <c r="AB72" s="551"/>
      <c r="AC72" s="551"/>
      <c r="AD72" s="551"/>
      <c r="AE72" s="551"/>
      <c r="AF72" s="551"/>
      <c r="AG72" s="643"/>
      <c r="AH72" s="551"/>
      <c r="AI72" s="551"/>
      <c r="AJ72" s="551"/>
      <c r="AK72" s="551"/>
      <c r="AL72" s="551"/>
      <c r="AM72" s="551"/>
      <c r="AN72" s="551"/>
      <c r="AO72" s="551"/>
      <c r="AP72" s="551"/>
      <c r="AQ72" s="551"/>
      <c r="AR72" s="551"/>
      <c r="AS72" s="551"/>
      <c r="AT72" s="551"/>
      <c r="AU72" s="551"/>
      <c r="AV72" s="551"/>
      <c r="AW72" s="551"/>
      <c r="AX72" s="551"/>
      <c r="AY72" s="551"/>
      <c r="AZ72" s="551"/>
      <c r="BA72" s="551"/>
      <c r="BB72" s="551"/>
      <c r="BC72" s="551"/>
      <c r="BD72" s="551"/>
    </row>
    <row r="73" ht="11.25" customHeight="1">
      <c r="A73" s="551"/>
      <c r="B73" s="551"/>
      <c r="C73" s="551"/>
      <c r="D73" s="551"/>
      <c r="E73" s="551"/>
      <c r="F73" s="551"/>
      <c r="G73" s="551"/>
      <c r="H73" s="551"/>
      <c r="I73" s="551"/>
      <c r="J73" s="551"/>
      <c r="K73" s="551"/>
      <c r="L73" s="551"/>
      <c r="M73" s="551"/>
      <c r="N73" s="551"/>
      <c r="O73" s="551"/>
      <c r="P73" s="551"/>
      <c r="Q73" s="551"/>
      <c r="R73" s="551"/>
      <c r="S73" s="783"/>
      <c r="T73" s="551"/>
      <c r="U73" s="551"/>
      <c r="V73" s="551"/>
      <c r="W73" s="551"/>
      <c r="X73" s="551"/>
      <c r="Y73" s="551"/>
      <c r="Z73" s="551"/>
      <c r="AA73" s="551"/>
      <c r="AB73" s="551"/>
      <c r="AC73" s="551"/>
      <c r="AD73" s="551"/>
      <c r="AE73" s="551"/>
      <c r="AF73" s="551"/>
      <c r="AG73" s="643"/>
      <c r="AH73" s="551"/>
      <c r="AI73" s="551"/>
      <c r="AJ73" s="551"/>
      <c r="AK73" s="551"/>
      <c r="AL73" s="551"/>
      <c r="AM73" s="551"/>
      <c r="AN73" s="551"/>
      <c r="AO73" s="551"/>
      <c r="AP73" s="551"/>
      <c r="AQ73" s="551"/>
      <c r="AR73" s="551"/>
      <c r="AS73" s="551"/>
      <c r="AT73" s="551"/>
      <c r="AU73" s="551"/>
      <c r="AV73" s="551"/>
      <c r="AW73" s="551"/>
      <c r="AX73" s="551"/>
      <c r="AY73" s="551"/>
      <c r="AZ73" s="551"/>
      <c r="BA73" s="551"/>
      <c r="BB73" s="551"/>
      <c r="BC73" s="551"/>
      <c r="BD73" s="551"/>
    </row>
    <row r="74" ht="11.25" customHeight="1">
      <c r="A74" s="551"/>
      <c r="B74" s="551"/>
      <c r="C74" s="551"/>
      <c r="D74" s="551"/>
      <c r="E74" s="551"/>
      <c r="F74" s="551"/>
      <c r="G74" s="551"/>
      <c r="H74" s="551"/>
      <c r="I74" s="551"/>
      <c r="J74" s="551"/>
      <c r="K74" s="551"/>
      <c r="L74" s="551"/>
      <c r="M74" s="551"/>
      <c r="N74" s="551"/>
      <c r="O74" s="551"/>
      <c r="P74" s="551"/>
      <c r="Q74" s="551"/>
      <c r="R74" s="551"/>
      <c r="S74" s="783"/>
      <c r="T74" s="551"/>
      <c r="U74" s="551"/>
      <c r="V74" s="551"/>
      <c r="W74" s="551"/>
      <c r="X74" s="551"/>
      <c r="Y74" s="551"/>
      <c r="Z74" s="551"/>
      <c r="AA74" s="551"/>
      <c r="AB74" s="551"/>
      <c r="AC74" s="551"/>
      <c r="AD74" s="551"/>
      <c r="AE74" s="551"/>
      <c r="AF74" s="551"/>
      <c r="AG74" s="643"/>
      <c r="AH74" s="551"/>
      <c r="AI74" s="551"/>
      <c r="AJ74" s="551"/>
      <c r="AK74" s="551"/>
      <c r="AL74" s="551"/>
      <c r="AM74" s="551"/>
      <c r="AN74" s="551"/>
      <c r="AO74" s="551"/>
      <c r="AP74" s="551"/>
      <c r="AQ74" s="551"/>
      <c r="AR74" s="551"/>
      <c r="AS74" s="551"/>
      <c r="AT74" s="551"/>
      <c r="AU74" s="551"/>
      <c r="AV74" s="551"/>
      <c r="AW74" s="551"/>
      <c r="AX74" s="551"/>
      <c r="AY74" s="551"/>
      <c r="AZ74" s="551"/>
      <c r="BA74" s="551"/>
      <c r="BB74" s="551"/>
      <c r="BC74" s="551"/>
      <c r="BD74" s="551"/>
    </row>
    <row r="75" ht="11.25" customHeight="1">
      <c r="A75" s="551"/>
      <c r="B75" s="551"/>
      <c r="C75" s="551"/>
      <c r="D75" s="551"/>
      <c r="E75" s="551"/>
      <c r="F75" s="551"/>
      <c r="G75" s="551"/>
      <c r="H75" s="551"/>
      <c r="I75" s="551"/>
      <c r="J75" s="551"/>
      <c r="K75" s="551"/>
      <c r="L75" s="551"/>
      <c r="M75" s="551"/>
      <c r="N75" s="551"/>
      <c r="O75" s="551"/>
      <c r="P75" s="551"/>
      <c r="Q75" s="551"/>
      <c r="R75" s="551"/>
      <c r="S75" s="783"/>
      <c r="T75" s="551"/>
      <c r="U75" s="551"/>
      <c r="V75" s="551"/>
      <c r="W75" s="551"/>
      <c r="X75" s="551"/>
      <c r="Y75" s="551"/>
      <c r="Z75" s="551"/>
      <c r="AA75" s="551"/>
      <c r="AB75" s="551"/>
      <c r="AC75" s="551"/>
      <c r="AD75" s="551"/>
      <c r="AE75" s="551"/>
      <c r="AF75" s="551"/>
      <c r="AG75" s="643"/>
      <c r="AH75" s="551"/>
      <c r="AI75" s="551"/>
      <c r="AJ75" s="551"/>
      <c r="AK75" s="551"/>
      <c r="AL75" s="551"/>
      <c r="AM75" s="551"/>
      <c r="AN75" s="551"/>
      <c r="AO75" s="551"/>
      <c r="AP75" s="551"/>
      <c r="AQ75" s="551"/>
      <c r="AR75" s="551"/>
      <c r="AS75" s="551"/>
      <c r="AT75" s="551"/>
      <c r="AU75" s="551"/>
      <c r="AV75" s="551"/>
      <c r="AW75" s="551"/>
      <c r="AX75" s="551"/>
      <c r="AY75" s="551"/>
      <c r="AZ75" s="551"/>
      <c r="BA75" s="551"/>
      <c r="BB75" s="551"/>
      <c r="BC75" s="551"/>
      <c r="BD75" s="551"/>
    </row>
    <row r="76" ht="11.25" customHeight="1">
      <c r="A76" s="551"/>
      <c r="B76" s="551"/>
      <c r="C76" s="551"/>
      <c r="D76" s="551"/>
      <c r="E76" s="551"/>
      <c r="F76" s="551"/>
      <c r="G76" s="551"/>
      <c r="H76" s="551"/>
      <c r="I76" s="551"/>
      <c r="J76" s="551"/>
      <c r="K76" s="551"/>
      <c r="L76" s="551"/>
      <c r="M76" s="551"/>
      <c r="N76" s="551"/>
      <c r="O76" s="551"/>
      <c r="P76" s="551"/>
      <c r="Q76" s="551"/>
      <c r="R76" s="551"/>
      <c r="S76" s="783"/>
      <c r="T76" s="551"/>
      <c r="U76" s="551"/>
      <c r="V76" s="551"/>
      <c r="W76" s="551"/>
      <c r="X76" s="551"/>
      <c r="Y76" s="551"/>
      <c r="Z76" s="551"/>
      <c r="AA76" s="551"/>
      <c r="AB76" s="551"/>
      <c r="AC76" s="551"/>
      <c r="AD76" s="551"/>
      <c r="AE76" s="551"/>
      <c r="AF76" s="551"/>
      <c r="AG76" s="643"/>
      <c r="AH76" s="551"/>
      <c r="AI76" s="551"/>
      <c r="AJ76" s="551"/>
      <c r="AK76" s="551"/>
      <c r="AL76" s="551"/>
      <c r="AM76" s="551"/>
      <c r="AN76" s="551"/>
      <c r="AO76" s="551"/>
      <c r="AP76" s="551"/>
      <c r="AQ76" s="551"/>
      <c r="AR76" s="551"/>
      <c r="AS76" s="551"/>
      <c r="AT76" s="551"/>
      <c r="AU76" s="551"/>
      <c r="AV76" s="551"/>
      <c r="AW76" s="551"/>
      <c r="AX76" s="551"/>
      <c r="AY76" s="551"/>
      <c r="AZ76" s="551"/>
      <c r="BA76" s="551"/>
      <c r="BB76" s="551"/>
      <c r="BC76" s="551"/>
      <c r="BD76" s="551"/>
    </row>
    <row r="77" ht="11.25" customHeight="1">
      <c r="A77" s="551"/>
      <c r="B77" s="551"/>
      <c r="C77" s="551"/>
      <c r="D77" s="551"/>
      <c r="E77" s="551"/>
      <c r="F77" s="551"/>
      <c r="G77" s="551"/>
      <c r="H77" s="551"/>
      <c r="I77" s="551"/>
      <c r="J77" s="551"/>
      <c r="K77" s="551"/>
      <c r="L77" s="551"/>
      <c r="M77" s="551"/>
      <c r="N77" s="551"/>
      <c r="O77" s="551"/>
      <c r="P77" s="551"/>
      <c r="Q77" s="551"/>
      <c r="R77" s="551"/>
      <c r="S77" s="783"/>
      <c r="T77" s="551"/>
      <c r="U77" s="551"/>
      <c r="V77" s="551"/>
      <c r="W77" s="551"/>
      <c r="X77" s="551"/>
      <c r="Y77" s="551"/>
      <c r="Z77" s="551"/>
      <c r="AA77" s="551"/>
      <c r="AB77" s="551"/>
      <c r="AC77" s="551"/>
      <c r="AD77" s="551"/>
      <c r="AE77" s="551"/>
      <c r="AF77" s="551"/>
      <c r="AG77" s="643"/>
      <c r="AH77" s="551"/>
      <c r="AI77" s="551"/>
      <c r="AJ77" s="551"/>
      <c r="AK77" s="551"/>
      <c r="AL77" s="551"/>
      <c r="AM77" s="551"/>
      <c r="AN77" s="551"/>
      <c r="AO77" s="551"/>
      <c r="AP77" s="551"/>
      <c r="AQ77" s="551"/>
      <c r="AR77" s="551"/>
      <c r="AS77" s="551"/>
      <c r="AT77" s="551"/>
      <c r="AU77" s="551"/>
      <c r="AV77" s="551"/>
      <c r="AW77" s="551"/>
      <c r="AX77" s="551"/>
      <c r="AY77" s="551"/>
      <c r="AZ77" s="551"/>
      <c r="BA77" s="551"/>
      <c r="BB77" s="551"/>
      <c r="BC77" s="551"/>
      <c r="BD77" s="551"/>
    </row>
    <row r="78" ht="11.25" customHeight="1">
      <c r="A78" s="551"/>
      <c r="B78" s="551"/>
      <c r="C78" s="551"/>
      <c r="D78" s="551"/>
      <c r="E78" s="551"/>
      <c r="F78" s="551"/>
      <c r="G78" s="551"/>
      <c r="H78" s="551"/>
      <c r="I78" s="551"/>
      <c r="J78" s="551"/>
      <c r="K78" s="551"/>
      <c r="L78" s="551"/>
      <c r="M78" s="551"/>
      <c r="N78" s="551"/>
      <c r="O78" s="551"/>
      <c r="P78" s="551"/>
      <c r="Q78" s="551"/>
      <c r="R78" s="551"/>
      <c r="S78" s="783"/>
      <c r="T78" s="551"/>
      <c r="U78" s="551"/>
      <c r="V78" s="551"/>
      <c r="W78" s="551"/>
      <c r="X78" s="551"/>
      <c r="Y78" s="551"/>
      <c r="Z78" s="551"/>
      <c r="AA78" s="551"/>
      <c r="AB78" s="551"/>
      <c r="AC78" s="551"/>
      <c r="AD78" s="551"/>
      <c r="AE78" s="551"/>
      <c r="AF78" s="551"/>
      <c r="AG78" s="643"/>
      <c r="AH78" s="551"/>
      <c r="AI78" s="551"/>
      <c r="AJ78" s="551"/>
      <c r="AK78" s="551"/>
      <c r="AL78" s="551"/>
      <c r="AM78" s="551"/>
      <c r="AN78" s="551"/>
      <c r="AO78" s="551"/>
      <c r="AP78" s="551"/>
      <c r="AQ78" s="551"/>
      <c r="AR78" s="551"/>
      <c r="AS78" s="551"/>
      <c r="AT78" s="551"/>
      <c r="AU78" s="551"/>
      <c r="AV78" s="551"/>
      <c r="AW78" s="551"/>
      <c r="AX78" s="551"/>
      <c r="AY78" s="551"/>
      <c r="AZ78" s="551"/>
      <c r="BA78" s="551"/>
      <c r="BB78" s="551"/>
      <c r="BC78" s="551"/>
      <c r="BD78" s="551"/>
    </row>
    <row r="79" ht="11.25" customHeight="1">
      <c r="A79" s="551"/>
      <c r="B79" s="551"/>
      <c r="C79" s="551"/>
      <c r="D79" s="551"/>
      <c r="E79" s="551"/>
      <c r="F79" s="551"/>
      <c r="G79" s="551"/>
      <c r="H79" s="551"/>
      <c r="I79" s="551"/>
      <c r="J79" s="551"/>
      <c r="K79" s="551"/>
      <c r="L79" s="551"/>
      <c r="M79" s="551"/>
      <c r="N79" s="551"/>
      <c r="O79" s="551"/>
      <c r="P79" s="551"/>
      <c r="Q79" s="551"/>
      <c r="R79" s="551"/>
      <c r="S79" s="783"/>
      <c r="T79" s="551"/>
      <c r="U79" s="551"/>
      <c r="V79" s="551"/>
      <c r="W79" s="551"/>
      <c r="X79" s="551"/>
      <c r="Y79" s="551"/>
      <c r="Z79" s="551"/>
      <c r="AA79" s="551"/>
      <c r="AB79" s="551"/>
      <c r="AC79" s="551"/>
      <c r="AD79" s="551"/>
      <c r="AE79" s="551"/>
      <c r="AF79" s="551"/>
      <c r="AG79" s="643"/>
      <c r="AH79" s="551"/>
      <c r="AI79" s="551"/>
      <c r="AJ79" s="551"/>
      <c r="AK79" s="551"/>
      <c r="AL79" s="551"/>
      <c r="AM79" s="551"/>
      <c r="AN79" s="551"/>
      <c r="AO79" s="551"/>
      <c r="AP79" s="551"/>
      <c r="AQ79" s="551"/>
      <c r="AR79" s="551"/>
      <c r="AS79" s="551"/>
      <c r="AT79" s="551"/>
      <c r="AU79" s="551"/>
      <c r="AV79" s="551"/>
      <c r="AW79" s="551"/>
      <c r="AX79" s="551"/>
      <c r="AY79" s="551"/>
      <c r="AZ79" s="551"/>
      <c r="BA79" s="551"/>
      <c r="BB79" s="551"/>
      <c r="BC79" s="551"/>
      <c r="BD79" s="551"/>
    </row>
    <row r="80" ht="11.25" customHeight="1">
      <c r="A80" s="551"/>
      <c r="B80" s="551"/>
      <c r="C80" s="551"/>
      <c r="D80" s="551"/>
      <c r="E80" s="551"/>
      <c r="F80" s="551"/>
      <c r="G80" s="551"/>
      <c r="H80" s="551"/>
      <c r="I80" s="551"/>
      <c r="J80" s="551"/>
      <c r="K80" s="551"/>
      <c r="L80" s="551"/>
      <c r="M80" s="551"/>
      <c r="N80" s="551"/>
      <c r="O80" s="551"/>
      <c r="P80" s="551"/>
      <c r="Q80" s="551"/>
      <c r="R80" s="551"/>
      <c r="S80" s="783"/>
      <c r="T80" s="551"/>
      <c r="U80" s="551"/>
      <c r="V80" s="551"/>
      <c r="W80" s="551"/>
      <c r="X80" s="551"/>
      <c r="Y80" s="551"/>
      <c r="Z80" s="551"/>
      <c r="AA80" s="551"/>
      <c r="AB80" s="551"/>
      <c r="AC80" s="551"/>
      <c r="AD80" s="551"/>
      <c r="AE80" s="551"/>
      <c r="AF80" s="551"/>
      <c r="AG80" s="643"/>
      <c r="AH80" s="551"/>
      <c r="AI80" s="551"/>
      <c r="AJ80" s="551"/>
      <c r="AK80" s="551"/>
      <c r="AL80" s="551"/>
      <c r="AM80" s="551"/>
      <c r="AN80" s="551"/>
      <c r="AO80" s="551"/>
      <c r="AP80" s="551"/>
      <c r="AQ80" s="551"/>
      <c r="AR80" s="551"/>
      <c r="AS80" s="551"/>
      <c r="AT80" s="551"/>
      <c r="AU80" s="551"/>
      <c r="AV80" s="551"/>
      <c r="AW80" s="551"/>
      <c r="AX80" s="551"/>
      <c r="AY80" s="551"/>
      <c r="AZ80" s="551"/>
      <c r="BA80" s="551"/>
      <c r="BB80" s="551"/>
      <c r="BC80" s="551"/>
      <c r="BD80" s="551"/>
    </row>
    <row r="81" ht="11.25" customHeight="1">
      <c r="A81" s="551"/>
      <c r="B81" s="551"/>
      <c r="C81" s="551"/>
      <c r="D81" s="551"/>
      <c r="E81" s="551"/>
      <c r="F81" s="551"/>
      <c r="G81" s="551"/>
      <c r="H81" s="551"/>
      <c r="I81" s="551"/>
      <c r="J81" s="551"/>
      <c r="K81" s="551"/>
      <c r="L81" s="551"/>
      <c r="M81" s="551"/>
      <c r="N81" s="551"/>
      <c r="O81" s="551"/>
      <c r="P81" s="551"/>
      <c r="Q81" s="551"/>
      <c r="R81" s="551"/>
      <c r="S81" s="783"/>
      <c r="T81" s="551"/>
      <c r="U81" s="551"/>
      <c r="V81" s="551"/>
      <c r="W81" s="551"/>
      <c r="X81" s="551"/>
      <c r="Y81" s="551"/>
      <c r="Z81" s="551"/>
      <c r="AA81" s="551"/>
      <c r="AB81" s="551"/>
      <c r="AC81" s="551"/>
      <c r="AD81" s="551"/>
      <c r="AE81" s="551"/>
      <c r="AF81" s="551"/>
      <c r="AG81" s="643"/>
      <c r="AH81" s="551"/>
      <c r="AI81" s="551"/>
      <c r="AJ81" s="551"/>
      <c r="AK81" s="551"/>
      <c r="AL81" s="551"/>
      <c r="AM81" s="551"/>
      <c r="AN81" s="551"/>
      <c r="AO81" s="551"/>
      <c r="AP81" s="551"/>
      <c r="AQ81" s="551"/>
      <c r="AR81" s="551"/>
      <c r="AS81" s="551"/>
      <c r="AT81" s="551"/>
      <c r="AU81" s="551"/>
      <c r="AV81" s="551"/>
      <c r="AW81" s="551"/>
      <c r="AX81" s="551"/>
      <c r="AY81" s="551"/>
      <c r="AZ81" s="551"/>
      <c r="BA81" s="551"/>
      <c r="BB81" s="551"/>
      <c r="BC81" s="551"/>
      <c r="BD81" s="551"/>
    </row>
    <row r="82" ht="11.25" customHeight="1">
      <c r="A82" s="551"/>
      <c r="B82" s="551"/>
      <c r="C82" s="551"/>
      <c r="D82" s="551"/>
      <c r="E82" s="551"/>
      <c r="F82" s="551"/>
      <c r="G82" s="551"/>
      <c r="H82" s="551"/>
      <c r="I82" s="551"/>
      <c r="J82" s="551"/>
      <c r="K82" s="551"/>
      <c r="L82" s="551"/>
      <c r="M82" s="551"/>
      <c r="N82" s="551"/>
      <c r="O82" s="551"/>
      <c r="P82" s="551"/>
      <c r="Q82" s="551"/>
      <c r="R82" s="551"/>
      <c r="S82" s="783"/>
      <c r="T82" s="551"/>
      <c r="U82" s="551"/>
      <c r="V82" s="551"/>
      <c r="W82" s="551"/>
      <c r="X82" s="551"/>
      <c r="Y82" s="551"/>
      <c r="Z82" s="551"/>
      <c r="AA82" s="551"/>
      <c r="AB82" s="551"/>
      <c r="AC82" s="551"/>
      <c r="AD82" s="551"/>
      <c r="AE82" s="551"/>
      <c r="AF82" s="551"/>
      <c r="AG82" s="643"/>
      <c r="AH82" s="551"/>
      <c r="AI82" s="551"/>
      <c r="AJ82" s="551"/>
      <c r="AK82" s="551"/>
      <c r="AL82" s="551"/>
      <c r="AM82" s="551"/>
      <c r="AN82" s="551"/>
      <c r="AO82" s="551"/>
      <c r="AP82" s="551"/>
      <c r="AQ82" s="551"/>
      <c r="AR82" s="551"/>
      <c r="AS82" s="551"/>
      <c r="AT82" s="551"/>
      <c r="AU82" s="551"/>
      <c r="AV82" s="551"/>
      <c r="AW82" s="551"/>
      <c r="AX82" s="551"/>
      <c r="AY82" s="551"/>
      <c r="AZ82" s="551"/>
      <c r="BA82" s="551"/>
      <c r="BB82" s="551"/>
      <c r="BC82" s="551"/>
      <c r="BD82" s="551"/>
    </row>
    <row r="83" ht="11.25" customHeight="1">
      <c r="A83" s="551"/>
      <c r="B83" s="551"/>
      <c r="C83" s="551"/>
      <c r="D83" s="551"/>
      <c r="E83" s="551"/>
      <c r="F83" s="551"/>
      <c r="G83" s="551"/>
      <c r="H83" s="551"/>
      <c r="I83" s="551"/>
      <c r="J83" s="551"/>
      <c r="K83" s="551"/>
      <c r="L83" s="551"/>
      <c r="M83" s="551"/>
      <c r="N83" s="551"/>
      <c r="O83" s="551"/>
      <c r="P83" s="551"/>
      <c r="Q83" s="551"/>
      <c r="R83" s="551"/>
      <c r="S83" s="783"/>
      <c r="T83" s="551"/>
      <c r="U83" s="551"/>
      <c r="V83" s="551"/>
      <c r="W83" s="551"/>
      <c r="X83" s="551"/>
      <c r="Y83" s="551"/>
      <c r="Z83" s="551"/>
      <c r="AA83" s="551"/>
      <c r="AB83" s="551"/>
      <c r="AC83" s="551"/>
      <c r="AD83" s="551"/>
      <c r="AE83" s="551"/>
      <c r="AF83" s="551"/>
      <c r="AG83" s="643"/>
      <c r="AH83" s="551"/>
      <c r="AI83" s="551"/>
      <c r="AJ83" s="551"/>
      <c r="AK83" s="551"/>
      <c r="AL83" s="551"/>
      <c r="AM83" s="551"/>
      <c r="AN83" s="551"/>
      <c r="AO83" s="551"/>
      <c r="AP83" s="551"/>
      <c r="AQ83" s="551"/>
      <c r="AR83" s="551"/>
      <c r="AS83" s="551"/>
      <c r="AT83" s="551"/>
      <c r="AU83" s="551"/>
      <c r="AV83" s="551"/>
      <c r="AW83" s="551"/>
      <c r="AX83" s="551"/>
      <c r="AY83" s="551"/>
      <c r="AZ83" s="551"/>
      <c r="BA83" s="551"/>
      <c r="BB83" s="551"/>
      <c r="BC83" s="551"/>
      <c r="BD83" s="551"/>
    </row>
    <row r="84" ht="11.25" customHeight="1">
      <c r="A84" s="551"/>
      <c r="B84" s="551"/>
      <c r="C84" s="551"/>
      <c r="D84" s="551"/>
      <c r="E84" s="551"/>
      <c r="F84" s="551"/>
      <c r="G84" s="551"/>
      <c r="H84" s="551"/>
      <c r="I84" s="551"/>
      <c r="J84" s="551"/>
      <c r="K84" s="551"/>
      <c r="L84" s="551"/>
      <c r="M84" s="551"/>
      <c r="N84" s="551"/>
      <c r="O84" s="551"/>
      <c r="P84" s="551"/>
      <c r="Q84" s="551"/>
      <c r="R84" s="551"/>
      <c r="S84" s="783"/>
      <c r="T84" s="551"/>
      <c r="U84" s="551"/>
      <c r="V84" s="551"/>
      <c r="W84" s="551"/>
      <c r="X84" s="551"/>
      <c r="Y84" s="551"/>
      <c r="Z84" s="551"/>
      <c r="AA84" s="551"/>
      <c r="AB84" s="551"/>
      <c r="AC84" s="551"/>
      <c r="AD84" s="551"/>
      <c r="AE84" s="551"/>
      <c r="AF84" s="551"/>
      <c r="AG84" s="643"/>
      <c r="AH84" s="551"/>
      <c r="AI84" s="551"/>
      <c r="AJ84" s="551"/>
      <c r="AK84" s="551"/>
      <c r="AL84" s="551"/>
      <c r="AM84" s="551"/>
      <c r="AN84" s="551"/>
      <c r="AO84" s="551"/>
      <c r="AP84" s="551"/>
      <c r="AQ84" s="551"/>
      <c r="AR84" s="551"/>
      <c r="AS84" s="551"/>
      <c r="AT84" s="551"/>
      <c r="AU84" s="551"/>
      <c r="AV84" s="551"/>
      <c r="AW84" s="551"/>
      <c r="AX84" s="551"/>
      <c r="AY84" s="551"/>
      <c r="AZ84" s="551"/>
      <c r="BA84" s="551"/>
      <c r="BB84" s="551"/>
      <c r="BC84" s="551"/>
      <c r="BD84" s="551"/>
    </row>
    <row r="85" ht="11.25" customHeight="1">
      <c r="A85" s="551"/>
      <c r="B85" s="551"/>
      <c r="C85" s="551"/>
      <c r="D85" s="551"/>
      <c r="E85" s="551"/>
      <c r="F85" s="551"/>
      <c r="G85" s="551"/>
      <c r="H85" s="551"/>
      <c r="I85" s="551"/>
      <c r="J85" s="551"/>
      <c r="K85" s="551"/>
      <c r="L85" s="551"/>
      <c r="M85" s="551"/>
      <c r="N85" s="551"/>
      <c r="O85" s="551"/>
      <c r="P85" s="551"/>
      <c r="Q85" s="551"/>
      <c r="R85" s="551"/>
      <c r="S85" s="783"/>
      <c r="T85" s="551"/>
      <c r="U85" s="551"/>
      <c r="V85" s="551"/>
      <c r="W85" s="551"/>
      <c r="X85" s="551"/>
      <c r="Y85" s="551"/>
      <c r="Z85" s="551"/>
      <c r="AA85" s="551"/>
      <c r="AB85" s="551"/>
      <c r="AC85" s="551"/>
      <c r="AD85" s="551"/>
      <c r="AE85" s="551"/>
      <c r="AF85" s="551"/>
      <c r="AG85" s="643"/>
      <c r="AH85" s="551"/>
      <c r="AI85" s="551"/>
      <c r="AJ85" s="551"/>
      <c r="AK85" s="551"/>
      <c r="AL85" s="551"/>
      <c r="AM85" s="551"/>
      <c r="AN85" s="551"/>
      <c r="AO85" s="551"/>
      <c r="AP85" s="551"/>
      <c r="AQ85" s="551"/>
      <c r="AR85" s="551"/>
      <c r="AS85" s="551"/>
      <c r="AT85" s="551"/>
      <c r="AU85" s="551"/>
      <c r="AV85" s="551"/>
      <c r="AW85" s="551"/>
      <c r="AX85" s="551"/>
      <c r="AY85" s="551"/>
      <c r="AZ85" s="551"/>
      <c r="BA85" s="551"/>
      <c r="BB85" s="551"/>
      <c r="BC85" s="551"/>
      <c r="BD85" s="551"/>
    </row>
    <row r="86" ht="11.25" customHeight="1">
      <c r="A86" s="551"/>
      <c r="B86" s="551"/>
      <c r="C86" s="551"/>
      <c r="D86" s="551"/>
      <c r="E86" s="551"/>
      <c r="F86" s="551"/>
      <c r="G86" s="551"/>
      <c r="H86" s="551"/>
      <c r="I86" s="551"/>
      <c r="J86" s="551"/>
      <c r="K86" s="551"/>
      <c r="L86" s="551"/>
      <c r="M86" s="551"/>
      <c r="N86" s="551"/>
      <c r="O86" s="551"/>
      <c r="P86" s="551"/>
      <c r="Q86" s="551"/>
      <c r="R86" s="551"/>
      <c r="S86" s="783"/>
      <c r="T86" s="551"/>
      <c r="U86" s="551"/>
      <c r="V86" s="551"/>
      <c r="W86" s="551"/>
      <c r="X86" s="551"/>
      <c r="Y86" s="551"/>
      <c r="Z86" s="551"/>
      <c r="AA86" s="551"/>
      <c r="AB86" s="551"/>
      <c r="AC86" s="551"/>
      <c r="AD86" s="551"/>
      <c r="AE86" s="551"/>
      <c r="AF86" s="551"/>
      <c r="AG86" s="643"/>
      <c r="AH86" s="551"/>
      <c r="AI86" s="551"/>
      <c r="AJ86" s="551"/>
      <c r="AK86" s="551"/>
      <c r="AL86" s="551"/>
      <c r="AM86" s="551"/>
      <c r="AN86" s="551"/>
      <c r="AO86" s="551"/>
      <c r="AP86" s="551"/>
      <c r="AQ86" s="551"/>
      <c r="AR86" s="551"/>
      <c r="AS86" s="551"/>
      <c r="AT86" s="551"/>
      <c r="AU86" s="551"/>
      <c r="AV86" s="551"/>
      <c r="AW86" s="551"/>
      <c r="AX86" s="551"/>
      <c r="AY86" s="551"/>
      <c r="AZ86" s="551"/>
      <c r="BA86" s="551"/>
      <c r="BB86" s="551"/>
      <c r="BC86" s="551"/>
      <c r="BD86" s="551"/>
    </row>
    <row r="87" ht="11.25" customHeight="1">
      <c r="A87" s="551"/>
      <c r="B87" s="551"/>
      <c r="C87" s="551"/>
      <c r="D87" s="551"/>
      <c r="E87" s="551"/>
      <c r="F87" s="551"/>
      <c r="G87" s="551"/>
      <c r="H87" s="551"/>
      <c r="I87" s="551"/>
      <c r="J87" s="551"/>
      <c r="K87" s="551"/>
      <c r="L87" s="551"/>
      <c r="M87" s="551"/>
      <c r="N87" s="551"/>
      <c r="O87" s="551"/>
      <c r="P87" s="551"/>
      <c r="Q87" s="551"/>
      <c r="R87" s="551"/>
      <c r="S87" s="783"/>
      <c r="T87" s="551"/>
      <c r="U87" s="551"/>
      <c r="V87" s="551"/>
      <c r="W87" s="551"/>
      <c r="X87" s="551"/>
      <c r="Y87" s="551"/>
      <c r="Z87" s="551"/>
      <c r="AA87" s="551"/>
      <c r="AB87" s="551"/>
      <c r="AC87" s="551"/>
      <c r="AD87" s="551"/>
      <c r="AE87" s="551"/>
      <c r="AF87" s="551"/>
      <c r="AG87" s="643"/>
      <c r="AH87" s="551"/>
      <c r="AI87" s="551"/>
      <c r="AJ87" s="551"/>
      <c r="AK87" s="551"/>
      <c r="AL87" s="551"/>
      <c r="AM87" s="551"/>
      <c r="AN87" s="551"/>
      <c r="AO87" s="551"/>
      <c r="AP87" s="551"/>
      <c r="AQ87" s="551"/>
      <c r="AR87" s="551"/>
      <c r="AS87" s="551"/>
      <c r="AT87" s="551"/>
      <c r="AU87" s="551"/>
      <c r="AV87" s="551"/>
      <c r="AW87" s="551"/>
      <c r="AX87" s="551"/>
      <c r="AY87" s="551"/>
      <c r="AZ87" s="551"/>
      <c r="BA87" s="551"/>
      <c r="BB87" s="551"/>
      <c r="BC87" s="551"/>
      <c r="BD87" s="551"/>
    </row>
    <row r="88" ht="11.25" customHeight="1">
      <c r="A88" s="337"/>
      <c r="B88" s="337"/>
      <c r="C88" s="337"/>
      <c r="D88" s="337"/>
      <c r="E88" s="337"/>
      <c r="F88" s="337"/>
      <c r="G88" s="337"/>
      <c r="H88" s="337"/>
      <c r="I88" s="337"/>
      <c r="J88" s="337"/>
      <c r="K88" s="337"/>
      <c r="L88" s="337"/>
      <c r="M88" s="337"/>
      <c r="N88" s="337"/>
      <c r="O88" s="337"/>
      <c r="P88" s="337"/>
      <c r="Q88" s="337"/>
      <c r="R88" s="337"/>
      <c r="S88" s="339"/>
      <c r="T88" s="337"/>
      <c r="U88" s="337"/>
      <c r="V88" s="337"/>
      <c r="W88" s="337"/>
      <c r="X88" s="337"/>
      <c r="Y88" s="337"/>
      <c r="Z88" s="337"/>
      <c r="AA88" s="337"/>
      <c r="AB88" s="337"/>
      <c r="AC88" s="337"/>
      <c r="AD88" s="337"/>
      <c r="AE88" s="337"/>
      <c r="AF88" s="337"/>
      <c r="AG88" s="785"/>
      <c r="AH88" s="337"/>
      <c r="AI88" s="337"/>
      <c r="AJ88" s="337"/>
      <c r="AK88" s="337"/>
      <c r="AL88" s="337"/>
      <c r="AM88" s="631"/>
      <c r="AN88" s="631"/>
      <c r="AO88" s="631"/>
      <c r="AP88" s="631"/>
      <c r="AQ88" s="631"/>
      <c r="AR88" s="631"/>
      <c r="AS88" s="631"/>
      <c r="AT88" s="631"/>
      <c r="AU88" s="631"/>
      <c r="AV88" s="631"/>
      <c r="AW88" s="631"/>
      <c r="AX88" s="631"/>
      <c r="AY88" s="631"/>
      <c r="AZ88" s="631"/>
      <c r="BA88" s="631"/>
      <c r="BB88" s="631"/>
      <c r="BC88" s="337"/>
      <c r="BD88" s="661"/>
    </row>
    <row r="89" ht="11.25" customHeight="1">
      <c r="A89" s="337"/>
      <c r="B89" s="337"/>
      <c r="C89" s="337"/>
      <c r="D89" s="337"/>
      <c r="E89" s="337"/>
      <c r="F89" s="337"/>
      <c r="G89" s="337"/>
      <c r="H89" s="337"/>
      <c r="I89" s="337"/>
      <c r="J89" s="337"/>
      <c r="K89" s="337"/>
      <c r="L89" s="337"/>
      <c r="M89" s="337"/>
      <c r="N89" s="337"/>
      <c r="O89" s="337"/>
      <c r="P89" s="337"/>
      <c r="Q89" s="337"/>
      <c r="R89" s="337"/>
      <c r="S89" s="339"/>
      <c r="T89" s="337"/>
      <c r="U89" s="337"/>
      <c r="V89" s="337"/>
      <c r="W89" s="337"/>
      <c r="X89" s="337"/>
      <c r="Y89" s="337"/>
      <c r="Z89" s="337"/>
      <c r="AA89" s="337"/>
      <c r="AB89" s="337"/>
      <c r="AC89" s="337"/>
      <c r="AD89" s="337"/>
      <c r="AE89" s="337"/>
      <c r="AF89" s="337"/>
      <c r="AG89" s="785"/>
      <c r="AH89" s="337"/>
      <c r="AI89" s="337"/>
      <c r="AJ89" s="337"/>
      <c r="AK89" s="337"/>
      <c r="AL89" s="337"/>
      <c r="AM89" s="631"/>
      <c r="AN89" s="631"/>
      <c r="AO89" s="631"/>
      <c r="AP89" s="631"/>
      <c r="AQ89" s="631"/>
      <c r="AR89" s="631"/>
      <c r="AS89" s="631"/>
      <c r="AT89" s="631"/>
      <c r="AU89" s="631"/>
      <c r="AV89" s="631"/>
      <c r="AW89" s="631"/>
      <c r="AX89" s="631"/>
      <c r="AY89" s="631"/>
      <c r="AZ89" s="631"/>
      <c r="BA89" s="631"/>
      <c r="BB89" s="631"/>
      <c r="BC89" s="337"/>
      <c r="BD89" s="661"/>
    </row>
    <row r="90" ht="11.25" customHeight="1">
      <c r="A90" s="337"/>
      <c r="B90" s="337"/>
      <c r="C90" s="337"/>
      <c r="D90" s="337"/>
      <c r="E90" s="337"/>
      <c r="F90" s="337"/>
      <c r="G90" s="337"/>
      <c r="H90" s="337"/>
      <c r="I90" s="337"/>
      <c r="J90" s="337"/>
      <c r="K90" s="337"/>
      <c r="L90" s="337"/>
      <c r="M90" s="337"/>
      <c r="N90" s="337"/>
      <c r="O90" s="337"/>
      <c r="P90" s="337"/>
      <c r="Q90" s="337"/>
      <c r="R90" s="337"/>
      <c r="S90" s="339"/>
      <c r="T90" s="337"/>
      <c r="U90" s="337"/>
      <c r="V90" s="337"/>
      <c r="W90" s="337"/>
      <c r="X90" s="337"/>
      <c r="Y90" s="337"/>
      <c r="Z90" s="337"/>
      <c r="AA90" s="337"/>
      <c r="AB90" s="337"/>
      <c r="AC90" s="337"/>
      <c r="AD90" s="337"/>
      <c r="AE90" s="337"/>
      <c r="AF90" s="337"/>
      <c r="AG90" s="785"/>
      <c r="AH90" s="337"/>
      <c r="AI90" s="337"/>
      <c r="AJ90" s="337"/>
      <c r="AK90" s="337"/>
      <c r="AL90" s="337"/>
      <c r="AM90" s="631"/>
      <c r="AN90" s="631"/>
      <c r="AO90" s="631"/>
      <c r="AP90" s="631"/>
      <c r="AQ90" s="631"/>
      <c r="AR90" s="631"/>
      <c r="AS90" s="631"/>
      <c r="AT90" s="631"/>
      <c r="AU90" s="631"/>
      <c r="AV90" s="631"/>
      <c r="AW90" s="631"/>
      <c r="AX90" s="631"/>
      <c r="AY90" s="631"/>
      <c r="AZ90" s="631"/>
      <c r="BA90" s="631"/>
      <c r="BB90" s="631"/>
      <c r="BC90" s="337"/>
      <c r="BD90" s="661"/>
    </row>
    <row r="91" ht="11.25" customHeight="1">
      <c r="A91" s="337"/>
      <c r="B91" s="337"/>
      <c r="C91" s="337"/>
      <c r="D91" s="337"/>
      <c r="E91" s="337"/>
      <c r="F91" s="337"/>
      <c r="G91" s="337"/>
      <c r="H91" s="337"/>
      <c r="I91" s="337"/>
      <c r="J91" s="337"/>
      <c r="K91" s="337"/>
      <c r="L91" s="337"/>
      <c r="M91" s="337"/>
      <c r="N91" s="337"/>
      <c r="O91" s="337"/>
      <c r="P91" s="337"/>
      <c r="Q91" s="337"/>
      <c r="R91" s="337"/>
      <c r="S91" s="339"/>
      <c r="T91" s="337"/>
      <c r="U91" s="337"/>
      <c r="V91" s="337"/>
      <c r="W91" s="337"/>
      <c r="X91" s="337"/>
      <c r="Y91" s="337"/>
      <c r="Z91" s="337"/>
      <c r="AA91" s="337"/>
      <c r="AB91" s="337"/>
      <c r="AC91" s="337"/>
      <c r="AD91" s="337"/>
      <c r="AE91" s="337"/>
      <c r="AF91" s="337"/>
      <c r="AG91" s="785"/>
      <c r="AH91" s="337"/>
      <c r="AI91" s="337"/>
      <c r="AJ91" s="337"/>
      <c r="AK91" s="337"/>
      <c r="AL91" s="337"/>
      <c r="AM91" s="631"/>
      <c r="AN91" s="631"/>
      <c r="AO91" s="631"/>
      <c r="AP91" s="631"/>
      <c r="AQ91" s="631"/>
      <c r="AR91" s="631"/>
      <c r="AS91" s="631"/>
      <c r="AT91" s="631"/>
      <c r="AU91" s="631"/>
      <c r="AV91" s="631"/>
      <c r="AW91" s="631"/>
      <c r="AX91" s="631"/>
      <c r="AY91" s="631"/>
      <c r="AZ91" s="631"/>
      <c r="BA91" s="631"/>
      <c r="BB91" s="631"/>
      <c r="BC91" s="337"/>
      <c r="BD91" s="661"/>
    </row>
    <row r="92" ht="11.25" customHeight="1">
      <c r="A92" s="337"/>
      <c r="B92" s="337"/>
      <c r="C92" s="337"/>
      <c r="D92" s="337"/>
      <c r="E92" s="337"/>
      <c r="F92" s="337"/>
      <c r="G92" s="337"/>
      <c r="H92" s="337"/>
      <c r="I92" s="337"/>
      <c r="J92" s="337"/>
      <c r="K92" s="337"/>
      <c r="L92" s="337"/>
      <c r="M92" s="337"/>
      <c r="N92" s="337"/>
      <c r="O92" s="337"/>
      <c r="P92" s="337"/>
      <c r="Q92" s="337"/>
      <c r="R92" s="337"/>
      <c r="S92" s="339"/>
      <c r="T92" s="337"/>
      <c r="U92" s="337"/>
      <c r="V92" s="337"/>
      <c r="W92" s="337"/>
      <c r="X92" s="337"/>
      <c r="Y92" s="337"/>
      <c r="Z92" s="337"/>
      <c r="AA92" s="337"/>
      <c r="AB92" s="337"/>
      <c r="AC92" s="337"/>
      <c r="AD92" s="337"/>
      <c r="AE92" s="337"/>
      <c r="AF92" s="337"/>
      <c r="AG92" s="785"/>
      <c r="AH92" s="337"/>
      <c r="AI92" s="337"/>
      <c r="AJ92" s="337"/>
      <c r="AK92" s="337"/>
      <c r="AL92" s="337"/>
      <c r="AM92" s="631"/>
      <c r="AN92" s="631"/>
      <c r="AO92" s="631"/>
      <c r="AP92" s="631"/>
      <c r="AQ92" s="631"/>
      <c r="AR92" s="631"/>
      <c r="AS92" s="631"/>
      <c r="AT92" s="631"/>
      <c r="AU92" s="631"/>
      <c r="AV92" s="631"/>
      <c r="AW92" s="631"/>
      <c r="AX92" s="631"/>
      <c r="AY92" s="631"/>
      <c r="AZ92" s="631"/>
      <c r="BA92" s="631"/>
      <c r="BB92" s="631"/>
      <c r="BC92" s="337"/>
      <c r="BD92" s="661"/>
    </row>
    <row r="93" ht="11.25" customHeight="1">
      <c r="A93" s="337"/>
      <c r="B93" s="337"/>
      <c r="C93" s="337"/>
      <c r="D93" s="337"/>
      <c r="E93" s="337"/>
      <c r="F93" s="337"/>
      <c r="G93" s="337"/>
      <c r="H93" s="337"/>
      <c r="I93" s="337"/>
      <c r="J93" s="337"/>
      <c r="K93" s="337"/>
      <c r="L93" s="337"/>
      <c r="M93" s="337"/>
      <c r="N93" s="337"/>
      <c r="O93" s="337"/>
      <c r="P93" s="337"/>
      <c r="Q93" s="337"/>
      <c r="R93" s="337"/>
      <c r="S93" s="339"/>
      <c r="T93" s="337"/>
      <c r="U93" s="337"/>
      <c r="V93" s="337"/>
      <c r="W93" s="337"/>
      <c r="X93" s="337"/>
      <c r="Y93" s="337"/>
      <c r="Z93" s="337"/>
      <c r="AA93" s="337"/>
      <c r="AB93" s="337"/>
      <c r="AC93" s="337"/>
      <c r="AD93" s="337"/>
      <c r="AE93" s="337"/>
      <c r="AF93" s="337"/>
      <c r="AG93" s="785"/>
      <c r="AH93" s="337"/>
      <c r="AI93" s="337"/>
      <c r="AJ93" s="337"/>
      <c r="AK93" s="337"/>
      <c r="AL93" s="337"/>
      <c r="AM93" s="631"/>
      <c r="AN93" s="631"/>
      <c r="AO93" s="631"/>
      <c r="AP93" s="631"/>
      <c r="AQ93" s="631"/>
      <c r="AR93" s="631"/>
      <c r="AS93" s="631"/>
      <c r="AT93" s="631"/>
      <c r="AU93" s="631"/>
      <c r="AV93" s="631"/>
      <c r="AW93" s="631"/>
      <c r="AX93" s="631"/>
      <c r="AY93" s="631"/>
      <c r="AZ93" s="631"/>
      <c r="BA93" s="631"/>
      <c r="BB93" s="631"/>
      <c r="BC93" s="337"/>
      <c r="BD93" s="661"/>
    </row>
    <row r="94" ht="11.25" customHeight="1">
      <c r="A94" s="337"/>
      <c r="B94" s="337"/>
      <c r="C94" s="337"/>
      <c r="D94" s="337"/>
      <c r="E94" s="337"/>
      <c r="F94" s="337"/>
      <c r="G94" s="337"/>
      <c r="H94" s="337"/>
      <c r="I94" s="337"/>
      <c r="J94" s="337"/>
      <c r="K94" s="337"/>
      <c r="L94" s="337"/>
      <c r="M94" s="337"/>
      <c r="N94" s="337"/>
      <c r="O94" s="337"/>
      <c r="P94" s="337"/>
      <c r="Q94" s="337"/>
      <c r="R94" s="337"/>
      <c r="S94" s="339"/>
      <c r="T94" s="337"/>
      <c r="U94" s="337"/>
      <c r="V94" s="337"/>
      <c r="W94" s="337"/>
      <c r="X94" s="337"/>
      <c r="Y94" s="337"/>
      <c r="Z94" s="337"/>
      <c r="AA94" s="337"/>
      <c r="AB94" s="337"/>
      <c r="AC94" s="337"/>
      <c r="AD94" s="337"/>
      <c r="AE94" s="337"/>
      <c r="AF94" s="337"/>
      <c r="AG94" s="785"/>
      <c r="AH94" s="337"/>
      <c r="AI94" s="337"/>
      <c r="AJ94" s="337"/>
      <c r="AK94" s="337"/>
      <c r="AL94" s="337"/>
      <c r="AM94" s="631"/>
      <c r="AN94" s="631"/>
      <c r="AO94" s="631"/>
      <c r="AP94" s="631"/>
      <c r="AQ94" s="631"/>
      <c r="AR94" s="631"/>
      <c r="AS94" s="631"/>
      <c r="AT94" s="631"/>
      <c r="AU94" s="631"/>
      <c r="AV94" s="631"/>
      <c r="AW94" s="631"/>
      <c r="AX94" s="631"/>
      <c r="AY94" s="631"/>
      <c r="AZ94" s="631"/>
      <c r="BA94" s="631"/>
      <c r="BB94" s="631"/>
      <c r="BC94" s="337"/>
      <c r="BD94" s="661"/>
    </row>
    <row r="95" ht="11.25" customHeight="1">
      <c r="A95" s="337"/>
      <c r="B95" s="337"/>
      <c r="C95" s="337"/>
      <c r="D95" s="337"/>
      <c r="E95" s="337"/>
      <c r="F95" s="337"/>
      <c r="G95" s="337"/>
      <c r="H95" s="337"/>
      <c r="I95" s="337"/>
      <c r="J95" s="337"/>
      <c r="K95" s="337"/>
      <c r="L95" s="337"/>
      <c r="M95" s="337"/>
      <c r="N95" s="337"/>
      <c r="O95" s="337"/>
      <c r="P95" s="337"/>
      <c r="Q95" s="337"/>
      <c r="R95" s="337"/>
      <c r="S95" s="339"/>
      <c r="T95" s="337"/>
      <c r="U95" s="337"/>
      <c r="V95" s="337"/>
      <c r="W95" s="337"/>
      <c r="X95" s="337"/>
      <c r="Y95" s="337"/>
      <c r="Z95" s="337"/>
      <c r="AA95" s="337"/>
      <c r="AB95" s="337"/>
      <c r="AC95" s="337"/>
      <c r="AD95" s="337"/>
      <c r="AE95" s="337"/>
      <c r="AF95" s="337"/>
      <c r="AG95" s="785"/>
      <c r="AH95" s="337"/>
      <c r="AI95" s="337"/>
      <c r="AJ95" s="337"/>
      <c r="AK95" s="337"/>
      <c r="AL95" s="337"/>
      <c r="AM95" s="631"/>
      <c r="AN95" s="631"/>
      <c r="AO95" s="631"/>
      <c r="AP95" s="631"/>
      <c r="AQ95" s="631"/>
      <c r="AR95" s="631"/>
      <c r="AS95" s="631"/>
      <c r="AT95" s="631"/>
      <c r="AU95" s="631"/>
      <c r="AV95" s="631"/>
      <c r="AW95" s="631"/>
      <c r="AX95" s="631"/>
      <c r="AY95" s="631"/>
      <c r="AZ95" s="631"/>
      <c r="BA95" s="631"/>
      <c r="BB95" s="631"/>
      <c r="BC95" s="337"/>
      <c r="BD95" s="661"/>
    </row>
    <row r="96" ht="11.25" customHeight="1">
      <c r="A96" s="644"/>
      <c r="B96" s="644"/>
      <c r="C96" s="550"/>
      <c r="D96" s="337"/>
      <c r="E96" s="550"/>
      <c r="F96" s="550"/>
      <c r="G96" s="550"/>
      <c r="H96" s="550"/>
      <c r="I96" s="550"/>
      <c r="J96" s="550"/>
      <c r="K96" s="550"/>
      <c r="L96" s="550"/>
      <c r="M96" s="550"/>
      <c r="N96" s="550"/>
      <c r="O96" s="550"/>
      <c r="P96" s="550"/>
      <c r="Q96" s="550"/>
      <c r="R96" s="550"/>
      <c r="S96" s="659"/>
      <c r="T96" s="550"/>
      <c r="U96" s="550"/>
      <c r="V96" s="550"/>
      <c r="W96" s="550"/>
      <c r="X96" s="550"/>
      <c r="Y96" s="550"/>
      <c r="Z96" s="550"/>
      <c r="AA96" s="550"/>
      <c r="AB96" s="550"/>
      <c r="AC96" s="550"/>
      <c r="AD96" s="550"/>
      <c r="AE96" s="550"/>
      <c r="AF96" s="550"/>
      <c r="AG96" s="785"/>
      <c r="AH96" s="644"/>
      <c r="AI96" s="644"/>
      <c r="AJ96" s="644"/>
      <c r="AK96" s="550"/>
      <c r="AL96" s="337"/>
      <c r="AM96" s="631"/>
      <c r="AN96" s="631"/>
      <c r="AO96" s="631"/>
      <c r="AP96" s="631"/>
      <c r="AQ96" s="631"/>
      <c r="AR96" s="631"/>
      <c r="AS96" s="631"/>
      <c r="AT96" s="631"/>
      <c r="AU96" s="631"/>
      <c r="AV96" s="631"/>
      <c r="AW96" s="631"/>
      <c r="AX96" s="631"/>
      <c r="AY96" s="631"/>
      <c r="AZ96" s="631"/>
      <c r="BA96" s="631"/>
      <c r="BB96" s="631"/>
      <c r="BC96" s="550"/>
      <c r="BD96" s="661"/>
    </row>
    <row r="97" ht="11.25" customHeight="1">
      <c r="A97" s="644"/>
      <c r="B97" s="644"/>
      <c r="C97" s="550"/>
      <c r="D97" s="337"/>
      <c r="E97" s="550"/>
      <c r="F97" s="550"/>
      <c r="G97" s="550"/>
      <c r="H97" s="550"/>
      <c r="I97" s="550"/>
      <c r="J97" s="550"/>
      <c r="K97" s="550"/>
      <c r="L97" s="550"/>
      <c r="M97" s="550"/>
      <c r="N97" s="550"/>
      <c r="O97" s="550"/>
      <c r="P97" s="550"/>
      <c r="Q97" s="550"/>
      <c r="R97" s="550"/>
      <c r="S97" s="659"/>
      <c r="T97" s="550"/>
      <c r="U97" s="550"/>
      <c r="V97" s="550"/>
      <c r="W97" s="550"/>
      <c r="X97" s="550"/>
      <c r="Y97" s="550"/>
      <c r="Z97" s="550"/>
      <c r="AA97" s="550"/>
      <c r="AB97" s="550"/>
      <c r="AC97" s="550"/>
      <c r="AD97" s="550"/>
      <c r="AE97" s="550"/>
      <c r="AF97" s="550"/>
      <c r="AG97" s="785"/>
      <c r="AH97" s="644"/>
      <c r="AI97" s="644"/>
      <c r="AJ97" s="644"/>
      <c r="AK97" s="550"/>
      <c r="AL97" s="337"/>
      <c r="AM97" s="631"/>
      <c r="AN97" s="631"/>
      <c r="AO97" s="631"/>
      <c r="AP97" s="631"/>
      <c r="AQ97" s="631"/>
      <c r="AR97" s="631"/>
      <c r="AS97" s="631"/>
      <c r="AT97" s="631"/>
      <c r="AU97" s="631"/>
      <c r="AV97" s="631"/>
      <c r="AW97" s="631"/>
      <c r="AX97" s="631"/>
      <c r="AY97" s="631"/>
      <c r="AZ97" s="631"/>
      <c r="BA97" s="631"/>
      <c r="BB97" s="631"/>
      <c r="BC97" s="550"/>
      <c r="BD97" s="661"/>
    </row>
    <row r="98" ht="11.25" customHeight="1">
      <c r="A98" s="644"/>
      <c r="B98" s="644"/>
      <c r="C98" s="550"/>
      <c r="D98" s="337"/>
      <c r="E98" s="550"/>
      <c r="F98" s="550"/>
      <c r="G98" s="550"/>
      <c r="H98" s="550"/>
      <c r="I98" s="550"/>
      <c r="J98" s="550"/>
      <c r="K98" s="550"/>
      <c r="L98" s="550"/>
      <c r="M98" s="550"/>
      <c r="N98" s="550"/>
      <c r="O98" s="550"/>
      <c r="P98" s="550"/>
      <c r="Q98" s="550"/>
      <c r="R98" s="550"/>
      <c r="S98" s="659"/>
      <c r="T98" s="550"/>
      <c r="U98" s="550"/>
      <c r="V98" s="550"/>
      <c r="W98" s="550"/>
      <c r="X98" s="550"/>
      <c r="Y98" s="550"/>
      <c r="Z98" s="550"/>
      <c r="AA98" s="550"/>
      <c r="AB98" s="550"/>
      <c r="AC98" s="550"/>
      <c r="AD98" s="550"/>
      <c r="AE98" s="550"/>
      <c r="AF98" s="550"/>
      <c r="AG98" s="785"/>
      <c r="AH98" s="644"/>
      <c r="AI98" s="644"/>
      <c r="AJ98" s="644"/>
      <c r="AK98" s="550"/>
      <c r="AL98" s="337"/>
      <c r="AM98" s="631"/>
      <c r="AN98" s="631"/>
      <c r="AO98" s="631"/>
      <c r="AP98" s="631"/>
      <c r="AQ98" s="631"/>
      <c r="AR98" s="631"/>
      <c r="AS98" s="631"/>
      <c r="AT98" s="631"/>
      <c r="AU98" s="631"/>
      <c r="AV98" s="631"/>
      <c r="AW98" s="631"/>
      <c r="AX98" s="631"/>
      <c r="AY98" s="631"/>
      <c r="AZ98" s="631"/>
      <c r="BA98" s="631"/>
      <c r="BB98" s="631"/>
      <c r="BC98" s="550"/>
      <c r="BD98" s="661"/>
    </row>
    <row r="99" ht="11.25" customHeight="1">
      <c r="A99" s="644"/>
      <c r="B99" s="644"/>
      <c r="C99" s="550"/>
      <c r="D99" s="337"/>
      <c r="E99" s="550"/>
      <c r="F99" s="550"/>
      <c r="G99" s="550"/>
      <c r="H99" s="550"/>
      <c r="I99" s="550"/>
      <c r="J99" s="550"/>
      <c r="K99" s="550"/>
      <c r="L99" s="550"/>
      <c r="M99" s="550"/>
      <c r="N99" s="550"/>
      <c r="O99" s="550"/>
      <c r="P99" s="550"/>
      <c r="Q99" s="550"/>
      <c r="R99" s="550"/>
      <c r="S99" s="659"/>
      <c r="T99" s="550"/>
      <c r="U99" s="550"/>
      <c r="V99" s="550"/>
      <c r="W99" s="550"/>
      <c r="X99" s="550"/>
      <c r="Y99" s="550"/>
      <c r="Z99" s="550"/>
      <c r="AA99" s="550"/>
      <c r="AB99" s="550"/>
      <c r="AC99" s="550"/>
      <c r="AD99" s="550"/>
      <c r="AE99" s="550"/>
      <c r="AF99" s="550"/>
      <c r="AG99" s="785"/>
      <c r="AH99" s="644"/>
      <c r="AI99" s="644"/>
      <c r="AJ99" s="644"/>
      <c r="AK99" s="550"/>
      <c r="AL99" s="337"/>
      <c r="AM99" s="631"/>
      <c r="AN99" s="631"/>
      <c r="AO99" s="631"/>
      <c r="AP99" s="631"/>
      <c r="AQ99" s="631"/>
      <c r="AR99" s="631"/>
      <c r="AS99" s="631"/>
      <c r="AT99" s="631"/>
      <c r="AU99" s="631"/>
      <c r="AV99" s="631"/>
      <c r="AW99" s="631"/>
      <c r="AX99" s="631"/>
      <c r="AY99" s="631"/>
      <c r="AZ99" s="631"/>
      <c r="BA99" s="631"/>
      <c r="BB99" s="631"/>
      <c r="BC99" s="550"/>
      <c r="BD99" s="661"/>
    </row>
    <row r="100" ht="11.25" customHeight="1">
      <c r="A100" s="644"/>
      <c r="B100" s="644"/>
      <c r="C100" s="550"/>
      <c r="D100" s="337"/>
      <c r="E100" s="550"/>
      <c r="F100" s="550"/>
      <c r="G100" s="550"/>
      <c r="H100" s="550"/>
      <c r="I100" s="550"/>
      <c r="J100" s="550"/>
      <c r="K100" s="550"/>
      <c r="L100" s="550"/>
      <c r="M100" s="550"/>
      <c r="N100" s="550"/>
      <c r="O100" s="550"/>
      <c r="P100" s="550"/>
      <c r="Q100" s="550"/>
      <c r="R100" s="550"/>
      <c r="S100" s="659"/>
      <c r="T100" s="550"/>
      <c r="U100" s="550"/>
      <c r="V100" s="550"/>
      <c r="W100" s="550"/>
      <c r="X100" s="550"/>
      <c r="Y100" s="550"/>
      <c r="Z100" s="550"/>
      <c r="AA100" s="550"/>
      <c r="AB100" s="550"/>
      <c r="AC100" s="550"/>
      <c r="AD100" s="550"/>
      <c r="AE100" s="550"/>
      <c r="AF100" s="550"/>
      <c r="AG100" s="785"/>
      <c r="AH100" s="644"/>
      <c r="AI100" s="644"/>
      <c r="AJ100" s="644"/>
      <c r="AK100" s="550"/>
      <c r="AL100" s="337"/>
      <c r="AM100" s="631"/>
      <c r="AN100" s="631"/>
      <c r="AO100" s="631"/>
      <c r="AP100" s="631"/>
      <c r="AQ100" s="631"/>
      <c r="AR100" s="631"/>
      <c r="AS100" s="631"/>
      <c r="AT100" s="631"/>
      <c r="AU100" s="631"/>
      <c r="AV100" s="631"/>
      <c r="AW100" s="631"/>
      <c r="AX100" s="631"/>
      <c r="AY100" s="631"/>
      <c r="AZ100" s="631"/>
      <c r="BA100" s="631"/>
      <c r="BB100" s="631"/>
      <c r="BC100" s="550"/>
      <c r="BD100" s="661"/>
    </row>
    <row r="101" ht="11.25" customHeight="1">
      <c r="A101" s="644"/>
      <c r="B101" s="644"/>
      <c r="C101" s="550"/>
      <c r="D101" s="337"/>
      <c r="E101" s="550"/>
      <c r="F101" s="550"/>
      <c r="G101" s="550"/>
      <c r="H101" s="550"/>
      <c r="I101" s="550"/>
      <c r="J101" s="550"/>
      <c r="K101" s="550"/>
      <c r="L101" s="550"/>
      <c r="M101" s="550"/>
      <c r="N101" s="550"/>
      <c r="O101" s="550"/>
      <c r="P101" s="550"/>
      <c r="Q101" s="550"/>
      <c r="R101" s="550"/>
      <c r="S101" s="659"/>
      <c r="T101" s="550"/>
      <c r="U101" s="550"/>
      <c r="V101" s="550"/>
      <c r="W101" s="550"/>
      <c r="X101" s="550"/>
      <c r="Y101" s="550"/>
      <c r="Z101" s="550"/>
      <c r="AA101" s="550"/>
      <c r="AB101" s="550"/>
      <c r="AC101" s="550"/>
      <c r="AD101" s="550"/>
      <c r="AE101" s="550"/>
      <c r="AF101" s="550"/>
      <c r="AG101" s="785"/>
      <c r="AH101" s="644"/>
      <c r="AI101" s="644"/>
      <c r="AJ101" s="644"/>
      <c r="AK101" s="550"/>
      <c r="AL101" s="337"/>
      <c r="AM101" s="631"/>
      <c r="AN101" s="631"/>
      <c r="AO101" s="631"/>
      <c r="AP101" s="631"/>
      <c r="AQ101" s="631"/>
      <c r="AR101" s="631"/>
      <c r="AS101" s="631"/>
      <c r="AT101" s="631"/>
      <c r="AU101" s="631"/>
      <c r="AV101" s="631"/>
      <c r="AW101" s="631"/>
      <c r="AX101" s="631"/>
      <c r="AY101" s="631"/>
      <c r="AZ101" s="631"/>
      <c r="BA101" s="631"/>
      <c r="BB101" s="631"/>
      <c r="BC101" s="550"/>
      <c r="BD101" s="661"/>
    </row>
    <row r="102" ht="11.25" customHeight="1">
      <c r="A102" s="644"/>
      <c r="B102" s="644"/>
      <c r="C102" s="550"/>
      <c r="D102" s="337"/>
      <c r="E102" s="550"/>
      <c r="F102" s="550"/>
      <c r="G102" s="550"/>
      <c r="H102" s="550"/>
      <c r="I102" s="550"/>
      <c r="J102" s="550"/>
      <c r="K102" s="550"/>
      <c r="L102" s="550"/>
      <c r="M102" s="550"/>
      <c r="N102" s="550"/>
      <c r="O102" s="550"/>
      <c r="P102" s="550"/>
      <c r="Q102" s="550"/>
      <c r="R102" s="550"/>
      <c r="S102" s="659"/>
      <c r="T102" s="550"/>
      <c r="U102" s="550"/>
      <c r="V102" s="550"/>
      <c r="W102" s="550"/>
      <c r="X102" s="550"/>
      <c r="Y102" s="550"/>
      <c r="Z102" s="550"/>
      <c r="AA102" s="550"/>
      <c r="AB102" s="550"/>
      <c r="AC102" s="550"/>
      <c r="AD102" s="550"/>
      <c r="AE102" s="550"/>
      <c r="AF102" s="550"/>
      <c r="AG102" s="785"/>
      <c r="AH102" s="644"/>
      <c r="AI102" s="644"/>
      <c r="AJ102" s="644"/>
      <c r="AK102" s="550"/>
      <c r="AL102" s="337"/>
      <c r="AM102" s="631"/>
      <c r="AN102" s="631"/>
      <c r="AO102" s="631"/>
      <c r="AP102" s="631"/>
      <c r="AQ102" s="631"/>
      <c r="AR102" s="631"/>
      <c r="AS102" s="631"/>
      <c r="AT102" s="631"/>
      <c r="AU102" s="631"/>
      <c r="AV102" s="631"/>
      <c r="AW102" s="631"/>
      <c r="AX102" s="631"/>
      <c r="AY102" s="631"/>
      <c r="AZ102" s="631"/>
      <c r="BA102" s="631"/>
      <c r="BB102" s="631"/>
      <c r="BC102" s="550"/>
      <c r="BD102" s="661"/>
    </row>
    <row r="103" ht="11.25" customHeight="1">
      <c r="A103" s="644"/>
      <c r="B103" s="644"/>
      <c r="C103" s="550"/>
      <c r="D103" s="337"/>
      <c r="E103" s="550"/>
      <c r="F103" s="550"/>
      <c r="G103" s="550"/>
      <c r="H103" s="550"/>
      <c r="I103" s="550"/>
      <c r="J103" s="550"/>
      <c r="K103" s="550"/>
      <c r="L103" s="550"/>
      <c r="M103" s="550"/>
      <c r="N103" s="550"/>
      <c r="O103" s="550"/>
      <c r="P103" s="550"/>
      <c r="Q103" s="550"/>
      <c r="R103" s="550"/>
      <c r="S103" s="659"/>
      <c r="T103" s="550"/>
      <c r="U103" s="550"/>
      <c r="V103" s="550"/>
      <c r="W103" s="550"/>
      <c r="X103" s="550"/>
      <c r="Y103" s="550"/>
      <c r="Z103" s="550"/>
      <c r="AA103" s="550"/>
      <c r="AB103" s="550"/>
      <c r="AC103" s="550"/>
      <c r="AD103" s="550"/>
      <c r="AE103" s="550"/>
      <c r="AF103" s="550"/>
      <c r="AG103" s="785"/>
      <c r="AH103" s="644"/>
      <c r="AI103" s="644"/>
      <c r="AJ103" s="644"/>
      <c r="AK103" s="550"/>
      <c r="AL103" s="337"/>
      <c r="AM103" s="631"/>
      <c r="AN103" s="631"/>
      <c r="AO103" s="631"/>
      <c r="AP103" s="631"/>
      <c r="AQ103" s="631"/>
      <c r="AR103" s="631"/>
      <c r="AS103" s="631"/>
      <c r="AT103" s="631"/>
      <c r="AU103" s="631"/>
      <c r="AV103" s="631"/>
      <c r="AW103" s="631"/>
      <c r="AX103" s="631"/>
      <c r="AY103" s="631"/>
      <c r="AZ103" s="631"/>
      <c r="BA103" s="631"/>
      <c r="BB103" s="631"/>
      <c r="BC103" s="550"/>
      <c r="BD103" s="661"/>
    </row>
    <row r="104" ht="11.25" customHeight="1">
      <c r="A104" s="644"/>
      <c r="B104" s="644"/>
      <c r="C104" s="550"/>
      <c r="D104" s="337"/>
      <c r="E104" s="550"/>
      <c r="F104" s="550"/>
      <c r="G104" s="550"/>
      <c r="H104" s="550"/>
      <c r="I104" s="550"/>
      <c r="J104" s="550"/>
      <c r="K104" s="550"/>
      <c r="L104" s="550"/>
      <c r="M104" s="550"/>
      <c r="N104" s="550"/>
      <c r="O104" s="550"/>
      <c r="P104" s="550"/>
      <c r="Q104" s="550"/>
      <c r="R104" s="550"/>
      <c r="S104" s="659"/>
      <c r="T104" s="550"/>
      <c r="U104" s="550"/>
      <c r="V104" s="550"/>
      <c r="W104" s="550"/>
      <c r="X104" s="550"/>
      <c r="Y104" s="550"/>
      <c r="Z104" s="550"/>
      <c r="AA104" s="550"/>
      <c r="AB104" s="550"/>
      <c r="AC104" s="550"/>
      <c r="AD104" s="550"/>
      <c r="AE104" s="550"/>
      <c r="AF104" s="550"/>
      <c r="AG104" s="785"/>
      <c r="AH104" s="644"/>
      <c r="AI104" s="644"/>
      <c r="AJ104" s="644"/>
      <c r="AK104" s="550"/>
      <c r="AL104" s="337"/>
      <c r="AM104" s="631"/>
      <c r="AN104" s="631"/>
      <c r="AO104" s="631"/>
      <c r="AP104" s="631"/>
      <c r="AQ104" s="631"/>
      <c r="AR104" s="631"/>
      <c r="AS104" s="631"/>
      <c r="AT104" s="631"/>
      <c r="AU104" s="631"/>
      <c r="AV104" s="631"/>
      <c r="AW104" s="631"/>
      <c r="AX104" s="631"/>
      <c r="AY104" s="631"/>
      <c r="AZ104" s="631"/>
      <c r="BA104" s="631"/>
      <c r="BB104" s="631"/>
      <c r="BC104" s="550"/>
      <c r="BD104" s="661"/>
    </row>
    <row r="105" ht="11.25" customHeight="1">
      <c r="A105" s="644"/>
      <c r="B105" s="644"/>
      <c r="C105" s="550"/>
      <c r="D105" s="337"/>
      <c r="E105" s="550"/>
      <c r="F105" s="550"/>
      <c r="G105" s="550"/>
      <c r="H105" s="550"/>
      <c r="I105" s="550"/>
      <c r="J105" s="550"/>
      <c r="K105" s="550"/>
      <c r="L105" s="550"/>
      <c r="M105" s="550"/>
      <c r="N105" s="550"/>
      <c r="O105" s="550"/>
      <c r="P105" s="550"/>
      <c r="Q105" s="550"/>
      <c r="R105" s="550"/>
      <c r="S105" s="659"/>
      <c r="T105" s="550"/>
      <c r="U105" s="550"/>
      <c r="V105" s="550"/>
      <c r="W105" s="550"/>
      <c r="X105" s="550"/>
      <c r="Y105" s="550"/>
      <c r="Z105" s="550"/>
      <c r="AA105" s="550"/>
      <c r="AB105" s="550"/>
      <c r="AC105" s="550"/>
      <c r="AD105" s="550"/>
      <c r="AE105" s="550"/>
      <c r="AF105" s="550"/>
      <c r="AG105" s="785"/>
      <c r="AH105" s="644"/>
      <c r="AI105" s="644"/>
      <c r="AJ105" s="644"/>
      <c r="AK105" s="550"/>
      <c r="AL105" s="337"/>
      <c r="AM105" s="631"/>
      <c r="AN105" s="631"/>
      <c r="AO105" s="631"/>
      <c r="AP105" s="631"/>
      <c r="AQ105" s="631"/>
      <c r="AR105" s="631"/>
      <c r="AS105" s="631"/>
      <c r="AT105" s="631"/>
      <c r="AU105" s="631"/>
      <c r="AV105" s="631"/>
      <c r="AW105" s="631"/>
      <c r="AX105" s="631"/>
      <c r="AY105" s="631"/>
      <c r="AZ105" s="631"/>
      <c r="BA105" s="631"/>
      <c r="BB105" s="631"/>
      <c r="BC105" s="550"/>
      <c r="BD105" s="661"/>
    </row>
    <row r="106" ht="11.25" customHeight="1">
      <c r="A106" s="644"/>
      <c r="B106" s="644"/>
      <c r="C106" s="550"/>
      <c r="D106" s="337"/>
      <c r="E106" s="550"/>
      <c r="F106" s="550"/>
      <c r="G106" s="550"/>
      <c r="H106" s="550"/>
      <c r="I106" s="550"/>
      <c r="J106" s="550"/>
      <c r="K106" s="550"/>
      <c r="L106" s="550"/>
      <c r="M106" s="550"/>
      <c r="N106" s="550"/>
      <c r="O106" s="550"/>
      <c r="P106" s="550"/>
      <c r="Q106" s="550"/>
      <c r="R106" s="550"/>
      <c r="S106" s="659"/>
      <c r="T106" s="550"/>
      <c r="U106" s="550"/>
      <c r="V106" s="550"/>
      <c r="W106" s="550"/>
      <c r="X106" s="550"/>
      <c r="Y106" s="550"/>
      <c r="Z106" s="550"/>
      <c r="AA106" s="550"/>
      <c r="AB106" s="550"/>
      <c r="AC106" s="550"/>
      <c r="AD106" s="550"/>
      <c r="AE106" s="550"/>
      <c r="AF106" s="550"/>
      <c r="AG106" s="785"/>
      <c r="AH106" s="644"/>
      <c r="AI106" s="644"/>
      <c r="AJ106" s="644"/>
      <c r="AK106" s="550"/>
      <c r="AL106" s="337"/>
      <c r="AM106" s="631"/>
      <c r="AN106" s="631"/>
      <c r="AO106" s="631"/>
      <c r="AP106" s="631"/>
      <c r="AQ106" s="631"/>
      <c r="AR106" s="631"/>
      <c r="AS106" s="631"/>
      <c r="AT106" s="631"/>
      <c r="AU106" s="631"/>
      <c r="AV106" s="631"/>
      <c r="AW106" s="631"/>
      <c r="AX106" s="631"/>
      <c r="AY106" s="631"/>
      <c r="AZ106" s="631"/>
      <c r="BA106" s="631"/>
      <c r="BB106" s="631"/>
      <c r="BC106" s="550"/>
      <c r="BD106" s="661"/>
    </row>
    <row r="107" ht="11.25" customHeight="1">
      <c r="A107" s="644"/>
      <c r="B107" s="644"/>
      <c r="C107" s="550"/>
      <c r="D107" s="337"/>
      <c r="E107" s="550"/>
      <c r="F107" s="550"/>
      <c r="G107" s="550"/>
      <c r="H107" s="550"/>
      <c r="I107" s="550"/>
      <c r="J107" s="550"/>
      <c r="K107" s="550"/>
      <c r="L107" s="550"/>
      <c r="M107" s="550"/>
      <c r="N107" s="550"/>
      <c r="O107" s="550"/>
      <c r="P107" s="550"/>
      <c r="Q107" s="550"/>
      <c r="R107" s="550"/>
      <c r="S107" s="659"/>
      <c r="T107" s="550"/>
      <c r="U107" s="550"/>
      <c r="V107" s="550"/>
      <c r="W107" s="550"/>
      <c r="X107" s="550"/>
      <c r="Y107" s="550"/>
      <c r="Z107" s="550"/>
      <c r="AA107" s="550"/>
      <c r="AB107" s="550"/>
      <c r="AC107" s="550"/>
      <c r="AD107" s="550"/>
      <c r="AE107" s="550"/>
      <c r="AF107" s="550"/>
      <c r="AG107" s="785"/>
      <c r="AH107" s="644"/>
      <c r="AI107" s="644"/>
      <c r="AJ107" s="644"/>
      <c r="AK107" s="550"/>
      <c r="AL107" s="337"/>
      <c r="AM107" s="631"/>
      <c r="AN107" s="631"/>
      <c r="AO107" s="631"/>
      <c r="AP107" s="631"/>
      <c r="AQ107" s="631"/>
      <c r="AR107" s="631"/>
      <c r="AS107" s="631"/>
      <c r="AT107" s="631"/>
      <c r="AU107" s="631"/>
      <c r="AV107" s="631"/>
      <c r="AW107" s="631"/>
      <c r="AX107" s="631"/>
      <c r="AY107" s="631"/>
      <c r="AZ107" s="631"/>
      <c r="BA107" s="631"/>
      <c r="BB107" s="631"/>
      <c r="BC107" s="550"/>
      <c r="BD107" s="661"/>
    </row>
    <row r="108" ht="11.25" customHeight="1">
      <c r="A108" s="644"/>
      <c r="B108" s="644"/>
      <c r="C108" s="550"/>
      <c r="D108" s="337"/>
      <c r="E108" s="550"/>
      <c r="F108" s="550"/>
      <c r="G108" s="550"/>
      <c r="H108" s="550"/>
      <c r="I108" s="550"/>
      <c r="J108" s="550"/>
      <c r="K108" s="550"/>
      <c r="L108" s="550"/>
      <c r="M108" s="550"/>
      <c r="N108" s="550"/>
      <c r="O108" s="550"/>
      <c r="P108" s="550"/>
      <c r="Q108" s="550"/>
      <c r="R108" s="550"/>
      <c r="S108" s="659"/>
      <c r="T108" s="550"/>
      <c r="U108" s="550"/>
      <c r="V108" s="550"/>
      <c r="W108" s="550"/>
      <c r="X108" s="550"/>
      <c r="Y108" s="550"/>
      <c r="Z108" s="550"/>
      <c r="AA108" s="550"/>
      <c r="AB108" s="550"/>
      <c r="AC108" s="550"/>
      <c r="AD108" s="550"/>
      <c r="AE108" s="550"/>
      <c r="AF108" s="550"/>
      <c r="AG108" s="785"/>
      <c r="AH108" s="644"/>
      <c r="AI108" s="644"/>
      <c r="AJ108" s="644"/>
      <c r="AK108" s="550"/>
      <c r="AL108" s="337"/>
      <c r="AM108" s="631"/>
      <c r="AN108" s="631"/>
      <c r="AO108" s="631"/>
      <c r="AP108" s="631"/>
      <c r="AQ108" s="631"/>
      <c r="AR108" s="631"/>
      <c r="AS108" s="631"/>
      <c r="AT108" s="631"/>
      <c r="AU108" s="631"/>
      <c r="AV108" s="631"/>
      <c r="AW108" s="631"/>
      <c r="AX108" s="631"/>
      <c r="AY108" s="631"/>
      <c r="AZ108" s="631"/>
      <c r="BA108" s="631"/>
      <c r="BB108" s="631"/>
      <c r="BC108" s="550"/>
      <c r="BD108" s="661"/>
    </row>
    <row r="109" ht="11.25" customHeight="1">
      <c r="A109" s="644"/>
      <c r="B109" s="644"/>
      <c r="C109" s="550"/>
      <c r="D109" s="337"/>
      <c r="E109" s="550"/>
      <c r="F109" s="550"/>
      <c r="G109" s="550"/>
      <c r="H109" s="550"/>
      <c r="I109" s="550"/>
      <c r="J109" s="550"/>
      <c r="K109" s="550"/>
      <c r="L109" s="550"/>
      <c r="M109" s="550"/>
      <c r="N109" s="550"/>
      <c r="O109" s="550"/>
      <c r="P109" s="550"/>
      <c r="Q109" s="550"/>
      <c r="R109" s="550"/>
      <c r="S109" s="659"/>
      <c r="T109" s="550"/>
      <c r="U109" s="550"/>
      <c r="V109" s="550"/>
      <c r="W109" s="550"/>
      <c r="X109" s="550"/>
      <c r="Y109" s="550"/>
      <c r="Z109" s="550"/>
      <c r="AA109" s="550"/>
      <c r="AB109" s="550"/>
      <c r="AC109" s="550"/>
      <c r="AD109" s="550"/>
      <c r="AE109" s="550"/>
      <c r="AF109" s="550"/>
      <c r="AG109" s="785"/>
      <c r="AH109" s="644"/>
      <c r="AI109" s="644"/>
      <c r="AJ109" s="644"/>
      <c r="AK109" s="550"/>
      <c r="AL109" s="337"/>
      <c r="AM109" s="631"/>
      <c r="AN109" s="631"/>
      <c r="AO109" s="631"/>
      <c r="AP109" s="631"/>
      <c r="AQ109" s="631"/>
      <c r="AR109" s="631"/>
      <c r="AS109" s="631"/>
      <c r="AT109" s="631"/>
      <c r="AU109" s="631"/>
      <c r="AV109" s="631"/>
      <c r="AW109" s="631"/>
      <c r="AX109" s="631"/>
      <c r="AY109" s="631"/>
      <c r="AZ109" s="631"/>
      <c r="BA109" s="631"/>
      <c r="BB109" s="631"/>
      <c r="BC109" s="550"/>
      <c r="BD109" s="661"/>
    </row>
    <row r="110" ht="11.25" customHeight="1">
      <c r="A110" s="644"/>
      <c r="B110" s="644"/>
      <c r="C110" s="550"/>
      <c r="D110" s="337"/>
      <c r="E110" s="550"/>
      <c r="F110" s="550"/>
      <c r="G110" s="550"/>
      <c r="H110" s="550"/>
      <c r="I110" s="550"/>
      <c r="J110" s="550"/>
      <c r="K110" s="550"/>
      <c r="L110" s="550"/>
      <c r="M110" s="550"/>
      <c r="N110" s="550"/>
      <c r="O110" s="550"/>
      <c r="P110" s="550"/>
      <c r="Q110" s="550"/>
      <c r="R110" s="550"/>
      <c r="S110" s="659"/>
      <c r="T110" s="550"/>
      <c r="U110" s="550"/>
      <c r="V110" s="550"/>
      <c r="W110" s="550"/>
      <c r="X110" s="550"/>
      <c r="Y110" s="550"/>
      <c r="Z110" s="550"/>
      <c r="AA110" s="550"/>
      <c r="AB110" s="550"/>
      <c r="AC110" s="550"/>
      <c r="AD110" s="550"/>
      <c r="AE110" s="550"/>
      <c r="AF110" s="550"/>
      <c r="AG110" s="785"/>
      <c r="AH110" s="644"/>
      <c r="AI110" s="644"/>
      <c r="AJ110" s="644"/>
      <c r="AK110" s="550"/>
      <c r="AL110" s="337"/>
      <c r="AM110" s="631"/>
      <c r="AN110" s="631"/>
      <c r="AO110" s="631"/>
      <c r="AP110" s="631"/>
      <c r="AQ110" s="631"/>
      <c r="AR110" s="631"/>
      <c r="AS110" s="631"/>
      <c r="AT110" s="631"/>
      <c r="AU110" s="631"/>
      <c r="AV110" s="631"/>
      <c r="AW110" s="631"/>
      <c r="AX110" s="631"/>
      <c r="AY110" s="631"/>
      <c r="AZ110" s="631"/>
      <c r="BA110" s="631"/>
      <c r="BB110" s="631"/>
      <c r="BC110" s="550"/>
      <c r="BD110" s="661"/>
    </row>
    <row r="111" ht="11.25" customHeight="1">
      <c r="A111" s="644"/>
      <c r="B111" s="644"/>
      <c r="C111" s="550"/>
      <c r="D111" s="337"/>
      <c r="E111" s="550"/>
      <c r="F111" s="550"/>
      <c r="G111" s="550"/>
      <c r="H111" s="550"/>
      <c r="I111" s="550"/>
      <c r="J111" s="550"/>
      <c r="K111" s="550"/>
      <c r="L111" s="550"/>
      <c r="M111" s="550"/>
      <c r="N111" s="550"/>
      <c r="O111" s="550"/>
      <c r="P111" s="550"/>
      <c r="Q111" s="550"/>
      <c r="R111" s="550"/>
      <c r="S111" s="659"/>
      <c r="T111" s="550"/>
      <c r="U111" s="550"/>
      <c r="V111" s="550"/>
      <c r="W111" s="550"/>
      <c r="X111" s="550"/>
      <c r="Y111" s="550"/>
      <c r="Z111" s="550"/>
      <c r="AA111" s="550"/>
      <c r="AB111" s="550"/>
      <c r="AC111" s="550"/>
      <c r="AD111" s="550"/>
      <c r="AE111" s="550"/>
      <c r="AF111" s="550"/>
      <c r="AG111" s="785"/>
      <c r="AH111" s="644"/>
      <c r="AI111" s="644"/>
      <c r="AJ111" s="644"/>
      <c r="AK111" s="550"/>
      <c r="AL111" s="337"/>
      <c r="AM111" s="631"/>
      <c r="AN111" s="631"/>
      <c r="AO111" s="631"/>
      <c r="AP111" s="631"/>
      <c r="AQ111" s="631"/>
      <c r="AR111" s="631"/>
      <c r="AS111" s="631"/>
      <c r="AT111" s="631"/>
      <c r="AU111" s="631"/>
      <c r="AV111" s="631"/>
      <c r="AW111" s="631"/>
      <c r="AX111" s="631"/>
      <c r="AY111" s="631"/>
      <c r="AZ111" s="631"/>
      <c r="BA111" s="631"/>
      <c r="BB111" s="631"/>
      <c r="BC111" s="550"/>
      <c r="BD111" s="661"/>
    </row>
    <row r="112" ht="11.25" customHeight="1">
      <c r="A112" s="644"/>
      <c r="B112" s="644"/>
      <c r="C112" s="550"/>
      <c r="D112" s="337"/>
      <c r="E112" s="550"/>
      <c r="F112" s="550"/>
      <c r="G112" s="550"/>
      <c r="H112" s="550"/>
      <c r="I112" s="550"/>
      <c r="J112" s="550"/>
      <c r="K112" s="550"/>
      <c r="L112" s="550"/>
      <c r="M112" s="550"/>
      <c r="N112" s="550"/>
      <c r="O112" s="550"/>
      <c r="P112" s="550"/>
      <c r="Q112" s="550"/>
      <c r="R112" s="550"/>
      <c r="S112" s="659"/>
      <c r="T112" s="550"/>
      <c r="U112" s="550"/>
      <c r="V112" s="550"/>
      <c r="W112" s="550"/>
      <c r="X112" s="550"/>
      <c r="Y112" s="550"/>
      <c r="Z112" s="550"/>
      <c r="AA112" s="550"/>
      <c r="AB112" s="550"/>
      <c r="AC112" s="550"/>
      <c r="AD112" s="550"/>
      <c r="AE112" s="550"/>
      <c r="AF112" s="550"/>
      <c r="AG112" s="785"/>
      <c r="AH112" s="644"/>
      <c r="AI112" s="644"/>
      <c r="AJ112" s="644"/>
      <c r="AK112" s="550"/>
      <c r="AL112" s="337"/>
      <c r="AM112" s="631"/>
      <c r="AN112" s="631"/>
      <c r="AO112" s="631"/>
      <c r="AP112" s="631"/>
      <c r="AQ112" s="631"/>
      <c r="AR112" s="631"/>
      <c r="AS112" s="631"/>
      <c r="AT112" s="631"/>
      <c r="AU112" s="631"/>
      <c r="AV112" s="631"/>
      <c r="AW112" s="631"/>
      <c r="AX112" s="631"/>
      <c r="AY112" s="631"/>
      <c r="AZ112" s="631"/>
      <c r="BA112" s="631"/>
      <c r="BB112" s="631"/>
      <c r="BC112" s="550"/>
      <c r="BD112" s="661"/>
    </row>
    <row r="113" ht="11.25" customHeight="1">
      <c r="A113" s="644"/>
      <c r="B113" s="644"/>
      <c r="C113" s="550"/>
      <c r="D113" s="337"/>
      <c r="E113" s="550"/>
      <c r="F113" s="550"/>
      <c r="G113" s="550"/>
      <c r="H113" s="550"/>
      <c r="I113" s="550"/>
      <c r="J113" s="550"/>
      <c r="K113" s="550"/>
      <c r="L113" s="550"/>
      <c r="M113" s="550"/>
      <c r="N113" s="550"/>
      <c r="O113" s="550"/>
      <c r="P113" s="550"/>
      <c r="Q113" s="550"/>
      <c r="R113" s="550"/>
      <c r="S113" s="659"/>
      <c r="T113" s="550"/>
      <c r="U113" s="550"/>
      <c r="V113" s="550"/>
      <c r="W113" s="550"/>
      <c r="X113" s="550"/>
      <c r="Y113" s="550"/>
      <c r="Z113" s="550"/>
      <c r="AA113" s="550"/>
      <c r="AB113" s="550"/>
      <c r="AC113" s="550"/>
      <c r="AD113" s="550"/>
      <c r="AE113" s="550"/>
      <c r="AF113" s="550"/>
      <c r="AG113" s="785"/>
      <c r="AH113" s="644"/>
      <c r="AI113" s="644"/>
      <c r="AJ113" s="644"/>
      <c r="AK113" s="550"/>
      <c r="AL113" s="337"/>
      <c r="AM113" s="631"/>
      <c r="AN113" s="631"/>
      <c r="AO113" s="631"/>
      <c r="AP113" s="631"/>
      <c r="AQ113" s="631"/>
      <c r="AR113" s="631"/>
      <c r="AS113" s="631"/>
      <c r="AT113" s="631"/>
      <c r="AU113" s="631"/>
      <c r="AV113" s="631"/>
      <c r="AW113" s="631"/>
      <c r="AX113" s="631"/>
      <c r="AY113" s="631"/>
      <c r="AZ113" s="631"/>
      <c r="BA113" s="631"/>
      <c r="BB113" s="631"/>
      <c r="BC113" s="550"/>
      <c r="BD113" s="661"/>
    </row>
    <row r="114" ht="11.25" customHeight="1">
      <c r="A114" s="644"/>
      <c r="B114" s="644"/>
      <c r="C114" s="550"/>
      <c r="D114" s="337"/>
      <c r="E114" s="550"/>
      <c r="F114" s="550"/>
      <c r="G114" s="550"/>
      <c r="H114" s="550"/>
      <c r="I114" s="550"/>
      <c r="J114" s="550"/>
      <c r="K114" s="550"/>
      <c r="L114" s="550"/>
      <c r="M114" s="550"/>
      <c r="N114" s="550"/>
      <c r="O114" s="550"/>
      <c r="P114" s="550"/>
      <c r="Q114" s="550"/>
      <c r="R114" s="550"/>
      <c r="S114" s="659"/>
      <c r="T114" s="550"/>
      <c r="U114" s="550"/>
      <c r="V114" s="550"/>
      <c r="W114" s="550"/>
      <c r="X114" s="550"/>
      <c r="Y114" s="550"/>
      <c r="Z114" s="550"/>
      <c r="AA114" s="550"/>
      <c r="AB114" s="550"/>
      <c r="AC114" s="550"/>
      <c r="AD114" s="550"/>
      <c r="AE114" s="550"/>
      <c r="AF114" s="550"/>
      <c r="AG114" s="785"/>
      <c r="AH114" s="644"/>
      <c r="AI114" s="644"/>
      <c r="AJ114" s="644"/>
      <c r="AK114" s="550"/>
      <c r="AL114" s="337"/>
      <c r="AM114" s="631"/>
      <c r="AN114" s="631"/>
      <c r="AO114" s="631"/>
      <c r="AP114" s="631"/>
      <c r="AQ114" s="631"/>
      <c r="AR114" s="631"/>
      <c r="AS114" s="631"/>
      <c r="AT114" s="631"/>
      <c r="AU114" s="631"/>
      <c r="AV114" s="631"/>
      <c r="AW114" s="631"/>
      <c r="AX114" s="631"/>
      <c r="AY114" s="631"/>
      <c r="AZ114" s="631"/>
      <c r="BA114" s="631"/>
      <c r="BB114" s="631"/>
      <c r="BC114" s="550"/>
      <c r="BD114" s="661"/>
    </row>
    <row r="115" ht="11.25" customHeight="1">
      <c r="A115" s="644"/>
      <c r="B115" s="644"/>
      <c r="C115" s="550"/>
      <c r="D115" s="337"/>
      <c r="E115" s="550"/>
      <c r="F115" s="550"/>
      <c r="G115" s="550"/>
      <c r="H115" s="550"/>
      <c r="I115" s="550"/>
      <c r="J115" s="550"/>
      <c r="K115" s="550"/>
      <c r="L115" s="550"/>
      <c r="M115" s="550"/>
      <c r="N115" s="550"/>
      <c r="O115" s="550"/>
      <c r="P115" s="550"/>
      <c r="Q115" s="550"/>
      <c r="R115" s="550"/>
      <c r="S115" s="659"/>
      <c r="T115" s="550"/>
      <c r="U115" s="550"/>
      <c r="V115" s="550"/>
      <c r="W115" s="550"/>
      <c r="X115" s="550"/>
      <c r="Y115" s="550"/>
      <c r="Z115" s="550"/>
      <c r="AA115" s="550"/>
      <c r="AB115" s="550"/>
      <c r="AC115" s="550"/>
      <c r="AD115" s="550"/>
      <c r="AE115" s="550"/>
      <c r="AF115" s="550"/>
      <c r="AG115" s="785"/>
      <c r="AH115" s="644"/>
      <c r="AI115" s="644"/>
      <c r="AJ115" s="644"/>
      <c r="AK115" s="550"/>
      <c r="AL115" s="337"/>
      <c r="AM115" s="631"/>
      <c r="AN115" s="631"/>
      <c r="AO115" s="631"/>
      <c r="AP115" s="631"/>
      <c r="AQ115" s="631"/>
      <c r="AR115" s="631"/>
      <c r="AS115" s="631"/>
      <c r="AT115" s="631"/>
      <c r="AU115" s="631"/>
      <c r="AV115" s="631"/>
      <c r="AW115" s="631"/>
      <c r="AX115" s="631"/>
      <c r="AY115" s="631"/>
      <c r="AZ115" s="631"/>
      <c r="BA115" s="631"/>
      <c r="BB115" s="631"/>
      <c r="BC115" s="550"/>
      <c r="BD115" s="661"/>
    </row>
    <row r="116" ht="11.25" customHeight="1">
      <c r="A116" s="644"/>
      <c r="B116" s="644"/>
      <c r="C116" s="550"/>
      <c r="D116" s="337"/>
      <c r="E116" s="550"/>
      <c r="F116" s="550"/>
      <c r="G116" s="550"/>
      <c r="H116" s="550"/>
      <c r="I116" s="550"/>
      <c r="J116" s="550"/>
      <c r="K116" s="550"/>
      <c r="L116" s="550"/>
      <c r="M116" s="550"/>
      <c r="N116" s="550"/>
      <c r="O116" s="550"/>
      <c r="P116" s="550"/>
      <c r="Q116" s="550"/>
      <c r="R116" s="550"/>
      <c r="S116" s="659"/>
      <c r="T116" s="550"/>
      <c r="U116" s="550"/>
      <c r="V116" s="550"/>
      <c r="W116" s="550"/>
      <c r="X116" s="550"/>
      <c r="Y116" s="550"/>
      <c r="Z116" s="550"/>
      <c r="AA116" s="550"/>
      <c r="AB116" s="550"/>
      <c r="AC116" s="550"/>
      <c r="AD116" s="550"/>
      <c r="AE116" s="550"/>
      <c r="AF116" s="550"/>
      <c r="AG116" s="785"/>
      <c r="AH116" s="644"/>
      <c r="AI116" s="644"/>
      <c r="AJ116" s="644"/>
      <c r="AK116" s="550"/>
      <c r="AL116" s="337"/>
      <c r="AM116" s="631"/>
      <c r="AN116" s="631"/>
      <c r="AO116" s="631"/>
      <c r="AP116" s="631"/>
      <c r="AQ116" s="631"/>
      <c r="AR116" s="631"/>
      <c r="AS116" s="631"/>
      <c r="AT116" s="631"/>
      <c r="AU116" s="631"/>
      <c r="AV116" s="631"/>
      <c r="AW116" s="631"/>
      <c r="AX116" s="631"/>
      <c r="AY116" s="631"/>
      <c r="AZ116" s="631"/>
      <c r="BA116" s="631"/>
      <c r="BB116" s="631"/>
      <c r="BC116" s="550"/>
      <c r="BD116" s="661"/>
    </row>
    <row r="117" ht="11.25" customHeight="1">
      <c r="A117" s="644"/>
      <c r="B117" s="644"/>
      <c r="C117" s="550"/>
      <c r="D117" s="337"/>
      <c r="E117" s="550"/>
      <c r="F117" s="550"/>
      <c r="G117" s="550"/>
      <c r="H117" s="550"/>
      <c r="I117" s="550"/>
      <c r="J117" s="550"/>
      <c r="K117" s="550"/>
      <c r="L117" s="550"/>
      <c r="M117" s="550"/>
      <c r="N117" s="550"/>
      <c r="O117" s="550"/>
      <c r="P117" s="550"/>
      <c r="Q117" s="550"/>
      <c r="R117" s="550"/>
      <c r="S117" s="659"/>
      <c r="T117" s="550"/>
      <c r="U117" s="550"/>
      <c r="V117" s="550"/>
      <c r="W117" s="550"/>
      <c r="X117" s="550"/>
      <c r="Y117" s="550"/>
      <c r="Z117" s="550"/>
      <c r="AA117" s="550"/>
      <c r="AB117" s="550"/>
      <c r="AC117" s="550"/>
      <c r="AD117" s="550"/>
      <c r="AE117" s="550"/>
      <c r="AF117" s="550"/>
      <c r="AG117" s="785"/>
      <c r="AH117" s="644"/>
      <c r="AI117" s="644"/>
      <c r="AJ117" s="644"/>
      <c r="AK117" s="550"/>
      <c r="AL117" s="337"/>
      <c r="AM117" s="631"/>
      <c r="AN117" s="631"/>
      <c r="AO117" s="631"/>
      <c r="AP117" s="631"/>
      <c r="AQ117" s="631"/>
      <c r="AR117" s="631"/>
      <c r="AS117" s="631"/>
      <c r="AT117" s="631"/>
      <c r="AU117" s="631"/>
      <c r="AV117" s="631"/>
      <c r="AW117" s="631"/>
      <c r="AX117" s="631"/>
      <c r="AY117" s="631"/>
      <c r="AZ117" s="631"/>
      <c r="BA117" s="631"/>
      <c r="BB117" s="631"/>
      <c r="BC117" s="550"/>
      <c r="BD117" s="661"/>
    </row>
    <row r="118" ht="11.25" customHeight="1">
      <c r="A118" s="644"/>
      <c r="B118" s="644"/>
      <c r="C118" s="550"/>
      <c r="D118" s="337"/>
      <c r="E118" s="550"/>
      <c r="F118" s="550"/>
      <c r="G118" s="550"/>
      <c r="H118" s="550"/>
      <c r="I118" s="550"/>
      <c r="J118" s="550"/>
      <c r="K118" s="550"/>
      <c r="L118" s="550"/>
      <c r="M118" s="550"/>
      <c r="N118" s="550"/>
      <c r="O118" s="550"/>
      <c r="P118" s="550"/>
      <c r="Q118" s="550"/>
      <c r="R118" s="550"/>
      <c r="S118" s="659"/>
      <c r="T118" s="550"/>
      <c r="U118" s="550"/>
      <c r="V118" s="550"/>
      <c r="W118" s="550"/>
      <c r="X118" s="550"/>
      <c r="Y118" s="550"/>
      <c r="Z118" s="550"/>
      <c r="AA118" s="550"/>
      <c r="AB118" s="550"/>
      <c r="AC118" s="550"/>
      <c r="AD118" s="550"/>
      <c r="AE118" s="550"/>
      <c r="AF118" s="550"/>
      <c r="AG118" s="785"/>
      <c r="AH118" s="644"/>
      <c r="AI118" s="644"/>
      <c r="AJ118" s="644"/>
      <c r="AK118" s="550"/>
      <c r="AL118" s="337"/>
      <c r="AM118" s="631"/>
      <c r="AN118" s="631"/>
      <c r="AO118" s="631"/>
      <c r="AP118" s="631"/>
      <c r="AQ118" s="631"/>
      <c r="AR118" s="631"/>
      <c r="AS118" s="631"/>
      <c r="AT118" s="631"/>
      <c r="AU118" s="631"/>
      <c r="AV118" s="631"/>
      <c r="AW118" s="631"/>
      <c r="AX118" s="631"/>
      <c r="AY118" s="631"/>
      <c r="AZ118" s="631"/>
      <c r="BA118" s="631"/>
      <c r="BB118" s="631"/>
      <c r="BC118" s="550"/>
      <c r="BD118" s="661"/>
    </row>
    <row r="119" ht="11.25" customHeight="1">
      <c r="A119" s="644"/>
      <c r="B119" s="644"/>
      <c r="C119" s="550"/>
      <c r="D119" s="337"/>
      <c r="E119" s="550"/>
      <c r="F119" s="550"/>
      <c r="G119" s="550"/>
      <c r="H119" s="550"/>
      <c r="I119" s="550"/>
      <c r="J119" s="550"/>
      <c r="K119" s="550"/>
      <c r="L119" s="550"/>
      <c r="M119" s="550"/>
      <c r="N119" s="550"/>
      <c r="O119" s="550"/>
      <c r="P119" s="550"/>
      <c r="Q119" s="550"/>
      <c r="R119" s="550"/>
      <c r="S119" s="659"/>
      <c r="T119" s="550"/>
      <c r="U119" s="550"/>
      <c r="V119" s="550"/>
      <c r="W119" s="550"/>
      <c r="X119" s="550"/>
      <c r="Y119" s="550"/>
      <c r="Z119" s="550"/>
      <c r="AA119" s="550"/>
      <c r="AB119" s="550"/>
      <c r="AC119" s="550"/>
      <c r="AD119" s="550"/>
      <c r="AE119" s="550"/>
      <c r="AF119" s="550"/>
      <c r="AG119" s="785"/>
      <c r="AH119" s="644"/>
      <c r="AI119" s="644"/>
      <c r="AJ119" s="644"/>
      <c r="AK119" s="550"/>
      <c r="AL119" s="337"/>
      <c r="AM119" s="631"/>
      <c r="AN119" s="631"/>
      <c r="AO119" s="631"/>
      <c r="AP119" s="631"/>
      <c r="AQ119" s="631"/>
      <c r="AR119" s="631"/>
      <c r="AS119" s="631"/>
      <c r="AT119" s="631"/>
      <c r="AU119" s="631"/>
      <c r="AV119" s="631"/>
      <c r="AW119" s="631"/>
      <c r="AX119" s="631"/>
      <c r="AY119" s="631"/>
      <c r="AZ119" s="631"/>
      <c r="BA119" s="631"/>
      <c r="BB119" s="631"/>
      <c r="BC119" s="550"/>
      <c r="BD119" s="661"/>
    </row>
    <row r="120" ht="11.25" customHeight="1">
      <c r="A120" s="644"/>
      <c r="B120" s="644"/>
      <c r="C120" s="550"/>
      <c r="D120" s="337"/>
      <c r="E120" s="550"/>
      <c r="F120" s="550"/>
      <c r="G120" s="550"/>
      <c r="H120" s="550"/>
      <c r="I120" s="550"/>
      <c r="J120" s="550"/>
      <c r="K120" s="550"/>
      <c r="L120" s="550"/>
      <c r="M120" s="550"/>
      <c r="N120" s="550"/>
      <c r="O120" s="550"/>
      <c r="P120" s="550"/>
      <c r="Q120" s="550"/>
      <c r="R120" s="550"/>
      <c r="S120" s="659"/>
      <c r="T120" s="550"/>
      <c r="U120" s="550"/>
      <c r="V120" s="550"/>
      <c r="W120" s="550"/>
      <c r="X120" s="550"/>
      <c r="Y120" s="550"/>
      <c r="Z120" s="550"/>
      <c r="AA120" s="550"/>
      <c r="AB120" s="550"/>
      <c r="AC120" s="550"/>
      <c r="AD120" s="550"/>
      <c r="AE120" s="550"/>
      <c r="AF120" s="550"/>
      <c r="AG120" s="785"/>
      <c r="AH120" s="644"/>
      <c r="AI120" s="644"/>
      <c r="AJ120" s="644"/>
      <c r="AK120" s="550"/>
      <c r="AL120" s="337"/>
      <c r="AM120" s="631"/>
      <c r="AN120" s="631"/>
      <c r="AO120" s="631"/>
      <c r="AP120" s="631"/>
      <c r="AQ120" s="631"/>
      <c r="AR120" s="631"/>
      <c r="AS120" s="631"/>
      <c r="AT120" s="631"/>
      <c r="AU120" s="631"/>
      <c r="AV120" s="631"/>
      <c r="AW120" s="631"/>
      <c r="AX120" s="631"/>
      <c r="AY120" s="631"/>
      <c r="AZ120" s="631"/>
      <c r="BA120" s="631"/>
      <c r="BB120" s="631"/>
      <c r="BC120" s="550"/>
      <c r="BD120" s="661"/>
    </row>
    <row r="121" ht="11.25" customHeight="1">
      <c r="A121" s="644"/>
      <c r="B121" s="644"/>
      <c r="C121" s="550"/>
      <c r="D121" s="337"/>
      <c r="E121" s="550"/>
      <c r="F121" s="550"/>
      <c r="G121" s="550"/>
      <c r="H121" s="550"/>
      <c r="I121" s="550"/>
      <c r="J121" s="550"/>
      <c r="K121" s="550"/>
      <c r="L121" s="550"/>
      <c r="M121" s="550"/>
      <c r="N121" s="550"/>
      <c r="O121" s="550"/>
      <c r="P121" s="550"/>
      <c r="Q121" s="550"/>
      <c r="R121" s="550"/>
      <c r="S121" s="659"/>
      <c r="T121" s="550"/>
      <c r="U121" s="550"/>
      <c r="V121" s="550"/>
      <c r="W121" s="550"/>
      <c r="X121" s="550"/>
      <c r="Y121" s="550"/>
      <c r="Z121" s="550"/>
      <c r="AA121" s="550"/>
      <c r="AB121" s="550"/>
      <c r="AC121" s="550"/>
      <c r="AD121" s="550"/>
      <c r="AE121" s="550"/>
      <c r="AF121" s="550"/>
      <c r="AG121" s="785"/>
      <c r="AH121" s="644"/>
      <c r="AI121" s="644"/>
      <c r="AJ121" s="644"/>
      <c r="AK121" s="550"/>
      <c r="AL121" s="337"/>
      <c r="AM121" s="631"/>
      <c r="AN121" s="631"/>
      <c r="AO121" s="631"/>
      <c r="AP121" s="631"/>
      <c r="AQ121" s="631"/>
      <c r="AR121" s="631"/>
      <c r="AS121" s="631"/>
      <c r="AT121" s="631"/>
      <c r="AU121" s="631"/>
      <c r="AV121" s="631"/>
      <c r="AW121" s="631"/>
      <c r="AX121" s="631"/>
      <c r="AY121" s="631"/>
      <c r="AZ121" s="631"/>
      <c r="BA121" s="631"/>
      <c r="BB121" s="631"/>
      <c r="BC121" s="550"/>
      <c r="BD121" s="661"/>
    </row>
    <row r="122" ht="11.25" customHeight="1">
      <c r="A122" s="644"/>
      <c r="B122" s="644"/>
      <c r="C122" s="550"/>
      <c r="D122" s="337"/>
      <c r="E122" s="550"/>
      <c r="F122" s="550"/>
      <c r="G122" s="550"/>
      <c r="H122" s="550"/>
      <c r="I122" s="550"/>
      <c r="J122" s="550"/>
      <c r="K122" s="550"/>
      <c r="L122" s="550"/>
      <c r="M122" s="550"/>
      <c r="N122" s="550"/>
      <c r="O122" s="550"/>
      <c r="P122" s="550"/>
      <c r="Q122" s="550"/>
      <c r="R122" s="550"/>
      <c r="S122" s="659"/>
      <c r="T122" s="550"/>
      <c r="U122" s="550"/>
      <c r="V122" s="550"/>
      <c r="W122" s="550"/>
      <c r="X122" s="550"/>
      <c r="Y122" s="550"/>
      <c r="Z122" s="550"/>
      <c r="AA122" s="550"/>
      <c r="AB122" s="550"/>
      <c r="AC122" s="550"/>
      <c r="AD122" s="550"/>
      <c r="AE122" s="550"/>
      <c r="AF122" s="550"/>
      <c r="AG122" s="785"/>
      <c r="AH122" s="644"/>
      <c r="AI122" s="644"/>
      <c r="AJ122" s="644"/>
      <c r="AK122" s="550"/>
      <c r="AL122" s="337"/>
      <c r="AM122" s="631"/>
      <c r="AN122" s="631"/>
      <c r="AO122" s="631"/>
      <c r="AP122" s="631"/>
      <c r="AQ122" s="631"/>
      <c r="AR122" s="631"/>
      <c r="AS122" s="631"/>
      <c r="AT122" s="631"/>
      <c r="AU122" s="631"/>
      <c r="AV122" s="631"/>
      <c r="AW122" s="631"/>
      <c r="AX122" s="631"/>
      <c r="AY122" s="631"/>
      <c r="AZ122" s="631"/>
      <c r="BA122" s="631"/>
      <c r="BB122" s="631"/>
      <c r="BC122" s="550"/>
      <c r="BD122" s="661"/>
    </row>
    <row r="123" ht="11.25" customHeight="1">
      <c r="A123" s="644"/>
      <c r="B123" s="644"/>
      <c r="C123" s="550"/>
      <c r="D123" s="337"/>
      <c r="E123" s="550"/>
      <c r="F123" s="550"/>
      <c r="G123" s="550"/>
      <c r="H123" s="550"/>
      <c r="I123" s="550"/>
      <c r="J123" s="550"/>
      <c r="K123" s="550"/>
      <c r="L123" s="550"/>
      <c r="M123" s="550"/>
      <c r="N123" s="550"/>
      <c r="O123" s="550"/>
      <c r="P123" s="550"/>
      <c r="Q123" s="550"/>
      <c r="R123" s="550"/>
      <c r="S123" s="659"/>
      <c r="T123" s="550"/>
      <c r="U123" s="550"/>
      <c r="V123" s="550"/>
      <c r="W123" s="550"/>
      <c r="X123" s="550"/>
      <c r="Y123" s="550"/>
      <c r="Z123" s="550"/>
      <c r="AA123" s="550"/>
      <c r="AB123" s="550"/>
      <c r="AC123" s="550"/>
      <c r="AD123" s="550"/>
      <c r="AE123" s="550"/>
      <c r="AF123" s="550"/>
      <c r="AG123" s="785"/>
      <c r="AH123" s="644"/>
      <c r="AI123" s="644"/>
      <c r="AJ123" s="644"/>
      <c r="AK123" s="550"/>
      <c r="AL123" s="337"/>
      <c r="AM123" s="631"/>
      <c r="AN123" s="631"/>
      <c r="AO123" s="631"/>
      <c r="AP123" s="631"/>
      <c r="AQ123" s="631"/>
      <c r="AR123" s="631"/>
      <c r="AS123" s="631"/>
      <c r="AT123" s="631"/>
      <c r="AU123" s="631"/>
      <c r="AV123" s="631"/>
      <c r="AW123" s="631"/>
      <c r="AX123" s="631"/>
      <c r="AY123" s="631"/>
      <c r="AZ123" s="631"/>
      <c r="BA123" s="631"/>
      <c r="BB123" s="631"/>
      <c r="BC123" s="550"/>
      <c r="BD123" s="661"/>
    </row>
    <row r="124" ht="11.25" customHeight="1">
      <c r="A124" s="644"/>
      <c r="B124" s="644"/>
      <c r="C124" s="550"/>
      <c r="D124" s="337"/>
      <c r="E124" s="550"/>
      <c r="F124" s="550"/>
      <c r="G124" s="550"/>
      <c r="H124" s="550"/>
      <c r="I124" s="550"/>
      <c r="J124" s="550"/>
      <c r="K124" s="550"/>
      <c r="L124" s="550"/>
      <c r="M124" s="550"/>
      <c r="N124" s="550"/>
      <c r="O124" s="550"/>
      <c r="P124" s="550"/>
      <c r="Q124" s="550"/>
      <c r="R124" s="550"/>
      <c r="S124" s="659"/>
      <c r="T124" s="550"/>
      <c r="U124" s="550"/>
      <c r="V124" s="550"/>
      <c r="W124" s="550"/>
      <c r="X124" s="550"/>
      <c r="Y124" s="550"/>
      <c r="Z124" s="550"/>
      <c r="AA124" s="550"/>
      <c r="AB124" s="550"/>
      <c r="AC124" s="550"/>
      <c r="AD124" s="550"/>
      <c r="AE124" s="550"/>
      <c r="AF124" s="550"/>
      <c r="AG124" s="785"/>
      <c r="AH124" s="644"/>
      <c r="AI124" s="644"/>
      <c r="AJ124" s="644"/>
      <c r="AK124" s="550"/>
      <c r="AL124" s="337"/>
      <c r="AM124" s="631"/>
      <c r="AN124" s="631"/>
      <c r="AO124" s="631"/>
      <c r="AP124" s="631"/>
      <c r="AQ124" s="631"/>
      <c r="AR124" s="631"/>
      <c r="AS124" s="631"/>
      <c r="AT124" s="631"/>
      <c r="AU124" s="631"/>
      <c r="AV124" s="631"/>
      <c r="AW124" s="631"/>
      <c r="AX124" s="631"/>
      <c r="AY124" s="631"/>
      <c r="AZ124" s="631"/>
      <c r="BA124" s="631"/>
      <c r="BB124" s="631"/>
      <c r="BC124" s="550"/>
      <c r="BD124" s="661"/>
    </row>
    <row r="125" ht="11.25" customHeight="1">
      <c r="A125" s="644"/>
      <c r="B125" s="644"/>
      <c r="C125" s="550"/>
      <c r="D125" s="337"/>
      <c r="E125" s="550"/>
      <c r="F125" s="550"/>
      <c r="G125" s="550"/>
      <c r="H125" s="550"/>
      <c r="I125" s="550"/>
      <c r="J125" s="550"/>
      <c r="K125" s="550"/>
      <c r="L125" s="550"/>
      <c r="M125" s="550"/>
      <c r="N125" s="550"/>
      <c r="O125" s="550"/>
      <c r="P125" s="550"/>
      <c r="Q125" s="550"/>
      <c r="R125" s="550"/>
      <c r="S125" s="659"/>
      <c r="T125" s="550"/>
      <c r="U125" s="550"/>
      <c r="V125" s="550"/>
      <c r="W125" s="550"/>
      <c r="X125" s="550"/>
      <c r="Y125" s="550"/>
      <c r="Z125" s="550"/>
      <c r="AA125" s="550"/>
      <c r="AB125" s="550"/>
      <c r="AC125" s="550"/>
      <c r="AD125" s="550"/>
      <c r="AE125" s="550"/>
      <c r="AF125" s="550"/>
      <c r="AG125" s="785"/>
      <c r="AH125" s="644"/>
      <c r="AI125" s="644"/>
      <c r="AJ125" s="644"/>
      <c r="AK125" s="550"/>
      <c r="AL125" s="337"/>
      <c r="AM125" s="631"/>
      <c r="AN125" s="631"/>
      <c r="AO125" s="631"/>
      <c r="AP125" s="631"/>
      <c r="AQ125" s="631"/>
      <c r="AR125" s="631"/>
      <c r="AS125" s="631"/>
      <c r="AT125" s="631"/>
      <c r="AU125" s="631"/>
      <c r="AV125" s="631"/>
      <c r="AW125" s="631"/>
      <c r="AX125" s="631"/>
      <c r="AY125" s="631"/>
      <c r="AZ125" s="631"/>
      <c r="BA125" s="631"/>
      <c r="BB125" s="631"/>
      <c r="BC125" s="550"/>
      <c r="BD125" s="661"/>
    </row>
    <row r="126" ht="11.25" customHeight="1">
      <c r="A126" s="644"/>
      <c r="B126" s="644"/>
      <c r="C126" s="550"/>
      <c r="D126" s="337"/>
      <c r="E126" s="550"/>
      <c r="F126" s="550"/>
      <c r="G126" s="550"/>
      <c r="H126" s="550"/>
      <c r="I126" s="550"/>
      <c r="J126" s="550"/>
      <c r="K126" s="550"/>
      <c r="L126" s="550"/>
      <c r="M126" s="550"/>
      <c r="N126" s="550"/>
      <c r="O126" s="550"/>
      <c r="P126" s="550"/>
      <c r="Q126" s="550"/>
      <c r="R126" s="550"/>
      <c r="S126" s="659"/>
      <c r="T126" s="550"/>
      <c r="U126" s="550"/>
      <c r="V126" s="550"/>
      <c r="W126" s="550"/>
      <c r="X126" s="550"/>
      <c r="Y126" s="550"/>
      <c r="Z126" s="550"/>
      <c r="AA126" s="550"/>
      <c r="AB126" s="550"/>
      <c r="AC126" s="550"/>
      <c r="AD126" s="550"/>
      <c r="AE126" s="550"/>
      <c r="AF126" s="550"/>
      <c r="AG126" s="785"/>
      <c r="AH126" s="644"/>
      <c r="AI126" s="644"/>
      <c r="AJ126" s="644"/>
      <c r="AK126" s="550"/>
      <c r="AL126" s="337"/>
      <c r="AM126" s="631"/>
      <c r="AN126" s="631"/>
      <c r="AO126" s="631"/>
      <c r="AP126" s="631"/>
      <c r="AQ126" s="631"/>
      <c r="AR126" s="631"/>
      <c r="AS126" s="631"/>
      <c r="AT126" s="631"/>
      <c r="AU126" s="631"/>
      <c r="AV126" s="631"/>
      <c r="AW126" s="631"/>
      <c r="AX126" s="631"/>
      <c r="AY126" s="631"/>
      <c r="AZ126" s="631"/>
      <c r="BA126" s="631"/>
      <c r="BB126" s="631"/>
      <c r="BC126" s="550"/>
      <c r="BD126" s="661"/>
    </row>
    <row r="127" ht="11.25" customHeight="1">
      <c r="A127" s="644"/>
      <c r="B127" s="644"/>
      <c r="C127" s="550"/>
      <c r="D127" s="337"/>
      <c r="E127" s="550"/>
      <c r="F127" s="550"/>
      <c r="G127" s="550"/>
      <c r="H127" s="550"/>
      <c r="I127" s="550"/>
      <c r="J127" s="550"/>
      <c r="K127" s="550"/>
      <c r="L127" s="550"/>
      <c r="M127" s="550"/>
      <c r="N127" s="550"/>
      <c r="O127" s="550"/>
      <c r="P127" s="550"/>
      <c r="Q127" s="550"/>
      <c r="R127" s="550"/>
      <c r="S127" s="659"/>
      <c r="T127" s="550"/>
      <c r="U127" s="550"/>
      <c r="V127" s="550"/>
      <c r="W127" s="550"/>
      <c r="X127" s="550"/>
      <c r="Y127" s="550"/>
      <c r="Z127" s="550"/>
      <c r="AA127" s="550"/>
      <c r="AB127" s="550"/>
      <c r="AC127" s="550"/>
      <c r="AD127" s="550"/>
      <c r="AE127" s="550"/>
      <c r="AF127" s="550"/>
      <c r="AG127" s="785"/>
      <c r="AH127" s="644"/>
      <c r="AI127" s="644"/>
      <c r="AJ127" s="644"/>
      <c r="AK127" s="550"/>
      <c r="AL127" s="337"/>
      <c r="AM127" s="631"/>
      <c r="AN127" s="631"/>
      <c r="AO127" s="631"/>
      <c r="AP127" s="631"/>
      <c r="AQ127" s="631"/>
      <c r="AR127" s="631"/>
      <c r="AS127" s="631"/>
      <c r="AT127" s="631"/>
      <c r="AU127" s="631"/>
      <c r="AV127" s="631"/>
      <c r="AW127" s="631"/>
      <c r="AX127" s="631"/>
      <c r="AY127" s="631"/>
      <c r="AZ127" s="631"/>
      <c r="BA127" s="631"/>
      <c r="BB127" s="631"/>
      <c r="BC127" s="550"/>
      <c r="BD127" s="661"/>
    </row>
    <row r="128" ht="11.25" customHeight="1">
      <c r="A128" s="644"/>
      <c r="B128" s="644"/>
      <c r="C128" s="550"/>
      <c r="D128" s="337"/>
      <c r="E128" s="550"/>
      <c r="F128" s="550"/>
      <c r="G128" s="550"/>
      <c r="H128" s="550"/>
      <c r="I128" s="550"/>
      <c r="J128" s="550"/>
      <c r="K128" s="550"/>
      <c r="L128" s="550"/>
      <c r="M128" s="550"/>
      <c r="N128" s="550"/>
      <c r="O128" s="550"/>
      <c r="P128" s="550"/>
      <c r="Q128" s="550"/>
      <c r="R128" s="550"/>
      <c r="S128" s="659"/>
      <c r="T128" s="550"/>
      <c r="U128" s="550"/>
      <c r="V128" s="550"/>
      <c r="W128" s="550"/>
      <c r="X128" s="550"/>
      <c r="Y128" s="550"/>
      <c r="Z128" s="550"/>
      <c r="AA128" s="550"/>
      <c r="AB128" s="550"/>
      <c r="AC128" s="550"/>
      <c r="AD128" s="550"/>
      <c r="AE128" s="550"/>
      <c r="AF128" s="550"/>
      <c r="AG128" s="785"/>
      <c r="AH128" s="644"/>
      <c r="AI128" s="644"/>
      <c r="AJ128" s="644"/>
      <c r="AK128" s="550"/>
      <c r="AL128" s="337"/>
      <c r="AM128" s="631"/>
      <c r="AN128" s="631"/>
      <c r="AO128" s="631"/>
      <c r="AP128" s="631"/>
      <c r="AQ128" s="631"/>
      <c r="AR128" s="631"/>
      <c r="AS128" s="631"/>
      <c r="AT128" s="631"/>
      <c r="AU128" s="631"/>
      <c r="AV128" s="631"/>
      <c r="AW128" s="631"/>
      <c r="AX128" s="631"/>
      <c r="AY128" s="631"/>
      <c r="AZ128" s="631"/>
      <c r="BA128" s="631"/>
      <c r="BB128" s="631"/>
      <c r="BC128" s="550"/>
      <c r="BD128" s="661"/>
    </row>
    <row r="129" ht="11.25" customHeight="1">
      <c r="A129" s="644"/>
      <c r="B129" s="644"/>
      <c r="C129" s="550"/>
      <c r="D129" s="337"/>
      <c r="E129" s="550"/>
      <c r="F129" s="550"/>
      <c r="G129" s="550"/>
      <c r="H129" s="550"/>
      <c r="I129" s="550"/>
      <c r="J129" s="550"/>
      <c r="K129" s="550"/>
      <c r="L129" s="550"/>
      <c r="M129" s="550"/>
      <c r="N129" s="550"/>
      <c r="O129" s="550"/>
      <c r="P129" s="550"/>
      <c r="Q129" s="550"/>
      <c r="R129" s="550"/>
      <c r="S129" s="659"/>
      <c r="T129" s="550"/>
      <c r="U129" s="550"/>
      <c r="V129" s="550"/>
      <c r="W129" s="550"/>
      <c r="X129" s="550"/>
      <c r="Y129" s="550"/>
      <c r="Z129" s="550"/>
      <c r="AA129" s="550"/>
      <c r="AB129" s="550"/>
      <c r="AC129" s="550"/>
      <c r="AD129" s="550"/>
      <c r="AE129" s="550"/>
      <c r="AF129" s="550"/>
      <c r="AG129" s="785"/>
      <c r="AH129" s="644"/>
      <c r="AI129" s="644"/>
      <c r="AJ129" s="644"/>
      <c r="AK129" s="550"/>
      <c r="AL129" s="337"/>
      <c r="AM129" s="631"/>
      <c r="AN129" s="631"/>
      <c r="AO129" s="631"/>
      <c r="AP129" s="631"/>
      <c r="AQ129" s="631"/>
      <c r="AR129" s="631"/>
      <c r="AS129" s="631"/>
      <c r="AT129" s="631"/>
      <c r="AU129" s="631"/>
      <c r="AV129" s="631"/>
      <c r="AW129" s="631"/>
      <c r="AX129" s="631"/>
      <c r="AY129" s="631"/>
      <c r="AZ129" s="631"/>
      <c r="BA129" s="631"/>
      <c r="BB129" s="631"/>
      <c r="BC129" s="550"/>
      <c r="BD129" s="661"/>
    </row>
    <row r="130" ht="11.25" customHeight="1">
      <c r="A130" s="644"/>
      <c r="B130" s="644"/>
      <c r="C130" s="550"/>
      <c r="D130" s="337"/>
      <c r="E130" s="550"/>
      <c r="F130" s="550"/>
      <c r="G130" s="550"/>
      <c r="H130" s="550"/>
      <c r="I130" s="550"/>
      <c r="J130" s="550"/>
      <c r="K130" s="550"/>
      <c r="L130" s="550"/>
      <c r="M130" s="550"/>
      <c r="N130" s="550"/>
      <c r="O130" s="550"/>
      <c r="P130" s="550"/>
      <c r="Q130" s="550"/>
      <c r="R130" s="550"/>
      <c r="S130" s="659"/>
      <c r="T130" s="550"/>
      <c r="U130" s="550"/>
      <c r="V130" s="550"/>
      <c r="W130" s="550"/>
      <c r="X130" s="550"/>
      <c r="Y130" s="550"/>
      <c r="Z130" s="550"/>
      <c r="AA130" s="550"/>
      <c r="AB130" s="550"/>
      <c r="AC130" s="550"/>
      <c r="AD130" s="550"/>
      <c r="AE130" s="550"/>
      <c r="AF130" s="550"/>
      <c r="AG130" s="785"/>
      <c r="AH130" s="644"/>
      <c r="AI130" s="644"/>
      <c r="AJ130" s="644"/>
      <c r="AK130" s="550"/>
      <c r="AL130" s="337"/>
      <c r="AM130" s="631"/>
      <c r="AN130" s="631"/>
      <c r="AO130" s="631"/>
      <c r="AP130" s="631"/>
      <c r="AQ130" s="631"/>
      <c r="AR130" s="631"/>
      <c r="AS130" s="631"/>
      <c r="AT130" s="631"/>
      <c r="AU130" s="631"/>
      <c r="AV130" s="631"/>
      <c r="AW130" s="631"/>
      <c r="AX130" s="631"/>
      <c r="AY130" s="631"/>
      <c r="AZ130" s="631"/>
      <c r="BA130" s="631"/>
      <c r="BB130" s="631"/>
      <c r="BC130" s="550"/>
      <c r="BD130" s="661"/>
    </row>
    <row r="131" ht="11.25" customHeight="1">
      <c r="A131" s="644"/>
      <c r="B131" s="644"/>
      <c r="C131" s="550"/>
      <c r="D131" s="337"/>
      <c r="E131" s="550"/>
      <c r="F131" s="550"/>
      <c r="G131" s="550"/>
      <c r="H131" s="550"/>
      <c r="I131" s="550"/>
      <c r="J131" s="550"/>
      <c r="K131" s="550"/>
      <c r="L131" s="550"/>
      <c r="M131" s="550"/>
      <c r="N131" s="550"/>
      <c r="O131" s="550"/>
      <c r="P131" s="550"/>
      <c r="Q131" s="550"/>
      <c r="R131" s="550"/>
      <c r="S131" s="659"/>
      <c r="T131" s="550"/>
      <c r="U131" s="550"/>
      <c r="V131" s="550"/>
      <c r="W131" s="550"/>
      <c r="X131" s="550"/>
      <c r="Y131" s="550"/>
      <c r="Z131" s="550"/>
      <c r="AA131" s="550"/>
      <c r="AB131" s="550"/>
      <c r="AC131" s="550"/>
      <c r="AD131" s="550"/>
      <c r="AE131" s="550"/>
      <c r="AF131" s="550"/>
      <c r="AG131" s="785"/>
      <c r="AH131" s="644"/>
      <c r="AI131" s="644"/>
      <c r="AJ131" s="644"/>
      <c r="AK131" s="550"/>
      <c r="AL131" s="337"/>
      <c r="AM131" s="631"/>
      <c r="AN131" s="631"/>
      <c r="AO131" s="631"/>
      <c r="AP131" s="631"/>
      <c r="AQ131" s="631"/>
      <c r="AR131" s="631"/>
      <c r="AS131" s="631"/>
      <c r="AT131" s="631"/>
      <c r="AU131" s="631"/>
      <c r="AV131" s="631"/>
      <c r="AW131" s="631"/>
      <c r="AX131" s="631"/>
      <c r="AY131" s="631"/>
      <c r="AZ131" s="631"/>
      <c r="BA131" s="631"/>
      <c r="BB131" s="631"/>
      <c r="BC131" s="550"/>
      <c r="BD131" s="661"/>
    </row>
    <row r="132" ht="11.25" customHeight="1">
      <c r="A132" s="644"/>
      <c r="B132" s="644"/>
      <c r="C132" s="550"/>
      <c r="D132" s="337"/>
      <c r="E132" s="550"/>
      <c r="F132" s="550"/>
      <c r="G132" s="550"/>
      <c r="H132" s="550"/>
      <c r="I132" s="550"/>
      <c r="J132" s="550"/>
      <c r="K132" s="550"/>
      <c r="L132" s="550"/>
      <c r="M132" s="550"/>
      <c r="N132" s="550"/>
      <c r="O132" s="550"/>
      <c r="P132" s="550"/>
      <c r="Q132" s="550"/>
      <c r="R132" s="550"/>
      <c r="S132" s="659"/>
      <c r="T132" s="550"/>
      <c r="U132" s="550"/>
      <c r="V132" s="550"/>
      <c r="W132" s="550"/>
      <c r="X132" s="550"/>
      <c r="Y132" s="550"/>
      <c r="Z132" s="550"/>
      <c r="AA132" s="550"/>
      <c r="AB132" s="550"/>
      <c r="AC132" s="550"/>
      <c r="AD132" s="550"/>
      <c r="AE132" s="550"/>
      <c r="AF132" s="550"/>
      <c r="AG132" s="785"/>
      <c r="AH132" s="644"/>
      <c r="AI132" s="644"/>
      <c r="AJ132" s="644"/>
      <c r="AK132" s="550"/>
      <c r="AL132" s="337"/>
      <c r="AM132" s="631"/>
      <c r="AN132" s="631"/>
      <c r="AO132" s="631"/>
      <c r="AP132" s="631"/>
      <c r="AQ132" s="631"/>
      <c r="AR132" s="631"/>
      <c r="AS132" s="631"/>
      <c r="AT132" s="631"/>
      <c r="AU132" s="631"/>
      <c r="AV132" s="631"/>
      <c r="AW132" s="631"/>
      <c r="AX132" s="631"/>
      <c r="AY132" s="631"/>
      <c r="AZ132" s="631"/>
      <c r="BA132" s="631"/>
      <c r="BB132" s="631"/>
      <c r="BC132" s="550"/>
      <c r="BD132" s="661"/>
    </row>
    <row r="133" ht="11.25" customHeight="1">
      <c r="A133" s="644"/>
      <c r="B133" s="644"/>
      <c r="C133" s="550"/>
      <c r="D133" s="337"/>
      <c r="E133" s="550"/>
      <c r="F133" s="550"/>
      <c r="G133" s="550"/>
      <c r="H133" s="550"/>
      <c r="I133" s="550"/>
      <c r="J133" s="550"/>
      <c r="K133" s="550"/>
      <c r="L133" s="550"/>
      <c r="M133" s="550"/>
      <c r="N133" s="550"/>
      <c r="O133" s="550"/>
      <c r="P133" s="550"/>
      <c r="Q133" s="550"/>
      <c r="R133" s="550"/>
      <c r="S133" s="659"/>
      <c r="T133" s="550"/>
      <c r="U133" s="550"/>
      <c r="V133" s="550"/>
      <c r="W133" s="550"/>
      <c r="X133" s="550"/>
      <c r="Y133" s="550"/>
      <c r="Z133" s="550"/>
      <c r="AA133" s="550"/>
      <c r="AB133" s="550"/>
      <c r="AC133" s="550"/>
      <c r="AD133" s="550"/>
      <c r="AE133" s="550"/>
      <c r="AF133" s="550"/>
      <c r="AG133" s="785"/>
      <c r="AH133" s="644"/>
      <c r="AI133" s="644"/>
      <c r="AJ133" s="644"/>
      <c r="AK133" s="550"/>
      <c r="AL133" s="337"/>
      <c r="AM133" s="631"/>
      <c r="AN133" s="631"/>
      <c r="AO133" s="631"/>
      <c r="AP133" s="631"/>
      <c r="AQ133" s="631"/>
      <c r="AR133" s="631"/>
      <c r="AS133" s="631"/>
      <c r="AT133" s="631"/>
      <c r="AU133" s="631"/>
      <c r="AV133" s="631"/>
      <c r="AW133" s="631"/>
      <c r="AX133" s="631"/>
      <c r="AY133" s="631"/>
      <c r="AZ133" s="631"/>
      <c r="BA133" s="631"/>
      <c r="BB133" s="631"/>
      <c r="BC133" s="550"/>
      <c r="BD133" s="661"/>
    </row>
    <row r="134" ht="11.25" customHeight="1">
      <c r="A134" s="644"/>
      <c r="B134" s="644"/>
      <c r="C134" s="550"/>
      <c r="D134" s="337"/>
      <c r="E134" s="550"/>
      <c r="F134" s="550"/>
      <c r="G134" s="550"/>
      <c r="H134" s="550"/>
      <c r="I134" s="550"/>
      <c r="J134" s="550"/>
      <c r="K134" s="550"/>
      <c r="L134" s="550"/>
      <c r="M134" s="550"/>
      <c r="N134" s="550"/>
      <c r="O134" s="550"/>
      <c r="P134" s="550"/>
      <c r="Q134" s="550"/>
      <c r="R134" s="550"/>
      <c r="S134" s="659"/>
      <c r="T134" s="550"/>
      <c r="U134" s="550"/>
      <c r="V134" s="550"/>
      <c r="W134" s="550"/>
      <c r="X134" s="550"/>
      <c r="Y134" s="550"/>
      <c r="Z134" s="550"/>
      <c r="AA134" s="550"/>
      <c r="AB134" s="550"/>
      <c r="AC134" s="550"/>
      <c r="AD134" s="550"/>
      <c r="AE134" s="550"/>
      <c r="AF134" s="550"/>
      <c r="AG134" s="785"/>
      <c r="AH134" s="644"/>
      <c r="AI134" s="644"/>
      <c r="AJ134" s="644"/>
      <c r="AK134" s="550"/>
      <c r="AL134" s="337"/>
      <c r="AM134" s="631"/>
      <c r="AN134" s="631"/>
      <c r="AO134" s="631"/>
      <c r="AP134" s="631"/>
      <c r="AQ134" s="631"/>
      <c r="AR134" s="631"/>
      <c r="AS134" s="631"/>
      <c r="AT134" s="631"/>
      <c r="AU134" s="631"/>
      <c r="AV134" s="631"/>
      <c r="AW134" s="631"/>
      <c r="AX134" s="631"/>
      <c r="AY134" s="631"/>
      <c r="AZ134" s="631"/>
      <c r="BA134" s="631"/>
      <c r="BB134" s="631"/>
      <c r="BC134" s="550"/>
      <c r="BD134" s="661"/>
    </row>
    <row r="135" ht="11.25" customHeight="1">
      <c r="A135" s="644"/>
      <c r="B135" s="644"/>
      <c r="C135" s="550"/>
      <c r="D135" s="337"/>
      <c r="E135" s="550"/>
      <c r="F135" s="550"/>
      <c r="G135" s="550"/>
      <c r="H135" s="550"/>
      <c r="I135" s="550"/>
      <c r="J135" s="550"/>
      <c r="K135" s="550"/>
      <c r="L135" s="550"/>
      <c r="M135" s="550"/>
      <c r="N135" s="550"/>
      <c r="O135" s="550"/>
      <c r="P135" s="550"/>
      <c r="Q135" s="550"/>
      <c r="R135" s="550"/>
      <c r="S135" s="659"/>
      <c r="T135" s="550"/>
      <c r="U135" s="550"/>
      <c r="V135" s="550"/>
      <c r="W135" s="550"/>
      <c r="X135" s="550"/>
      <c r="Y135" s="550"/>
      <c r="Z135" s="550"/>
      <c r="AA135" s="550"/>
      <c r="AB135" s="550"/>
      <c r="AC135" s="550"/>
      <c r="AD135" s="550"/>
      <c r="AE135" s="550"/>
      <c r="AF135" s="550"/>
      <c r="AG135" s="785"/>
      <c r="AH135" s="644"/>
      <c r="AI135" s="644"/>
      <c r="AJ135" s="644"/>
      <c r="AK135" s="550"/>
      <c r="AL135" s="337"/>
      <c r="AM135" s="631"/>
      <c r="AN135" s="631"/>
      <c r="AO135" s="631"/>
      <c r="AP135" s="631"/>
      <c r="AQ135" s="631"/>
      <c r="AR135" s="631"/>
      <c r="AS135" s="631"/>
      <c r="AT135" s="631"/>
      <c r="AU135" s="631"/>
      <c r="AV135" s="631"/>
      <c r="AW135" s="631"/>
      <c r="AX135" s="631"/>
      <c r="AY135" s="631"/>
      <c r="AZ135" s="631"/>
      <c r="BA135" s="631"/>
      <c r="BB135" s="631"/>
      <c r="BC135" s="550"/>
      <c r="BD135" s="661"/>
    </row>
    <row r="136" ht="11.25" customHeight="1">
      <c r="A136" s="644"/>
      <c r="B136" s="644"/>
      <c r="C136" s="550"/>
      <c r="D136" s="337"/>
      <c r="E136" s="550"/>
      <c r="F136" s="550"/>
      <c r="G136" s="550"/>
      <c r="H136" s="550"/>
      <c r="I136" s="550"/>
      <c r="J136" s="550"/>
      <c r="K136" s="550"/>
      <c r="L136" s="550"/>
      <c r="M136" s="550"/>
      <c r="N136" s="550"/>
      <c r="O136" s="550"/>
      <c r="P136" s="550"/>
      <c r="Q136" s="550"/>
      <c r="R136" s="550"/>
      <c r="S136" s="659"/>
      <c r="T136" s="550"/>
      <c r="U136" s="550"/>
      <c r="V136" s="550"/>
      <c r="W136" s="550"/>
      <c r="X136" s="550"/>
      <c r="Y136" s="550"/>
      <c r="Z136" s="550"/>
      <c r="AA136" s="550"/>
      <c r="AB136" s="550"/>
      <c r="AC136" s="550"/>
      <c r="AD136" s="550"/>
      <c r="AE136" s="550"/>
      <c r="AF136" s="550"/>
      <c r="AG136" s="785"/>
      <c r="AH136" s="644"/>
      <c r="AI136" s="644"/>
      <c r="AJ136" s="644"/>
      <c r="AK136" s="550"/>
      <c r="AL136" s="337"/>
      <c r="AM136" s="631"/>
      <c r="AN136" s="631"/>
      <c r="AO136" s="631"/>
      <c r="AP136" s="631"/>
      <c r="AQ136" s="631"/>
      <c r="AR136" s="631"/>
      <c r="AS136" s="631"/>
      <c r="AT136" s="631"/>
      <c r="AU136" s="631"/>
      <c r="AV136" s="631"/>
      <c r="AW136" s="631"/>
      <c r="AX136" s="631"/>
      <c r="AY136" s="631"/>
      <c r="AZ136" s="631"/>
      <c r="BA136" s="631"/>
      <c r="BB136" s="631"/>
      <c r="BC136" s="550"/>
      <c r="BD136" s="661"/>
    </row>
    <row r="137" ht="11.25" customHeight="1">
      <c r="A137" s="644"/>
      <c r="B137" s="644"/>
      <c r="C137" s="550"/>
      <c r="D137" s="337"/>
      <c r="E137" s="550"/>
      <c r="F137" s="550"/>
      <c r="G137" s="550"/>
      <c r="H137" s="550"/>
      <c r="I137" s="550"/>
      <c r="J137" s="550"/>
      <c r="K137" s="550"/>
      <c r="L137" s="550"/>
      <c r="M137" s="550"/>
      <c r="N137" s="550"/>
      <c r="O137" s="550"/>
      <c r="P137" s="550"/>
      <c r="Q137" s="550"/>
      <c r="R137" s="550"/>
      <c r="S137" s="659"/>
      <c r="T137" s="550"/>
      <c r="U137" s="550"/>
      <c r="V137" s="550"/>
      <c r="W137" s="550"/>
      <c r="X137" s="550"/>
      <c r="Y137" s="550"/>
      <c r="Z137" s="550"/>
      <c r="AA137" s="550"/>
      <c r="AB137" s="550"/>
      <c r="AC137" s="550"/>
      <c r="AD137" s="550"/>
      <c r="AE137" s="550"/>
      <c r="AF137" s="550"/>
      <c r="AG137" s="785"/>
      <c r="AH137" s="644"/>
      <c r="AI137" s="644"/>
      <c r="AJ137" s="644"/>
      <c r="AK137" s="550"/>
      <c r="AL137" s="337"/>
      <c r="AM137" s="631"/>
      <c r="AN137" s="631"/>
      <c r="AO137" s="631"/>
      <c r="AP137" s="631"/>
      <c r="AQ137" s="631"/>
      <c r="AR137" s="631"/>
      <c r="AS137" s="631"/>
      <c r="AT137" s="631"/>
      <c r="AU137" s="631"/>
      <c r="AV137" s="631"/>
      <c r="AW137" s="631"/>
      <c r="AX137" s="631"/>
      <c r="AY137" s="631"/>
      <c r="AZ137" s="631"/>
      <c r="BA137" s="631"/>
      <c r="BB137" s="631"/>
      <c r="BC137" s="550"/>
      <c r="BD137" s="661"/>
    </row>
    <row r="138" ht="11.25" customHeight="1">
      <c r="A138" s="644"/>
      <c r="B138" s="644"/>
      <c r="C138" s="550"/>
      <c r="D138" s="337"/>
      <c r="E138" s="550"/>
      <c r="F138" s="550"/>
      <c r="G138" s="550"/>
      <c r="H138" s="550"/>
      <c r="I138" s="550"/>
      <c r="J138" s="550"/>
      <c r="K138" s="550"/>
      <c r="L138" s="550"/>
      <c r="M138" s="550"/>
      <c r="N138" s="550"/>
      <c r="O138" s="550"/>
      <c r="P138" s="550"/>
      <c r="Q138" s="550"/>
      <c r="R138" s="550"/>
      <c r="S138" s="659"/>
      <c r="T138" s="550"/>
      <c r="U138" s="550"/>
      <c r="V138" s="550"/>
      <c r="W138" s="550"/>
      <c r="X138" s="550"/>
      <c r="Y138" s="550"/>
      <c r="Z138" s="550"/>
      <c r="AA138" s="550"/>
      <c r="AB138" s="550"/>
      <c r="AC138" s="550"/>
      <c r="AD138" s="550"/>
      <c r="AE138" s="550"/>
      <c r="AF138" s="550"/>
      <c r="AG138" s="785"/>
      <c r="AH138" s="644"/>
      <c r="AI138" s="644"/>
      <c r="AJ138" s="644"/>
      <c r="AK138" s="550"/>
      <c r="AL138" s="337"/>
      <c r="AM138" s="631"/>
      <c r="AN138" s="631"/>
      <c r="AO138" s="631"/>
      <c r="AP138" s="631"/>
      <c r="AQ138" s="631"/>
      <c r="AR138" s="631"/>
      <c r="AS138" s="631"/>
      <c r="AT138" s="631"/>
      <c r="AU138" s="631"/>
      <c r="AV138" s="631"/>
      <c r="AW138" s="631"/>
      <c r="AX138" s="631"/>
      <c r="AY138" s="631"/>
      <c r="AZ138" s="631"/>
      <c r="BA138" s="631"/>
      <c r="BB138" s="631"/>
      <c r="BC138" s="550"/>
      <c r="BD138" s="661"/>
    </row>
    <row r="139" ht="11.25" customHeight="1">
      <c r="A139" s="644"/>
      <c r="B139" s="644"/>
      <c r="C139" s="550"/>
      <c r="D139" s="337"/>
      <c r="E139" s="550"/>
      <c r="F139" s="550"/>
      <c r="G139" s="550"/>
      <c r="H139" s="550"/>
      <c r="I139" s="550"/>
      <c r="J139" s="550"/>
      <c r="K139" s="550"/>
      <c r="L139" s="550"/>
      <c r="M139" s="550"/>
      <c r="N139" s="550"/>
      <c r="O139" s="550"/>
      <c r="P139" s="550"/>
      <c r="Q139" s="550"/>
      <c r="R139" s="550"/>
      <c r="S139" s="659"/>
      <c r="T139" s="550"/>
      <c r="U139" s="550"/>
      <c r="V139" s="550"/>
      <c r="W139" s="550"/>
      <c r="X139" s="550"/>
      <c r="Y139" s="550"/>
      <c r="Z139" s="550"/>
      <c r="AA139" s="550"/>
      <c r="AB139" s="550"/>
      <c r="AC139" s="550"/>
      <c r="AD139" s="550"/>
      <c r="AE139" s="550"/>
      <c r="AF139" s="550"/>
      <c r="AG139" s="785"/>
      <c r="AH139" s="644"/>
      <c r="AI139" s="644"/>
      <c r="AJ139" s="644"/>
      <c r="AK139" s="550"/>
      <c r="AL139" s="337"/>
      <c r="AM139" s="631"/>
      <c r="AN139" s="631"/>
      <c r="AO139" s="631"/>
      <c r="AP139" s="631"/>
      <c r="AQ139" s="631"/>
      <c r="AR139" s="631"/>
      <c r="AS139" s="631"/>
      <c r="AT139" s="631"/>
      <c r="AU139" s="631"/>
      <c r="AV139" s="631"/>
      <c r="AW139" s="631"/>
      <c r="AX139" s="631"/>
      <c r="AY139" s="631"/>
      <c r="AZ139" s="631"/>
      <c r="BA139" s="631"/>
      <c r="BB139" s="631"/>
      <c r="BC139" s="550"/>
      <c r="BD139" s="661"/>
    </row>
    <row r="140" ht="11.25" customHeight="1">
      <c r="A140" s="644"/>
      <c r="B140" s="644"/>
      <c r="C140" s="550"/>
      <c r="D140" s="337"/>
      <c r="E140" s="550"/>
      <c r="F140" s="550"/>
      <c r="G140" s="550"/>
      <c r="H140" s="550"/>
      <c r="I140" s="550"/>
      <c r="J140" s="550"/>
      <c r="K140" s="550"/>
      <c r="L140" s="550"/>
      <c r="M140" s="550"/>
      <c r="N140" s="550"/>
      <c r="O140" s="550"/>
      <c r="P140" s="550"/>
      <c r="Q140" s="550"/>
      <c r="R140" s="550"/>
      <c r="S140" s="659"/>
      <c r="T140" s="550"/>
      <c r="U140" s="550"/>
      <c r="V140" s="550"/>
      <c r="W140" s="550"/>
      <c r="X140" s="550"/>
      <c r="Y140" s="550"/>
      <c r="Z140" s="550"/>
      <c r="AA140" s="550"/>
      <c r="AB140" s="550"/>
      <c r="AC140" s="550"/>
      <c r="AD140" s="550"/>
      <c r="AE140" s="550"/>
      <c r="AF140" s="550"/>
      <c r="AG140" s="785"/>
      <c r="AH140" s="644"/>
      <c r="AI140" s="644"/>
      <c r="AJ140" s="644"/>
      <c r="AK140" s="550"/>
      <c r="AL140" s="337"/>
      <c r="AM140" s="631"/>
      <c r="AN140" s="631"/>
      <c r="AO140" s="631"/>
      <c r="AP140" s="631"/>
      <c r="AQ140" s="631"/>
      <c r="AR140" s="631"/>
      <c r="AS140" s="631"/>
      <c r="AT140" s="631"/>
      <c r="AU140" s="631"/>
      <c r="AV140" s="631"/>
      <c r="AW140" s="631"/>
      <c r="AX140" s="631"/>
      <c r="AY140" s="631"/>
      <c r="AZ140" s="631"/>
      <c r="BA140" s="631"/>
      <c r="BB140" s="631"/>
      <c r="BC140" s="550"/>
      <c r="BD140" s="661"/>
    </row>
    <row r="141" ht="11.25" customHeight="1">
      <c r="A141" s="644"/>
      <c r="B141" s="644"/>
      <c r="C141" s="550"/>
      <c r="D141" s="337"/>
      <c r="E141" s="550"/>
      <c r="F141" s="550"/>
      <c r="G141" s="550"/>
      <c r="H141" s="550"/>
      <c r="I141" s="550"/>
      <c r="J141" s="550"/>
      <c r="K141" s="550"/>
      <c r="L141" s="550"/>
      <c r="M141" s="550"/>
      <c r="N141" s="550"/>
      <c r="O141" s="550"/>
      <c r="P141" s="550"/>
      <c r="Q141" s="550"/>
      <c r="R141" s="550"/>
      <c r="S141" s="659"/>
      <c r="T141" s="550"/>
      <c r="U141" s="550"/>
      <c r="V141" s="550"/>
      <c r="W141" s="550"/>
      <c r="X141" s="550"/>
      <c r="Y141" s="550"/>
      <c r="Z141" s="550"/>
      <c r="AA141" s="550"/>
      <c r="AB141" s="550"/>
      <c r="AC141" s="550"/>
      <c r="AD141" s="550"/>
      <c r="AE141" s="550"/>
      <c r="AF141" s="550"/>
      <c r="AG141" s="785"/>
      <c r="AH141" s="644"/>
      <c r="AI141" s="644"/>
      <c r="AJ141" s="644"/>
      <c r="AK141" s="550"/>
      <c r="AL141" s="337"/>
      <c r="AM141" s="631"/>
      <c r="AN141" s="631"/>
      <c r="AO141" s="631"/>
      <c r="AP141" s="631"/>
      <c r="AQ141" s="631"/>
      <c r="AR141" s="631"/>
      <c r="AS141" s="631"/>
      <c r="AT141" s="631"/>
      <c r="AU141" s="631"/>
      <c r="AV141" s="631"/>
      <c r="AW141" s="631"/>
      <c r="AX141" s="631"/>
      <c r="AY141" s="631"/>
      <c r="AZ141" s="631"/>
      <c r="BA141" s="631"/>
      <c r="BB141" s="631"/>
      <c r="BC141" s="550"/>
      <c r="BD141" s="661"/>
    </row>
    <row r="142" ht="11.25" customHeight="1">
      <c r="A142" s="644"/>
      <c r="B142" s="644"/>
      <c r="C142" s="550"/>
      <c r="D142" s="337"/>
      <c r="E142" s="550"/>
      <c r="F142" s="550"/>
      <c r="G142" s="550"/>
      <c r="H142" s="550"/>
      <c r="I142" s="550"/>
      <c r="J142" s="550"/>
      <c r="K142" s="550"/>
      <c r="L142" s="550"/>
      <c r="M142" s="550"/>
      <c r="N142" s="550"/>
      <c r="O142" s="550"/>
      <c r="P142" s="550"/>
      <c r="Q142" s="550"/>
      <c r="R142" s="550"/>
      <c r="S142" s="659"/>
      <c r="T142" s="550"/>
      <c r="U142" s="550"/>
      <c r="V142" s="550"/>
      <c r="W142" s="550"/>
      <c r="X142" s="550"/>
      <c r="Y142" s="550"/>
      <c r="Z142" s="550"/>
      <c r="AA142" s="550"/>
      <c r="AB142" s="550"/>
      <c r="AC142" s="550"/>
      <c r="AD142" s="550"/>
      <c r="AE142" s="550"/>
      <c r="AF142" s="550"/>
      <c r="AG142" s="785"/>
      <c r="AH142" s="644"/>
      <c r="AI142" s="644"/>
      <c r="AJ142" s="644"/>
      <c r="AK142" s="550"/>
      <c r="AL142" s="337"/>
      <c r="AM142" s="631"/>
      <c r="AN142" s="631"/>
      <c r="AO142" s="631"/>
      <c r="AP142" s="631"/>
      <c r="AQ142" s="631"/>
      <c r="AR142" s="631"/>
      <c r="AS142" s="631"/>
      <c r="AT142" s="631"/>
      <c r="AU142" s="631"/>
      <c r="AV142" s="631"/>
      <c r="AW142" s="631"/>
      <c r="AX142" s="631"/>
      <c r="AY142" s="631"/>
      <c r="AZ142" s="631"/>
      <c r="BA142" s="631"/>
      <c r="BB142" s="631"/>
      <c r="BC142" s="550"/>
      <c r="BD142" s="661"/>
    </row>
    <row r="143" ht="11.25" customHeight="1">
      <c r="A143" s="644"/>
      <c r="B143" s="644"/>
      <c r="C143" s="550"/>
      <c r="D143" s="337"/>
      <c r="E143" s="550"/>
      <c r="F143" s="550"/>
      <c r="G143" s="550"/>
      <c r="H143" s="550"/>
      <c r="I143" s="550"/>
      <c r="J143" s="550"/>
      <c r="K143" s="550"/>
      <c r="L143" s="550"/>
      <c r="M143" s="550"/>
      <c r="N143" s="550"/>
      <c r="O143" s="550"/>
      <c r="P143" s="550"/>
      <c r="Q143" s="550"/>
      <c r="R143" s="550"/>
      <c r="S143" s="659"/>
      <c r="T143" s="550"/>
      <c r="U143" s="550"/>
      <c r="V143" s="550"/>
      <c r="W143" s="550"/>
      <c r="X143" s="550"/>
      <c r="Y143" s="550"/>
      <c r="Z143" s="550"/>
      <c r="AA143" s="550"/>
      <c r="AB143" s="550"/>
      <c r="AC143" s="550"/>
      <c r="AD143" s="550"/>
      <c r="AE143" s="550"/>
      <c r="AF143" s="550"/>
      <c r="AG143" s="785"/>
      <c r="AH143" s="644"/>
      <c r="AI143" s="644"/>
      <c r="AJ143" s="644"/>
      <c r="AK143" s="550"/>
      <c r="AL143" s="337"/>
      <c r="AM143" s="631"/>
      <c r="AN143" s="631"/>
      <c r="AO143" s="631"/>
      <c r="AP143" s="631"/>
      <c r="AQ143" s="631"/>
      <c r="AR143" s="631"/>
      <c r="AS143" s="631"/>
      <c r="AT143" s="631"/>
      <c r="AU143" s="631"/>
      <c r="AV143" s="631"/>
      <c r="AW143" s="631"/>
      <c r="AX143" s="631"/>
      <c r="AY143" s="631"/>
      <c r="AZ143" s="631"/>
      <c r="BA143" s="631"/>
      <c r="BB143" s="631"/>
      <c r="BC143" s="550"/>
      <c r="BD143" s="661"/>
    </row>
    <row r="144" ht="11.25" customHeight="1">
      <c r="A144" s="644"/>
      <c r="B144" s="644"/>
      <c r="C144" s="550"/>
      <c r="D144" s="337"/>
      <c r="E144" s="550"/>
      <c r="F144" s="550"/>
      <c r="G144" s="550"/>
      <c r="H144" s="550"/>
      <c r="I144" s="550"/>
      <c r="J144" s="550"/>
      <c r="K144" s="550"/>
      <c r="L144" s="550"/>
      <c r="M144" s="550"/>
      <c r="N144" s="550"/>
      <c r="O144" s="550"/>
      <c r="P144" s="550"/>
      <c r="Q144" s="550"/>
      <c r="R144" s="550"/>
      <c r="S144" s="659"/>
      <c r="T144" s="550"/>
      <c r="U144" s="550"/>
      <c r="V144" s="550"/>
      <c r="W144" s="550"/>
      <c r="X144" s="550"/>
      <c r="Y144" s="550"/>
      <c r="Z144" s="550"/>
      <c r="AA144" s="550"/>
      <c r="AB144" s="550"/>
      <c r="AC144" s="550"/>
      <c r="AD144" s="550"/>
      <c r="AE144" s="550"/>
      <c r="AF144" s="550"/>
      <c r="AG144" s="785"/>
      <c r="AH144" s="644"/>
      <c r="AI144" s="644"/>
      <c r="AJ144" s="644"/>
      <c r="AK144" s="550"/>
      <c r="AL144" s="337"/>
      <c r="AM144" s="631"/>
      <c r="AN144" s="631"/>
      <c r="AO144" s="631"/>
      <c r="AP144" s="631"/>
      <c r="AQ144" s="631"/>
      <c r="AR144" s="631"/>
      <c r="AS144" s="631"/>
      <c r="AT144" s="631"/>
      <c r="AU144" s="631"/>
      <c r="AV144" s="631"/>
      <c r="AW144" s="631"/>
      <c r="AX144" s="631"/>
      <c r="AY144" s="631"/>
      <c r="AZ144" s="631"/>
      <c r="BA144" s="631"/>
      <c r="BB144" s="631"/>
      <c r="BC144" s="550"/>
      <c r="BD144" s="661"/>
    </row>
    <row r="145" ht="11.25" customHeight="1">
      <c r="A145" s="644"/>
      <c r="B145" s="644"/>
      <c r="C145" s="550"/>
      <c r="D145" s="337"/>
      <c r="E145" s="550"/>
      <c r="F145" s="550"/>
      <c r="G145" s="550"/>
      <c r="H145" s="550"/>
      <c r="I145" s="550"/>
      <c r="J145" s="550"/>
      <c r="K145" s="550"/>
      <c r="L145" s="550"/>
      <c r="M145" s="550"/>
      <c r="N145" s="550"/>
      <c r="O145" s="550"/>
      <c r="P145" s="550"/>
      <c r="Q145" s="550"/>
      <c r="R145" s="550"/>
      <c r="S145" s="659"/>
      <c r="T145" s="550"/>
      <c r="U145" s="550"/>
      <c r="V145" s="550"/>
      <c r="W145" s="550"/>
      <c r="X145" s="550"/>
      <c r="Y145" s="550"/>
      <c r="Z145" s="550"/>
      <c r="AA145" s="550"/>
      <c r="AB145" s="550"/>
      <c r="AC145" s="550"/>
      <c r="AD145" s="550"/>
      <c r="AE145" s="550"/>
      <c r="AF145" s="550"/>
      <c r="AG145" s="785"/>
      <c r="AH145" s="644"/>
      <c r="AI145" s="644"/>
      <c r="AJ145" s="644"/>
      <c r="AK145" s="550"/>
      <c r="AL145" s="337"/>
      <c r="AM145" s="631"/>
      <c r="AN145" s="631"/>
      <c r="AO145" s="631"/>
      <c r="AP145" s="631"/>
      <c r="AQ145" s="631"/>
      <c r="AR145" s="631"/>
      <c r="AS145" s="631"/>
      <c r="AT145" s="631"/>
      <c r="AU145" s="631"/>
      <c r="AV145" s="631"/>
      <c r="AW145" s="631"/>
      <c r="AX145" s="631"/>
      <c r="AY145" s="631"/>
      <c r="AZ145" s="631"/>
      <c r="BA145" s="631"/>
      <c r="BB145" s="631"/>
      <c r="BC145" s="550"/>
      <c r="BD145" s="661"/>
    </row>
    <row r="146" ht="11.25" customHeight="1">
      <c r="A146" s="644"/>
      <c r="B146" s="644"/>
      <c r="C146" s="550"/>
      <c r="D146" s="337"/>
      <c r="E146" s="550"/>
      <c r="F146" s="550"/>
      <c r="G146" s="550"/>
      <c r="H146" s="550"/>
      <c r="I146" s="550"/>
      <c r="J146" s="550"/>
      <c r="K146" s="550"/>
      <c r="L146" s="550"/>
      <c r="M146" s="550"/>
      <c r="N146" s="550"/>
      <c r="O146" s="550"/>
      <c r="P146" s="550"/>
      <c r="Q146" s="550"/>
      <c r="R146" s="550"/>
      <c r="S146" s="659"/>
      <c r="T146" s="550"/>
      <c r="U146" s="550"/>
      <c r="V146" s="550"/>
      <c r="W146" s="550"/>
      <c r="X146" s="550"/>
      <c r="Y146" s="550"/>
      <c r="Z146" s="550"/>
      <c r="AA146" s="550"/>
      <c r="AB146" s="550"/>
      <c r="AC146" s="550"/>
      <c r="AD146" s="550"/>
      <c r="AE146" s="550"/>
      <c r="AF146" s="550"/>
      <c r="AG146" s="785"/>
      <c r="AH146" s="644"/>
      <c r="AI146" s="644"/>
      <c r="AJ146" s="644"/>
      <c r="AK146" s="550"/>
      <c r="AL146" s="337"/>
      <c r="AM146" s="631"/>
      <c r="AN146" s="631"/>
      <c r="AO146" s="631"/>
      <c r="AP146" s="631"/>
      <c r="AQ146" s="631"/>
      <c r="AR146" s="631"/>
      <c r="AS146" s="631"/>
      <c r="AT146" s="631"/>
      <c r="AU146" s="631"/>
      <c r="AV146" s="631"/>
      <c r="AW146" s="631"/>
      <c r="AX146" s="631"/>
      <c r="AY146" s="631"/>
      <c r="AZ146" s="631"/>
      <c r="BA146" s="631"/>
      <c r="BB146" s="631"/>
      <c r="BC146" s="550"/>
      <c r="BD146" s="661"/>
    </row>
    <row r="147" ht="11.25" customHeight="1">
      <c r="A147" s="644"/>
      <c r="B147" s="644"/>
      <c r="C147" s="550"/>
      <c r="D147" s="337"/>
      <c r="E147" s="550"/>
      <c r="F147" s="550"/>
      <c r="G147" s="550"/>
      <c r="H147" s="550"/>
      <c r="I147" s="550"/>
      <c r="J147" s="550"/>
      <c r="K147" s="550"/>
      <c r="L147" s="550"/>
      <c r="M147" s="550"/>
      <c r="N147" s="550"/>
      <c r="O147" s="550"/>
      <c r="P147" s="550"/>
      <c r="Q147" s="550"/>
      <c r="R147" s="550"/>
      <c r="S147" s="659"/>
      <c r="T147" s="550"/>
      <c r="U147" s="550"/>
      <c r="V147" s="550"/>
      <c r="W147" s="550"/>
      <c r="X147" s="550"/>
      <c r="Y147" s="550"/>
      <c r="Z147" s="550"/>
      <c r="AA147" s="550"/>
      <c r="AB147" s="550"/>
      <c r="AC147" s="550"/>
      <c r="AD147" s="550"/>
      <c r="AE147" s="550"/>
      <c r="AF147" s="550"/>
      <c r="AG147" s="785"/>
      <c r="AH147" s="644"/>
      <c r="AI147" s="644"/>
      <c r="AJ147" s="644"/>
      <c r="AK147" s="550"/>
      <c r="AL147" s="337"/>
      <c r="AM147" s="631"/>
      <c r="AN147" s="631"/>
      <c r="AO147" s="631"/>
      <c r="AP147" s="631"/>
      <c r="AQ147" s="631"/>
      <c r="AR147" s="631"/>
      <c r="AS147" s="631"/>
      <c r="AT147" s="631"/>
      <c r="AU147" s="631"/>
      <c r="AV147" s="631"/>
      <c r="AW147" s="631"/>
      <c r="AX147" s="631"/>
      <c r="AY147" s="631"/>
      <c r="AZ147" s="631"/>
      <c r="BA147" s="631"/>
      <c r="BB147" s="631"/>
      <c r="BC147" s="550"/>
      <c r="BD147" s="661"/>
    </row>
    <row r="148" ht="11.25" customHeight="1">
      <c r="A148" s="644"/>
      <c r="B148" s="644"/>
      <c r="C148" s="550"/>
      <c r="D148" s="337"/>
      <c r="E148" s="550"/>
      <c r="F148" s="550"/>
      <c r="G148" s="550"/>
      <c r="H148" s="550"/>
      <c r="I148" s="550"/>
      <c r="J148" s="550"/>
      <c r="K148" s="550"/>
      <c r="L148" s="550"/>
      <c r="M148" s="550"/>
      <c r="N148" s="550"/>
      <c r="O148" s="550"/>
      <c r="P148" s="550"/>
      <c r="Q148" s="550"/>
      <c r="R148" s="550"/>
      <c r="S148" s="659"/>
      <c r="T148" s="550"/>
      <c r="U148" s="550"/>
      <c r="V148" s="550"/>
      <c r="W148" s="550"/>
      <c r="X148" s="550"/>
      <c r="Y148" s="550"/>
      <c r="Z148" s="550"/>
      <c r="AA148" s="550"/>
      <c r="AB148" s="550"/>
      <c r="AC148" s="550"/>
      <c r="AD148" s="550"/>
      <c r="AE148" s="550"/>
      <c r="AF148" s="550"/>
      <c r="AG148" s="785"/>
      <c r="AH148" s="644"/>
      <c r="AI148" s="644"/>
      <c r="AJ148" s="644"/>
      <c r="AK148" s="550"/>
      <c r="AL148" s="337"/>
      <c r="AM148" s="631"/>
      <c r="AN148" s="631"/>
      <c r="AO148" s="631"/>
      <c r="AP148" s="631"/>
      <c r="AQ148" s="631"/>
      <c r="AR148" s="631"/>
      <c r="AS148" s="631"/>
      <c r="AT148" s="631"/>
      <c r="AU148" s="631"/>
      <c r="AV148" s="631"/>
      <c r="AW148" s="631"/>
      <c r="AX148" s="631"/>
      <c r="AY148" s="631"/>
      <c r="AZ148" s="631"/>
      <c r="BA148" s="631"/>
      <c r="BB148" s="631"/>
      <c r="BC148" s="550"/>
      <c r="BD148" s="661"/>
    </row>
    <row r="149" ht="11.25" customHeight="1">
      <c r="A149" s="644"/>
      <c r="B149" s="644"/>
      <c r="C149" s="550"/>
      <c r="D149" s="337"/>
      <c r="E149" s="550"/>
      <c r="F149" s="550"/>
      <c r="G149" s="550"/>
      <c r="H149" s="550"/>
      <c r="I149" s="550"/>
      <c r="J149" s="550"/>
      <c r="K149" s="550"/>
      <c r="L149" s="550"/>
      <c r="M149" s="550"/>
      <c r="N149" s="550"/>
      <c r="O149" s="550"/>
      <c r="P149" s="550"/>
      <c r="Q149" s="550"/>
      <c r="R149" s="550"/>
      <c r="S149" s="659"/>
      <c r="T149" s="550"/>
      <c r="U149" s="550"/>
      <c r="V149" s="550"/>
      <c r="W149" s="550"/>
      <c r="X149" s="550"/>
      <c r="Y149" s="550"/>
      <c r="Z149" s="550"/>
      <c r="AA149" s="550"/>
      <c r="AB149" s="550"/>
      <c r="AC149" s="550"/>
      <c r="AD149" s="550"/>
      <c r="AE149" s="550"/>
      <c r="AF149" s="550"/>
      <c r="AG149" s="785"/>
      <c r="AH149" s="644"/>
      <c r="AI149" s="644"/>
      <c r="AJ149" s="644"/>
      <c r="AK149" s="550"/>
      <c r="AL149" s="337"/>
      <c r="AM149" s="631"/>
      <c r="AN149" s="631"/>
      <c r="AO149" s="631"/>
      <c r="AP149" s="631"/>
      <c r="AQ149" s="631"/>
      <c r="AR149" s="631"/>
      <c r="AS149" s="631"/>
      <c r="AT149" s="631"/>
      <c r="AU149" s="631"/>
      <c r="AV149" s="631"/>
      <c r="AW149" s="631"/>
      <c r="AX149" s="631"/>
      <c r="AY149" s="631"/>
      <c r="AZ149" s="631"/>
      <c r="BA149" s="631"/>
      <c r="BB149" s="631"/>
      <c r="BC149" s="550"/>
      <c r="BD149" s="661"/>
    </row>
    <row r="150" ht="11.25" customHeight="1">
      <c r="A150" s="644"/>
      <c r="B150" s="644"/>
      <c r="C150" s="550"/>
      <c r="D150" s="337"/>
      <c r="E150" s="550"/>
      <c r="F150" s="550"/>
      <c r="G150" s="550"/>
      <c r="H150" s="550"/>
      <c r="I150" s="550"/>
      <c r="J150" s="550"/>
      <c r="K150" s="550"/>
      <c r="L150" s="550"/>
      <c r="M150" s="550"/>
      <c r="N150" s="550"/>
      <c r="O150" s="550"/>
      <c r="P150" s="550"/>
      <c r="Q150" s="550"/>
      <c r="R150" s="550"/>
      <c r="S150" s="659"/>
      <c r="T150" s="550"/>
      <c r="U150" s="550"/>
      <c r="V150" s="550"/>
      <c r="W150" s="550"/>
      <c r="X150" s="550"/>
      <c r="Y150" s="550"/>
      <c r="Z150" s="550"/>
      <c r="AA150" s="550"/>
      <c r="AB150" s="550"/>
      <c r="AC150" s="550"/>
      <c r="AD150" s="550"/>
      <c r="AE150" s="550"/>
      <c r="AF150" s="550"/>
      <c r="AG150" s="785"/>
      <c r="AH150" s="644"/>
      <c r="AI150" s="644"/>
      <c r="AJ150" s="644"/>
      <c r="AK150" s="550"/>
      <c r="AL150" s="337"/>
      <c r="AM150" s="631"/>
      <c r="AN150" s="631"/>
      <c r="AO150" s="631"/>
      <c r="AP150" s="631"/>
      <c r="AQ150" s="631"/>
      <c r="AR150" s="631"/>
      <c r="AS150" s="631"/>
      <c r="AT150" s="631"/>
      <c r="AU150" s="631"/>
      <c r="AV150" s="631"/>
      <c r="AW150" s="631"/>
      <c r="AX150" s="631"/>
      <c r="AY150" s="631"/>
      <c r="AZ150" s="631"/>
      <c r="BA150" s="631"/>
      <c r="BB150" s="631"/>
      <c r="BC150" s="550"/>
      <c r="BD150" s="661"/>
    </row>
    <row r="151" ht="11.25" customHeight="1">
      <c r="A151" s="644"/>
      <c r="B151" s="644"/>
      <c r="C151" s="550"/>
      <c r="D151" s="337"/>
      <c r="E151" s="550"/>
      <c r="F151" s="550"/>
      <c r="G151" s="550"/>
      <c r="H151" s="550"/>
      <c r="I151" s="550"/>
      <c r="J151" s="550"/>
      <c r="K151" s="550"/>
      <c r="L151" s="550"/>
      <c r="M151" s="550"/>
      <c r="N151" s="550"/>
      <c r="O151" s="550"/>
      <c r="P151" s="550"/>
      <c r="Q151" s="550"/>
      <c r="R151" s="550"/>
      <c r="S151" s="659"/>
      <c r="T151" s="550"/>
      <c r="U151" s="550"/>
      <c r="V151" s="550"/>
      <c r="W151" s="550"/>
      <c r="X151" s="550"/>
      <c r="Y151" s="550"/>
      <c r="Z151" s="550"/>
      <c r="AA151" s="550"/>
      <c r="AB151" s="550"/>
      <c r="AC151" s="550"/>
      <c r="AD151" s="550"/>
      <c r="AE151" s="550"/>
      <c r="AF151" s="550"/>
      <c r="AG151" s="785"/>
      <c r="AH151" s="644"/>
      <c r="AI151" s="644"/>
      <c r="AJ151" s="644"/>
      <c r="AK151" s="550"/>
      <c r="AL151" s="337"/>
      <c r="AM151" s="631"/>
      <c r="AN151" s="631"/>
      <c r="AO151" s="631"/>
      <c r="AP151" s="631"/>
      <c r="AQ151" s="631"/>
      <c r="AR151" s="631"/>
      <c r="AS151" s="631"/>
      <c r="AT151" s="631"/>
      <c r="AU151" s="631"/>
      <c r="AV151" s="631"/>
      <c r="AW151" s="631"/>
      <c r="AX151" s="631"/>
      <c r="AY151" s="631"/>
      <c r="AZ151" s="631"/>
      <c r="BA151" s="631"/>
      <c r="BB151" s="631"/>
      <c r="BC151" s="550"/>
      <c r="BD151" s="661"/>
    </row>
    <row r="152" ht="11.25" customHeight="1">
      <c r="A152" s="644"/>
      <c r="B152" s="644"/>
      <c r="C152" s="550"/>
      <c r="D152" s="337"/>
      <c r="E152" s="550"/>
      <c r="F152" s="550"/>
      <c r="G152" s="550"/>
      <c r="H152" s="550"/>
      <c r="I152" s="550"/>
      <c r="J152" s="550"/>
      <c r="K152" s="550"/>
      <c r="L152" s="550"/>
      <c r="M152" s="550"/>
      <c r="N152" s="550"/>
      <c r="O152" s="550"/>
      <c r="P152" s="550"/>
      <c r="Q152" s="550"/>
      <c r="R152" s="550"/>
      <c r="S152" s="659"/>
      <c r="T152" s="550"/>
      <c r="U152" s="550"/>
      <c r="V152" s="550"/>
      <c r="W152" s="550"/>
      <c r="X152" s="550"/>
      <c r="Y152" s="550"/>
      <c r="Z152" s="550"/>
      <c r="AA152" s="550"/>
      <c r="AB152" s="550"/>
      <c r="AC152" s="550"/>
      <c r="AD152" s="550"/>
      <c r="AE152" s="550"/>
      <c r="AF152" s="550"/>
      <c r="AG152" s="785"/>
      <c r="AH152" s="644"/>
      <c r="AI152" s="644"/>
      <c r="AJ152" s="644"/>
      <c r="AK152" s="550"/>
      <c r="AL152" s="337"/>
      <c r="AM152" s="631"/>
      <c r="AN152" s="631"/>
      <c r="AO152" s="631"/>
      <c r="AP152" s="631"/>
      <c r="AQ152" s="631"/>
      <c r="AR152" s="631"/>
      <c r="AS152" s="631"/>
      <c r="AT152" s="631"/>
      <c r="AU152" s="631"/>
      <c r="AV152" s="631"/>
      <c r="AW152" s="631"/>
      <c r="AX152" s="631"/>
      <c r="AY152" s="631"/>
      <c r="AZ152" s="631"/>
      <c r="BA152" s="631"/>
      <c r="BB152" s="631"/>
      <c r="BC152" s="550"/>
      <c r="BD152" s="661"/>
    </row>
    <row r="153" ht="11.25" customHeight="1">
      <c r="A153" s="644"/>
      <c r="B153" s="644"/>
      <c r="C153" s="550"/>
      <c r="D153" s="337"/>
      <c r="E153" s="550"/>
      <c r="F153" s="550"/>
      <c r="G153" s="550"/>
      <c r="H153" s="550"/>
      <c r="I153" s="550"/>
      <c r="J153" s="550"/>
      <c r="K153" s="550"/>
      <c r="L153" s="550"/>
      <c r="M153" s="550"/>
      <c r="N153" s="550"/>
      <c r="O153" s="550"/>
      <c r="P153" s="550"/>
      <c r="Q153" s="550"/>
      <c r="R153" s="550"/>
      <c r="S153" s="659"/>
      <c r="T153" s="550"/>
      <c r="U153" s="550"/>
      <c r="V153" s="550"/>
      <c r="W153" s="550"/>
      <c r="X153" s="550"/>
      <c r="Y153" s="550"/>
      <c r="Z153" s="550"/>
      <c r="AA153" s="550"/>
      <c r="AB153" s="550"/>
      <c r="AC153" s="550"/>
      <c r="AD153" s="550"/>
      <c r="AE153" s="550"/>
      <c r="AF153" s="550"/>
      <c r="AG153" s="785"/>
      <c r="AH153" s="644"/>
      <c r="AI153" s="644"/>
      <c r="AJ153" s="644"/>
      <c r="AK153" s="550"/>
      <c r="AL153" s="337"/>
      <c r="AM153" s="631"/>
      <c r="AN153" s="631"/>
      <c r="AO153" s="631"/>
      <c r="AP153" s="631"/>
      <c r="AQ153" s="631"/>
      <c r="AR153" s="631"/>
      <c r="AS153" s="631"/>
      <c r="AT153" s="631"/>
      <c r="AU153" s="631"/>
      <c r="AV153" s="631"/>
      <c r="AW153" s="631"/>
      <c r="AX153" s="631"/>
      <c r="AY153" s="631"/>
      <c r="AZ153" s="631"/>
      <c r="BA153" s="631"/>
      <c r="BB153" s="631"/>
      <c r="BC153" s="550"/>
      <c r="BD153" s="661"/>
    </row>
    <row r="154" ht="11.25" customHeight="1">
      <c r="A154" s="644"/>
      <c r="B154" s="644"/>
      <c r="C154" s="550"/>
      <c r="D154" s="337"/>
      <c r="E154" s="550"/>
      <c r="F154" s="550"/>
      <c r="G154" s="550"/>
      <c r="H154" s="550"/>
      <c r="I154" s="550"/>
      <c r="J154" s="550"/>
      <c r="K154" s="550"/>
      <c r="L154" s="550"/>
      <c r="M154" s="550"/>
      <c r="N154" s="550"/>
      <c r="O154" s="550"/>
      <c r="P154" s="550"/>
      <c r="Q154" s="550"/>
      <c r="R154" s="550"/>
      <c r="S154" s="659"/>
      <c r="T154" s="550"/>
      <c r="U154" s="550"/>
      <c r="V154" s="550"/>
      <c r="W154" s="550"/>
      <c r="X154" s="550"/>
      <c r="Y154" s="550"/>
      <c r="Z154" s="550"/>
      <c r="AA154" s="550"/>
      <c r="AB154" s="550"/>
      <c r="AC154" s="550"/>
      <c r="AD154" s="550"/>
      <c r="AE154" s="550"/>
      <c r="AF154" s="550"/>
      <c r="AG154" s="785"/>
      <c r="AH154" s="644"/>
      <c r="AI154" s="644"/>
      <c r="AJ154" s="644"/>
      <c r="AK154" s="550"/>
      <c r="AL154" s="337"/>
      <c r="AM154" s="631"/>
      <c r="AN154" s="631"/>
      <c r="AO154" s="631"/>
      <c r="AP154" s="631"/>
      <c r="AQ154" s="631"/>
      <c r="AR154" s="631"/>
      <c r="AS154" s="631"/>
      <c r="AT154" s="631"/>
      <c r="AU154" s="631"/>
      <c r="AV154" s="631"/>
      <c r="AW154" s="631"/>
      <c r="AX154" s="631"/>
      <c r="AY154" s="631"/>
      <c r="AZ154" s="631"/>
      <c r="BA154" s="631"/>
      <c r="BB154" s="631"/>
      <c r="BC154" s="550"/>
      <c r="BD154" s="661"/>
    </row>
    <row r="155" ht="11.25" customHeight="1">
      <c r="A155" s="644"/>
      <c r="B155" s="644"/>
      <c r="C155" s="550"/>
      <c r="D155" s="337"/>
      <c r="E155" s="550"/>
      <c r="F155" s="550"/>
      <c r="G155" s="550"/>
      <c r="H155" s="550"/>
      <c r="I155" s="550"/>
      <c r="J155" s="550"/>
      <c r="K155" s="550"/>
      <c r="L155" s="550"/>
      <c r="M155" s="550"/>
      <c r="N155" s="550"/>
      <c r="O155" s="550"/>
      <c r="P155" s="550"/>
      <c r="Q155" s="550"/>
      <c r="R155" s="550"/>
      <c r="S155" s="659"/>
      <c r="T155" s="550"/>
      <c r="U155" s="550"/>
      <c r="V155" s="550"/>
      <c r="W155" s="550"/>
      <c r="X155" s="550"/>
      <c r="Y155" s="550"/>
      <c r="Z155" s="550"/>
      <c r="AA155" s="550"/>
      <c r="AB155" s="550"/>
      <c r="AC155" s="550"/>
      <c r="AD155" s="550"/>
      <c r="AE155" s="550"/>
      <c r="AF155" s="550"/>
      <c r="AG155" s="785"/>
      <c r="AH155" s="644"/>
      <c r="AI155" s="644"/>
      <c r="AJ155" s="644"/>
      <c r="AK155" s="550"/>
      <c r="AL155" s="337"/>
      <c r="AM155" s="631"/>
      <c r="AN155" s="631"/>
      <c r="AO155" s="631"/>
      <c r="AP155" s="631"/>
      <c r="AQ155" s="631"/>
      <c r="AR155" s="631"/>
      <c r="AS155" s="631"/>
      <c r="AT155" s="631"/>
      <c r="AU155" s="631"/>
      <c r="AV155" s="631"/>
      <c r="AW155" s="631"/>
      <c r="AX155" s="631"/>
      <c r="AY155" s="631"/>
      <c r="AZ155" s="631"/>
      <c r="BA155" s="631"/>
      <c r="BB155" s="631"/>
      <c r="BC155" s="550"/>
      <c r="BD155" s="661"/>
    </row>
    <row r="156" ht="11.25" customHeight="1">
      <c r="A156" s="644"/>
      <c r="B156" s="644"/>
      <c r="C156" s="550"/>
      <c r="D156" s="337"/>
      <c r="E156" s="550"/>
      <c r="F156" s="550"/>
      <c r="G156" s="550"/>
      <c r="H156" s="550"/>
      <c r="I156" s="550"/>
      <c r="J156" s="550"/>
      <c r="K156" s="550"/>
      <c r="L156" s="550"/>
      <c r="M156" s="550"/>
      <c r="N156" s="550"/>
      <c r="O156" s="550"/>
      <c r="P156" s="550"/>
      <c r="Q156" s="550"/>
      <c r="R156" s="550"/>
      <c r="S156" s="659"/>
      <c r="T156" s="550"/>
      <c r="U156" s="550"/>
      <c r="V156" s="550"/>
      <c r="W156" s="550"/>
      <c r="X156" s="550"/>
      <c r="Y156" s="550"/>
      <c r="Z156" s="550"/>
      <c r="AA156" s="550"/>
      <c r="AB156" s="550"/>
      <c r="AC156" s="550"/>
      <c r="AD156" s="550"/>
      <c r="AE156" s="550"/>
      <c r="AF156" s="550"/>
      <c r="AG156" s="785"/>
      <c r="AH156" s="644"/>
      <c r="AI156" s="644"/>
      <c r="AJ156" s="644"/>
      <c r="AK156" s="550"/>
      <c r="AL156" s="337"/>
      <c r="AM156" s="631"/>
      <c r="AN156" s="631"/>
      <c r="AO156" s="631"/>
      <c r="AP156" s="631"/>
      <c r="AQ156" s="631"/>
      <c r="AR156" s="631"/>
      <c r="AS156" s="631"/>
      <c r="AT156" s="631"/>
      <c r="AU156" s="631"/>
      <c r="AV156" s="631"/>
      <c r="AW156" s="631"/>
      <c r="AX156" s="631"/>
      <c r="AY156" s="631"/>
      <c r="AZ156" s="631"/>
      <c r="BA156" s="631"/>
      <c r="BB156" s="631"/>
      <c r="BC156" s="550"/>
      <c r="BD156" s="661"/>
    </row>
    <row r="157" ht="11.25" customHeight="1">
      <c r="A157" s="644"/>
      <c r="B157" s="644"/>
      <c r="C157" s="550"/>
      <c r="D157" s="337"/>
      <c r="E157" s="550"/>
      <c r="F157" s="550"/>
      <c r="G157" s="550"/>
      <c r="H157" s="550"/>
      <c r="I157" s="550"/>
      <c r="J157" s="550"/>
      <c r="K157" s="550"/>
      <c r="L157" s="550"/>
      <c r="M157" s="550"/>
      <c r="N157" s="550"/>
      <c r="O157" s="550"/>
      <c r="P157" s="550"/>
      <c r="Q157" s="550"/>
      <c r="R157" s="550"/>
      <c r="S157" s="659"/>
      <c r="T157" s="550"/>
      <c r="U157" s="550"/>
      <c r="V157" s="550"/>
      <c r="W157" s="550"/>
      <c r="X157" s="550"/>
      <c r="Y157" s="550"/>
      <c r="Z157" s="550"/>
      <c r="AA157" s="550"/>
      <c r="AB157" s="550"/>
      <c r="AC157" s="550"/>
      <c r="AD157" s="550"/>
      <c r="AE157" s="550"/>
      <c r="AF157" s="550"/>
      <c r="AG157" s="785"/>
      <c r="AH157" s="644"/>
      <c r="AI157" s="644"/>
      <c r="AJ157" s="644"/>
      <c r="AK157" s="550"/>
      <c r="AL157" s="337"/>
      <c r="AM157" s="631"/>
      <c r="AN157" s="631"/>
      <c r="AO157" s="631"/>
      <c r="AP157" s="631"/>
      <c r="AQ157" s="631"/>
      <c r="AR157" s="631"/>
      <c r="AS157" s="631"/>
      <c r="AT157" s="631"/>
      <c r="AU157" s="631"/>
      <c r="AV157" s="631"/>
      <c r="AW157" s="631"/>
      <c r="AX157" s="631"/>
      <c r="AY157" s="631"/>
      <c r="AZ157" s="631"/>
      <c r="BA157" s="631"/>
      <c r="BB157" s="631"/>
      <c r="BC157" s="550"/>
      <c r="BD157" s="661"/>
    </row>
    <row r="158" ht="11.25" customHeight="1">
      <c r="A158" s="644"/>
      <c r="B158" s="644"/>
      <c r="C158" s="550"/>
      <c r="D158" s="337"/>
      <c r="E158" s="550"/>
      <c r="F158" s="550"/>
      <c r="G158" s="550"/>
      <c r="H158" s="550"/>
      <c r="I158" s="550"/>
      <c r="J158" s="550"/>
      <c r="K158" s="550"/>
      <c r="L158" s="550"/>
      <c r="M158" s="550"/>
      <c r="N158" s="550"/>
      <c r="O158" s="550"/>
      <c r="P158" s="550"/>
      <c r="Q158" s="550"/>
      <c r="R158" s="550"/>
      <c r="S158" s="659"/>
      <c r="T158" s="550"/>
      <c r="U158" s="550"/>
      <c r="V158" s="550"/>
      <c r="W158" s="550"/>
      <c r="X158" s="550"/>
      <c r="Y158" s="550"/>
      <c r="Z158" s="550"/>
      <c r="AA158" s="550"/>
      <c r="AB158" s="550"/>
      <c r="AC158" s="550"/>
      <c r="AD158" s="550"/>
      <c r="AE158" s="550"/>
      <c r="AF158" s="550"/>
      <c r="AG158" s="785"/>
      <c r="AH158" s="644"/>
      <c r="AI158" s="644"/>
      <c r="AJ158" s="644"/>
      <c r="AK158" s="550"/>
      <c r="AL158" s="337"/>
      <c r="AM158" s="631"/>
      <c r="AN158" s="631"/>
      <c r="AO158" s="631"/>
      <c r="AP158" s="631"/>
      <c r="AQ158" s="631"/>
      <c r="AR158" s="631"/>
      <c r="AS158" s="631"/>
      <c r="AT158" s="631"/>
      <c r="AU158" s="631"/>
      <c r="AV158" s="631"/>
      <c r="AW158" s="631"/>
      <c r="AX158" s="631"/>
      <c r="AY158" s="631"/>
      <c r="AZ158" s="631"/>
      <c r="BA158" s="631"/>
      <c r="BB158" s="631"/>
      <c r="BC158" s="550"/>
      <c r="BD158" s="661"/>
    </row>
    <row r="159" ht="11.25" customHeight="1">
      <c r="A159" s="644"/>
      <c r="B159" s="644"/>
      <c r="C159" s="550"/>
      <c r="D159" s="337"/>
      <c r="E159" s="550"/>
      <c r="F159" s="550"/>
      <c r="G159" s="550"/>
      <c r="H159" s="550"/>
      <c r="I159" s="550"/>
      <c r="J159" s="550"/>
      <c r="K159" s="550"/>
      <c r="L159" s="550"/>
      <c r="M159" s="550"/>
      <c r="N159" s="550"/>
      <c r="O159" s="550"/>
      <c r="P159" s="550"/>
      <c r="Q159" s="550"/>
      <c r="R159" s="550"/>
      <c r="S159" s="659"/>
      <c r="T159" s="550"/>
      <c r="U159" s="550"/>
      <c r="V159" s="550"/>
      <c r="W159" s="550"/>
      <c r="X159" s="550"/>
      <c r="Y159" s="550"/>
      <c r="Z159" s="550"/>
      <c r="AA159" s="550"/>
      <c r="AB159" s="550"/>
      <c r="AC159" s="550"/>
      <c r="AD159" s="550"/>
      <c r="AE159" s="550"/>
      <c r="AF159" s="550"/>
      <c r="AG159" s="785"/>
      <c r="AH159" s="644"/>
      <c r="AI159" s="644"/>
      <c r="AJ159" s="644"/>
      <c r="AK159" s="550"/>
      <c r="AL159" s="337"/>
      <c r="AM159" s="631"/>
      <c r="AN159" s="631"/>
      <c r="AO159" s="631"/>
      <c r="AP159" s="631"/>
      <c r="AQ159" s="631"/>
      <c r="AR159" s="631"/>
      <c r="AS159" s="631"/>
      <c r="AT159" s="631"/>
      <c r="AU159" s="631"/>
      <c r="AV159" s="631"/>
      <c r="AW159" s="631"/>
      <c r="AX159" s="631"/>
      <c r="AY159" s="631"/>
      <c r="AZ159" s="631"/>
      <c r="BA159" s="631"/>
      <c r="BB159" s="631"/>
      <c r="BC159" s="550"/>
      <c r="BD159" s="661"/>
    </row>
    <row r="160" ht="11.25" customHeight="1">
      <c r="A160" s="644"/>
      <c r="B160" s="644"/>
      <c r="C160" s="550"/>
      <c r="D160" s="337"/>
      <c r="E160" s="550"/>
      <c r="F160" s="550"/>
      <c r="G160" s="550"/>
      <c r="H160" s="550"/>
      <c r="I160" s="550"/>
      <c r="J160" s="550"/>
      <c r="K160" s="550"/>
      <c r="L160" s="550"/>
      <c r="M160" s="550"/>
      <c r="N160" s="550"/>
      <c r="O160" s="550"/>
      <c r="P160" s="550"/>
      <c r="Q160" s="550"/>
      <c r="R160" s="550"/>
      <c r="S160" s="659"/>
      <c r="T160" s="550"/>
      <c r="U160" s="550"/>
      <c r="V160" s="550"/>
      <c r="W160" s="550"/>
      <c r="X160" s="550"/>
      <c r="Y160" s="550"/>
      <c r="Z160" s="550"/>
      <c r="AA160" s="550"/>
      <c r="AB160" s="550"/>
      <c r="AC160" s="550"/>
      <c r="AD160" s="550"/>
      <c r="AE160" s="550"/>
      <c r="AF160" s="550"/>
      <c r="AG160" s="785"/>
      <c r="AH160" s="644"/>
      <c r="AI160" s="644"/>
      <c r="AJ160" s="644"/>
      <c r="AK160" s="550"/>
      <c r="AL160" s="337"/>
      <c r="AM160" s="631"/>
      <c r="AN160" s="631"/>
      <c r="AO160" s="631"/>
      <c r="AP160" s="631"/>
      <c r="AQ160" s="631"/>
      <c r="AR160" s="631"/>
      <c r="AS160" s="631"/>
      <c r="AT160" s="631"/>
      <c r="AU160" s="631"/>
      <c r="AV160" s="631"/>
      <c r="AW160" s="631"/>
      <c r="AX160" s="631"/>
      <c r="AY160" s="631"/>
      <c r="AZ160" s="631"/>
      <c r="BA160" s="631"/>
      <c r="BB160" s="631"/>
      <c r="BC160" s="550"/>
      <c r="BD160" s="661"/>
    </row>
    <row r="161" ht="11.25" customHeight="1">
      <c r="A161" s="644"/>
      <c r="B161" s="644"/>
      <c r="C161" s="550"/>
      <c r="D161" s="337"/>
      <c r="E161" s="550"/>
      <c r="F161" s="550"/>
      <c r="G161" s="550"/>
      <c r="H161" s="550"/>
      <c r="I161" s="550"/>
      <c r="J161" s="550"/>
      <c r="K161" s="550"/>
      <c r="L161" s="550"/>
      <c r="M161" s="550"/>
      <c r="N161" s="550"/>
      <c r="O161" s="550"/>
      <c r="P161" s="550"/>
      <c r="Q161" s="550"/>
      <c r="R161" s="550"/>
      <c r="S161" s="659"/>
      <c r="T161" s="550"/>
      <c r="U161" s="550"/>
      <c r="V161" s="550"/>
      <c r="W161" s="550"/>
      <c r="X161" s="550"/>
      <c r="Y161" s="550"/>
      <c r="Z161" s="550"/>
      <c r="AA161" s="550"/>
      <c r="AB161" s="550"/>
      <c r="AC161" s="550"/>
      <c r="AD161" s="550"/>
      <c r="AE161" s="550"/>
      <c r="AF161" s="550"/>
      <c r="AG161" s="785"/>
      <c r="AH161" s="644"/>
      <c r="AI161" s="644"/>
      <c r="AJ161" s="644"/>
      <c r="AK161" s="550"/>
      <c r="AL161" s="337"/>
      <c r="AM161" s="631"/>
      <c r="AN161" s="631"/>
      <c r="AO161" s="631"/>
      <c r="AP161" s="631"/>
      <c r="AQ161" s="631"/>
      <c r="AR161" s="631"/>
      <c r="AS161" s="631"/>
      <c r="AT161" s="631"/>
      <c r="AU161" s="631"/>
      <c r="AV161" s="631"/>
      <c r="AW161" s="631"/>
      <c r="AX161" s="631"/>
      <c r="AY161" s="631"/>
      <c r="AZ161" s="631"/>
      <c r="BA161" s="631"/>
      <c r="BB161" s="631"/>
      <c r="BC161" s="550"/>
      <c r="BD161" s="661"/>
    </row>
    <row r="162" ht="11.25" customHeight="1">
      <c r="A162" s="644"/>
      <c r="B162" s="644"/>
      <c r="C162" s="550"/>
      <c r="D162" s="337"/>
      <c r="E162" s="550"/>
      <c r="F162" s="550"/>
      <c r="G162" s="550"/>
      <c r="H162" s="550"/>
      <c r="I162" s="550"/>
      <c r="J162" s="550"/>
      <c r="K162" s="550"/>
      <c r="L162" s="550"/>
      <c r="M162" s="550"/>
      <c r="N162" s="550"/>
      <c r="O162" s="550"/>
      <c r="P162" s="550"/>
      <c r="Q162" s="550"/>
      <c r="R162" s="550"/>
      <c r="S162" s="659"/>
      <c r="T162" s="550"/>
      <c r="U162" s="550"/>
      <c r="V162" s="550"/>
      <c r="W162" s="550"/>
      <c r="X162" s="550"/>
      <c r="Y162" s="550"/>
      <c r="Z162" s="550"/>
      <c r="AA162" s="550"/>
      <c r="AB162" s="550"/>
      <c r="AC162" s="550"/>
      <c r="AD162" s="550"/>
      <c r="AE162" s="550"/>
      <c r="AF162" s="550"/>
      <c r="AG162" s="785"/>
      <c r="AH162" s="644"/>
      <c r="AI162" s="644"/>
      <c r="AJ162" s="644"/>
      <c r="AK162" s="550"/>
      <c r="AL162" s="337"/>
      <c r="AM162" s="631"/>
      <c r="AN162" s="631"/>
      <c r="AO162" s="631"/>
      <c r="AP162" s="631"/>
      <c r="AQ162" s="631"/>
      <c r="AR162" s="631"/>
      <c r="AS162" s="631"/>
      <c r="AT162" s="631"/>
      <c r="AU162" s="631"/>
      <c r="AV162" s="631"/>
      <c r="AW162" s="631"/>
      <c r="AX162" s="631"/>
      <c r="AY162" s="631"/>
      <c r="AZ162" s="631"/>
      <c r="BA162" s="631"/>
      <c r="BB162" s="631"/>
      <c r="BC162" s="550"/>
      <c r="BD162" s="661"/>
    </row>
    <row r="163" ht="11.25" customHeight="1">
      <c r="A163" s="644"/>
      <c r="B163" s="644"/>
      <c r="C163" s="550"/>
      <c r="D163" s="337"/>
      <c r="E163" s="550"/>
      <c r="F163" s="550"/>
      <c r="G163" s="550"/>
      <c r="H163" s="550"/>
      <c r="I163" s="550"/>
      <c r="J163" s="550"/>
      <c r="K163" s="550"/>
      <c r="L163" s="550"/>
      <c r="M163" s="550"/>
      <c r="N163" s="550"/>
      <c r="O163" s="550"/>
      <c r="P163" s="550"/>
      <c r="Q163" s="550"/>
      <c r="R163" s="550"/>
      <c r="S163" s="659"/>
      <c r="T163" s="550"/>
      <c r="U163" s="550"/>
      <c r="V163" s="550"/>
      <c r="W163" s="550"/>
      <c r="X163" s="550"/>
      <c r="Y163" s="550"/>
      <c r="Z163" s="550"/>
      <c r="AA163" s="550"/>
      <c r="AB163" s="550"/>
      <c r="AC163" s="550"/>
      <c r="AD163" s="550"/>
      <c r="AE163" s="550"/>
      <c r="AF163" s="550"/>
      <c r="AG163" s="785"/>
      <c r="AH163" s="644"/>
      <c r="AI163" s="644"/>
      <c r="AJ163" s="644"/>
      <c r="AK163" s="550"/>
      <c r="AL163" s="337"/>
      <c r="AM163" s="631"/>
      <c r="AN163" s="631"/>
      <c r="AO163" s="631"/>
      <c r="AP163" s="631"/>
      <c r="AQ163" s="631"/>
      <c r="AR163" s="631"/>
      <c r="AS163" s="631"/>
      <c r="AT163" s="631"/>
      <c r="AU163" s="631"/>
      <c r="AV163" s="631"/>
      <c r="AW163" s="631"/>
      <c r="AX163" s="631"/>
      <c r="AY163" s="631"/>
      <c r="AZ163" s="631"/>
      <c r="BA163" s="631"/>
      <c r="BB163" s="631"/>
      <c r="BC163" s="550"/>
      <c r="BD163" s="661"/>
    </row>
    <row r="164" ht="11.25" customHeight="1">
      <c r="A164" s="644"/>
      <c r="B164" s="644"/>
      <c r="C164" s="550"/>
      <c r="D164" s="337"/>
      <c r="E164" s="550"/>
      <c r="F164" s="550"/>
      <c r="G164" s="550"/>
      <c r="H164" s="550"/>
      <c r="I164" s="550"/>
      <c r="J164" s="550"/>
      <c r="K164" s="550"/>
      <c r="L164" s="550"/>
      <c r="M164" s="550"/>
      <c r="N164" s="550"/>
      <c r="O164" s="550"/>
      <c r="P164" s="550"/>
      <c r="Q164" s="550"/>
      <c r="R164" s="550"/>
      <c r="S164" s="659"/>
      <c r="T164" s="550"/>
      <c r="U164" s="550"/>
      <c r="V164" s="550"/>
      <c r="W164" s="550"/>
      <c r="X164" s="550"/>
      <c r="Y164" s="550"/>
      <c r="Z164" s="550"/>
      <c r="AA164" s="550"/>
      <c r="AB164" s="550"/>
      <c r="AC164" s="550"/>
      <c r="AD164" s="550"/>
      <c r="AE164" s="550"/>
      <c r="AF164" s="550"/>
      <c r="AG164" s="785"/>
      <c r="AH164" s="644"/>
      <c r="AI164" s="644"/>
      <c r="AJ164" s="644"/>
      <c r="AK164" s="550"/>
      <c r="AL164" s="337"/>
      <c r="AM164" s="631"/>
      <c r="AN164" s="631"/>
      <c r="AO164" s="631"/>
      <c r="AP164" s="631"/>
      <c r="AQ164" s="631"/>
      <c r="AR164" s="631"/>
      <c r="AS164" s="631"/>
      <c r="AT164" s="631"/>
      <c r="AU164" s="631"/>
      <c r="AV164" s="631"/>
      <c r="AW164" s="631"/>
      <c r="AX164" s="631"/>
      <c r="AY164" s="631"/>
      <c r="AZ164" s="631"/>
      <c r="BA164" s="631"/>
      <c r="BB164" s="631"/>
      <c r="BC164" s="550"/>
      <c r="BD164" s="661"/>
    </row>
    <row r="165" ht="11.25" customHeight="1">
      <c r="A165" s="644"/>
      <c r="B165" s="644"/>
      <c r="C165" s="550"/>
      <c r="D165" s="337"/>
      <c r="E165" s="550"/>
      <c r="F165" s="550"/>
      <c r="G165" s="550"/>
      <c r="H165" s="550"/>
      <c r="I165" s="550"/>
      <c r="J165" s="550"/>
      <c r="K165" s="550"/>
      <c r="L165" s="550"/>
      <c r="M165" s="550"/>
      <c r="N165" s="550"/>
      <c r="O165" s="550"/>
      <c r="P165" s="550"/>
      <c r="Q165" s="550"/>
      <c r="R165" s="550"/>
      <c r="S165" s="659"/>
      <c r="T165" s="550"/>
      <c r="U165" s="550"/>
      <c r="V165" s="550"/>
      <c r="W165" s="550"/>
      <c r="X165" s="550"/>
      <c r="Y165" s="550"/>
      <c r="Z165" s="550"/>
      <c r="AA165" s="550"/>
      <c r="AB165" s="550"/>
      <c r="AC165" s="550"/>
      <c r="AD165" s="550"/>
      <c r="AE165" s="550"/>
      <c r="AF165" s="550"/>
      <c r="AG165" s="785"/>
      <c r="AH165" s="644"/>
      <c r="AI165" s="644"/>
      <c r="AJ165" s="644"/>
      <c r="AK165" s="550"/>
      <c r="AL165" s="337"/>
      <c r="AM165" s="631"/>
      <c r="AN165" s="631"/>
      <c r="AO165" s="631"/>
      <c r="AP165" s="631"/>
      <c r="AQ165" s="631"/>
      <c r="AR165" s="631"/>
      <c r="AS165" s="631"/>
      <c r="AT165" s="631"/>
      <c r="AU165" s="631"/>
      <c r="AV165" s="631"/>
      <c r="AW165" s="631"/>
      <c r="AX165" s="631"/>
      <c r="AY165" s="631"/>
      <c r="AZ165" s="631"/>
      <c r="BA165" s="631"/>
      <c r="BB165" s="631"/>
      <c r="BC165" s="550"/>
      <c r="BD165" s="661"/>
    </row>
    <row r="166" ht="11.25" customHeight="1">
      <c r="A166" s="644"/>
      <c r="B166" s="644"/>
      <c r="C166" s="550"/>
      <c r="D166" s="337"/>
      <c r="E166" s="550"/>
      <c r="F166" s="550"/>
      <c r="G166" s="550"/>
      <c r="H166" s="550"/>
      <c r="I166" s="550"/>
      <c r="J166" s="550"/>
      <c r="K166" s="550"/>
      <c r="L166" s="550"/>
      <c r="M166" s="550"/>
      <c r="N166" s="550"/>
      <c r="O166" s="550"/>
      <c r="P166" s="550"/>
      <c r="Q166" s="550"/>
      <c r="R166" s="550"/>
      <c r="S166" s="659"/>
      <c r="T166" s="550"/>
      <c r="U166" s="550"/>
      <c r="V166" s="550"/>
      <c r="W166" s="550"/>
      <c r="X166" s="550"/>
      <c r="Y166" s="550"/>
      <c r="Z166" s="550"/>
      <c r="AA166" s="550"/>
      <c r="AB166" s="550"/>
      <c r="AC166" s="550"/>
      <c r="AD166" s="550"/>
      <c r="AE166" s="550"/>
      <c r="AF166" s="550"/>
      <c r="AG166" s="785"/>
      <c r="AH166" s="644"/>
      <c r="AI166" s="644"/>
      <c r="AJ166" s="644"/>
      <c r="AK166" s="550"/>
      <c r="AL166" s="337"/>
      <c r="AM166" s="631"/>
      <c r="AN166" s="631"/>
      <c r="AO166" s="631"/>
      <c r="AP166" s="631"/>
      <c r="AQ166" s="631"/>
      <c r="AR166" s="631"/>
      <c r="AS166" s="631"/>
      <c r="AT166" s="631"/>
      <c r="AU166" s="631"/>
      <c r="AV166" s="631"/>
      <c r="AW166" s="631"/>
      <c r="AX166" s="631"/>
      <c r="AY166" s="631"/>
      <c r="AZ166" s="631"/>
      <c r="BA166" s="631"/>
      <c r="BB166" s="631"/>
      <c r="BC166" s="550"/>
      <c r="BD166" s="661"/>
    </row>
    <row r="167" ht="11.25" customHeight="1">
      <c r="A167" s="644"/>
      <c r="B167" s="644"/>
      <c r="C167" s="550"/>
      <c r="D167" s="337"/>
      <c r="E167" s="550"/>
      <c r="F167" s="550"/>
      <c r="G167" s="550"/>
      <c r="H167" s="550"/>
      <c r="I167" s="550"/>
      <c r="J167" s="550"/>
      <c r="K167" s="550"/>
      <c r="L167" s="550"/>
      <c r="M167" s="550"/>
      <c r="N167" s="550"/>
      <c r="O167" s="550"/>
      <c r="P167" s="550"/>
      <c r="Q167" s="550"/>
      <c r="R167" s="550"/>
      <c r="S167" s="659"/>
      <c r="T167" s="550"/>
      <c r="U167" s="550"/>
      <c r="V167" s="550"/>
      <c r="W167" s="550"/>
      <c r="X167" s="550"/>
      <c r="Y167" s="550"/>
      <c r="Z167" s="550"/>
      <c r="AA167" s="550"/>
      <c r="AB167" s="550"/>
      <c r="AC167" s="550"/>
      <c r="AD167" s="550"/>
      <c r="AE167" s="550"/>
      <c r="AF167" s="550"/>
      <c r="AG167" s="785"/>
      <c r="AH167" s="644"/>
      <c r="AI167" s="644"/>
      <c r="AJ167" s="644"/>
      <c r="AK167" s="550"/>
      <c r="AL167" s="337"/>
      <c r="AM167" s="631"/>
      <c r="AN167" s="631"/>
      <c r="AO167" s="631"/>
      <c r="AP167" s="631"/>
      <c r="AQ167" s="631"/>
      <c r="AR167" s="631"/>
      <c r="AS167" s="631"/>
      <c r="AT167" s="631"/>
      <c r="AU167" s="631"/>
      <c r="AV167" s="631"/>
      <c r="AW167" s="631"/>
      <c r="AX167" s="631"/>
      <c r="AY167" s="631"/>
      <c r="AZ167" s="631"/>
      <c r="BA167" s="631"/>
      <c r="BB167" s="631"/>
      <c r="BC167" s="550"/>
      <c r="BD167" s="661"/>
    </row>
    <row r="168" ht="11.25" customHeight="1">
      <c r="A168" s="644"/>
      <c r="B168" s="644"/>
      <c r="C168" s="550"/>
      <c r="D168" s="337"/>
      <c r="E168" s="550"/>
      <c r="F168" s="550"/>
      <c r="G168" s="550"/>
      <c r="H168" s="550"/>
      <c r="I168" s="550"/>
      <c r="J168" s="550"/>
      <c r="K168" s="550"/>
      <c r="L168" s="550"/>
      <c r="M168" s="550"/>
      <c r="N168" s="550"/>
      <c r="O168" s="550"/>
      <c r="P168" s="550"/>
      <c r="Q168" s="550"/>
      <c r="R168" s="550"/>
      <c r="S168" s="659"/>
      <c r="T168" s="550"/>
      <c r="U168" s="550"/>
      <c r="V168" s="550"/>
      <c r="W168" s="550"/>
      <c r="X168" s="550"/>
      <c r="Y168" s="550"/>
      <c r="Z168" s="550"/>
      <c r="AA168" s="550"/>
      <c r="AB168" s="550"/>
      <c r="AC168" s="550"/>
      <c r="AD168" s="550"/>
      <c r="AE168" s="550"/>
      <c r="AF168" s="550"/>
      <c r="AG168" s="785"/>
      <c r="AH168" s="644"/>
      <c r="AI168" s="644"/>
      <c r="AJ168" s="644"/>
      <c r="AK168" s="550"/>
      <c r="AL168" s="337"/>
      <c r="AM168" s="631"/>
      <c r="AN168" s="631"/>
      <c r="AO168" s="631"/>
      <c r="AP168" s="631"/>
      <c r="AQ168" s="631"/>
      <c r="AR168" s="631"/>
      <c r="AS168" s="631"/>
      <c r="AT168" s="631"/>
      <c r="AU168" s="631"/>
      <c r="AV168" s="631"/>
      <c r="AW168" s="631"/>
      <c r="AX168" s="631"/>
      <c r="AY168" s="631"/>
      <c r="AZ168" s="631"/>
      <c r="BA168" s="631"/>
      <c r="BB168" s="631"/>
      <c r="BC168" s="550"/>
      <c r="BD168" s="661"/>
    </row>
    <row r="169" ht="11.25" customHeight="1">
      <c r="A169" s="644"/>
      <c r="B169" s="644"/>
      <c r="C169" s="550"/>
      <c r="D169" s="337"/>
      <c r="E169" s="550"/>
      <c r="F169" s="550"/>
      <c r="G169" s="550"/>
      <c r="H169" s="550"/>
      <c r="I169" s="550"/>
      <c r="J169" s="550"/>
      <c r="K169" s="550"/>
      <c r="L169" s="550"/>
      <c r="M169" s="550"/>
      <c r="N169" s="550"/>
      <c r="O169" s="550"/>
      <c r="P169" s="550"/>
      <c r="Q169" s="550"/>
      <c r="R169" s="550"/>
      <c r="S169" s="659"/>
      <c r="T169" s="550"/>
      <c r="U169" s="550"/>
      <c r="V169" s="550"/>
      <c r="W169" s="550"/>
      <c r="X169" s="550"/>
      <c r="Y169" s="550"/>
      <c r="Z169" s="550"/>
      <c r="AA169" s="550"/>
      <c r="AB169" s="550"/>
      <c r="AC169" s="550"/>
      <c r="AD169" s="550"/>
      <c r="AE169" s="550"/>
      <c r="AF169" s="550"/>
      <c r="AG169" s="785"/>
      <c r="AH169" s="644"/>
      <c r="AI169" s="644"/>
      <c r="AJ169" s="644"/>
      <c r="AK169" s="550"/>
      <c r="AL169" s="337"/>
      <c r="AM169" s="631"/>
      <c r="AN169" s="631"/>
      <c r="AO169" s="631"/>
      <c r="AP169" s="631"/>
      <c r="AQ169" s="631"/>
      <c r="AR169" s="631"/>
      <c r="AS169" s="631"/>
      <c r="AT169" s="631"/>
      <c r="AU169" s="631"/>
      <c r="AV169" s="631"/>
      <c r="AW169" s="631"/>
      <c r="AX169" s="631"/>
      <c r="AY169" s="631"/>
      <c r="AZ169" s="631"/>
      <c r="BA169" s="631"/>
      <c r="BB169" s="631"/>
      <c r="BC169" s="550"/>
      <c r="BD169" s="661"/>
    </row>
    <row r="170" ht="11.25" customHeight="1">
      <c r="A170" s="644"/>
      <c r="B170" s="644"/>
      <c r="C170" s="550"/>
      <c r="D170" s="337"/>
      <c r="E170" s="550"/>
      <c r="F170" s="550"/>
      <c r="G170" s="550"/>
      <c r="H170" s="550"/>
      <c r="I170" s="550"/>
      <c r="J170" s="550"/>
      <c r="K170" s="550"/>
      <c r="L170" s="550"/>
      <c r="M170" s="550"/>
      <c r="N170" s="550"/>
      <c r="O170" s="550"/>
      <c r="P170" s="550"/>
      <c r="Q170" s="550"/>
      <c r="R170" s="550"/>
      <c r="S170" s="659"/>
      <c r="T170" s="550"/>
      <c r="U170" s="550"/>
      <c r="V170" s="550"/>
      <c r="W170" s="550"/>
      <c r="X170" s="550"/>
      <c r="Y170" s="550"/>
      <c r="Z170" s="550"/>
      <c r="AA170" s="550"/>
      <c r="AB170" s="550"/>
      <c r="AC170" s="550"/>
      <c r="AD170" s="550"/>
      <c r="AE170" s="550"/>
      <c r="AF170" s="550"/>
      <c r="AG170" s="785"/>
      <c r="AH170" s="644"/>
      <c r="AI170" s="644"/>
      <c r="AJ170" s="644"/>
      <c r="AK170" s="550"/>
      <c r="AL170" s="337"/>
      <c r="AM170" s="631"/>
      <c r="AN170" s="631"/>
      <c r="AO170" s="631"/>
      <c r="AP170" s="631"/>
      <c r="AQ170" s="631"/>
      <c r="AR170" s="631"/>
      <c r="AS170" s="631"/>
      <c r="AT170" s="631"/>
      <c r="AU170" s="631"/>
      <c r="AV170" s="631"/>
      <c r="AW170" s="631"/>
      <c r="AX170" s="631"/>
      <c r="AY170" s="631"/>
      <c r="AZ170" s="631"/>
      <c r="BA170" s="631"/>
      <c r="BB170" s="631"/>
      <c r="BC170" s="550"/>
      <c r="BD170" s="661"/>
    </row>
    <row r="171" ht="11.25" customHeight="1">
      <c r="A171" s="644"/>
      <c r="B171" s="644"/>
      <c r="C171" s="550"/>
      <c r="D171" s="337"/>
      <c r="E171" s="550"/>
      <c r="F171" s="550"/>
      <c r="G171" s="550"/>
      <c r="H171" s="550"/>
      <c r="I171" s="550"/>
      <c r="J171" s="550"/>
      <c r="K171" s="550"/>
      <c r="L171" s="550"/>
      <c r="M171" s="550"/>
      <c r="N171" s="550"/>
      <c r="O171" s="550"/>
      <c r="P171" s="550"/>
      <c r="Q171" s="550"/>
      <c r="R171" s="550"/>
      <c r="S171" s="659"/>
      <c r="T171" s="550"/>
      <c r="U171" s="550"/>
      <c r="V171" s="550"/>
      <c r="W171" s="550"/>
      <c r="X171" s="550"/>
      <c r="Y171" s="550"/>
      <c r="Z171" s="550"/>
      <c r="AA171" s="550"/>
      <c r="AB171" s="550"/>
      <c r="AC171" s="550"/>
      <c r="AD171" s="550"/>
      <c r="AE171" s="550"/>
      <c r="AF171" s="550"/>
      <c r="AG171" s="785"/>
      <c r="AH171" s="644"/>
      <c r="AI171" s="644"/>
      <c r="AJ171" s="644"/>
      <c r="AK171" s="550"/>
      <c r="AL171" s="337"/>
      <c r="AM171" s="631"/>
      <c r="AN171" s="631"/>
      <c r="AO171" s="631"/>
      <c r="AP171" s="631"/>
      <c r="AQ171" s="631"/>
      <c r="AR171" s="631"/>
      <c r="AS171" s="631"/>
      <c r="AT171" s="631"/>
      <c r="AU171" s="631"/>
      <c r="AV171" s="631"/>
      <c r="AW171" s="631"/>
      <c r="AX171" s="631"/>
      <c r="AY171" s="631"/>
      <c r="AZ171" s="631"/>
      <c r="BA171" s="631"/>
      <c r="BB171" s="631"/>
      <c r="BC171" s="550"/>
      <c r="BD171" s="661"/>
    </row>
    <row r="172" ht="11.25" customHeight="1">
      <c r="A172" s="644"/>
      <c r="B172" s="644"/>
      <c r="C172" s="550"/>
      <c r="D172" s="337"/>
      <c r="E172" s="550"/>
      <c r="F172" s="550"/>
      <c r="G172" s="550"/>
      <c r="H172" s="550"/>
      <c r="I172" s="550"/>
      <c r="J172" s="550"/>
      <c r="K172" s="550"/>
      <c r="L172" s="550"/>
      <c r="M172" s="550"/>
      <c r="N172" s="550"/>
      <c r="O172" s="550"/>
      <c r="P172" s="550"/>
      <c r="Q172" s="550"/>
      <c r="R172" s="550"/>
      <c r="S172" s="659"/>
      <c r="T172" s="550"/>
      <c r="U172" s="550"/>
      <c r="V172" s="550"/>
      <c r="W172" s="550"/>
      <c r="X172" s="550"/>
      <c r="Y172" s="550"/>
      <c r="Z172" s="550"/>
      <c r="AA172" s="550"/>
      <c r="AB172" s="550"/>
      <c r="AC172" s="550"/>
      <c r="AD172" s="550"/>
      <c r="AE172" s="550"/>
      <c r="AF172" s="550"/>
      <c r="AG172" s="785"/>
      <c r="AH172" s="644"/>
      <c r="AI172" s="644"/>
      <c r="AJ172" s="644"/>
      <c r="AK172" s="550"/>
      <c r="AL172" s="337"/>
      <c r="AM172" s="631"/>
      <c r="AN172" s="631"/>
      <c r="AO172" s="631"/>
      <c r="AP172" s="631"/>
      <c r="AQ172" s="631"/>
      <c r="AR172" s="631"/>
      <c r="AS172" s="631"/>
      <c r="AT172" s="631"/>
      <c r="AU172" s="631"/>
      <c r="AV172" s="631"/>
      <c r="AW172" s="631"/>
      <c r="AX172" s="631"/>
      <c r="AY172" s="631"/>
      <c r="AZ172" s="631"/>
      <c r="BA172" s="631"/>
      <c r="BB172" s="631"/>
      <c r="BC172" s="550"/>
      <c r="BD172" s="661"/>
    </row>
    <row r="173" ht="11.25" customHeight="1">
      <c r="A173" s="644"/>
      <c r="B173" s="644"/>
      <c r="C173" s="550"/>
      <c r="D173" s="337"/>
      <c r="E173" s="550"/>
      <c r="F173" s="550"/>
      <c r="G173" s="550"/>
      <c r="H173" s="550"/>
      <c r="I173" s="550"/>
      <c r="J173" s="550"/>
      <c r="K173" s="550"/>
      <c r="L173" s="550"/>
      <c r="M173" s="550"/>
      <c r="N173" s="550"/>
      <c r="O173" s="550"/>
      <c r="P173" s="550"/>
      <c r="Q173" s="550"/>
      <c r="R173" s="550"/>
      <c r="S173" s="659"/>
      <c r="T173" s="550"/>
      <c r="U173" s="550"/>
      <c r="V173" s="550"/>
      <c r="W173" s="550"/>
      <c r="X173" s="550"/>
      <c r="Y173" s="550"/>
      <c r="Z173" s="550"/>
      <c r="AA173" s="550"/>
      <c r="AB173" s="550"/>
      <c r="AC173" s="550"/>
      <c r="AD173" s="550"/>
      <c r="AE173" s="550"/>
      <c r="AF173" s="550"/>
      <c r="AG173" s="785"/>
      <c r="AH173" s="644"/>
      <c r="AI173" s="644"/>
      <c r="AJ173" s="644"/>
      <c r="AK173" s="550"/>
      <c r="AL173" s="337"/>
      <c r="AM173" s="631"/>
      <c r="AN173" s="631"/>
      <c r="AO173" s="631"/>
      <c r="AP173" s="631"/>
      <c r="AQ173" s="631"/>
      <c r="AR173" s="631"/>
      <c r="AS173" s="631"/>
      <c r="AT173" s="631"/>
      <c r="AU173" s="631"/>
      <c r="AV173" s="631"/>
      <c r="AW173" s="631"/>
      <c r="AX173" s="631"/>
      <c r="AY173" s="631"/>
      <c r="AZ173" s="631"/>
      <c r="BA173" s="631"/>
      <c r="BB173" s="631"/>
      <c r="BC173" s="550"/>
      <c r="BD173" s="661"/>
    </row>
    <row r="174" ht="11.25" customHeight="1">
      <c r="A174" s="644"/>
      <c r="B174" s="644"/>
      <c r="C174" s="550"/>
      <c r="D174" s="337"/>
      <c r="E174" s="550"/>
      <c r="F174" s="550"/>
      <c r="G174" s="550"/>
      <c r="H174" s="550"/>
      <c r="I174" s="550"/>
      <c r="J174" s="550"/>
      <c r="K174" s="550"/>
      <c r="L174" s="550"/>
      <c r="M174" s="550"/>
      <c r="N174" s="550"/>
      <c r="O174" s="550"/>
      <c r="P174" s="550"/>
      <c r="Q174" s="550"/>
      <c r="R174" s="550"/>
      <c r="S174" s="659"/>
      <c r="T174" s="550"/>
      <c r="U174" s="550"/>
      <c r="V174" s="550"/>
      <c r="W174" s="550"/>
      <c r="X174" s="550"/>
      <c r="Y174" s="550"/>
      <c r="Z174" s="550"/>
      <c r="AA174" s="550"/>
      <c r="AB174" s="550"/>
      <c r="AC174" s="550"/>
      <c r="AD174" s="550"/>
      <c r="AE174" s="550"/>
      <c r="AF174" s="550"/>
      <c r="AG174" s="785"/>
      <c r="AH174" s="644"/>
      <c r="AI174" s="644"/>
      <c r="AJ174" s="644"/>
      <c r="AK174" s="550"/>
      <c r="AL174" s="337"/>
      <c r="AM174" s="631"/>
      <c r="AN174" s="631"/>
      <c r="AO174" s="631"/>
      <c r="AP174" s="631"/>
      <c r="AQ174" s="631"/>
      <c r="AR174" s="631"/>
      <c r="AS174" s="631"/>
      <c r="AT174" s="631"/>
      <c r="AU174" s="631"/>
      <c r="AV174" s="631"/>
      <c r="AW174" s="631"/>
      <c r="AX174" s="631"/>
      <c r="AY174" s="631"/>
      <c r="AZ174" s="631"/>
      <c r="BA174" s="631"/>
      <c r="BB174" s="631"/>
      <c r="BC174" s="550"/>
      <c r="BD174" s="661"/>
    </row>
    <row r="175" ht="11.25" customHeight="1">
      <c r="A175" s="644"/>
      <c r="B175" s="644"/>
      <c r="C175" s="550"/>
      <c r="D175" s="337"/>
      <c r="E175" s="550"/>
      <c r="F175" s="550"/>
      <c r="G175" s="550"/>
      <c r="H175" s="550"/>
      <c r="I175" s="550"/>
      <c r="J175" s="550"/>
      <c r="K175" s="550"/>
      <c r="L175" s="550"/>
      <c r="M175" s="550"/>
      <c r="N175" s="550"/>
      <c r="O175" s="550"/>
      <c r="P175" s="550"/>
      <c r="Q175" s="550"/>
      <c r="R175" s="550"/>
      <c r="S175" s="659"/>
      <c r="T175" s="550"/>
      <c r="U175" s="550"/>
      <c r="V175" s="550"/>
      <c r="W175" s="550"/>
      <c r="X175" s="550"/>
      <c r="Y175" s="550"/>
      <c r="Z175" s="550"/>
      <c r="AA175" s="550"/>
      <c r="AB175" s="550"/>
      <c r="AC175" s="550"/>
      <c r="AD175" s="550"/>
      <c r="AE175" s="550"/>
      <c r="AF175" s="550"/>
      <c r="AG175" s="785"/>
      <c r="AH175" s="644"/>
      <c r="AI175" s="644"/>
      <c r="AJ175" s="644"/>
      <c r="AK175" s="550"/>
      <c r="AL175" s="337"/>
      <c r="AM175" s="631"/>
      <c r="AN175" s="631"/>
      <c r="AO175" s="631"/>
      <c r="AP175" s="631"/>
      <c r="AQ175" s="631"/>
      <c r="AR175" s="631"/>
      <c r="AS175" s="631"/>
      <c r="AT175" s="631"/>
      <c r="AU175" s="631"/>
      <c r="AV175" s="631"/>
      <c r="AW175" s="631"/>
      <c r="AX175" s="631"/>
      <c r="AY175" s="631"/>
      <c r="AZ175" s="631"/>
      <c r="BA175" s="631"/>
      <c r="BB175" s="631"/>
      <c r="BC175" s="550"/>
      <c r="BD175" s="661"/>
    </row>
    <row r="176" ht="11.25" customHeight="1">
      <c r="A176" s="644"/>
      <c r="B176" s="644"/>
      <c r="C176" s="550"/>
      <c r="D176" s="337"/>
      <c r="E176" s="550"/>
      <c r="F176" s="550"/>
      <c r="G176" s="550"/>
      <c r="H176" s="550"/>
      <c r="I176" s="550"/>
      <c r="J176" s="550"/>
      <c r="K176" s="550"/>
      <c r="L176" s="550"/>
      <c r="M176" s="550"/>
      <c r="N176" s="550"/>
      <c r="O176" s="550"/>
      <c r="P176" s="550"/>
      <c r="Q176" s="550"/>
      <c r="R176" s="550"/>
      <c r="S176" s="659"/>
      <c r="T176" s="550"/>
      <c r="U176" s="550"/>
      <c r="V176" s="550"/>
      <c r="W176" s="550"/>
      <c r="X176" s="550"/>
      <c r="Y176" s="550"/>
      <c r="Z176" s="550"/>
      <c r="AA176" s="550"/>
      <c r="AB176" s="550"/>
      <c r="AC176" s="550"/>
      <c r="AD176" s="550"/>
      <c r="AE176" s="550"/>
      <c r="AF176" s="550"/>
      <c r="AG176" s="785"/>
      <c r="AH176" s="644"/>
      <c r="AI176" s="644"/>
      <c r="AJ176" s="644"/>
      <c r="AK176" s="550"/>
      <c r="AL176" s="337"/>
      <c r="AM176" s="631"/>
      <c r="AN176" s="631"/>
      <c r="AO176" s="631"/>
      <c r="AP176" s="631"/>
      <c r="AQ176" s="631"/>
      <c r="AR176" s="631"/>
      <c r="AS176" s="631"/>
      <c r="AT176" s="631"/>
      <c r="AU176" s="631"/>
      <c r="AV176" s="631"/>
      <c r="AW176" s="631"/>
      <c r="AX176" s="631"/>
      <c r="AY176" s="631"/>
      <c r="AZ176" s="631"/>
      <c r="BA176" s="631"/>
      <c r="BB176" s="631"/>
      <c r="BC176" s="550"/>
      <c r="BD176" s="661"/>
    </row>
    <row r="177" ht="11.25" customHeight="1">
      <c r="A177" s="644"/>
      <c r="B177" s="644"/>
      <c r="C177" s="550"/>
      <c r="D177" s="337"/>
      <c r="E177" s="550"/>
      <c r="F177" s="550"/>
      <c r="G177" s="550"/>
      <c r="H177" s="550"/>
      <c r="I177" s="550"/>
      <c r="J177" s="550"/>
      <c r="K177" s="550"/>
      <c r="L177" s="550"/>
      <c r="M177" s="550"/>
      <c r="N177" s="550"/>
      <c r="O177" s="550"/>
      <c r="P177" s="550"/>
      <c r="Q177" s="550"/>
      <c r="R177" s="550"/>
      <c r="S177" s="659"/>
      <c r="T177" s="550"/>
      <c r="U177" s="550"/>
      <c r="V177" s="550"/>
      <c r="W177" s="550"/>
      <c r="X177" s="550"/>
      <c r="Y177" s="550"/>
      <c r="Z177" s="550"/>
      <c r="AA177" s="550"/>
      <c r="AB177" s="550"/>
      <c r="AC177" s="550"/>
      <c r="AD177" s="550"/>
      <c r="AE177" s="550"/>
      <c r="AF177" s="550"/>
      <c r="AG177" s="785"/>
      <c r="AH177" s="644"/>
      <c r="AI177" s="644"/>
      <c r="AJ177" s="644"/>
      <c r="AK177" s="550"/>
      <c r="AL177" s="337"/>
      <c r="AM177" s="631"/>
      <c r="AN177" s="631"/>
      <c r="AO177" s="631"/>
      <c r="AP177" s="631"/>
      <c r="AQ177" s="631"/>
      <c r="AR177" s="631"/>
      <c r="AS177" s="631"/>
      <c r="AT177" s="631"/>
      <c r="AU177" s="631"/>
      <c r="AV177" s="631"/>
      <c r="AW177" s="631"/>
      <c r="AX177" s="631"/>
      <c r="AY177" s="631"/>
      <c r="AZ177" s="631"/>
      <c r="BA177" s="631"/>
      <c r="BB177" s="631"/>
      <c r="BC177" s="550"/>
      <c r="BD177" s="661"/>
    </row>
    <row r="178" ht="11.25" customHeight="1">
      <c r="A178" s="644"/>
      <c r="B178" s="644"/>
      <c r="C178" s="550"/>
      <c r="D178" s="337"/>
      <c r="E178" s="550"/>
      <c r="F178" s="550"/>
      <c r="G178" s="550"/>
      <c r="H178" s="550"/>
      <c r="I178" s="550"/>
      <c r="J178" s="550"/>
      <c r="K178" s="550"/>
      <c r="L178" s="550"/>
      <c r="M178" s="550"/>
      <c r="N178" s="550"/>
      <c r="O178" s="550"/>
      <c r="P178" s="550"/>
      <c r="Q178" s="550"/>
      <c r="R178" s="550"/>
      <c r="S178" s="659"/>
      <c r="T178" s="550"/>
      <c r="U178" s="550"/>
      <c r="V178" s="550"/>
      <c r="W178" s="550"/>
      <c r="X178" s="550"/>
      <c r="Y178" s="550"/>
      <c r="Z178" s="550"/>
      <c r="AA178" s="550"/>
      <c r="AB178" s="550"/>
      <c r="AC178" s="550"/>
      <c r="AD178" s="550"/>
      <c r="AE178" s="550"/>
      <c r="AF178" s="550"/>
      <c r="AG178" s="785"/>
      <c r="AH178" s="644"/>
      <c r="AI178" s="644"/>
      <c r="AJ178" s="644"/>
      <c r="AK178" s="550"/>
      <c r="AL178" s="337"/>
      <c r="AM178" s="631"/>
      <c r="AN178" s="631"/>
      <c r="AO178" s="631"/>
      <c r="AP178" s="631"/>
      <c r="AQ178" s="631"/>
      <c r="AR178" s="631"/>
      <c r="AS178" s="631"/>
      <c r="AT178" s="631"/>
      <c r="AU178" s="631"/>
      <c r="AV178" s="631"/>
      <c r="AW178" s="631"/>
      <c r="AX178" s="631"/>
      <c r="AY178" s="631"/>
      <c r="AZ178" s="631"/>
      <c r="BA178" s="631"/>
      <c r="BB178" s="631"/>
      <c r="BC178" s="550"/>
      <c r="BD178" s="661"/>
    </row>
    <row r="179" ht="11.25" customHeight="1">
      <c r="A179" s="644"/>
      <c r="B179" s="644"/>
      <c r="C179" s="550"/>
      <c r="D179" s="337"/>
      <c r="E179" s="550"/>
      <c r="F179" s="550"/>
      <c r="G179" s="550"/>
      <c r="H179" s="550"/>
      <c r="I179" s="550"/>
      <c r="J179" s="550"/>
      <c r="K179" s="550"/>
      <c r="L179" s="550"/>
      <c r="M179" s="550"/>
      <c r="N179" s="550"/>
      <c r="O179" s="550"/>
      <c r="P179" s="550"/>
      <c r="Q179" s="550"/>
      <c r="R179" s="550"/>
      <c r="S179" s="659"/>
      <c r="T179" s="550"/>
      <c r="U179" s="550"/>
      <c r="V179" s="550"/>
      <c r="W179" s="550"/>
      <c r="X179" s="550"/>
      <c r="Y179" s="550"/>
      <c r="Z179" s="550"/>
      <c r="AA179" s="550"/>
      <c r="AB179" s="550"/>
      <c r="AC179" s="550"/>
      <c r="AD179" s="550"/>
      <c r="AE179" s="550"/>
      <c r="AF179" s="550"/>
      <c r="AG179" s="785"/>
      <c r="AH179" s="644"/>
      <c r="AI179" s="644"/>
      <c r="AJ179" s="644"/>
      <c r="AK179" s="550"/>
      <c r="AL179" s="337"/>
      <c r="AM179" s="631"/>
      <c r="AN179" s="631"/>
      <c r="AO179" s="631"/>
      <c r="AP179" s="631"/>
      <c r="AQ179" s="631"/>
      <c r="AR179" s="631"/>
      <c r="AS179" s="631"/>
      <c r="AT179" s="631"/>
      <c r="AU179" s="631"/>
      <c r="AV179" s="631"/>
      <c r="AW179" s="631"/>
      <c r="AX179" s="631"/>
      <c r="AY179" s="631"/>
      <c r="AZ179" s="631"/>
      <c r="BA179" s="631"/>
      <c r="BB179" s="631"/>
      <c r="BC179" s="550"/>
      <c r="BD179" s="661"/>
    </row>
    <row r="180" ht="11.25" customHeight="1">
      <c r="A180" s="644"/>
      <c r="B180" s="644"/>
      <c r="C180" s="550"/>
      <c r="D180" s="337"/>
      <c r="E180" s="550"/>
      <c r="F180" s="550"/>
      <c r="G180" s="550"/>
      <c r="H180" s="550"/>
      <c r="I180" s="550"/>
      <c r="J180" s="550"/>
      <c r="K180" s="550"/>
      <c r="L180" s="550"/>
      <c r="M180" s="550"/>
      <c r="N180" s="550"/>
      <c r="O180" s="550"/>
      <c r="P180" s="550"/>
      <c r="Q180" s="550"/>
      <c r="R180" s="550"/>
      <c r="S180" s="659"/>
      <c r="T180" s="550"/>
      <c r="U180" s="550"/>
      <c r="V180" s="550"/>
      <c r="W180" s="550"/>
      <c r="X180" s="550"/>
      <c r="Y180" s="550"/>
      <c r="Z180" s="550"/>
      <c r="AA180" s="550"/>
      <c r="AB180" s="550"/>
      <c r="AC180" s="550"/>
      <c r="AD180" s="550"/>
      <c r="AE180" s="550"/>
      <c r="AF180" s="550"/>
      <c r="AG180" s="785"/>
      <c r="AH180" s="644"/>
      <c r="AI180" s="644"/>
      <c r="AJ180" s="644"/>
      <c r="AK180" s="550"/>
      <c r="AL180" s="337"/>
      <c r="AM180" s="631"/>
      <c r="AN180" s="631"/>
      <c r="AO180" s="631"/>
      <c r="AP180" s="631"/>
      <c r="AQ180" s="631"/>
      <c r="AR180" s="631"/>
      <c r="AS180" s="631"/>
      <c r="AT180" s="631"/>
      <c r="AU180" s="631"/>
      <c r="AV180" s="631"/>
      <c r="AW180" s="631"/>
      <c r="AX180" s="631"/>
      <c r="AY180" s="631"/>
      <c r="AZ180" s="631"/>
      <c r="BA180" s="631"/>
      <c r="BB180" s="631"/>
      <c r="BC180" s="550"/>
      <c r="BD180" s="661"/>
    </row>
    <row r="181" ht="11.25" customHeight="1">
      <c r="A181" s="644"/>
      <c r="B181" s="644"/>
      <c r="C181" s="550"/>
      <c r="D181" s="337"/>
      <c r="E181" s="550"/>
      <c r="F181" s="550"/>
      <c r="G181" s="550"/>
      <c r="H181" s="550"/>
      <c r="I181" s="550"/>
      <c r="J181" s="550"/>
      <c r="K181" s="550"/>
      <c r="L181" s="550"/>
      <c r="M181" s="550"/>
      <c r="N181" s="550"/>
      <c r="O181" s="550"/>
      <c r="P181" s="550"/>
      <c r="Q181" s="550"/>
      <c r="R181" s="550"/>
      <c r="S181" s="659"/>
      <c r="T181" s="550"/>
      <c r="U181" s="550"/>
      <c r="V181" s="550"/>
      <c r="W181" s="550"/>
      <c r="X181" s="550"/>
      <c r="Y181" s="550"/>
      <c r="Z181" s="550"/>
      <c r="AA181" s="550"/>
      <c r="AB181" s="550"/>
      <c r="AC181" s="550"/>
      <c r="AD181" s="550"/>
      <c r="AE181" s="550"/>
      <c r="AF181" s="550"/>
      <c r="AG181" s="785"/>
      <c r="AH181" s="644"/>
      <c r="AI181" s="644"/>
      <c r="AJ181" s="644"/>
      <c r="AK181" s="550"/>
      <c r="AL181" s="337"/>
      <c r="AM181" s="631"/>
      <c r="AN181" s="631"/>
      <c r="AO181" s="631"/>
      <c r="AP181" s="631"/>
      <c r="AQ181" s="631"/>
      <c r="AR181" s="631"/>
      <c r="AS181" s="631"/>
      <c r="AT181" s="631"/>
      <c r="AU181" s="631"/>
      <c r="AV181" s="631"/>
      <c r="AW181" s="631"/>
      <c r="AX181" s="631"/>
      <c r="AY181" s="631"/>
      <c r="AZ181" s="631"/>
      <c r="BA181" s="631"/>
      <c r="BB181" s="631"/>
      <c r="BC181" s="550"/>
      <c r="BD181" s="661"/>
    </row>
    <row r="182" ht="11.25" customHeight="1">
      <c r="A182" s="644"/>
      <c r="B182" s="644"/>
      <c r="C182" s="550"/>
      <c r="D182" s="337"/>
      <c r="E182" s="550"/>
      <c r="F182" s="550"/>
      <c r="G182" s="550"/>
      <c r="H182" s="550"/>
      <c r="I182" s="550"/>
      <c r="J182" s="550"/>
      <c r="K182" s="550"/>
      <c r="L182" s="550"/>
      <c r="M182" s="550"/>
      <c r="N182" s="550"/>
      <c r="O182" s="550"/>
      <c r="P182" s="550"/>
      <c r="Q182" s="550"/>
      <c r="R182" s="550"/>
      <c r="S182" s="659"/>
      <c r="T182" s="550"/>
      <c r="U182" s="550"/>
      <c r="V182" s="550"/>
      <c r="W182" s="550"/>
      <c r="X182" s="550"/>
      <c r="Y182" s="550"/>
      <c r="Z182" s="550"/>
      <c r="AA182" s="550"/>
      <c r="AB182" s="550"/>
      <c r="AC182" s="550"/>
      <c r="AD182" s="550"/>
      <c r="AE182" s="550"/>
      <c r="AF182" s="550"/>
      <c r="AG182" s="785"/>
      <c r="AH182" s="644"/>
      <c r="AI182" s="644"/>
      <c r="AJ182" s="644"/>
      <c r="AK182" s="550"/>
      <c r="AL182" s="337"/>
      <c r="AM182" s="631"/>
      <c r="AN182" s="631"/>
      <c r="AO182" s="631"/>
      <c r="AP182" s="631"/>
      <c r="AQ182" s="631"/>
      <c r="AR182" s="631"/>
      <c r="AS182" s="631"/>
      <c r="AT182" s="631"/>
      <c r="AU182" s="631"/>
      <c r="AV182" s="631"/>
      <c r="AW182" s="631"/>
      <c r="AX182" s="631"/>
      <c r="AY182" s="631"/>
      <c r="AZ182" s="631"/>
      <c r="BA182" s="631"/>
      <c r="BB182" s="631"/>
      <c r="BC182" s="550"/>
      <c r="BD182" s="661"/>
    </row>
    <row r="183" ht="11.25" customHeight="1">
      <c r="A183" s="644"/>
      <c r="B183" s="644"/>
      <c r="C183" s="550"/>
      <c r="D183" s="337"/>
      <c r="E183" s="550"/>
      <c r="F183" s="550"/>
      <c r="G183" s="550"/>
      <c r="H183" s="550"/>
      <c r="I183" s="550"/>
      <c r="J183" s="550"/>
      <c r="K183" s="550"/>
      <c r="L183" s="550"/>
      <c r="M183" s="550"/>
      <c r="N183" s="550"/>
      <c r="O183" s="550"/>
      <c r="P183" s="550"/>
      <c r="Q183" s="550"/>
      <c r="R183" s="550"/>
      <c r="S183" s="659"/>
      <c r="T183" s="550"/>
      <c r="U183" s="550"/>
      <c r="V183" s="550"/>
      <c r="W183" s="550"/>
      <c r="X183" s="550"/>
      <c r="Y183" s="550"/>
      <c r="Z183" s="550"/>
      <c r="AA183" s="550"/>
      <c r="AB183" s="550"/>
      <c r="AC183" s="550"/>
      <c r="AD183" s="550"/>
      <c r="AE183" s="550"/>
      <c r="AF183" s="550"/>
      <c r="AG183" s="785"/>
      <c r="AH183" s="644"/>
      <c r="AI183" s="644"/>
      <c r="AJ183" s="644"/>
      <c r="AK183" s="550"/>
      <c r="AL183" s="337"/>
      <c r="AM183" s="631"/>
      <c r="AN183" s="631"/>
      <c r="AO183" s="631"/>
      <c r="AP183" s="631"/>
      <c r="AQ183" s="631"/>
      <c r="AR183" s="631"/>
      <c r="AS183" s="631"/>
      <c r="AT183" s="631"/>
      <c r="AU183" s="631"/>
      <c r="AV183" s="631"/>
      <c r="AW183" s="631"/>
      <c r="AX183" s="631"/>
      <c r="AY183" s="631"/>
      <c r="AZ183" s="631"/>
      <c r="BA183" s="631"/>
      <c r="BB183" s="631"/>
      <c r="BC183" s="550"/>
      <c r="BD183" s="661"/>
    </row>
    <row r="184" ht="11.25" customHeight="1">
      <c r="A184" s="644"/>
      <c r="B184" s="644"/>
      <c r="C184" s="550"/>
      <c r="D184" s="337"/>
      <c r="E184" s="550"/>
      <c r="F184" s="550"/>
      <c r="G184" s="550"/>
      <c r="H184" s="550"/>
      <c r="I184" s="550"/>
      <c r="J184" s="550"/>
      <c r="K184" s="550"/>
      <c r="L184" s="550"/>
      <c r="M184" s="550"/>
      <c r="N184" s="550"/>
      <c r="O184" s="550"/>
      <c r="P184" s="550"/>
      <c r="Q184" s="550"/>
      <c r="R184" s="550"/>
      <c r="S184" s="659"/>
      <c r="T184" s="550"/>
      <c r="U184" s="550"/>
      <c r="V184" s="550"/>
      <c r="W184" s="550"/>
      <c r="X184" s="550"/>
      <c r="Y184" s="550"/>
      <c r="Z184" s="550"/>
      <c r="AA184" s="550"/>
      <c r="AB184" s="550"/>
      <c r="AC184" s="550"/>
      <c r="AD184" s="550"/>
      <c r="AE184" s="550"/>
      <c r="AF184" s="550"/>
      <c r="AG184" s="785"/>
      <c r="AH184" s="644"/>
      <c r="AI184" s="644"/>
      <c r="AJ184" s="644"/>
      <c r="AK184" s="550"/>
      <c r="AL184" s="337"/>
      <c r="AM184" s="631"/>
      <c r="AN184" s="631"/>
      <c r="AO184" s="631"/>
      <c r="AP184" s="631"/>
      <c r="AQ184" s="631"/>
      <c r="AR184" s="631"/>
      <c r="AS184" s="631"/>
      <c r="AT184" s="631"/>
      <c r="AU184" s="631"/>
      <c r="AV184" s="631"/>
      <c r="AW184" s="631"/>
      <c r="AX184" s="631"/>
      <c r="AY184" s="631"/>
      <c r="AZ184" s="631"/>
      <c r="BA184" s="631"/>
      <c r="BB184" s="631"/>
      <c r="BC184" s="550"/>
      <c r="BD184" s="661"/>
    </row>
    <row r="185" ht="11.25" customHeight="1">
      <c r="A185" s="644"/>
      <c r="B185" s="644"/>
      <c r="C185" s="550"/>
      <c r="D185" s="337"/>
      <c r="E185" s="550"/>
      <c r="F185" s="550"/>
      <c r="G185" s="550"/>
      <c r="H185" s="550"/>
      <c r="I185" s="550"/>
      <c r="J185" s="550"/>
      <c r="K185" s="550"/>
      <c r="L185" s="550"/>
      <c r="M185" s="550"/>
      <c r="N185" s="550"/>
      <c r="O185" s="550"/>
      <c r="P185" s="550"/>
      <c r="Q185" s="550"/>
      <c r="R185" s="550"/>
      <c r="S185" s="659"/>
      <c r="T185" s="550"/>
      <c r="U185" s="550"/>
      <c r="V185" s="550"/>
      <c r="W185" s="550"/>
      <c r="X185" s="550"/>
      <c r="Y185" s="550"/>
      <c r="Z185" s="550"/>
      <c r="AA185" s="550"/>
      <c r="AB185" s="550"/>
      <c r="AC185" s="550"/>
      <c r="AD185" s="550"/>
      <c r="AE185" s="550"/>
      <c r="AF185" s="550"/>
      <c r="AG185" s="785"/>
      <c r="AH185" s="644"/>
      <c r="AI185" s="644"/>
      <c r="AJ185" s="644"/>
      <c r="AK185" s="550"/>
      <c r="AL185" s="337"/>
      <c r="AM185" s="631"/>
      <c r="AN185" s="631"/>
      <c r="AO185" s="631"/>
      <c r="AP185" s="631"/>
      <c r="AQ185" s="631"/>
      <c r="AR185" s="631"/>
      <c r="AS185" s="631"/>
      <c r="AT185" s="631"/>
      <c r="AU185" s="631"/>
      <c r="AV185" s="631"/>
      <c r="AW185" s="631"/>
      <c r="AX185" s="631"/>
      <c r="AY185" s="631"/>
      <c r="AZ185" s="631"/>
      <c r="BA185" s="631"/>
      <c r="BB185" s="631"/>
      <c r="BC185" s="550"/>
      <c r="BD185" s="661"/>
    </row>
    <row r="186" ht="11.25" customHeight="1">
      <c r="A186" s="644"/>
      <c r="B186" s="644"/>
      <c r="C186" s="550"/>
      <c r="D186" s="337"/>
      <c r="E186" s="550"/>
      <c r="F186" s="550"/>
      <c r="G186" s="550"/>
      <c r="H186" s="550"/>
      <c r="I186" s="550"/>
      <c r="J186" s="550"/>
      <c r="K186" s="550"/>
      <c r="L186" s="550"/>
      <c r="M186" s="550"/>
      <c r="N186" s="550"/>
      <c r="O186" s="550"/>
      <c r="P186" s="550"/>
      <c r="Q186" s="550"/>
      <c r="R186" s="550"/>
      <c r="S186" s="659"/>
      <c r="T186" s="550"/>
      <c r="U186" s="550"/>
      <c r="V186" s="550"/>
      <c r="W186" s="550"/>
      <c r="X186" s="550"/>
      <c r="Y186" s="550"/>
      <c r="Z186" s="550"/>
      <c r="AA186" s="550"/>
      <c r="AB186" s="550"/>
      <c r="AC186" s="550"/>
      <c r="AD186" s="550"/>
      <c r="AE186" s="550"/>
      <c r="AF186" s="550"/>
      <c r="AG186" s="785"/>
      <c r="AH186" s="644"/>
      <c r="AI186" s="644"/>
      <c r="AJ186" s="644"/>
      <c r="AK186" s="550"/>
      <c r="AL186" s="337"/>
      <c r="AM186" s="631"/>
      <c r="AN186" s="631"/>
      <c r="AO186" s="631"/>
      <c r="AP186" s="631"/>
      <c r="AQ186" s="631"/>
      <c r="AR186" s="631"/>
      <c r="AS186" s="631"/>
      <c r="AT186" s="631"/>
      <c r="AU186" s="631"/>
      <c r="AV186" s="631"/>
      <c r="AW186" s="631"/>
      <c r="AX186" s="631"/>
      <c r="AY186" s="631"/>
      <c r="AZ186" s="631"/>
      <c r="BA186" s="631"/>
      <c r="BB186" s="631"/>
      <c r="BC186" s="550"/>
      <c r="BD186" s="661"/>
    </row>
    <row r="187" ht="11.25" customHeight="1">
      <c r="A187" s="644"/>
      <c r="B187" s="644"/>
      <c r="C187" s="550"/>
      <c r="D187" s="337"/>
      <c r="E187" s="550"/>
      <c r="F187" s="550"/>
      <c r="G187" s="550"/>
      <c r="H187" s="550"/>
      <c r="I187" s="550"/>
      <c r="J187" s="550"/>
      <c r="K187" s="550"/>
      <c r="L187" s="550"/>
      <c r="M187" s="550"/>
      <c r="N187" s="550"/>
      <c r="O187" s="550"/>
      <c r="P187" s="550"/>
      <c r="Q187" s="550"/>
      <c r="R187" s="550"/>
      <c r="S187" s="659"/>
      <c r="T187" s="550"/>
      <c r="U187" s="550"/>
      <c r="V187" s="550"/>
      <c r="W187" s="550"/>
      <c r="X187" s="550"/>
      <c r="Y187" s="550"/>
      <c r="Z187" s="550"/>
      <c r="AA187" s="550"/>
      <c r="AB187" s="550"/>
      <c r="AC187" s="550"/>
      <c r="AD187" s="550"/>
      <c r="AE187" s="550"/>
      <c r="AF187" s="550"/>
      <c r="AG187" s="785"/>
      <c r="AH187" s="644"/>
      <c r="AI187" s="644"/>
      <c r="AJ187" s="644"/>
      <c r="AK187" s="550"/>
      <c r="AL187" s="337"/>
      <c r="AM187" s="631"/>
      <c r="AN187" s="631"/>
      <c r="AO187" s="631"/>
      <c r="AP187" s="631"/>
      <c r="AQ187" s="631"/>
      <c r="AR187" s="631"/>
      <c r="AS187" s="631"/>
      <c r="AT187" s="631"/>
      <c r="AU187" s="631"/>
      <c r="AV187" s="631"/>
      <c r="AW187" s="631"/>
      <c r="AX187" s="631"/>
      <c r="AY187" s="631"/>
      <c r="AZ187" s="631"/>
      <c r="BA187" s="631"/>
      <c r="BB187" s="631"/>
      <c r="BC187" s="550"/>
      <c r="BD187" s="661"/>
    </row>
    <row r="188" ht="11.25" customHeight="1">
      <c r="A188" s="644"/>
      <c r="B188" s="644"/>
      <c r="C188" s="550"/>
      <c r="D188" s="337"/>
      <c r="E188" s="550"/>
      <c r="F188" s="550"/>
      <c r="G188" s="550"/>
      <c r="H188" s="550"/>
      <c r="I188" s="550"/>
      <c r="J188" s="550"/>
      <c r="K188" s="550"/>
      <c r="L188" s="550"/>
      <c r="M188" s="550"/>
      <c r="N188" s="550"/>
      <c r="O188" s="550"/>
      <c r="P188" s="550"/>
      <c r="Q188" s="550"/>
      <c r="R188" s="550"/>
      <c r="S188" s="659"/>
      <c r="T188" s="550"/>
      <c r="U188" s="550"/>
      <c r="V188" s="550"/>
      <c r="W188" s="550"/>
      <c r="X188" s="550"/>
      <c r="Y188" s="550"/>
      <c r="Z188" s="550"/>
      <c r="AA188" s="550"/>
      <c r="AB188" s="550"/>
      <c r="AC188" s="550"/>
      <c r="AD188" s="550"/>
      <c r="AE188" s="550"/>
      <c r="AF188" s="550"/>
      <c r="AG188" s="785"/>
      <c r="AH188" s="644"/>
      <c r="AI188" s="644"/>
      <c r="AJ188" s="644"/>
      <c r="AK188" s="550"/>
      <c r="AL188" s="337"/>
      <c r="AM188" s="631"/>
      <c r="AN188" s="631"/>
      <c r="AO188" s="631"/>
      <c r="AP188" s="631"/>
      <c r="AQ188" s="631"/>
      <c r="AR188" s="631"/>
      <c r="AS188" s="631"/>
      <c r="AT188" s="631"/>
      <c r="AU188" s="631"/>
      <c r="AV188" s="631"/>
      <c r="AW188" s="631"/>
      <c r="AX188" s="631"/>
      <c r="AY188" s="631"/>
      <c r="AZ188" s="631"/>
      <c r="BA188" s="631"/>
      <c r="BB188" s="631"/>
      <c r="BC188" s="550"/>
      <c r="BD188" s="661"/>
    </row>
    <row r="189" ht="11.25" customHeight="1">
      <c r="A189" s="644"/>
      <c r="B189" s="644"/>
      <c r="C189" s="550"/>
      <c r="D189" s="337"/>
      <c r="E189" s="550"/>
      <c r="F189" s="550"/>
      <c r="G189" s="550"/>
      <c r="H189" s="550"/>
      <c r="I189" s="550"/>
      <c r="J189" s="550"/>
      <c r="K189" s="550"/>
      <c r="L189" s="550"/>
      <c r="M189" s="550"/>
      <c r="N189" s="550"/>
      <c r="O189" s="550"/>
      <c r="P189" s="550"/>
      <c r="Q189" s="550"/>
      <c r="R189" s="550"/>
      <c r="S189" s="659"/>
      <c r="T189" s="550"/>
      <c r="U189" s="550"/>
      <c r="V189" s="550"/>
      <c r="W189" s="550"/>
      <c r="X189" s="550"/>
      <c r="Y189" s="550"/>
      <c r="Z189" s="550"/>
      <c r="AA189" s="550"/>
      <c r="AB189" s="550"/>
      <c r="AC189" s="550"/>
      <c r="AD189" s="550"/>
      <c r="AE189" s="550"/>
      <c r="AF189" s="550"/>
      <c r="AG189" s="785"/>
      <c r="AH189" s="644"/>
      <c r="AI189" s="644"/>
      <c r="AJ189" s="644"/>
      <c r="AK189" s="550"/>
      <c r="AL189" s="337"/>
      <c r="AM189" s="631"/>
      <c r="AN189" s="631"/>
      <c r="AO189" s="631"/>
      <c r="AP189" s="631"/>
      <c r="AQ189" s="631"/>
      <c r="AR189" s="631"/>
      <c r="AS189" s="631"/>
      <c r="AT189" s="631"/>
      <c r="AU189" s="631"/>
      <c r="AV189" s="631"/>
      <c r="AW189" s="631"/>
      <c r="AX189" s="631"/>
      <c r="AY189" s="631"/>
      <c r="AZ189" s="631"/>
      <c r="BA189" s="631"/>
      <c r="BB189" s="631"/>
      <c r="BC189" s="550"/>
      <c r="BD189" s="661"/>
    </row>
    <row r="190" ht="11.25" customHeight="1">
      <c r="A190" s="644"/>
      <c r="B190" s="644"/>
      <c r="C190" s="550"/>
      <c r="D190" s="337"/>
      <c r="E190" s="550"/>
      <c r="F190" s="550"/>
      <c r="G190" s="550"/>
      <c r="H190" s="550"/>
      <c r="I190" s="550"/>
      <c r="J190" s="550"/>
      <c r="K190" s="550"/>
      <c r="L190" s="550"/>
      <c r="M190" s="550"/>
      <c r="N190" s="550"/>
      <c r="O190" s="550"/>
      <c r="P190" s="550"/>
      <c r="Q190" s="550"/>
      <c r="R190" s="550"/>
      <c r="S190" s="659"/>
      <c r="T190" s="550"/>
      <c r="U190" s="550"/>
      <c r="V190" s="550"/>
      <c r="W190" s="550"/>
      <c r="X190" s="550"/>
      <c r="Y190" s="550"/>
      <c r="Z190" s="550"/>
      <c r="AA190" s="550"/>
      <c r="AB190" s="550"/>
      <c r="AC190" s="550"/>
      <c r="AD190" s="550"/>
      <c r="AE190" s="550"/>
      <c r="AF190" s="550"/>
      <c r="AG190" s="785"/>
      <c r="AH190" s="644"/>
      <c r="AI190" s="644"/>
      <c r="AJ190" s="644"/>
      <c r="AK190" s="550"/>
      <c r="AL190" s="337"/>
      <c r="AM190" s="631"/>
      <c r="AN190" s="631"/>
      <c r="AO190" s="631"/>
      <c r="AP190" s="631"/>
      <c r="AQ190" s="631"/>
      <c r="AR190" s="631"/>
      <c r="AS190" s="631"/>
      <c r="AT190" s="631"/>
      <c r="AU190" s="631"/>
      <c r="AV190" s="631"/>
      <c r="AW190" s="631"/>
      <c r="AX190" s="631"/>
      <c r="AY190" s="631"/>
      <c r="AZ190" s="631"/>
      <c r="BA190" s="631"/>
      <c r="BB190" s="631"/>
      <c r="BC190" s="550"/>
      <c r="BD190" s="661"/>
    </row>
    <row r="191" ht="11.25" customHeight="1">
      <c r="A191" s="644"/>
      <c r="B191" s="644"/>
      <c r="C191" s="550"/>
      <c r="D191" s="337"/>
      <c r="E191" s="550"/>
      <c r="F191" s="550"/>
      <c r="G191" s="550"/>
      <c r="H191" s="550"/>
      <c r="I191" s="550"/>
      <c r="J191" s="550"/>
      <c r="K191" s="550"/>
      <c r="L191" s="550"/>
      <c r="M191" s="550"/>
      <c r="N191" s="550"/>
      <c r="O191" s="550"/>
      <c r="P191" s="550"/>
      <c r="Q191" s="550"/>
      <c r="R191" s="550"/>
      <c r="S191" s="659"/>
      <c r="T191" s="550"/>
      <c r="U191" s="550"/>
      <c r="V191" s="550"/>
      <c r="W191" s="550"/>
      <c r="X191" s="550"/>
      <c r="Y191" s="550"/>
      <c r="Z191" s="550"/>
      <c r="AA191" s="550"/>
      <c r="AB191" s="550"/>
      <c r="AC191" s="550"/>
      <c r="AD191" s="550"/>
      <c r="AE191" s="550"/>
      <c r="AF191" s="550"/>
      <c r="AG191" s="785"/>
      <c r="AH191" s="644"/>
      <c r="AI191" s="644"/>
      <c r="AJ191" s="644"/>
      <c r="AK191" s="550"/>
      <c r="AL191" s="337"/>
      <c r="AM191" s="631"/>
      <c r="AN191" s="631"/>
      <c r="AO191" s="631"/>
      <c r="AP191" s="631"/>
      <c r="AQ191" s="631"/>
      <c r="AR191" s="631"/>
      <c r="AS191" s="631"/>
      <c r="AT191" s="631"/>
      <c r="AU191" s="631"/>
      <c r="AV191" s="631"/>
      <c r="AW191" s="631"/>
      <c r="AX191" s="631"/>
      <c r="AY191" s="631"/>
      <c r="AZ191" s="631"/>
      <c r="BA191" s="631"/>
      <c r="BB191" s="631"/>
      <c r="BC191" s="550"/>
      <c r="BD191" s="661"/>
    </row>
    <row r="192" ht="11.25" customHeight="1">
      <c r="A192" s="644"/>
      <c r="B192" s="644"/>
      <c r="C192" s="550"/>
      <c r="D192" s="337"/>
      <c r="E192" s="550"/>
      <c r="F192" s="550"/>
      <c r="G192" s="550"/>
      <c r="H192" s="550"/>
      <c r="I192" s="550"/>
      <c r="J192" s="550"/>
      <c r="K192" s="550"/>
      <c r="L192" s="550"/>
      <c r="M192" s="550"/>
      <c r="N192" s="550"/>
      <c r="O192" s="550"/>
      <c r="P192" s="550"/>
      <c r="Q192" s="550"/>
      <c r="R192" s="550"/>
      <c r="S192" s="659"/>
      <c r="T192" s="550"/>
      <c r="U192" s="550"/>
      <c r="V192" s="550"/>
      <c r="W192" s="550"/>
      <c r="X192" s="550"/>
      <c r="Y192" s="550"/>
      <c r="Z192" s="550"/>
      <c r="AA192" s="550"/>
      <c r="AB192" s="550"/>
      <c r="AC192" s="550"/>
      <c r="AD192" s="550"/>
      <c r="AE192" s="550"/>
      <c r="AF192" s="550"/>
      <c r="AG192" s="785"/>
      <c r="AH192" s="644"/>
      <c r="AI192" s="644"/>
      <c r="AJ192" s="644"/>
      <c r="AK192" s="550"/>
      <c r="AL192" s="337"/>
      <c r="AM192" s="631"/>
      <c r="AN192" s="631"/>
      <c r="AO192" s="631"/>
      <c r="AP192" s="631"/>
      <c r="AQ192" s="631"/>
      <c r="AR192" s="631"/>
      <c r="AS192" s="631"/>
      <c r="AT192" s="631"/>
      <c r="AU192" s="631"/>
      <c r="AV192" s="631"/>
      <c r="AW192" s="631"/>
      <c r="AX192" s="631"/>
      <c r="AY192" s="631"/>
      <c r="AZ192" s="631"/>
      <c r="BA192" s="631"/>
      <c r="BB192" s="631"/>
      <c r="BC192" s="550"/>
      <c r="BD192" s="661"/>
    </row>
    <row r="193" ht="11.25" customHeight="1">
      <c r="A193" s="644"/>
      <c r="B193" s="644"/>
      <c r="C193" s="550"/>
      <c r="D193" s="337"/>
      <c r="E193" s="550"/>
      <c r="F193" s="550"/>
      <c r="G193" s="550"/>
      <c r="H193" s="550"/>
      <c r="I193" s="550"/>
      <c r="J193" s="550"/>
      <c r="K193" s="550"/>
      <c r="L193" s="550"/>
      <c r="M193" s="550"/>
      <c r="N193" s="550"/>
      <c r="O193" s="550"/>
      <c r="P193" s="550"/>
      <c r="Q193" s="550"/>
      <c r="R193" s="550"/>
      <c r="S193" s="659"/>
      <c r="T193" s="550"/>
      <c r="U193" s="550"/>
      <c r="V193" s="550"/>
      <c r="W193" s="550"/>
      <c r="X193" s="550"/>
      <c r="Y193" s="550"/>
      <c r="Z193" s="550"/>
      <c r="AA193" s="550"/>
      <c r="AB193" s="550"/>
      <c r="AC193" s="550"/>
      <c r="AD193" s="550"/>
      <c r="AE193" s="550"/>
      <c r="AF193" s="550"/>
      <c r="AG193" s="785"/>
      <c r="AH193" s="644"/>
      <c r="AI193" s="644"/>
      <c r="AJ193" s="644"/>
      <c r="AK193" s="550"/>
      <c r="AL193" s="337"/>
      <c r="AM193" s="631"/>
      <c r="AN193" s="631"/>
      <c r="AO193" s="631"/>
      <c r="AP193" s="631"/>
      <c r="AQ193" s="631"/>
      <c r="AR193" s="631"/>
      <c r="AS193" s="631"/>
      <c r="AT193" s="631"/>
      <c r="AU193" s="631"/>
      <c r="AV193" s="631"/>
      <c r="AW193" s="631"/>
      <c r="AX193" s="631"/>
      <c r="AY193" s="631"/>
      <c r="AZ193" s="631"/>
      <c r="BA193" s="631"/>
      <c r="BB193" s="631"/>
      <c r="BC193" s="550"/>
      <c r="BD193" s="661"/>
    </row>
    <row r="194" ht="11.25" customHeight="1">
      <c r="A194" s="644"/>
      <c r="B194" s="644"/>
      <c r="C194" s="550"/>
      <c r="D194" s="337"/>
      <c r="E194" s="550"/>
      <c r="F194" s="550"/>
      <c r="G194" s="550"/>
      <c r="H194" s="550"/>
      <c r="I194" s="550"/>
      <c r="J194" s="550"/>
      <c r="K194" s="550"/>
      <c r="L194" s="550"/>
      <c r="M194" s="550"/>
      <c r="N194" s="550"/>
      <c r="O194" s="550"/>
      <c r="P194" s="550"/>
      <c r="Q194" s="550"/>
      <c r="R194" s="550"/>
      <c r="S194" s="659"/>
      <c r="T194" s="550"/>
      <c r="U194" s="550"/>
      <c r="V194" s="550"/>
      <c r="W194" s="550"/>
      <c r="X194" s="550"/>
      <c r="Y194" s="550"/>
      <c r="Z194" s="550"/>
      <c r="AA194" s="550"/>
      <c r="AB194" s="550"/>
      <c r="AC194" s="550"/>
      <c r="AD194" s="550"/>
      <c r="AE194" s="550"/>
      <c r="AF194" s="550"/>
      <c r="AG194" s="785"/>
      <c r="AH194" s="644"/>
      <c r="AI194" s="644"/>
      <c r="AJ194" s="644"/>
      <c r="AK194" s="550"/>
      <c r="AL194" s="337"/>
      <c r="AM194" s="631"/>
      <c r="AN194" s="631"/>
      <c r="AO194" s="631"/>
      <c r="AP194" s="631"/>
      <c r="AQ194" s="631"/>
      <c r="AR194" s="631"/>
      <c r="AS194" s="631"/>
      <c r="AT194" s="631"/>
      <c r="AU194" s="631"/>
      <c r="AV194" s="631"/>
      <c r="AW194" s="631"/>
      <c r="AX194" s="631"/>
      <c r="AY194" s="631"/>
      <c r="AZ194" s="631"/>
      <c r="BA194" s="631"/>
      <c r="BB194" s="631"/>
      <c r="BC194" s="550"/>
      <c r="BD194" s="661"/>
    </row>
    <row r="195" ht="11.25" customHeight="1">
      <c r="A195" s="644"/>
      <c r="B195" s="644"/>
      <c r="C195" s="550"/>
      <c r="D195" s="337"/>
      <c r="E195" s="550"/>
      <c r="F195" s="550"/>
      <c r="G195" s="550"/>
      <c r="H195" s="550"/>
      <c r="I195" s="550"/>
      <c r="J195" s="550"/>
      <c r="K195" s="550"/>
      <c r="L195" s="550"/>
      <c r="M195" s="550"/>
      <c r="N195" s="550"/>
      <c r="O195" s="550"/>
      <c r="P195" s="550"/>
      <c r="Q195" s="550"/>
      <c r="R195" s="550"/>
      <c r="S195" s="659"/>
      <c r="T195" s="550"/>
      <c r="U195" s="550"/>
      <c r="V195" s="550"/>
      <c r="W195" s="550"/>
      <c r="X195" s="550"/>
      <c r="Y195" s="550"/>
      <c r="Z195" s="550"/>
      <c r="AA195" s="550"/>
      <c r="AB195" s="550"/>
      <c r="AC195" s="550"/>
      <c r="AD195" s="550"/>
      <c r="AE195" s="550"/>
      <c r="AF195" s="550"/>
      <c r="AG195" s="785"/>
      <c r="AH195" s="644"/>
      <c r="AI195" s="644"/>
      <c r="AJ195" s="644"/>
      <c r="AK195" s="550"/>
      <c r="AL195" s="337"/>
      <c r="AM195" s="631"/>
      <c r="AN195" s="631"/>
      <c r="AO195" s="631"/>
      <c r="AP195" s="631"/>
      <c r="AQ195" s="631"/>
      <c r="AR195" s="631"/>
      <c r="AS195" s="631"/>
      <c r="AT195" s="631"/>
      <c r="AU195" s="631"/>
      <c r="AV195" s="631"/>
      <c r="AW195" s="631"/>
      <c r="AX195" s="631"/>
      <c r="AY195" s="631"/>
      <c r="AZ195" s="631"/>
      <c r="BA195" s="631"/>
      <c r="BB195" s="631"/>
      <c r="BC195" s="550"/>
      <c r="BD195" s="661"/>
    </row>
    <row r="196" ht="11.25" customHeight="1">
      <c r="A196" s="644"/>
      <c r="B196" s="644"/>
      <c r="C196" s="550"/>
      <c r="D196" s="337"/>
      <c r="E196" s="550"/>
      <c r="F196" s="550"/>
      <c r="G196" s="550"/>
      <c r="H196" s="550"/>
      <c r="I196" s="550"/>
      <c r="J196" s="550"/>
      <c r="K196" s="550"/>
      <c r="L196" s="550"/>
      <c r="M196" s="550"/>
      <c r="N196" s="550"/>
      <c r="O196" s="550"/>
      <c r="P196" s="550"/>
      <c r="Q196" s="550"/>
      <c r="R196" s="550"/>
      <c r="S196" s="659"/>
      <c r="T196" s="550"/>
      <c r="U196" s="550"/>
      <c r="V196" s="550"/>
      <c r="W196" s="550"/>
      <c r="X196" s="550"/>
      <c r="Y196" s="550"/>
      <c r="Z196" s="550"/>
      <c r="AA196" s="550"/>
      <c r="AB196" s="550"/>
      <c r="AC196" s="550"/>
      <c r="AD196" s="550"/>
      <c r="AE196" s="550"/>
      <c r="AF196" s="550"/>
      <c r="AG196" s="785"/>
      <c r="AH196" s="644"/>
      <c r="AI196" s="644"/>
      <c r="AJ196" s="644"/>
      <c r="AK196" s="550"/>
      <c r="AL196" s="337"/>
      <c r="AM196" s="631"/>
      <c r="AN196" s="631"/>
      <c r="AO196" s="631"/>
      <c r="AP196" s="631"/>
      <c r="AQ196" s="631"/>
      <c r="AR196" s="631"/>
      <c r="AS196" s="631"/>
      <c r="AT196" s="631"/>
      <c r="AU196" s="631"/>
      <c r="AV196" s="631"/>
      <c r="AW196" s="631"/>
      <c r="AX196" s="631"/>
      <c r="AY196" s="631"/>
      <c r="AZ196" s="631"/>
      <c r="BA196" s="631"/>
      <c r="BB196" s="631"/>
      <c r="BC196" s="550"/>
      <c r="BD196" s="661"/>
    </row>
    <row r="197" ht="11.25" customHeight="1">
      <c r="A197" s="644"/>
      <c r="B197" s="644"/>
      <c r="C197" s="550"/>
      <c r="D197" s="337"/>
      <c r="E197" s="550"/>
      <c r="F197" s="550"/>
      <c r="G197" s="550"/>
      <c r="H197" s="550"/>
      <c r="I197" s="550"/>
      <c r="J197" s="550"/>
      <c r="K197" s="550"/>
      <c r="L197" s="550"/>
      <c r="M197" s="550"/>
      <c r="N197" s="550"/>
      <c r="O197" s="550"/>
      <c r="P197" s="550"/>
      <c r="Q197" s="550"/>
      <c r="R197" s="550"/>
      <c r="S197" s="659"/>
      <c r="T197" s="550"/>
      <c r="U197" s="550"/>
      <c r="V197" s="550"/>
      <c r="W197" s="550"/>
      <c r="X197" s="550"/>
      <c r="Y197" s="550"/>
      <c r="Z197" s="550"/>
      <c r="AA197" s="550"/>
      <c r="AB197" s="550"/>
      <c r="AC197" s="550"/>
      <c r="AD197" s="550"/>
      <c r="AE197" s="550"/>
      <c r="AF197" s="550"/>
      <c r="AG197" s="785"/>
      <c r="AH197" s="644"/>
      <c r="AI197" s="644"/>
      <c r="AJ197" s="644"/>
      <c r="AK197" s="550"/>
      <c r="AL197" s="337"/>
      <c r="AM197" s="631"/>
      <c r="AN197" s="631"/>
      <c r="AO197" s="631"/>
      <c r="AP197" s="631"/>
      <c r="AQ197" s="631"/>
      <c r="AR197" s="631"/>
      <c r="AS197" s="631"/>
      <c r="AT197" s="631"/>
      <c r="AU197" s="631"/>
      <c r="AV197" s="631"/>
      <c r="AW197" s="631"/>
      <c r="AX197" s="631"/>
      <c r="AY197" s="631"/>
      <c r="AZ197" s="631"/>
      <c r="BA197" s="631"/>
      <c r="BB197" s="631"/>
      <c r="BC197" s="550"/>
      <c r="BD197" s="661"/>
    </row>
    <row r="198" ht="11.25" customHeight="1">
      <c r="A198" s="644"/>
      <c r="B198" s="644"/>
      <c r="C198" s="550"/>
      <c r="D198" s="337"/>
      <c r="E198" s="550"/>
      <c r="F198" s="550"/>
      <c r="G198" s="550"/>
      <c r="H198" s="550"/>
      <c r="I198" s="550"/>
      <c r="J198" s="550"/>
      <c r="K198" s="550"/>
      <c r="L198" s="550"/>
      <c r="M198" s="550"/>
      <c r="N198" s="550"/>
      <c r="O198" s="550"/>
      <c r="P198" s="550"/>
      <c r="Q198" s="550"/>
      <c r="R198" s="550"/>
      <c r="S198" s="659"/>
      <c r="T198" s="550"/>
      <c r="U198" s="550"/>
      <c r="V198" s="550"/>
      <c r="W198" s="550"/>
      <c r="X198" s="550"/>
      <c r="Y198" s="550"/>
      <c r="Z198" s="550"/>
      <c r="AA198" s="550"/>
      <c r="AB198" s="550"/>
      <c r="AC198" s="550"/>
      <c r="AD198" s="550"/>
      <c r="AE198" s="550"/>
      <c r="AF198" s="550"/>
      <c r="AG198" s="785"/>
      <c r="AH198" s="644"/>
      <c r="AI198" s="644"/>
      <c r="AJ198" s="644"/>
      <c r="AK198" s="550"/>
      <c r="AL198" s="337"/>
      <c r="AM198" s="631"/>
      <c r="AN198" s="631"/>
      <c r="AO198" s="631"/>
      <c r="AP198" s="631"/>
      <c r="AQ198" s="631"/>
      <c r="AR198" s="631"/>
      <c r="AS198" s="631"/>
      <c r="AT198" s="631"/>
      <c r="AU198" s="631"/>
      <c r="AV198" s="631"/>
      <c r="AW198" s="631"/>
      <c r="AX198" s="631"/>
      <c r="AY198" s="631"/>
      <c r="AZ198" s="631"/>
      <c r="BA198" s="631"/>
      <c r="BB198" s="631"/>
      <c r="BC198" s="550"/>
      <c r="BD198" s="661"/>
    </row>
    <row r="199" ht="11.25" customHeight="1">
      <c r="A199" s="644"/>
      <c r="B199" s="644"/>
      <c r="C199" s="550"/>
      <c r="D199" s="337"/>
      <c r="E199" s="550"/>
      <c r="F199" s="550"/>
      <c r="G199" s="550"/>
      <c r="H199" s="550"/>
      <c r="I199" s="550"/>
      <c r="J199" s="550"/>
      <c r="K199" s="550"/>
      <c r="L199" s="550"/>
      <c r="M199" s="550"/>
      <c r="N199" s="550"/>
      <c r="O199" s="550"/>
      <c r="P199" s="550"/>
      <c r="Q199" s="550"/>
      <c r="R199" s="550"/>
      <c r="S199" s="659"/>
      <c r="T199" s="550"/>
      <c r="U199" s="550"/>
      <c r="V199" s="550"/>
      <c r="W199" s="550"/>
      <c r="X199" s="550"/>
      <c r="Y199" s="550"/>
      <c r="Z199" s="550"/>
      <c r="AA199" s="550"/>
      <c r="AB199" s="550"/>
      <c r="AC199" s="550"/>
      <c r="AD199" s="550"/>
      <c r="AE199" s="550"/>
      <c r="AF199" s="550"/>
      <c r="AG199" s="785"/>
      <c r="AH199" s="644"/>
      <c r="AI199" s="644"/>
      <c r="AJ199" s="644"/>
      <c r="AK199" s="550"/>
      <c r="AL199" s="337"/>
      <c r="AM199" s="631"/>
      <c r="AN199" s="631"/>
      <c r="AO199" s="631"/>
      <c r="AP199" s="631"/>
      <c r="AQ199" s="631"/>
      <c r="AR199" s="631"/>
      <c r="AS199" s="631"/>
      <c r="AT199" s="631"/>
      <c r="AU199" s="631"/>
      <c r="AV199" s="631"/>
      <c r="AW199" s="631"/>
      <c r="AX199" s="631"/>
      <c r="AY199" s="631"/>
      <c r="AZ199" s="631"/>
      <c r="BA199" s="631"/>
      <c r="BB199" s="631"/>
      <c r="BC199" s="550"/>
      <c r="BD199" s="661"/>
    </row>
    <row r="200" ht="11.25" customHeight="1">
      <c r="A200" s="644"/>
      <c r="B200" s="644"/>
      <c r="C200" s="550"/>
      <c r="D200" s="337"/>
      <c r="E200" s="550"/>
      <c r="F200" s="550"/>
      <c r="G200" s="550"/>
      <c r="H200" s="550"/>
      <c r="I200" s="550"/>
      <c r="J200" s="550"/>
      <c r="K200" s="550"/>
      <c r="L200" s="550"/>
      <c r="M200" s="550"/>
      <c r="N200" s="550"/>
      <c r="O200" s="550"/>
      <c r="P200" s="550"/>
      <c r="Q200" s="550"/>
      <c r="R200" s="550"/>
      <c r="S200" s="659"/>
      <c r="T200" s="550"/>
      <c r="U200" s="550"/>
      <c r="V200" s="550"/>
      <c r="W200" s="550"/>
      <c r="X200" s="550"/>
      <c r="Y200" s="550"/>
      <c r="Z200" s="550"/>
      <c r="AA200" s="550"/>
      <c r="AB200" s="550"/>
      <c r="AC200" s="550"/>
      <c r="AD200" s="550"/>
      <c r="AE200" s="550"/>
      <c r="AF200" s="550"/>
      <c r="AG200" s="785"/>
      <c r="AH200" s="644"/>
      <c r="AI200" s="644"/>
      <c r="AJ200" s="644"/>
      <c r="AK200" s="550"/>
      <c r="AL200" s="337"/>
      <c r="AM200" s="631"/>
      <c r="AN200" s="631"/>
      <c r="AO200" s="631"/>
      <c r="AP200" s="631"/>
      <c r="AQ200" s="631"/>
      <c r="AR200" s="631"/>
      <c r="AS200" s="631"/>
      <c r="AT200" s="631"/>
      <c r="AU200" s="631"/>
      <c r="AV200" s="631"/>
      <c r="AW200" s="631"/>
      <c r="AX200" s="631"/>
      <c r="AY200" s="631"/>
      <c r="AZ200" s="631"/>
      <c r="BA200" s="631"/>
      <c r="BB200" s="631"/>
      <c r="BC200" s="550"/>
      <c r="BD200" s="661"/>
    </row>
    <row r="201" ht="11.25" customHeight="1">
      <c r="A201" s="644"/>
      <c r="B201" s="644"/>
      <c r="C201" s="550"/>
      <c r="D201" s="337"/>
      <c r="E201" s="550"/>
      <c r="F201" s="550"/>
      <c r="G201" s="550"/>
      <c r="H201" s="550"/>
      <c r="I201" s="550"/>
      <c r="J201" s="550"/>
      <c r="K201" s="550"/>
      <c r="L201" s="550"/>
      <c r="M201" s="550"/>
      <c r="N201" s="550"/>
      <c r="O201" s="550"/>
      <c r="P201" s="550"/>
      <c r="Q201" s="550"/>
      <c r="R201" s="550"/>
      <c r="S201" s="659"/>
      <c r="T201" s="550"/>
      <c r="U201" s="550"/>
      <c r="V201" s="550"/>
      <c r="W201" s="550"/>
      <c r="X201" s="550"/>
      <c r="Y201" s="550"/>
      <c r="Z201" s="550"/>
      <c r="AA201" s="550"/>
      <c r="AB201" s="550"/>
      <c r="AC201" s="550"/>
      <c r="AD201" s="550"/>
      <c r="AE201" s="550"/>
      <c r="AF201" s="550"/>
      <c r="AG201" s="785"/>
      <c r="AH201" s="644"/>
      <c r="AI201" s="644"/>
      <c r="AJ201" s="644"/>
      <c r="AK201" s="550"/>
      <c r="AL201" s="337"/>
      <c r="AM201" s="631"/>
      <c r="AN201" s="631"/>
      <c r="AO201" s="631"/>
      <c r="AP201" s="631"/>
      <c r="AQ201" s="631"/>
      <c r="AR201" s="631"/>
      <c r="AS201" s="631"/>
      <c r="AT201" s="631"/>
      <c r="AU201" s="631"/>
      <c r="AV201" s="631"/>
      <c r="AW201" s="631"/>
      <c r="AX201" s="631"/>
      <c r="AY201" s="631"/>
      <c r="AZ201" s="631"/>
      <c r="BA201" s="631"/>
      <c r="BB201" s="631"/>
      <c r="BC201" s="550"/>
      <c r="BD201" s="661"/>
    </row>
    <row r="202" ht="11.25" customHeight="1">
      <c r="A202" s="644"/>
      <c r="B202" s="644"/>
      <c r="C202" s="550"/>
      <c r="D202" s="337"/>
      <c r="E202" s="550"/>
      <c r="F202" s="550"/>
      <c r="G202" s="550"/>
      <c r="H202" s="550"/>
      <c r="I202" s="550"/>
      <c r="J202" s="550"/>
      <c r="K202" s="550"/>
      <c r="L202" s="550"/>
      <c r="M202" s="550"/>
      <c r="N202" s="550"/>
      <c r="O202" s="550"/>
      <c r="P202" s="550"/>
      <c r="Q202" s="550"/>
      <c r="R202" s="550"/>
      <c r="S202" s="659"/>
      <c r="T202" s="550"/>
      <c r="U202" s="550"/>
      <c r="V202" s="550"/>
      <c r="W202" s="550"/>
      <c r="X202" s="550"/>
      <c r="Y202" s="550"/>
      <c r="Z202" s="550"/>
      <c r="AA202" s="550"/>
      <c r="AB202" s="550"/>
      <c r="AC202" s="550"/>
      <c r="AD202" s="550"/>
      <c r="AE202" s="550"/>
      <c r="AF202" s="550"/>
      <c r="AG202" s="785"/>
      <c r="AH202" s="644"/>
      <c r="AI202" s="644"/>
      <c r="AJ202" s="644"/>
      <c r="AK202" s="550"/>
      <c r="AL202" s="337"/>
      <c r="AM202" s="631"/>
      <c r="AN202" s="631"/>
      <c r="AO202" s="631"/>
      <c r="AP202" s="631"/>
      <c r="AQ202" s="631"/>
      <c r="AR202" s="631"/>
      <c r="AS202" s="631"/>
      <c r="AT202" s="631"/>
      <c r="AU202" s="631"/>
      <c r="AV202" s="631"/>
      <c r="AW202" s="631"/>
      <c r="AX202" s="631"/>
      <c r="AY202" s="631"/>
      <c r="AZ202" s="631"/>
      <c r="BA202" s="631"/>
      <c r="BB202" s="631"/>
      <c r="BC202" s="550"/>
      <c r="BD202" s="661"/>
    </row>
    <row r="203" ht="11.25" customHeight="1">
      <c r="A203" s="644"/>
      <c r="B203" s="644"/>
      <c r="C203" s="550"/>
      <c r="D203" s="337"/>
      <c r="E203" s="550"/>
      <c r="F203" s="550"/>
      <c r="G203" s="550"/>
      <c r="H203" s="550"/>
      <c r="I203" s="550"/>
      <c r="J203" s="550"/>
      <c r="K203" s="550"/>
      <c r="L203" s="550"/>
      <c r="M203" s="550"/>
      <c r="N203" s="550"/>
      <c r="O203" s="550"/>
      <c r="P203" s="550"/>
      <c r="Q203" s="550"/>
      <c r="R203" s="550"/>
      <c r="S203" s="659"/>
      <c r="T203" s="550"/>
      <c r="U203" s="550"/>
      <c r="V203" s="550"/>
      <c r="W203" s="550"/>
      <c r="X203" s="550"/>
      <c r="Y203" s="550"/>
      <c r="Z203" s="550"/>
      <c r="AA203" s="550"/>
      <c r="AB203" s="550"/>
      <c r="AC203" s="550"/>
      <c r="AD203" s="550"/>
      <c r="AE203" s="550"/>
      <c r="AF203" s="550"/>
      <c r="AG203" s="785"/>
      <c r="AH203" s="644"/>
      <c r="AI203" s="644"/>
      <c r="AJ203" s="644"/>
      <c r="AK203" s="550"/>
      <c r="AL203" s="337"/>
      <c r="AM203" s="631"/>
      <c r="AN203" s="631"/>
      <c r="AO203" s="631"/>
      <c r="AP203" s="631"/>
      <c r="AQ203" s="631"/>
      <c r="AR203" s="631"/>
      <c r="AS203" s="631"/>
      <c r="AT203" s="631"/>
      <c r="AU203" s="631"/>
      <c r="AV203" s="631"/>
      <c r="AW203" s="631"/>
      <c r="AX203" s="631"/>
      <c r="AY203" s="631"/>
      <c r="AZ203" s="631"/>
      <c r="BA203" s="631"/>
      <c r="BB203" s="631"/>
      <c r="BC203" s="550"/>
      <c r="BD203" s="661"/>
    </row>
    <row r="204" ht="11.25" customHeight="1">
      <c r="A204" s="644"/>
      <c r="B204" s="644"/>
      <c r="C204" s="550"/>
      <c r="D204" s="337"/>
      <c r="E204" s="550"/>
      <c r="F204" s="550"/>
      <c r="G204" s="550"/>
      <c r="H204" s="550"/>
      <c r="I204" s="550"/>
      <c r="J204" s="550"/>
      <c r="K204" s="550"/>
      <c r="L204" s="550"/>
      <c r="M204" s="550"/>
      <c r="N204" s="550"/>
      <c r="O204" s="550"/>
      <c r="P204" s="550"/>
      <c r="Q204" s="550"/>
      <c r="R204" s="550"/>
      <c r="S204" s="659"/>
      <c r="T204" s="550"/>
      <c r="U204" s="550"/>
      <c r="V204" s="550"/>
      <c r="W204" s="550"/>
      <c r="X204" s="550"/>
      <c r="Y204" s="550"/>
      <c r="Z204" s="550"/>
      <c r="AA204" s="550"/>
      <c r="AB204" s="550"/>
      <c r="AC204" s="550"/>
      <c r="AD204" s="550"/>
      <c r="AE204" s="550"/>
      <c r="AF204" s="550"/>
      <c r="AG204" s="785"/>
      <c r="AH204" s="644"/>
      <c r="AI204" s="644"/>
      <c r="AJ204" s="644"/>
      <c r="AK204" s="550"/>
      <c r="AL204" s="337"/>
      <c r="AM204" s="631"/>
      <c r="AN204" s="631"/>
      <c r="AO204" s="631"/>
      <c r="AP204" s="631"/>
      <c r="AQ204" s="631"/>
      <c r="AR204" s="631"/>
      <c r="AS204" s="631"/>
      <c r="AT204" s="631"/>
      <c r="AU204" s="631"/>
      <c r="AV204" s="631"/>
      <c r="AW204" s="631"/>
      <c r="AX204" s="631"/>
      <c r="AY204" s="631"/>
      <c r="AZ204" s="631"/>
      <c r="BA204" s="631"/>
      <c r="BB204" s="631"/>
      <c r="BC204" s="550"/>
      <c r="BD204" s="661"/>
    </row>
    <row r="205" ht="11.25" customHeight="1">
      <c r="A205" s="644"/>
      <c r="B205" s="644"/>
      <c r="C205" s="550"/>
      <c r="D205" s="337"/>
      <c r="E205" s="550"/>
      <c r="F205" s="550"/>
      <c r="G205" s="550"/>
      <c r="H205" s="550"/>
      <c r="I205" s="550"/>
      <c r="J205" s="550"/>
      <c r="K205" s="550"/>
      <c r="L205" s="550"/>
      <c r="M205" s="550"/>
      <c r="N205" s="550"/>
      <c r="O205" s="550"/>
      <c r="P205" s="550"/>
      <c r="Q205" s="550"/>
      <c r="R205" s="550"/>
      <c r="S205" s="659"/>
      <c r="T205" s="550"/>
      <c r="U205" s="550"/>
      <c r="V205" s="550"/>
      <c r="W205" s="550"/>
      <c r="X205" s="550"/>
      <c r="Y205" s="550"/>
      <c r="Z205" s="550"/>
      <c r="AA205" s="550"/>
      <c r="AB205" s="550"/>
      <c r="AC205" s="550"/>
      <c r="AD205" s="550"/>
      <c r="AE205" s="550"/>
      <c r="AF205" s="550"/>
      <c r="AG205" s="785"/>
      <c r="AH205" s="644"/>
      <c r="AI205" s="644"/>
      <c r="AJ205" s="644"/>
      <c r="AK205" s="550"/>
      <c r="AL205" s="337"/>
      <c r="AM205" s="631"/>
      <c r="AN205" s="631"/>
      <c r="AO205" s="631"/>
      <c r="AP205" s="631"/>
      <c r="AQ205" s="631"/>
      <c r="AR205" s="631"/>
      <c r="AS205" s="631"/>
      <c r="AT205" s="631"/>
      <c r="AU205" s="631"/>
      <c r="AV205" s="631"/>
      <c r="AW205" s="631"/>
      <c r="AX205" s="631"/>
      <c r="AY205" s="631"/>
      <c r="AZ205" s="631"/>
      <c r="BA205" s="631"/>
      <c r="BB205" s="631"/>
      <c r="BC205" s="550"/>
      <c r="BD205" s="661"/>
    </row>
    <row r="206" ht="11.25" customHeight="1">
      <c r="A206" s="644"/>
      <c r="B206" s="644"/>
      <c r="C206" s="550"/>
      <c r="D206" s="337"/>
      <c r="E206" s="550"/>
      <c r="F206" s="550"/>
      <c r="G206" s="550"/>
      <c r="H206" s="550"/>
      <c r="I206" s="550"/>
      <c r="J206" s="550"/>
      <c r="K206" s="550"/>
      <c r="L206" s="550"/>
      <c r="M206" s="550"/>
      <c r="N206" s="550"/>
      <c r="O206" s="550"/>
      <c r="P206" s="550"/>
      <c r="Q206" s="550"/>
      <c r="R206" s="550"/>
      <c r="S206" s="659"/>
      <c r="T206" s="550"/>
      <c r="U206" s="550"/>
      <c r="V206" s="550"/>
      <c r="W206" s="550"/>
      <c r="X206" s="550"/>
      <c r="Y206" s="550"/>
      <c r="Z206" s="550"/>
      <c r="AA206" s="550"/>
      <c r="AB206" s="550"/>
      <c r="AC206" s="550"/>
      <c r="AD206" s="550"/>
      <c r="AE206" s="550"/>
      <c r="AF206" s="550"/>
      <c r="AG206" s="785"/>
      <c r="AH206" s="644"/>
      <c r="AI206" s="644"/>
      <c r="AJ206" s="644"/>
      <c r="AK206" s="550"/>
      <c r="AL206" s="337"/>
      <c r="AM206" s="631"/>
      <c r="AN206" s="631"/>
      <c r="AO206" s="631"/>
      <c r="AP206" s="631"/>
      <c r="AQ206" s="631"/>
      <c r="AR206" s="631"/>
      <c r="AS206" s="631"/>
      <c r="AT206" s="631"/>
      <c r="AU206" s="631"/>
      <c r="AV206" s="631"/>
      <c r="AW206" s="631"/>
      <c r="AX206" s="631"/>
      <c r="AY206" s="631"/>
      <c r="AZ206" s="631"/>
      <c r="BA206" s="631"/>
      <c r="BB206" s="631"/>
      <c r="BC206" s="550"/>
      <c r="BD206" s="661"/>
    </row>
    <row r="207" ht="11.25" customHeight="1">
      <c r="A207" s="644"/>
      <c r="B207" s="644"/>
      <c r="C207" s="550"/>
      <c r="D207" s="337"/>
      <c r="E207" s="550"/>
      <c r="F207" s="550"/>
      <c r="G207" s="550"/>
      <c r="H207" s="550"/>
      <c r="I207" s="550"/>
      <c r="J207" s="550"/>
      <c r="K207" s="550"/>
      <c r="L207" s="550"/>
      <c r="M207" s="550"/>
      <c r="N207" s="550"/>
      <c r="O207" s="550"/>
      <c r="P207" s="550"/>
      <c r="Q207" s="550"/>
      <c r="R207" s="550"/>
      <c r="S207" s="659"/>
      <c r="T207" s="550"/>
      <c r="U207" s="550"/>
      <c r="V207" s="550"/>
      <c r="W207" s="550"/>
      <c r="X207" s="550"/>
      <c r="Y207" s="550"/>
      <c r="Z207" s="550"/>
      <c r="AA207" s="550"/>
      <c r="AB207" s="550"/>
      <c r="AC207" s="550"/>
      <c r="AD207" s="550"/>
      <c r="AE207" s="550"/>
      <c r="AF207" s="550"/>
      <c r="AG207" s="785"/>
      <c r="AH207" s="644"/>
      <c r="AI207" s="644"/>
      <c r="AJ207" s="644"/>
      <c r="AK207" s="550"/>
      <c r="AL207" s="337"/>
      <c r="AM207" s="631"/>
      <c r="AN207" s="631"/>
      <c r="AO207" s="631"/>
      <c r="AP207" s="631"/>
      <c r="AQ207" s="631"/>
      <c r="AR207" s="631"/>
      <c r="AS207" s="631"/>
      <c r="AT207" s="631"/>
      <c r="AU207" s="631"/>
      <c r="AV207" s="631"/>
      <c r="AW207" s="631"/>
      <c r="AX207" s="631"/>
      <c r="AY207" s="631"/>
      <c r="AZ207" s="631"/>
      <c r="BA207" s="631"/>
      <c r="BB207" s="631"/>
      <c r="BC207" s="550"/>
      <c r="BD207" s="661"/>
    </row>
    <row r="208" ht="11.25" customHeight="1">
      <c r="A208" s="644"/>
      <c r="B208" s="644"/>
      <c r="C208" s="550"/>
      <c r="D208" s="337"/>
      <c r="E208" s="550"/>
      <c r="F208" s="550"/>
      <c r="G208" s="550"/>
      <c r="H208" s="550"/>
      <c r="I208" s="550"/>
      <c r="J208" s="550"/>
      <c r="K208" s="550"/>
      <c r="L208" s="550"/>
      <c r="M208" s="550"/>
      <c r="N208" s="550"/>
      <c r="O208" s="550"/>
      <c r="P208" s="550"/>
      <c r="Q208" s="550"/>
      <c r="R208" s="550"/>
      <c r="S208" s="659"/>
      <c r="T208" s="550"/>
      <c r="U208" s="550"/>
      <c r="V208" s="550"/>
      <c r="W208" s="550"/>
      <c r="X208" s="550"/>
      <c r="Y208" s="550"/>
      <c r="Z208" s="550"/>
      <c r="AA208" s="550"/>
      <c r="AB208" s="550"/>
      <c r="AC208" s="550"/>
      <c r="AD208" s="550"/>
      <c r="AE208" s="550"/>
      <c r="AF208" s="550"/>
      <c r="AG208" s="785"/>
      <c r="AH208" s="644"/>
      <c r="AI208" s="644"/>
      <c r="AJ208" s="644"/>
      <c r="AK208" s="550"/>
      <c r="AL208" s="337"/>
      <c r="AM208" s="631"/>
      <c r="AN208" s="631"/>
      <c r="AO208" s="631"/>
      <c r="AP208" s="631"/>
      <c r="AQ208" s="631"/>
      <c r="AR208" s="631"/>
      <c r="AS208" s="631"/>
      <c r="AT208" s="631"/>
      <c r="AU208" s="631"/>
      <c r="AV208" s="631"/>
      <c r="AW208" s="631"/>
      <c r="AX208" s="631"/>
      <c r="AY208" s="631"/>
      <c r="AZ208" s="631"/>
      <c r="BA208" s="631"/>
      <c r="BB208" s="631"/>
      <c r="BC208" s="550"/>
      <c r="BD208" s="661"/>
    </row>
    <row r="209" ht="11.25" customHeight="1">
      <c r="A209" s="644"/>
      <c r="B209" s="644"/>
      <c r="C209" s="550"/>
      <c r="D209" s="337"/>
      <c r="E209" s="550"/>
      <c r="F209" s="550"/>
      <c r="G209" s="550"/>
      <c r="H209" s="550"/>
      <c r="I209" s="550"/>
      <c r="J209" s="550"/>
      <c r="K209" s="550"/>
      <c r="L209" s="550"/>
      <c r="M209" s="550"/>
      <c r="N209" s="550"/>
      <c r="O209" s="550"/>
      <c r="P209" s="550"/>
      <c r="Q209" s="550"/>
      <c r="R209" s="550"/>
      <c r="S209" s="659"/>
      <c r="T209" s="550"/>
      <c r="U209" s="550"/>
      <c r="V209" s="550"/>
      <c r="W209" s="550"/>
      <c r="X209" s="550"/>
      <c r="Y209" s="550"/>
      <c r="Z209" s="550"/>
      <c r="AA209" s="550"/>
      <c r="AB209" s="550"/>
      <c r="AC209" s="550"/>
      <c r="AD209" s="550"/>
      <c r="AE209" s="550"/>
      <c r="AF209" s="550"/>
      <c r="AG209" s="785"/>
      <c r="AH209" s="644"/>
      <c r="AI209" s="644"/>
      <c r="AJ209" s="644"/>
      <c r="AK209" s="550"/>
      <c r="AL209" s="337"/>
      <c r="AM209" s="631"/>
      <c r="AN209" s="631"/>
      <c r="AO209" s="631"/>
      <c r="AP209" s="631"/>
      <c r="AQ209" s="631"/>
      <c r="AR209" s="631"/>
      <c r="AS209" s="631"/>
      <c r="AT209" s="631"/>
      <c r="AU209" s="631"/>
      <c r="AV209" s="631"/>
      <c r="AW209" s="631"/>
      <c r="AX209" s="631"/>
      <c r="AY209" s="631"/>
      <c r="AZ209" s="631"/>
      <c r="BA209" s="631"/>
      <c r="BB209" s="631"/>
      <c r="BC209" s="550"/>
      <c r="BD209" s="661"/>
    </row>
    <row r="210" ht="11.25" customHeight="1">
      <c r="A210" s="644"/>
      <c r="B210" s="644"/>
      <c r="C210" s="550"/>
      <c r="D210" s="337"/>
      <c r="E210" s="550"/>
      <c r="F210" s="550"/>
      <c r="G210" s="550"/>
      <c r="H210" s="550"/>
      <c r="I210" s="550"/>
      <c r="J210" s="550"/>
      <c r="K210" s="550"/>
      <c r="L210" s="550"/>
      <c r="M210" s="550"/>
      <c r="N210" s="550"/>
      <c r="O210" s="550"/>
      <c r="P210" s="550"/>
      <c r="Q210" s="550"/>
      <c r="R210" s="550"/>
      <c r="S210" s="659"/>
      <c r="T210" s="550"/>
      <c r="U210" s="550"/>
      <c r="V210" s="550"/>
      <c r="W210" s="550"/>
      <c r="X210" s="550"/>
      <c r="Y210" s="550"/>
      <c r="Z210" s="550"/>
      <c r="AA210" s="550"/>
      <c r="AB210" s="550"/>
      <c r="AC210" s="550"/>
      <c r="AD210" s="550"/>
      <c r="AE210" s="550"/>
      <c r="AF210" s="550"/>
      <c r="AG210" s="785"/>
      <c r="AH210" s="644"/>
      <c r="AI210" s="644"/>
      <c r="AJ210" s="644"/>
      <c r="AK210" s="550"/>
      <c r="AL210" s="337"/>
      <c r="AM210" s="631"/>
      <c r="AN210" s="631"/>
      <c r="AO210" s="631"/>
      <c r="AP210" s="631"/>
      <c r="AQ210" s="631"/>
      <c r="AR210" s="631"/>
      <c r="AS210" s="631"/>
      <c r="AT210" s="631"/>
      <c r="AU210" s="631"/>
      <c r="AV210" s="631"/>
      <c r="AW210" s="631"/>
      <c r="AX210" s="631"/>
      <c r="AY210" s="631"/>
      <c r="AZ210" s="631"/>
      <c r="BA210" s="631"/>
      <c r="BB210" s="631"/>
      <c r="BC210" s="550"/>
      <c r="BD210" s="661"/>
    </row>
    <row r="211" ht="11.25" customHeight="1">
      <c r="A211" s="644"/>
      <c r="B211" s="644"/>
      <c r="C211" s="550"/>
      <c r="D211" s="337"/>
      <c r="E211" s="550"/>
      <c r="F211" s="550"/>
      <c r="G211" s="550"/>
      <c r="H211" s="550"/>
      <c r="I211" s="550"/>
      <c r="J211" s="550"/>
      <c r="K211" s="550"/>
      <c r="L211" s="550"/>
      <c r="M211" s="550"/>
      <c r="N211" s="550"/>
      <c r="O211" s="550"/>
      <c r="P211" s="550"/>
      <c r="Q211" s="550"/>
      <c r="R211" s="550"/>
      <c r="S211" s="659"/>
      <c r="T211" s="550"/>
      <c r="U211" s="550"/>
      <c r="V211" s="550"/>
      <c r="W211" s="550"/>
      <c r="X211" s="550"/>
      <c r="Y211" s="550"/>
      <c r="Z211" s="550"/>
      <c r="AA211" s="550"/>
      <c r="AB211" s="550"/>
      <c r="AC211" s="550"/>
      <c r="AD211" s="550"/>
      <c r="AE211" s="550"/>
      <c r="AF211" s="550"/>
      <c r="AG211" s="785"/>
      <c r="AH211" s="644"/>
      <c r="AI211" s="644"/>
      <c r="AJ211" s="644"/>
      <c r="AK211" s="550"/>
      <c r="AL211" s="337"/>
      <c r="AM211" s="631"/>
      <c r="AN211" s="631"/>
      <c r="AO211" s="631"/>
      <c r="AP211" s="631"/>
      <c r="AQ211" s="631"/>
      <c r="AR211" s="631"/>
      <c r="AS211" s="631"/>
      <c r="AT211" s="631"/>
      <c r="AU211" s="631"/>
      <c r="AV211" s="631"/>
      <c r="AW211" s="631"/>
      <c r="AX211" s="631"/>
      <c r="AY211" s="631"/>
      <c r="AZ211" s="631"/>
      <c r="BA211" s="631"/>
      <c r="BB211" s="631"/>
      <c r="BC211" s="550"/>
      <c r="BD211" s="661"/>
    </row>
    <row r="212" ht="11.25" customHeight="1">
      <c r="A212" s="644"/>
      <c r="B212" s="644"/>
      <c r="C212" s="550"/>
      <c r="D212" s="337"/>
      <c r="E212" s="550"/>
      <c r="F212" s="550"/>
      <c r="G212" s="550"/>
      <c r="H212" s="550"/>
      <c r="I212" s="550"/>
      <c r="J212" s="550"/>
      <c r="K212" s="550"/>
      <c r="L212" s="550"/>
      <c r="M212" s="550"/>
      <c r="N212" s="550"/>
      <c r="O212" s="550"/>
      <c r="P212" s="550"/>
      <c r="Q212" s="550"/>
      <c r="R212" s="550"/>
      <c r="S212" s="659"/>
      <c r="T212" s="550"/>
      <c r="U212" s="550"/>
      <c r="V212" s="550"/>
      <c r="W212" s="550"/>
      <c r="X212" s="550"/>
      <c r="Y212" s="550"/>
      <c r="Z212" s="550"/>
      <c r="AA212" s="550"/>
      <c r="AB212" s="550"/>
      <c r="AC212" s="550"/>
      <c r="AD212" s="550"/>
      <c r="AE212" s="550"/>
      <c r="AF212" s="550"/>
      <c r="AG212" s="785"/>
      <c r="AH212" s="644"/>
      <c r="AI212" s="644"/>
      <c r="AJ212" s="644"/>
      <c r="AK212" s="550"/>
      <c r="AL212" s="337"/>
      <c r="AM212" s="631"/>
      <c r="AN212" s="631"/>
      <c r="AO212" s="631"/>
      <c r="AP212" s="631"/>
      <c r="AQ212" s="631"/>
      <c r="AR212" s="631"/>
      <c r="AS212" s="631"/>
      <c r="AT212" s="631"/>
      <c r="AU212" s="631"/>
      <c r="AV212" s="631"/>
      <c r="AW212" s="631"/>
      <c r="AX212" s="631"/>
      <c r="AY212" s="631"/>
      <c r="AZ212" s="631"/>
      <c r="BA212" s="631"/>
      <c r="BB212" s="631"/>
      <c r="BC212" s="550"/>
      <c r="BD212" s="661"/>
    </row>
    <row r="213" ht="11.25" customHeight="1">
      <c r="A213" s="644"/>
      <c r="B213" s="644"/>
      <c r="C213" s="550"/>
      <c r="D213" s="337"/>
      <c r="E213" s="550"/>
      <c r="F213" s="550"/>
      <c r="G213" s="550"/>
      <c r="H213" s="550"/>
      <c r="I213" s="550"/>
      <c r="J213" s="550"/>
      <c r="K213" s="550"/>
      <c r="L213" s="550"/>
      <c r="M213" s="550"/>
      <c r="N213" s="550"/>
      <c r="O213" s="550"/>
      <c r="P213" s="550"/>
      <c r="Q213" s="550"/>
      <c r="R213" s="550"/>
      <c r="S213" s="659"/>
      <c r="T213" s="550"/>
      <c r="U213" s="550"/>
      <c r="V213" s="550"/>
      <c r="W213" s="550"/>
      <c r="X213" s="550"/>
      <c r="Y213" s="550"/>
      <c r="Z213" s="550"/>
      <c r="AA213" s="550"/>
      <c r="AB213" s="550"/>
      <c r="AC213" s="550"/>
      <c r="AD213" s="550"/>
      <c r="AE213" s="550"/>
      <c r="AF213" s="550"/>
      <c r="AG213" s="785"/>
      <c r="AH213" s="644"/>
      <c r="AI213" s="644"/>
      <c r="AJ213" s="644"/>
      <c r="AK213" s="550"/>
      <c r="AL213" s="337"/>
      <c r="AM213" s="631"/>
      <c r="AN213" s="631"/>
      <c r="AO213" s="631"/>
      <c r="AP213" s="631"/>
      <c r="AQ213" s="631"/>
      <c r="AR213" s="631"/>
      <c r="AS213" s="631"/>
      <c r="AT213" s="631"/>
      <c r="AU213" s="631"/>
      <c r="AV213" s="631"/>
      <c r="AW213" s="631"/>
      <c r="AX213" s="631"/>
      <c r="AY213" s="631"/>
      <c r="AZ213" s="631"/>
      <c r="BA213" s="631"/>
      <c r="BB213" s="631"/>
      <c r="BC213" s="550"/>
      <c r="BD213" s="661"/>
    </row>
    <row r="214" ht="11.25" customHeight="1">
      <c r="A214" s="644"/>
      <c r="B214" s="644"/>
      <c r="C214" s="550"/>
      <c r="D214" s="337"/>
      <c r="E214" s="550"/>
      <c r="F214" s="550"/>
      <c r="G214" s="550"/>
      <c r="H214" s="550"/>
      <c r="I214" s="550"/>
      <c r="J214" s="550"/>
      <c r="K214" s="550"/>
      <c r="L214" s="550"/>
      <c r="M214" s="550"/>
      <c r="N214" s="550"/>
      <c r="O214" s="550"/>
      <c r="P214" s="550"/>
      <c r="Q214" s="550"/>
      <c r="R214" s="550"/>
      <c r="S214" s="659"/>
      <c r="T214" s="550"/>
      <c r="U214" s="550"/>
      <c r="V214" s="550"/>
      <c r="W214" s="550"/>
      <c r="X214" s="550"/>
      <c r="Y214" s="550"/>
      <c r="Z214" s="550"/>
      <c r="AA214" s="550"/>
      <c r="AB214" s="550"/>
      <c r="AC214" s="550"/>
      <c r="AD214" s="550"/>
      <c r="AE214" s="550"/>
      <c r="AF214" s="550"/>
      <c r="AG214" s="785"/>
      <c r="AH214" s="644"/>
      <c r="AI214" s="644"/>
      <c r="AJ214" s="644"/>
      <c r="AK214" s="550"/>
      <c r="AL214" s="337"/>
      <c r="AM214" s="631"/>
      <c r="AN214" s="631"/>
      <c r="AO214" s="631"/>
      <c r="AP214" s="631"/>
      <c r="AQ214" s="631"/>
      <c r="AR214" s="631"/>
      <c r="AS214" s="631"/>
      <c r="AT214" s="631"/>
      <c r="AU214" s="631"/>
      <c r="AV214" s="631"/>
      <c r="AW214" s="631"/>
      <c r="AX214" s="631"/>
      <c r="AY214" s="631"/>
      <c r="AZ214" s="631"/>
      <c r="BA214" s="631"/>
      <c r="BB214" s="631"/>
      <c r="BC214" s="550"/>
      <c r="BD214" s="661"/>
    </row>
    <row r="215" ht="11.25" customHeight="1">
      <c r="A215" s="644"/>
      <c r="B215" s="644"/>
      <c r="C215" s="550"/>
      <c r="D215" s="337"/>
      <c r="E215" s="550"/>
      <c r="F215" s="550"/>
      <c r="G215" s="550"/>
      <c r="H215" s="550"/>
      <c r="I215" s="550"/>
      <c r="J215" s="550"/>
      <c r="K215" s="550"/>
      <c r="L215" s="550"/>
      <c r="M215" s="550"/>
      <c r="N215" s="550"/>
      <c r="O215" s="550"/>
      <c r="P215" s="550"/>
      <c r="Q215" s="550"/>
      <c r="R215" s="550"/>
      <c r="S215" s="659"/>
      <c r="T215" s="550"/>
      <c r="U215" s="550"/>
      <c r="V215" s="550"/>
      <c r="W215" s="550"/>
      <c r="X215" s="550"/>
      <c r="Y215" s="550"/>
      <c r="Z215" s="550"/>
      <c r="AA215" s="550"/>
      <c r="AB215" s="550"/>
      <c r="AC215" s="550"/>
      <c r="AD215" s="550"/>
      <c r="AE215" s="550"/>
      <c r="AF215" s="550"/>
      <c r="AG215" s="785"/>
      <c r="AH215" s="644"/>
      <c r="AI215" s="644"/>
      <c r="AJ215" s="644"/>
      <c r="AK215" s="550"/>
      <c r="AL215" s="337"/>
      <c r="AM215" s="631"/>
      <c r="AN215" s="631"/>
      <c r="AO215" s="631"/>
      <c r="AP215" s="631"/>
      <c r="AQ215" s="631"/>
      <c r="AR215" s="631"/>
      <c r="AS215" s="631"/>
      <c r="AT215" s="631"/>
      <c r="AU215" s="631"/>
      <c r="AV215" s="631"/>
      <c r="AW215" s="631"/>
      <c r="AX215" s="631"/>
      <c r="AY215" s="631"/>
      <c r="AZ215" s="631"/>
      <c r="BA215" s="631"/>
      <c r="BB215" s="631"/>
      <c r="BC215" s="550"/>
      <c r="BD215" s="661"/>
    </row>
    <row r="216" ht="11.25" customHeight="1">
      <c r="A216" s="644"/>
      <c r="B216" s="644"/>
      <c r="C216" s="550"/>
      <c r="D216" s="337"/>
      <c r="E216" s="550"/>
      <c r="F216" s="550"/>
      <c r="G216" s="550"/>
      <c r="H216" s="550"/>
      <c r="I216" s="550"/>
      <c r="J216" s="550"/>
      <c r="K216" s="550"/>
      <c r="L216" s="550"/>
      <c r="M216" s="550"/>
      <c r="N216" s="550"/>
      <c r="O216" s="550"/>
      <c r="P216" s="550"/>
      <c r="Q216" s="550"/>
      <c r="R216" s="550"/>
      <c r="S216" s="659"/>
      <c r="T216" s="550"/>
      <c r="U216" s="550"/>
      <c r="V216" s="550"/>
      <c r="W216" s="550"/>
      <c r="X216" s="550"/>
      <c r="Y216" s="550"/>
      <c r="Z216" s="550"/>
      <c r="AA216" s="550"/>
      <c r="AB216" s="550"/>
      <c r="AC216" s="550"/>
      <c r="AD216" s="550"/>
      <c r="AE216" s="550"/>
      <c r="AF216" s="550"/>
      <c r="AG216" s="785"/>
      <c r="AH216" s="644"/>
      <c r="AI216" s="644"/>
      <c r="AJ216" s="644"/>
      <c r="AK216" s="550"/>
      <c r="AL216" s="337"/>
      <c r="AM216" s="631"/>
      <c r="AN216" s="631"/>
      <c r="AO216" s="631"/>
      <c r="AP216" s="631"/>
      <c r="AQ216" s="631"/>
      <c r="AR216" s="631"/>
      <c r="AS216" s="631"/>
      <c r="AT216" s="631"/>
      <c r="AU216" s="631"/>
      <c r="AV216" s="631"/>
      <c r="AW216" s="631"/>
      <c r="AX216" s="631"/>
      <c r="AY216" s="631"/>
      <c r="AZ216" s="631"/>
      <c r="BA216" s="631"/>
      <c r="BB216" s="631"/>
      <c r="BC216" s="550"/>
      <c r="BD216" s="661"/>
    </row>
    <row r="217" ht="11.25" customHeight="1">
      <c r="A217" s="644"/>
      <c r="B217" s="644"/>
      <c r="C217" s="550"/>
      <c r="D217" s="337"/>
      <c r="E217" s="550"/>
      <c r="F217" s="550"/>
      <c r="G217" s="550"/>
      <c r="H217" s="550"/>
      <c r="I217" s="550"/>
      <c r="J217" s="550"/>
      <c r="K217" s="550"/>
      <c r="L217" s="550"/>
      <c r="M217" s="550"/>
      <c r="N217" s="550"/>
      <c r="O217" s="550"/>
      <c r="P217" s="550"/>
      <c r="Q217" s="550"/>
      <c r="R217" s="550"/>
      <c r="S217" s="659"/>
      <c r="T217" s="550"/>
      <c r="U217" s="550"/>
      <c r="V217" s="550"/>
      <c r="W217" s="550"/>
      <c r="X217" s="550"/>
      <c r="Y217" s="550"/>
      <c r="Z217" s="550"/>
      <c r="AA217" s="550"/>
      <c r="AB217" s="550"/>
      <c r="AC217" s="550"/>
      <c r="AD217" s="550"/>
      <c r="AE217" s="550"/>
      <c r="AF217" s="550"/>
      <c r="AG217" s="785"/>
      <c r="AH217" s="644"/>
      <c r="AI217" s="644"/>
      <c r="AJ217" s="644"/>
      <c r="AK217" s="550"/>
      <c r="AL217" s="337"/>
      <c r="AM217" s="631"/>
      <c r="AN217" s="631"/>
      <c r="AO217" s="631"/>
      <c r="AP217" s="631"/>
      <c r="AQ217" s="631"/>
      <c r="AR217" s="631"/>
      <c r="AS217" s="631"/>
      <c r="AT217" s="631"/>
      <c r="AU217" s="631"/>
      <c r="AV217" s="631"/>
      <c r="AW217" s="631"/>
      <c r="AX217" s="631"/>
      <c r="AY217" s="631"/>
      <c r="AZ217" s="631"/>
      <c r="BA217" s="631"/>
      <c r="BB217" s="631"/>
      <c r="BC217" s="550"/>
      <c r="BD217" s="661"/>
    </row>
    <row r="218" ht="11.25" customHeight="1">
      <c r="A218" s="644"/>
      <c r="B218" s="644"/>
      <c r="C218" s="550"/>
      <c r="D218" s="337"/>
      <c r="E218" s="550"/>
      <c r="F218" s="550"/>
      <c r="G218" s="550"/>
      <c r="H218" s="550"/>
      <c r="I218" s="550"/>
      <c r="J218" s="550"/>
      <c r="K218" s="550"/>
      <c r="L218" s="550"/>
      <c r="M218" s="550"/>
      <c r="N218" s="550"/>
      <c r="O218" s="550"/>
      <c r="P218" s="550"/>
      <c r="Q218" s="550"/>
      <c r="R218" s="550"/>
      <c r="S218" s="659"/>
      <c r="T218" s="550"/>
      <c r="U218" s="550"/>
      <c r="V218" s="550"/>
      <c r="W218" s="550"/>
      <c r="X218" s="550"/>
      <c r="Y218" s="550"/>
      <c r="Z218" s="550"/>
      <c r="AA218" s="550"/>
      <c r="AB218" s="550"/>
      <c r="AC218" s="550"/>
      <c r="AD218" s="550"/>
      <c r="AE218" s="550"/>
      <c r="AF218" s="550"/>
      <c r="AG218" s="785"/>
      <c r="AH218" s="644"/>
      <c r="AI218" s="644"/>
      <c r="AJ218" s="644"/>
      <c r="AK218" s="550"/>
      <c r="AL218" s="337"/>
      <c r="AM218" s="631"/>
      <c r="AN218" s="631"/>
      <c r="AO218" s="631"/>
      <c r="AP218" s="631"/>
      <c r="AQ218" s="631"/>
      <c r="AR218" s="631"/>
      <c r="AS218" s="631"/>
      <c r="AT218" s="631"/>
      <c r="AU218" s="631"/>
      <c r="AV218" s="631"/>
      <c r="AW218" s="631"/>
      <c r="AX218" s="631"/>
      <c r="AY218" s="631"/>
      <c r="AZ218" s="631"/>
      <c r="BA218" s="631"/>
      <c r="BB218" s="631"/>
      <c r="BC218" s="550"/>
      <c r="BD218" s="661"/>
    </row>
    <row r="219" ht="11.25" customHeight="1">
      <c r="A219" s="644"/>
      <c r="B219" s="644"/>
      <c r="C219" s="550"/>
      <c r="D219" s="337"/>
      <c r="E219" s="550"/>
      <c r="F219" s="550"/>
      <c r="G219" s="550"/>
      <c r="H219" s="550"/>
      <c r="I219" s="550"/>
      <c r="J219" s="550"/>
      <c r="K219" s="550"/>
      <c r="L219" s="550"/>
      <c r="M219" s="550"/>
      <c r="N219" s="550"/>
      <c r="O219" s="550"/>
      <c r="P219" s="550"/>
      <c r="Q219" s="550"/>
      <c r="R219" s="550"/>
      <c r="S219" s="659"/>
      <c r="T219" s="550"/>
      <c r="U219" s="550"/>
      <c r="V219" s="550"/>
      <c r="W219" s="550"/>
      <c r="X219" s="550"/>
      <c r="Y219" s="550"/>
      <c r="Z219" s="550"/>
      <c r="AA219" s="550"/>
      <c r="AB219" s="550"/>
      <c r="AC219" s="550"/>
      <c r="AD219" s="550"/>
      <c r="AE219" s="550"/>
      <c r="AF219" s="550"/>
      <c r="AG219" s="785"/>
      <c r="AH219" s="644"/>
      <c r="AI219" s="644"/>
      <c r="AJ219" s="644"/>
      <c r="AK219" s="550"/>
      <c r="AL219" s="337"/>
      <c r="AM219" s="631"/>
      <c r="AN219" s="631"/>
      <c r="AO219" s="631"/>
      <c r="AP219" s="631"/>
      <c r="AQ219" s="631"/>
      <c r="AR219" s="631"/>
      <c r="AS219" s="631"/>
      <c r="AT219" s="631"/>
      <c r="AU219" s="631"/>
      <c r="AV219" s="631"/>
      <c r="AW219" s="631"/>
      <c r="AX219" s="631"/>
      <c r="AY219" s="631"/>
      <c r="AZ219" s="631"/>
      <c r="BA219" s="631"/>
      <c r="BB219" s="631"/>
      <c r="BC219" s="550"/>
      <c r="BD219" s="661"/>
    </row>
    <row r="220" ht="11.25" customHeight="1">
      <c r="A220" s="644"/>
      <c r="B220" s="644"/>
      <c r="C220" s="550"/>
      <c r="D220" s="337"/>
      <c r="E220" s="550"/>
      <c r="F220" s="550"/>
      <c r="G220" s="550"/>
      <c r="H220" s="550"/>
      <c r="I220" s="550"/>
      <c r="J220" s="550"/>
      <c r="K220" s="550"/>
      <c r="L220" s="550"/>
      <c r="M220" s="550"/>
      <c r="N220" s="550"/>
      <c r="O220" s="550"/>
      <c r="P220" s="550"/>
      <c r="Q220" s="550"/>
      <c r="R220" s="550"/>
      <c r="S220" s="659"/>
      <c r="T220" s="550"/>
      <c r="U220" s="550"/>
      <c r="V220" s="550"/>
      <c r="W220" s="550"/>
      <c r="X220" s="550"/>
      <c r="Y220" s="550"/>
      <c r="Z220" s="550"/>
      <c r="AA220" s="550"/>
      <c r="AB220" s="550"/>
      <c r="AC220" s="550"/>
      <c r="AD220" s="550"/>
      <c r="AE220" s="550"/>
      <c r="AF220" s="550"/>
      <c r="AG220" s="785"/>
      <c r="AH220" s="644"/>
      <c r="AI220" s="644"/>
      <c r="AJ220" s="644"/>
      <c r="AK220" s="550"/>
      <c r="AL220" s="337"/>
      <c r="AM220" s="631"/>
      <c r="AN220" s="631"/>
      <c r="AO220" s="631"/>
      <c r="AP220" s="631"/>
      <c r="AQ220" s="631"/>
      <c r="AR220" s="631"/>
      <c r="AS220" s="631"/>
      <c r="AT220" s="631"/>
      <c r="AU220" s="631"/>
      <c r="AV220" s="631"/>
      <c r="AW220" s="631"/>
      <c r="AX220" s="631"/>
      <c r="AY220" s="631"/>
      <c r="AZ220" s="631"/>
      <c r="BA220" s="631"/>
      <c r="BB220" s="631"/>
      <c r="BC220" s="550"/>
      <c r="BD220" s="661"/>
    </row>
    <row r="221" ht="11.25" customHeight="1">
      <c r="A221" s="644"/>
      <c r="B221" s="644"/>
      <c r="C221" s="550"/>
      <c r="D221" s="337"/>
      <c r="E221" s="550"/>
      <c r="F221" s="550"/>
      <c r="G221" s="550"/>
      <c r="H221" s="550"/>
      <c r="I221" s="550"/>
      <c r="J221" s="550"/>
      <c r="K221" s="550"/>
      <c r="L221" s="550"/>
      <c r="M221" s="550"/>
      <c r="N221" s="550"/>
      <c r="O221" s="550"/>
      <c r="P221" s="550"/>
      <c r="Q221" s="550"/>
      <c r="R221" s="550"/>
      <c r="S221" s="659"/>
      <c r="T221" s="550"/>
      <c r="U221" s="550"/>
      <c r="V221" s="550"/>
      <c r="W221" s="550"/>
      <c r="X221" s="550"/>
      <c r="Y221" s="550"/>
      <c r="Z221" s="550"/>
      <c r="AA221" s="550"/>
      <c r="AB221" s="550"/>
      <c r="AC221" s="550"/>
      <c r="AD221" s="550"/>
      <c r="AE221" s="550"/>
      <c r="AF221" s="550"/>
      <c r="AG221" s="785"/>
      <c r="AH221" s="644"/>
      <c r="AI221" s="644"/>
      <c r="AJ221" s="644"/>
      <c r="AK221" s="550"/>
      <c r="AL221" s="337"/>
      <c r="AM221" s="631"/>
      <c r="AN221" s="631"/>
      <c r="AO221" s="631"/>
      <c r="AP221" s="631"/>
      <c r="AQ221" s="631"/>
      <c r="AR221" s="631"/>
      <c r="AS221" s="631"/>
      <c r="AT221" s="631"/>
      <c r="AU221" s="631"/>
      <c r="AV221" s="631"/>
      <c r="AW221" s="631"/>
      <c r="AX221" s="631"/>
      <c r="AY221" s="631"/>
      <c r="AZ221" s="631"/>
      <c r="BA221" s="631"/>
      <c r="BB221" s="631"/>
      <c r="BC221" s="550"/>
      <c r="BD221" s="661"/>
    </row>
    <row r="222" ht="11.25" customHeight="1">
      <c r="A222" s="644"/>
      <c r="B222" s="644"/>
      <c r="C222" s="550"/>
      <c r="D222" s="337"/>
      <c r="E222" s="550"/>
      <c r="F222" s="550"/>
      <c r="G222" s="550"/>
      <c r="H222" s="550"/>
      <c r="I222" s="550"/>
      <c r="J222" s="550"/>
      <c r="K222" s="550"/>
      <c r="L222" s="550"/>
      <c r="M222" s="550"/>
      <c r="N222" s="550"/>
      <c r="O222" s="550"/>
      <c r="P222" s="550"/>
      <c r="Q222" s="550"/>
      <c r="R222" s="550"/>
      <c r="S222" s="659"/>
      <c r="T222" s="550"/>
      <c r="U222" s="550"/>
      <c r="V222" s="550"/>
      <c r="W222" s="550"/>
      <c r="X222" s="550"/>
      <c r="Y222" s="550"/>
      <c r="Z222" s="550"/>
      <c r="AA222" s="550"/>
      <c r="AB222" s="550"/>
      <c r="AC222" s="550"/>
      <c r="AD222" s="550"/>
      <c r="AE222" s="550"/>
      <c r="AF222" s="550"/>
      <c r="AG222" s="785"/>
      <c r="AH222" s="644"/>
      <c r="AI222" s="644"/>
      <c r="AJ222" s="644"/>
      <c r="AK222" s="550"/>
      <c r="AL222" s="337"/>
      <c r="AM222" s="631"/>
      <c r="AN222" s="631"/>
      <c r="AO222" s="631"/>
      <c r="AP222" s="631"/>
      <c r="AQ222" s="631"/>
      <c r="AR222" s="631"/>
      <c r="AS222" s="631"/>
      <c r="AT222" s="631"/>
      <c r="AU222" s="631"/>
      <c r="AV222" s="631"/>
      <c r="AW222" s="631"/>
      <c r="AX222" s="631"/>
      <c r="AY222" s="631"/>
      <c r="AZ222" s="631"/>
      <c r="BA222" s="631"/>
      <c r="BB222" s="631"/>
      <c r="BC222" s="550"/>
      <c r="BD222" s="66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K4:M4"/>
    <mergeCell ref="O4:Q4"/>
    <mergeCell ref="U4:X4"/>
    <mergeCell ref="Y4:AB4"/>
    <mergeCell ref="AD4:AF4"/>
    <mergeCell ref="AH4:AJ4"/>
    <mergeCell ref="C6:C8"/>
    <mergeCell ref="C9:C11"/>
  </mergeCells>
  <printOptions/>
  <pageMargins bottom="0.75" footer="0.0" header="0.0" left="0.25" right="0.25"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2.86"/>
    <col customWidth="1" min="2" max="2" width="2.57"/>
    <col customWidth="1" min="3" max="3" width="20.43"/>
    <col customWidth="1" min="4" max="6" width="9.29"/>
    <col customWidth="1" min="7" max="7" width="10.57"/>
    <col customWidth="1" min="8" max="8" width="6.86"/>
    <col customWidth="1" min="9" max="9" width="6.0"/>
    <col customWidth="1" min="10" max="10" width="14.14"/>
    <col customWidth="1" min="11" max="13" width="8.57"/>
    <col customWidth="1" min="14" max="14" width="4.14"/>
    <col customWidth="1" min="15" max="15" width="19.43"/>
    <col customWidth="1" min="16" max="16" width="8.14"/>
    <col customWidth="1" min="17" max="17" width="8.57"/>
    <col customWidth="1" min="18" max="18" width="11.71"/>
    <col customWidth="1" min="19" max="19" width="8.0"/>
    <col customWidth="1" min="20" max="20" width="11.14"/>
    <col customWidth="1" min="21" max="21" width="8.0"/>
    <col customWidth="1" min="22" max="22" width="2.57"/>
    <col customWidth="1" min="23" max="23" width="6.43"/>
    <col customWidth="1" min="24" max="31" width="8.71"/>
  </cols>
  <sheetData>
    <row r="1" ht="14.25" customHeight="1">
      <c r="A1" s="786"/>
      <c r="B1" s="787"/>
      <c r="C1" s="786"/>
      <c r="D1" s="788" t="s">
        <v>171</v>
      </c>
      <c r="I1" s="789"/>
      <c r="J1" s="790"/>
      <c r="K1" s="791"/>
      <c r="L1" s="791"/>
      <c r="M1" s="791"/>
      <c r="N1" s="791"/>
      <c r="O1" s="15"/>
      <c r="P1" s="15"/>
      <c r="Q1" s="15"/>
      <c r="R1" s="15"/>
      <c r="S1" s="792" t="s">
        <v>172</v>
      </c>
      <c r="V1" s="793"/>
      <c r="W1" s="786"/>
      <c r="X1" s="15"/>
      <c r="Y1" s="15"/>
      <c r="Z1" s="15"/>
      <c r="AA1" s="15"/>
      <c r="AB1" s="15"/>
      <c r="AC1" s="15"/>
      <c r="AD1" s="15"/>
      <c r="AE1" s="15"/>
    </row>
    <row r="2" ht="14.25" customHeight="1">
      <c r="A2" s="786"/>
      <c r="B2" s="787"/>
      <c r="C2" s="794"/>
      <c r="D2" s="793"/>
      <c r="E2" s="788"/>
      <c r="F2" s="788"/>
      <c r="G2" s="793"/>
      <c r="H2" s="793"/>
      <c r="I2" s="789"/>
      <c r="J2" s="790"/>
      <c r="K2" s="791"/>
      <c r="L2" s="791"/>
      <c r="M2" s="791"/>
      <c r="N2" s="791"/>
      <c r="O2" s="15"/>
      <c r="P2" s="792"/>
      <c r="Q2" s="792"/>
      <c r="R2" s="792"/>
      <c r="S2" s="793"/>
      <c r="T2" s="793"/>
      <c r="U2" s="793"/>
      <c r="V2" s="793"/>
      <c r="W2" s="786"/>
      <c r="X2" s="15"/>
      <c r="Y2" s="15"/>
      <c r="Z2" s="15"/>
      <c r="AA2" s="15"/>
      <c r="AB2" s="15"/>
      <c r="AC2" s="15"/>
      <c r="AD2" s="15"/>
      <c r="AE2" s="15"/>
    </row>
    <row r="3" ht="14.25" customHeight="1">
      <c r="A3" s="786"/>
      <c r="B3" s="787"/>
      <c r="C3" s="786"/>
      <c r="D3" s="795"/>
      <c r="E3" s="795"/>
      <c r="F3" s="795"/>
      <c r="G3" s="795"/>
      <c r="H3" s="796" t="s">
        <v>173</v>
      </c>
      <c r="I3" s="795"/>
      <c r="J3" s="790"/>
      <c r="K3" s="797" t="s">
        <v>50</v>
      </c>
      <c r="L3" s="666"/>
      <c r="M3" s="666"/>
      <c r="N3" s="792"/>
      <c r="O3" s="798"/>
      <c r="P3" s="798"/>
      <c r="Q3" s="15"/>
      <c r="R3" s="15"/>
      <c r="S3" s="793"/>
      <c r="T3" s="793"/>
      <c r="U3" s="793"/>
      <c r="V3" s="795"/>
      <c r="W3" s="786"/>
      <c r="X3" s="15"/>
      <c r="Y3" s="15"/>
      <c r="Z3" s="15"/>
      <c r="AA3" s="15"/>
      <c r="AB3" s="15"/>
      <c r="AC3" s="15"/>
      <c r="AD3" s="15"/>
      <c r="AE3" s="15"/>
    </row>
    <row r="4" ht="14.25" customHeight="1">
      <c r="A4" s="799" t="s">
        <v>30</v>
      </c>
      <c r="B4" s="800"/>
      <c r="C4" s="799" t="s">
        <v>168</v>
      </c>
      <c r="D4" s="801">
        <f t="shared" ref="D4:D5" si="1">U4</f>
        <v>65.24494139</v>
      </c>
      <c r="E4" s="801">
        <f t="shared" ref="E4:E5" si="2">T4-U4</f>
        <v>3.064775118</v>
      </c>
      <c r="F4" s="801">
        <f t="shared" ref="F4:F5" si="3">S4-T4</f>
        <v>3.288415259</v>
      </c>
      <c r="G4" s="793"/>
      <c r="H4" s="802">
        <f t="shared" ref="H4:H5" si="4">SUM(D4:F4)-S4</f>
        <v>0</v>
      </c>
      <c r="I4" s="803"/>
      <c r="J4" s="790"/>
      <c r="K4" s="804">
        <f>'Standalone Case'!Z65</f>
        <v>0.175</v>
      </c>
      <c r="L4" s="804">
        <f>'Standalone Case'!AA65</f>
        <v>0.18</v>
      </c>
      <c r="M4" s="804">
        <f>'Standalone Case'!AB65</f>
        <v>0.185</v>
      </c>
      <c r="N4" s="804"/>
      <c r="O4" s="15"/>
      <c r="P4" s="15"/>
      <c r="Q4" s="15"/>
      <c r="R4" s="15"/>
      <c r="S4" s="803">
        <f>'Standalone Case'!Z68</f>
        <v>71.59813177</v>
      </c>
      <c r="T4" s="803">
        <f>'Standalone Case'!AA68</f>
        <v>68.30971651</v>
      </c>
      <c r="U4" s="803">
        <f>'Standalone Case'!AB68</f>
        <v>65.24494139</v>
      </c>
      <c r="V4" s="793"/>
      <c r="W4" s="786"/>
      <c r="X4" s="15"/>
      <c r="Y4" s="15"/>
      <c r="Z4" s="15"/>
      <c r="AA4" s="15"/>
      <c r="AB4" s="15"/>
      <c r="AC4" s="15"/>
      <c r="AD4" s="15"/>
      <c r="AE4" s="15"/>
    </row>
    <row r="5" ht="14.25" customHeight="1">
      <c r="A5" s="805" t="s">
        <v>30</v>
      </c>
      <c r="B5" s="800"/>
      <c r="C5" s="805" t="s">
        <v>169</v>
      </c>
      <c r="D5" s="806">
        <f t="shared" si="1"/>
        <v>124.5825042</v>
      </c>
      <c r="E5" s="806">
        <f t="shared" si="2"/>
        <v>5.579801621</v>
      </c>
      <c r="F5" s="806">
        <f t="shared" si="3"/>
        <v>5.989290675</v>
      </c>
      <c r="G5" s="793"/>
      <c r="H5" s="802">
        <f t="shared" si="4"/>
        <v>0</v>
      </c>
      <c r="I5" s="803"/>
      <c r="J5" s="790"/>
      <c r="K5" s="804">
        <f t="shared" ref="K5:M5" si="5">K4</f>
        <v>0.175</v>
      </c>
      <c r="L5" s="804">
        <f t="shared" si="5"/>
        <v>0.18</v>
      </c>
      <c r="M5" s="804">
        <f t="shared" si="5"/>
        <v>0.185</v>
      </c>
      <c r="N5" s="804"/>
      <c r="O5" s="15"/>
      <c r="P5" s="15"/>
      <c r="Q5" s="15"/>
      <c r="R5" s="15"/>
      <c r="S5" s="803">
        <f>'Synergy Base Case - old'!Z68</f>
        <v>136.1515965</v>
      </c>
      <c r="T5" s="803">
        <f>'Synergy Base Case - old'!AA68</f>
        <v>130.1623058</v>
      </c>
      <c r="U5" s="803">
        <f>'Synergy Base Case - old'!AB68</f>
        <v>124.5825042</v>
      </c>
      <c r="V5" s="793"/>
      <c r="W5" s="786"/>
      <c r="X5" s="15"/>
      <c r="Y5" s="15"/>
      <c r="Z5" s="15"/>
      <c r="AA5" s="15"/>
      <c r="AB5" s="15"/>
      <c r="AC5" s="15"/>
      <c r="AD5" s="15"/>
      <c r="AE5" s="15"/>
    </row>
    <row r="6" ht="14.25" customHeight="1">
      <c r="A6" s="807"/>
      <c r="B6" s="800"/>
      <c r="C6" s="807"/>
      <c r="D6" s="800"/>
      <c r="E6" s="800"/>
      <c r="F6" s="800"/>
      <c r="G6" s="808"/>
      <c r="H6" s="809"/>
      <c r="I6" s="800"/>
      <c r="J6" s="810"/>
      <c r="K6" s="811"/>
      <c r="L6" s="811"/>
      <c r="M6" s="811"/>
      <c r="N6" s="811"/>
      <c r="O6" s="787"/>
      <c r="P6" s="787"/>
      <c r="Q6" s="787"/>
      <c r="R6" s="787"/>
      <c r="S6" s="800"/>
      <c r="T6" s="800"/>
      <c r="U6" s="800"/>
      <c r="V6" s="808"/>
      <c r="W6" s="812"/>
      <c r="X6" s="787"/>
      <c r="Y6" s="787"/>
      <c r="Z6" s="787"/>
      <c r="AA6" s="787"/>
      <c r="AB6" s="787"/>
      <c r="AC6" s="787"/>
      <c r="AD6" s="787"/>
      <c r="AE6" s="787"/>
    </row>
    <row r="7" ht="14.25" customHeight="1">
      <c r="A7" s="813"/>
      <c r="B7" s="814"/>
      <c r="C7" s="813"/>
      <c r="D7" s="789"/>
      <c r="E7" s="815"/>
      <c r="F7" s="789"/>
      <c r="G7" s="815"/>
      <c r="H7" s="802"/>
      <c r="I7" s="789"/>
      <c r="J7" s="790"/>
      <c r="K7" s="816">
        <v>0.25</v>
      </c>
      <c r="L7" s="788" t="s">
        <v>174</v>
      </c>
      <c r="M7" s="816">
        <v>0.75</v>
      </c>
      <c r="N7" s="816"/>
      <c r="O7" s="817" t="s">
        <v>175</v>
      </c>
      <c r="P7" s="817"/>
      <c r="Q7" s="15"/>
      <c r="R7" s="15"/>
      <c r="S7" s="789"/>
      <c r="T7" s="815"/>
      <c r="U7" s="789"/>
      <c r="V7" s="815"/>
      <c r="W7" s="786"/>
      <c r="X7" s="15"/>
      <c r="Y7" s="15"/>
      <c r="Z7" s="15"/>
      <c r="AA7" s="15"/>
      <c r="AB7" s="15"/>
      <c r="AC7" s="15"/>
      <c r="AD7" s="15"/>
      <c r="AE7" s="15"/>
    </row>
    <row r="8" ht="14.25" customHeight="1">
      <c r="A8" s="818" t="s">
        <v>176</v>
      </c>
      <c r="B8" s="800"/>
      <c r="C8" s="818" t="str">
        <f>O8</f>
        <v>2018 (Actual)</v>
      </c>
      <c r="D8" s="819">
        <f>S8</f>
        <v>55.02996442</v>
      </c>
      <c r="E8" s="819">
        <f t="shared" ref="E8:F8" si="6">T8-S8</f>
        <v>14.02749172</v>
      </c>
      <c r="F8" s="819">
        <f t="shared" si="6"/>
        <v>28.53916548</v>
      </c>
      <c r="G8" s="793"/>
      <c r="H8" s="802">
        <f>SUM(D8:F8)-U8</f>
        <v>0</v>
      </c>
      <c r="I8" s="793"/>
      <c r="J8" s="790"/>
      <c r="K8" s="820">
        <f>'DEAL COMPS'!Q16</f>
        <v>2.030625993</v>
      </c>
      <c r="L8" s="820">
        <f>'DEAL COMPS'!Q15</f>
        <v>2.548245614</v>
      </c>
      <c r="M8" s="820">
        <f>'DEAL COMPS'!Q14</f>
        <v>3.601351351</v>
      </c>
      <c r="N8" s="820"/>
      <c r="O8" s="786" t="s">
        <v>177</v>
      </c>
      <c r="P8" s="821">
        <f>I27</f>
        <v>27.1</v>
      </c>
      <c r="Q8" s="15"/>
      <c r="R8" s="15"/>
      <c r="S8" s="803">
        <f>$K$8*$P$8</f>
        <v>55.02996442</v>
      </c>
      <c r="T8" s="803">
        <f t="shared" ref="T8:U8" si="7">L$8*$P$8</f>
        <v>69.05745614</v>
      </c>
      <c r="U8" s="803">
        <f t="shared" si="7"/>
        <v>97.59662162</v>
      </c>
      <c r="V8" s="793"/>
      <c r="W8" s="786"/>
      <c r="X8" s="15"/>
      <c r="Y8" s="15"/>
      <c r="Z8" s="15"/>
      <c r="AA8" s="15"/>
      <c r="AB8" s="15"/>
      <c r="AC8" s="15"/>
      <c r="AD8" s="15"/>
      <c r="AE8" s="15"/>
    </row>
    <row r="9" ht="14.25" customHeight="1">
      <c r="A9" s="822"/>
      <c r="B9" s="803"/>
      <c r="C9" s="822"/>
      <c r="D9" s="803"/>
      <c r="E9" s="803"/>
      <c r="F9" s="803"/>
      <c r="G9" s="793"/>
      <c r="H9" s="802"/>
      <c r="I9" s="793"/>
      <c r="J9" s="790"/>
      <c r="K9" s="820"/>
      <c r="L9" s="820"/>
      <c r="M9" s="820"/>
      <c r="N9" s="820"/>
      <c r="O9" s="15"/>
      <c r="P9" s="15"/>
      <c r="Q9" s="15"/>
      <c r="R9" s="15"/>
      <c r="S9" s="803"/>
      <c r="T9" s="803"/>
      <c r="U9" s="803"/>
      <c r="V9" s="793"/>
      <c r="W9" s="786"/>
      <c r="X9" s="15"/>
      <c r="Y9" s="15"/>
      <c r="Z9" s="15"/>
      <c r="AA9" s="15"/>
      <c r="AB9" s="15"/>
      <c r="AC9" s="15"/>
      <c r="AD9" s="15"/>
      <c r="AE9" s="15"/>
    </row>
    <row r="10" ht="14.25" hidden="1" customHeight="1">
      <c r="A10" s="786"/>
      <c r="B10" s="808"/>
      <c r="C10" s="786"/>
      <c r="D10" s="793"/>
      <c r="E10" s="793"/>
      <c r="F10" s="793"/>
      <c r="G10" s="793"/>
      <c r="H10" s="802"/>
      <c r="I10" s="793"/>
      <c r="J10" s="15"/>
      <c r="K10" s="816">
        <v>0.25</v>
      </c>
      <c r="L10" s="788" t="s">
        <v>174</v>
      </c>
      <c r="M10" s="816">
        <v>0.75</v>
      </c>
      <c r="N10" s="816"/>
      <c r="O10" s="817" t="s">
        <v>178</v>
      </c>
      <c r="P10" s="817"/>
      <c r="Q10" s="15"/>
      <c r="R10" s="15" t="s">
        <v>179</v>
      </c>
      <c r="S10" s="793"/>
      <c r="T10" s="793"/>
      <c r="U10" s="793"/>
      <c r="V10" s="793"/>
      <c r="W10" s="786"/>
      <c r="X10" s="15"/>
      <c r="Y10" s="15"/>
      <c r="Z10" s="15"/>
      <c r="AA10" s="15"/>
      <c r="AB10" s="15"/>
      <c r="AC10" s="15"/>
      <c r="AD10" s="15"/>
      <c r="AE10" s="15"/>
    </row>
    <row r="11" ht="14.25" hidden="1" customHeight="1">
      <c r="A11" s="823" t="s">
        <v>180</v>
      </c>
      <c r="B11" s="800"/>
      <c r="C11" s="823" t="s">
        <v>181</v>
      </c>
      <c r="D11" s="824">
        <f t="shared" ref="D11:D13" si="10">S11</f>
        <v>110.8329815</v>
      </c>
      <c r="E11" s="824">
        <f t="shared" ref="E11:F11" si="8">T11-S11</f>
        <v>60.6845573</v>
      </c>
      <c r="F11" s="824">
        <f t="shared" si="8"/>
        <v>45.20210512</v>
      </c>
      <c r="G11" s="793"/>
      <c r="H11" s="802">
        <f t="shared" ref="H11:H13" si="12">SUM(D11:F11)-U11</f>
        <v>0</v>
      </c>
      <c r="I11" s="803"/>
      <c r="J11" s="790"/>
      <c r="K11" s="825">
        <f>'Pub Comps'!AD16</f>
        <v>5.45303722</v>
      </c>
      <c r="L11" s="825">
        <f>'Pub Comps'!AD15</f>
        <v>6.329060472</v>
      </c>
      <c r="M11" s="825">
        <f>'Pub Comps'!AD14</f>
        <v>7.997034831</v>
      </c>
      <c r="N11" s="825"/>
      <c r="O11" s="786" t="s">
        <v>177</v>
      </c>
      <c r="P11" s="821">
        <f>I27</f>
        <v>27.1</v>
      </c>
      <c r="Q11" s="15"/>
      <c r="R11" s="826">
        <v>0.25</v>
      </c>
      <c r="S11" s="803">
        <f>($K$11*$P$11)*(1-$R$11)</f>
        <v>110.8329815</v>
      </c>
      <c r="T11" s="803">
        <f t="shared" ref="T11:U11" si="9">L$11*$P$11</f>
        <v>171.5175388</v>
      </c>
      <c r="U11" s="803">
        <f t="shared" si="9"/>
        <v>216.7196439</v>
      </c>
      <c r="V11" s="793"/>
      <c r="W11" s="786"/>
      <c r="X11" s="15"/>
      <c r="Y11" s="15"/>
      <c r="Z11" s="15"/>
      <c r="AA11" s="15"/>
      <c r="AB11" s="15"/>
      <c r="AC11" s="15"/>
      <c r="AD11" s="15"/>
      <c r="AE11" s="15"/>
    </row>
    <row r="12" ht="14.25" hidden="1" customHeight="1">
      <c r="A12" s="823" t="s">
        <v>180</v>
      </c>
      <c r="B12" s="800"/>
      <c r="C12" s="823" t="s">
        <v>182</v>
      </c>
      <c r="D12" s="824">
        <f t="shared" si="10"/>
        <v>170.0986618</v>
      </c>
      <c r="E12" s="824">
        <f t="shared" ref="E12:F12" si="11">T12-S12</f>
        <v>18.77240598</v>
      </c>
      <c r="F12" s="824">
        <f t="shared" si="11"/>
        <v>60.74812751</v>
      </c>
      <c r="G12" s="793"/>
      <c r="H12" s="827">
        <f t="shared" si="12"/>
        <v>0</v>
      </c>
      <c r="I12" s="803"/>
      <c r="J12" s="790"/>
      <c r="K12" s="825">
        <f>'Pub Comps'!AF16</f>
        <v>5.349014523</v>
      </c>
      <c r="L12" s="825">
        <f>'Pub Comps'!AF15</f>
        <v>5.939341755</v>
      </c>
      <c r="M12" s="825">
        <f>'Pub Comps'!AF14</f>
        <v>7.84966023</v>
      </c>
      <c r="N12" s="825"/>
      <c r="O12" s="786" t="s">
        <v>183</v>
      </c>
      <c r="P12" s="821">
        <f t="shared" ref="P12:P13" si="16">J27</f>
        <v>31.8</v>
      </c>
      <c r="Q12" s="15"/>
      <c r="R12" s="826"/>
      <c r="S12" s="803">
        <f t="shared" ref="S12:U12" si="13">K$12*$P$12</f>
        <v>170.0986618</v>
      </c>
      <c r="T12" s="803">
        <f t="shared" si="13"/>
        <v>188.8710678</v>
      </c>
      <c r="U12" s="803">
        <f t="shared" si="13"/>
        <v>249.6191953</v>
      </c>
      <c r="V12" s="793"/>
      <c r="W12" s="786"/>
      <c r="X12" s="15"/>
      <c r="Y12" s="15"/>
      <c r="Z12" s="15"/>
      <c r="AA12" s="15"/>
      <c r="AB12" s="15"/>
      <c r="AC12" s="15"/>
      <c r="AD12" s="15"/>
      <c r="AE12" s="15"/>
    </row>
    <row r="13" ht="14.25" hidden="1" customHeight="1">
      <c r="A13" s="823" t="s">
        <v>180</v>
      </c>
      <c r="B13" s="800"/>
      <c r="C13" s="823" t="s">
        <v>184</v>
      </c>
      <c r="D13" s="824">
        <f t="shared" si="10"/>
        <v>180.7966909</v>
      </c>
      <c r="E13" s="824">
        <f t="shared" ref="E13:F13" si="14">T13-S13</f>
        <v>19.95306045</v>
      </c>
      <c r="F13" s="824">
        <f t="shared" si="14"/>
        <v>64.56876446</v>
      </c>
      <c r="G13" s="793"/>
      <c r="H13" s="827">
        <f t="shared" si="12"/>
        <v>0</v>
      </c>
      <c r="I13" s="803"/>
      <c r="J13" s="790"/>
      <c r="K13" s="825">
        <f t="shared" ref="K13:M13" si="15">K12</f>
        <v>5.349014523</v>
      </c>
      <c r="L13" s="825">
        <f t="shared" si="15"/>
        <v>5.939341755</v>
      </c>
      <c r="M13" s="825">
        <f t="shared" si="15"/>
        <v>7.84966023</v>
      </c>
      <c r="N13" s="825"/>
      <c r="O13" s="786" t="s">
        <v>185</v>
      </c>
      <c r="P13" s="821">
        <f t="shared" si="16"/>
        <v>33.8</v>
      </c>
      <c r="Q13" s="15"/>
      <c r="R13" s="826"/>
      <c r="S13" s="803">
        <f t="shared" ref="S13:U13" si="17">K$13*$P$13</f>
        <v>180.7966909</v>
      </c>
      <c r="T13" s="803">
        <f t="shared" si="17"/>
        <v>200.7497513</v>
      </c>
      <c r="U13" s="803">
        <f t="shared" si="17"/>
        <v>265.3185158</v>
      </c>
      <c r="V13" s="793"/>
      <c r="W13" s="786"/>
      <c r="X13" s="15"/>
      <c r="Y13" s="15"/>
      <c r="Z13" s="15"/>
      <c r="AA13" s="15"/>
      <c r="AB13" s="15"/>
      <c r="AC13" s="15"/>
      <c r="AD13" s="15"/>
      <c r="AE13" s="15"/>
    </row>
    <row r="14" ht="14.25" customHeight="1">
      <c r="A14" s="822"/>
      <c r="B14" s="803"/>
      <c r="C14" s="822"/>
      <c r="D14" s="803"/>
      <c r="E14" s="803"/>
      <c r="F14" s="803"/>
      <c r="G14" s="793"/>
      <c r="H14" s="828"/>
      <c r="I14" s="803"/>
      <c r="J14" s="790"/>
      <c r="K14" s="825"/>
      <c r="L14" s="825"/>
      <c r="M14" s="825"/>
      <c r="N14" s="825"/>
      <c r="O14" s="15"/>
      <c r="P14" s="15"/>
      <c r="Q14" s="15"/>
      <c r="R14" s="15"/>
      <c r="S14" s="803"/>
      <c r="T14" s="803"/>
      <c r="U14" s="803"/>
      <c r="V14" s="793"/>
      <c r="W14" s="786"/>
      <c r="X14" s="15"/>
      <c r="Y14" s="15"/>
      <c r="Z14" s="15"/>
      <c r="AA14" s="15"/>
      <c r="AB14" s="15"/>
      <c r="AC14" s="15"/>
      <c r="AD14" s="15"/>
      <c r="AE14" s="15"/>
    </row>
    <row r="15" ht="14.25" customHeight="1">
      <c r="A15" s="823" t="s">
        <v>186</v>
      </c>
      <c r="B15" s="803"/>
      <c r="C15" s="823" t="s">
        <v>181</v>
      </c>
      <c r="D15" s="824">
        <f t="shared" ref="D15:D17" si="20">S15</f>
        <v>83.12473612</v>
      </c>
      <c r="E15" s="824">
        <f t="shared" ref="E15:F15" si="18">T15-S15</f>
        <v>45.51341798</v>
      </c>
      <c r="F15" s="824">
        <f t="shared" si="18"/>
        <v>33.90157884</v>
      </c>
      <c r="G15" s="793"/>
      <c r="H15" s="828"/>
      <c r="I15" s="803"/>
      <c r="J15" s="790"/>
      <c r="K15" s="825"/>
      <c r="L15" s="825"/>
      <c r="M15" s="825"/>
      <c r="N15" s="825"/>
      <c r="O15" s="15"/>
      <c r="P15" s="15"/>
      <c r="Q15" s="15"/>
      <c r="R15" s="15"/>
      <c r="S15" s="829">
        <f t="shared" ref="S15:S17" si="22">S11*(1-R$11)</f>
        <v>83.12473612</v>
      </c>
      <c r="T15" s="829">
        <f t="shared" ref="T15:U15" si="19">T11*(1-$R$11)</f>
        <v>128.6381541</v>
      </c>
      <c r="U15" s="829">
        <f t="shared" si="19"/>
        <v>162.5397329</v>
      </c>
      <c r="V15" s="793"/>
      <c r="W15" s="786"/>
      <c r="X15" s="15"/>
      <c r="Y15" s="15"/>
      <c r="Z15" s="15"/>
      <c r="AA15" s="15"/>
      <c r="AB15" s="15"/>
      <c r="AC15" s="15"/>
      <c r="AD15" s="15"/>
      <c r="AE15" s="15"/>
    </row>
    <row r="16" ht="14.25" customHeight="1">
      <c r="A16" s="823" t="s">
        <v>186</v>
      </c>
      <c r="B16" s="803"/>
      <c r="C16" s="823" t="s">
        <v>182</v>
      </c>
      <c r="D16" s="824">
        <f t="shared" si="20"/>
        <v>127.5739964</v>
      </c>
      <c r="E16" s="824">
        <f t="shared" ref="E16:F16" si="21">T16-S16</f>
        <v>14.07930449</v>
      </c>
      <c r="F16" s="824">
        <f t="shared" si="21"/>
        <v>45.56109563</v>
      </c>
      <c r="G16" s="793"/>
      <c r="H16" s="828"/>
      <c r="I16" s="803"/>
      <c r="J16" s="790"/>
      <c r="K16" s="825"/>
      <c r="L16" s="825"/>
      <c r="M16" s="825"/>
      <c r="N16" s="825"/>
      <c r="O16" s="15"/>
      <c r="P16" s="15"/>
      <c r="Q16" s="15"/>
      <c r="R16" s="15"/>
      <c r="S16" s="829">
        <f t="shared" si="22"/>
        <v>127.5739964</v>
      </c>
      <c r="T16" s="829">
        <f t="shared" ref="T16:U16" si="23">T12*(1-$R$11)</f>
        <v>141.6533008</v>
      </c>
      <c r="U16" s="829">
        <f t="shared" si="23"/>
        <v>187.2143965</v>
      </c>
      <c r="V16" s="793"/>
      <c r="W16" s="786"/>
      <c r="X16" s="15"/>
      <c r="Y16" s="15"/>
      <c r="Z16" s="15"/>
      <c r="AA16" s="15"/>
      <c r="AB16" s="15"/>
      <c r="AC16" s="15"/>
      <c r="AD16" s="15"/>
      <c r="AE16" s="15"/>
    </row>
    <row r="17" ht="14.25" customHeight="1">
      <c r="A17" s="823" t="s">
        <v>186</v>
      </c>
      <c r="B17" s="803"/>
      <c r="C17" s="823" t="s">
        <v>184</v>
      </c>
      <c r="D17" s="824">
        <f t="shared" si="20"/>
        <v>135.5975181</v>
      </c>
      <c r="E17" s="824">
        <f t="shared" ref="E17:F17" si="24">T17-S17</f>
        <v>14.96479533</v>
      </c>
      <c r="F17" s="824">
        <f t="shared" si="24"/>
        <v>48.42657334</v>
      </c>
      <c r="G17" s="793"/>
      <c r="H17" s="828"/>
      <c r="I17" s="803"/>
      <c r="J17" s="790"/>
      <c r="K17" s="825"/>
      <c r="L17" s="825"/>
      <c r="M17" s="825"/>
      <c r="N17" s="825"/>
      <c r="O17" s="15"/>
      <c r="P17" s="15"/>
      <c r="Q17" s="15"/>
      <c r="R17" s="15"/>
      <c r="S17" s="829">
        <f t="shared" si="22"/>
        <v>135.5975181</v>
      </c>
      <c r="T17" s="829">
        <f t="shared" ref="T17:U17" si="25">T13*(1-$R$11)</f>
        <v>150.5623135</v>
      </c>
      <c r="U17" s="829">
        <f t="shared" si="25"/>
        <v>198.9888868</v>
      </c>
      <c r="V17" s="793"/>
      <c r="W17" s="786"/>
      <c r="X17" s="15"/>
      <c r="Y17" s="15"/>
      <c r="Z17" s="15"/>
      <c r="AA17" s="15"/>
      <c r="AB17" s="15"/>
      <c r="AC17" s="15"/>
      <c r="AD17" s="15"/>
      <c r="AE17" s="15"/>
    </row>
    <row r="18" ht="14.25" customHeight="1">
      <c r="A18" s="822"/>
      <c r="B18" s="803"/>
      <c r="C18" s="822"/>
      <c r="D18" s="803"/>
      <c r="E18" s="803"/>
      <c r="F18" s="803"/>
      <c r="G18" s="793"/>
      <c r="H18" s="828"/>
      <c r="I18" s="803"/>
      <c r="J18" s="790"/>
      <c r="K18" s="825"/>
      <c r="L18" s="825"/>
      <c r="M18" s="825"/>
      <c r="N18" s="825"/>
      <c r="O18" s="15"/>
      <c r="P18" s="15"/>
      <c r="Q18" s="15"/>
      <c r="R18" s="15"/>
      <c r="S18" s="803"/>
      <c r="T18" s="803"/>
      <c r="U18" s="803"/>
      <c r="V18" s="793"/>
      <c r="W18" s="786"/>
      <c r="X18" s="15"/>
      <c r="Y18" s="15"/>
      <c r="Z18" s="15"/>
      <c r="AA18" s="15"/>
      <c r="AB18" s="15"/>
      <c r="AC18" s="15"/>
      <c r="AD18" s="15"/>
      <c r="AE18" s="15"/>
    </row>
    <row r="19" ht="14.25" customHeight="1">
      <c r="A19" s="822"/>
      <c r="B19" s="803"/>
      <c r="C19" s="822"/>
      <c r="D19" s="803"/>
      <c r="E19" s="803"/>
      <c r="F19" s="803"/>
      <c r="G19" s="793"/>
      <c r="H19" s="828"/>
      <c r="I19" s="803"/>
      <c r="J19" s="790"/>
      <c r="K19" s="825"/>
      <c r="L19" s="825"/>
      <c r="M19" s="825"/>
      <c r="N19" s="825"/>
      <c r="O19" s="15"/>
      <c r="P19" s="15"/>
      <c r="Q19" s="15"/>
      <c r="R19" s="15"/>
      <c r="S19" s="803"/>
      <c r="T19" s="803"/>
      <c r="U19" s="803"/>
      <c r="V19" s="793"/>
      <c r="W19" s="786"/>
      <c r="X19" s="15"/>
      <c r="Y19" s="15"/>
      <c r="Z19" s="15"/>
      <c r="AA19" s="15"/>
      <c r="AB19" s="15"/>
      <c r="AC19" s="15"/>
      <c r="AD19" s="15"/>
      <c r="AE19" s="15"/>
    </row>
    <row r="20" ht="14.25" customHeight="1">
      <c r="A20" s="822"/>
      <c r="B20" s="803"/>
      <c r="C20" s="822"/>
      <c r="D20" s="803"/>
      <c r="E20" s="803"/>
      <c r="F20" s="803"/>
      <c r="G20" s="793"/>
      <c r="H20" s="828"/>
      <c r="I20" s="803"/>
      <c r="J20" s="790"/>
      <c r="K20" s="825"/>
      <c r="L20" s="825"/>
      <c r="M20" s="825"/>
      <c r="N20" s="825"/>
      <c r="O20" s="15"/>
      <c r="P20" s="15"/>
      <c r="Q20" s="15"/>
      <c r="R20" s="15"/>
      <c r="S20" s="803"/>
      <c r="T20" s="803"/>
      <c r="U20" s="803"/>
      <c r="V20" s="793"/>
      <c r="W20" s="786"/>
      <c r="X20" s="15"/>
      <c r="Y20" s="15"/>
      <c r="Z20" s="15"/>
      <c r="AA20" s="15"/>
      <c r="AB20" s="15"/>
      <c r="AC20" s="15"/>
      <c r="AD20" s="15"/>
      <c r="AE20" s="15"/>
    </row>
    <row r="21" ht="14.25" customHeight="1">
      <c r="A21" s="822"/>
      <c r="B21" s="803"/>
      <c r="C21" s="822"/>
      <c r="D21" s="803"/>
      <c r="E21" s="803"/>
      <c r="F21" s="803"/>
      <c r="G21" s="793"/>
      <c r="H21" s="828"/>
      <c r="I21" s="803"/>
      <c r="J21" s="790"/>
      <c r="K21" s="825"/>
      <c r="L21" s="825"/>
      <c r="M21" s="825"/>
      <c r="N21" s="825"/>
      <c r="O21" s="15"/>
      <c r="P21" s="15"/>
      <c r="Q21" s="15"/>
      <c r="R21" s="15"/>
      <c r="S21" s="803"/>
      <c r="T21" s="803"/>
      <c r="U21" s="803"/>
      <c r="V21" s="793"/>
      <c r="W21" s="786"/>
      <c r="X21" s="15"/>
      <c r="Y21" s="15"/>
      <c r="Z21" s="15"/>
      <c r="AA21" s="15"/>
      <c r="AB21" s="15"/>
      <c r="AC21" s="15"/>
      <c r="AD21" s="15"/>
      <c r="AE21" s="15"/>
    </row>
    <row r="22" ht="51.0" customHeight="1">
      <c r="A22" s="786"/>
      <c r="B22" s="787"/>
      <c r="C22" s="786"/>
      <c r="D22" s="803"/>
      <c r="E22" s="803"/>
      <c r="F22" s="803"/>
      <c r="G22" s="793"/>
      <c r="H22" s="828"/>
      <c r="I22" s="803"/>
      <c r="J22" s="790"/>
      <c r="K22" s="830" t="s">
        <v>187</v>
      </c>
      <c r="X22" s="15"/>
      <c r="Y22" s="15"/>
      <c r="Z22" s="15"/>
      <c r="AA22" s="15"/>
      <c r="AB22" s="15"/>
      <c r="AC22" s="15"/>
      <c r="AD22" s="15"/>
      <c r="AE22" s="15"/>
    </row>
    <row r="23" ht="14.25" customHeight="1">
      <c r="A23" s="786"/>
      <c r="B23" s="787"/>
      <c r="C23" s="831"/>
      <c r="D23" s="803"/>
      <c r="E23" s="803"/>
      <c r="F23" s="803"/>
      <c r="G23" s="793"/>
      <c r="H23" s="828"/>
      <c r="I23" s="803"/>
      <c r="J23" s="790"/>
      <c r="K23" s="825"/>
      <c r="L23" s="825"/>
      <c r="M23" s="825"/>
      <c r="N23" s="825"/>
      <c r="O23" s="15"/>
      <c r="P23" s="15"/>
      <c r="Q23" s="15"/>
      <c r="R23" s="15"/>
      <c r="S23" s="803"/>
      <c r="T23" s="803"/>
      <c r="U23" s="803"/>
      <c r="V23" s="793"/>
      <c r="W23" s="786"/>
      <c r="X23" s="15"/>
      <c r="Y23" s="15"/>
      <c r="Z23" s="15"/>
      <c r="AA23" s="15"/>
      <c r="AB23" s="15"/>
      <c r="AC23" s="15"/>
      <c r="AD23" s="15"/>
      <c r="AE23" s="15"/>
    </row>
    <row r="24" ht="14.25" customHeight="1">
      <c r="A24" s="832"/>
      <c r="B24" s="833"/>
      <c r="C24" s="834"/>
      <c r="D24" s="835"/>
      <c r="E24" s="835"/>
      <c r="F24" s="835"/>
      <c r="G24" s="836"/>
      <c r="H24" s="837"/>
      <c r="I24" s="835"/>
      <c r="J24" s="838"/>
      <c r="K24" s="839"/>
      <c r="L24" s="839"/>
      <c r="M24" s="839"/>
      <c r="N24" s="839"/>
      <c r="O24" s="833"/>
      <c r="P24" s="833"/>
      <c r="Q24" s="833"/>
      <c r="R24" s="833"/>
      <c r="S24" s="835"/>
      <c r="T24" s="835"/>
      <c r="U24" s="835"/>
      <c r="V24" s="836"/>
      <c r="W24" s="832"/>
      <c r="X24" s="833"/>
      <c r="Y24" s="833"/>
      <c r="Z24" s="833"/>
      <c r="AA24" s="833"/>
      <c r="AB24" s="833"/>
      <c r="AC24" s="833"/>
      <c r="AD24" s="833"/>
      <c r="AE24" s="833"/>
    </row>
    <row r="25" ht="16.5" customHeight="1">
      <c r="A25" s="812"/>
      <c r="B25" s="787"/>
      <c r="C25" s="812"/>
      <c r="D25" s="800"/>
      <c r="E25" s="800"/>
      <c r="F25" s="800"/>
      <c r="G25" s="793"/>
      <c r="H25" s="840"/>
      <c r="I25" s="841" t="s">
        <v>188</v>
      </c>
      <c r="K25" s="825"/>
      <c r="L25" s="825"/>
      <c r="M25" s="825"/>
      <c r="N25" s="825"/>
      <c r="O25" s="15"/>
      <c r="P25" s="15"/>
      <c r="Q25" s="15"/>
      <c r="R25" s="15"/>
      <c r="S25" s="803"/>
      <c r="T25" s="803"/>
      <c r="U25" s="803"/>
      <c r="V25" s="793"/>
      <c r="W25" s="786"/>
      <c r="X25" s="15"/>
      <c r="Y25" s="15"/>
      <c r="Z25" s="15"/>
      <c r="AA25" s="15"/>
      <c r="AB25" s="15"/>
      <c r="AC25" s="15"/>
      <c r="AD25" s="15"/>
      <c r="AE25" s="15"/>
    </row>
    <row r="26" ht="14.25" customHeight="1">
      <c r="A26" s="786"/>
      <c r="B26" s="787"/>
      <c r="C26" s="794" t="s">
        <v>189</v>
      </c>
      <c r="D26" s="790"/>
      <c r="E26" s="790"/>
      <c r="F26" s="790"/>
      <c r="G26" s="790"/>
      <c r="H26" s="828"/>
      <c r="I26" s="842" t="s">
        <v>4</v>
      </c>
      <c r="J26" s="842" t="s">
        <v>156</v>
      </c>
      <c r="K26" s="791"/>
      <c r="L26" s="791"/>
      <c r="M26" s="791"/>
      <c r="N26" s="791"/>
      <c r="O26" s="15"/>
      <c r="P26" s="15"/>
      <c r="Q26" s="15"/>
      <c r="R26" s="15"/>
      <c r="S26" s="793"/>
      <c r="T26" s="793"/>
      <c r="U26" s="790"/>
      <c r="V26" s="793"/>
      <c r="W26" s="786"/>
      <c r="X26" s="15"/>
      <c r="Y26" s="15"/>
      <c r="Z26" s="15"/>
      <c r="AA26" s="15"/>
      <c r="AB26" s="15"/>
      <c r="AC26" s="15"/>
      <c r="AD26" s="15"/>
      <c r="AE26" s="15"/>
    </row>
    <row r="27" ht="14.25" customHeight="1">
      <c r="A27" s="786"/>
      <c r="B27" s="787"/>
      <c r="C27" s="798" t="s">
        <v>190</v>
      </c>
      <c r="D27" s="790"/>
      <c r="E27" s="790"/>
      <c r="F27" s="790"/>
      <c r="G27" s="790"/>
      <c r="H27" s="828"/>
      <c r="I27" s="843">
        <f>'Standalone Case'!G4</f>
        <v>27.1</v>
      </c>
      <c r="J27" s="843">
        <f>'Standalone Case'!H4</f>
        <v>31.8</v>
      </c>
      <c r="K27" s="791"/>
      <c r="L27" s="791"/>
      <c r="M27" s="791"/>
      <c r="N27" s="791"/>
      <c r="O27" s="15"/>
      <c r="P27" s="15"/>
      <c r="Q27" s="15"/>
      <c r="R27" s="15"/>
      <c r="S27" s="793"/>
      <c r="T27" s="793"/>
      <c r="U27" s="790"/>
      <c r="V27" s="793"/>
      <c r="W27" s="786"/>
      <c r="X27" s="15"/>
      <c r="Y27" s="15"/>
      <c r="Z27" s="15"/>
      <c r="AA27" s="15"/>
      <c r="AB27" s="15"/>
      <c r="AC27" s="15"/>
      <c r="AD27" s="15"/>
      <c r="AE27" s="15"/>
    </row>
    <row r="28" ht="14.25" customHeight="1">
      <c r="A28" s="786"/>
      <c r="B28" s="787"/>
      <c r="C28" s="798" t="s">
        <v>191</v>
      </c>
      <c r="D28" s="844"/>
      <c r="E28" s="844"/>
      <c r="F28" s="844"/>
      <c r="G28" s="793"/>
      <c r="H28" s="803"/>
      <c r="I28" s="843">
        <f>I27</f>
        <v>27.1</v>
      </c>
      <c r="J28" s="843">
        <f>'Synergy Base Case - old'!H4</f>
        <v>33.8</v>
      </c>
      <c r="K28" s="792"/>
      <c r="L28" s="792"/>
      <c r="M28" s="792"/>
      <c r="N28" s="792"/>
      <c r="O28" s="845"/>
      <c r="P28" s="845"/>
      <c r="Q28" s="845"/>
      <c r="R28" s="845"/>
      <c r="S28" s="793"/>
      <c r="T28" s="793"/>
      <c r="U28" s="844"/>
      <c r="V28" s="844"/>
      <c r="W28" s="798"/>
      <c r="X28" s="15"/>
      <c r="Y28" s="15"/>
      <c r="Z28" s="15"/>
      <c r="AA28" s="15"/>
      <c r="AB28" s="15"/>
      <c r="AC28" s="15"/>
      <c r="AD28" s="15"/>
      <c r="AE28" s="15"/>
    </row>
    <row r="29" ht="14.25" customHeight="1">
      <c r="A29" s="786"/>
      <c r="B29" s="787"/>
      <c r="C29" s="786"/>
      <c r="D29" s="793"/>
      <c r="E29" s="793"/>
      <c r="F29" s="793"/>
      <c r="G29" s="793"/>
      <c r="H29" s="793"/>
      <c r="I29" s="793"/>
      <c r="J29" s="790"/>
      <c r="K29" s="791"/>
      <c r="L29" s="791"/>
      <c r="M29" s="791"/>
      <c r="N29" s="791"/>
      <c r="O29" s="15"/>
      <c r="P29" s="15"/>
      <c r="Q29" s="15"/>
      <c r="R29" s="15"/>
      <c r="S29" s="793"/>
      <c r="T29" s="793"/>
      <c r="U29" s="793"/>
      <c r="V29" s="793"/>
      <c r="W29" s="786"/>
      <c r="X29" s="15"/>
      <c r="Y29" s="15"/>
      <c r="Z29" s="15"/>
      <c r="AA29" s="15"/>
      <c r="AB29" s="15"/>
      <c r="AC29" s="15"/>
      <c r="AD29" s="15"/>
      <c r="AE29" s="15"/>
    </row>
    <row r="30" ht="14.25" customHeight="1">
      <c r="A30" s="786"/>
      <c r="B30" s="787"/>
      <c r="C30" s="786"/>
      <c r="D30" s="793"/>
      <c r="E30" s="793"/>
      <c r="F30" s="793"/>
      <c r="G30" s="793"/>
      <c r="H30" s="793"/>
      <c r="I30" s="793"/>
      <c r="J30" s="790"/>
      <c r="K30" s="791"/>
      <c r="L30" s="791"/>
      <c r="M30" s="791"/>
      <c r="N30" s="791"/>
      <c r="O30" s="15"/>
      <c r="P30" s="15"/>
      <c r="Q30" s="15"/>
      <c r="R30" s="15"/>
      <c r="S30" s="793"/>
      <c r="T30" s="793"/>
      <c r="U30" s="793"/>
      <c r="V30" s="793"/>
      <c r="W30" s="786"/>
      <c r="X30" s="15"/>
      <c r="Y30" s="15"/>
      <c r="Z30" s="15"/>
      <c r="AA30" s="15"/>
      <c r="AB30" s="15"/>
      <c r="AC30" s="15"/>
      <c r="AD30" s="15"/>
      <c r="AE30" s="15"/>
    </row>
    <row r="31" ht="14.25" customHeight="1">
      <c r="A31" s="786"/>
      <c r="B31" s="787"/>
      <c r="C31" s="786"/>
      <c r="D31" s="793"/>
      <c r="E31" s="793"/>
      <c r="F31" s="793"/>
      <c r="G31" s="793"/>
      <c r="H31" s="793"/>
      <c r="I31" s="793"/>
      <c r="J31" s="790"/>
      <c r="K31" s="791"/>
      <c r="L31" s="791"/>
      <c r="M31" s="791"/>
      <c r="N31" s="791"/>
      <c r="O31" s="15"/>
      <c r="P31" s="15"/>
      <c r="Q31" s="15"/>
      <c r="R31" s="15"/>
      <c r="S31" s="793"/>
      <c r="T31" s="793"/>
      <c r="U31" s="793"/>
      <c r="V31" s="793"/>
      <c r="W31" s="786"/>
      <c r="X31" s="15"/>
      <c r="Y31" s="15"/>
      <c r="Z31" s="15"/>
      <c r="AA31" s="15"/>
      <c r="AB31" s="15"/>
      <c r="AC31" s="15"/>
      <c r="AD31" s="15"/>
      <c r="AE31" s="15"/>
    </row>
    <row r="32" ht="14.25" customHeight="1">
      <c r="A32" s="786"/>
      <c r="B32" s="787"/>
      <c r="C32" s="786"/>
      <c r="D32" s="793"/>
      <c r="E32" s="793"/>
      <c r="F32" s="793"/>
      <c r="G32" s="793"/>
      <c r="H32" s="793"/>
      <c r="I32" s="793"/>
      <c r="J32" s="790"/>
      <c r="K32" s="791"/>
      <c r="L32" s="791"/>
      <c r="M32" s="791"/>
      <c r="N32" s="791"/>
      <c r="O32" s="15"/>
      <c r="P32" s="15"/>
      <c r="Q32" s="15"/>
      <c r="R32" s="15"/>
      <c r="S32" s="793"/>
      <c r="T32" s="793"/>
      <c r="U32" s="793"/>
      <c r="V32" s="793"/>
      <c r="W32" s="786"/>
      <c r="X32" s="15"/>
      <c r="Y32" s="15"/>
      <c r="Z32" s="15"/>
      <c r="AA32" s="15"/>
      <c r="AB32" s="15"/>
      <c r="AC32" s="15"/>
      <c r="AD32" s="15"/>
      <c r="AE32" s="15"/>
    </row>
    <row r="33" ht="14.25" customHeight="1">
      <c r="A33" s="786"/>
      <c r="B33" s="787"/>
      <c r="C33" s="786"/>
      <c r="D33" s="793"/>
      <c r="E33" s="793"/>
      <c r="F33" s="793"/>
      <c r="G33" s="793"/>
      <c r="H33" s="793"/>
      <c r="I33" s="793"/>
      <c r="J33" s="790"/>
      <c r="K33" s="791"/>
      <c r="L33" s="791"/>
      <c r="M33" s="791"/>
      <c r="N33" s="791"/>
      <c r="O33" s="15"/>
      <c r="P33" s="15"/>
      <c r="Q33" s="15"/>
      <c r="R33" s="15"/>
      <c r="S33" s="793"/>
      <c r="T33" s="793"/>
      <c r="U33" s="793"/>
      <c r="V33" s="793"/>
      <c r="W33" s="786"/>
      <c r="X33" s="15"/>
      <c r="Y33" s="15"/>
      <c r="Z33" s="15"/>
      <c r="AA33" s="15"/>
      <c r="AB33" s="15"/>
      <c r="AC33" s="15"/>
      <c r="AD33" s="15"/>
      <c r="AE33" s="15"/>
    </row>
    <row r="34" ht="14.25" customHeight="1">
      <c r="A34" s="786"/>
      <c r="B34" s="787"/>
      <c r="C34" s="786"/>
      <c r="D34" s="793"/>
      <c r="E34" s="793"/>
      <c r="F34" s="793"/>
      <c r="G34" s="793"/>
      <c r="H34" s="793"/>
      <c r="I34" s="793"/>
      <c r="J34" s="790"/>
      <c r="K34" s="791"/>
      <c r="L34" s="791"/>
      <c r="M34" s="791"/>
      <c r="N34" s="791"/>
      <c r="O34" s="15"/>
      <c r="P34" s="15"/>
      <c r="Q34" s="15"/>
      <c r="R34" s="15"/>
      <c r="S34" s="793"/>
      <c r="T34" s="793"/>
      <c r="U34" s="793"/>
      <c r="V34" s="793"/>
      <c r="W34" s="786"/>
      <c r="X34" s="15"/>
      <c r="Y34" s="15"/>
      <c r="Z34" s="15"/>
      <c r="AA34" s="15"/>
      <c r="AB34" s="15"/>
      <c r="AC34" s="15"/>
      <c r="AD34" s="15"/>
      <c r="AE34" s="15"/>
    </row>
    <row r="35" ht="14.25" customHeight="1">
      <c r="A35" s="786"/>
      <c r="B35" s="787"/>
      <c r="C35" s="786"/>
      <c r="D35" s="793"/>
      <c r="E35" s="793"/>
      <c r="F35" s="793"/>
      <c r="G35" s="793"/>
      <c r="H35" s="793"/>
      <c r="I35" s="793"/>
      <c r="J35" s="790"/>
      <c r="K35" s="791"/>
      <c r="L35" s="791"/>
      <c r="M35" s="791"/>
      <c r="N35" s="791"/>
      <c r="O35" s="15"/>
      <c r="P35" s="15"/>
      <c r="Q35" s="15"/>
      <c r="R35" s="15"/>
      <c r="S35" s="793"/>
      <c r="T35" s="793"/>
      <c r="U35" s="793"/>
      <c r="V35" s="793"/>
      <c r="W35" s="786"/>
      <c r="X35" s="15"/>
      <c r="Y35" s="15"/>
      <c r="Z35" s="15"/>
      <c r="AA35" s="15"/>
      <c r="AB35" s="15"/>
      <c r="AC35" s="15"/>
      <c r="AD35" s="15"/>
      <c r="AE35" s="15"/>
    </row>
    <row r="36" ht="14.25" customHeight="1">
      <c r="A36" s="786"/>
      <c r="B36" s="787"/>
      <c r="C36" s="786"/>
      <c r="D36" s="793"/>
      <c r="E36" s="793"/>
      <c r="F36" s="793"/>
      <c r="G36" s="793"/>
      <c r="H36" s="793"/>
      <c r="I36" s="793"/>
      <c r="J36" s="790"/>
      <c r="K36" s="791"/>
      <c r="L36" s="791"/>
      <c r="M36" s="791" t="s">
        <v>192</v>
      </c>
      <c r="N36" s="791"/>
      <c r="O36" s="15"/>
      <c r="P36" s="15"/>
      <c r="Q36" s="15"/>
      <c r="R36" s="15"/>
      <c r="S36" s="793"/>
      <c r="T36" s="793"/>
      <c r="U36" s="793"/>
      <c r="V36" s="793"/>
      <c r="W36" s="786"/>
      <c r="X36" s="15"/>
      <c r="Y36" s="15"/>
      <c r="Z36" s="15"/>
      <c r="AA36" s="15"/>
      <c r="AB36" s="15"/>
      <c r="AC36" s="15"/>
      <c r="AD36" s="15"/>
      <c r="AE36" s="15"/>
    </row>
    <row r="37" ht="14.25" customHeight="1">
      <c r="A37" s="786"/>
      <c r="B37" s="787"/>
      <c r="C37" s="786"/>
      <c r="D37" s="793"/>
      <c r="E37" s="793"/>
      <c r="F37" s="793"/>
      <c r="G37" s="793"/>
      <c r="H37" s="793"/>
      <c r="I37" s="793"/>
      <c r="J37" s="790"/>
      <c r="K37" s="791"/>
      <c r="L37" s="791"/>
      <c r="M37" s="791"/>
      <c r="N37" s="791"/>
      <c r="O37" s="15"/>
      <c r="P37" s="15"/>
      <c r="Q37" s="15"/>
      <c r="R37" s="15"/>
      <c r="S37" s="793"/>
      <c r="T37" s="793"/>
      <c r="U37" s="793"/>
      <c r="V37" s="793"/>
      <c r="W37" s="786"/>
      <c r="X37" s="15"/>
      <c r="Y37" s="15"/>
      <c r="Z37" s="15"/>
      <c r="AA37" s="15"/>
      <c r="AB37" s="15"/>
      <c r="AC37" s="15"/>
      <c r="AD37" s="15"/>
      <c r="AE37" s="15"/>
    </row>
    <row r="38" ht="14.25" customHeight="1">
      <c r="A38" s="786"/>
      <c r="B38" s="787"/>
      <c r="C38" s="786"/>
      <c r="D38" s="793"/>
      <c r="E38" s="793"/>
      <c r="F38" s="793"/>
      <c r="G38" s="793"/>
      <c r="H38" s="793"/>
      <c r="I38" s="793"/>
      <c r="J38" s="790"/>
      <c r="K38" s="791"/>
      <c r="L38" s="791"/>
      <c r="M38" s="791"/>
      <c r="N38" s="791"/>
      <c r="O38" s="15"/>
      <c r="P38" s="15"/>
      <c r="Q38" s="15"/>
      <c r="R38" s="15"/>
      <c r="S38" s="793"/>
      <c r="T38" s="793"/>
      <c r="U38" s="793"/>
      <c r="V38" s="793"/>
      <c r="W38" s="786"/>
      <c r="X38" s="15"/>
      <c r="Y38" s="15"/>
      <c r="Z38" s="15"/>
      <c r="AA38" s="15"/>
      <c r="AB38" s="15"/>
      <c r="AC38" s="15"/>
      <c r="AD38" s="15"/>
      <c r="AE38" s="15"/>
    </row>
    <row r="39" ht="14.25" customHeight="1">
      <c r="A39" s="786"/>
      <c r="B39" s="787"/>
      <c r="C39" s="786"/>
      <c r="D39" s="793"/>
      <c r="E39" s="793"/>
      <c r="F39" s="793"/>
      <c r="G39" s="793"/>
      <c r="H39" s="793"/>
      <c r="I39" s="793"/>
      <c r="J39" s="790"/>
      <c r="K39" s="791"/>
      <c r="L39" s="791"/>
      <c r="M39" s="791"/>
      <c r="N39" s="791"/>
      <c r="O39" s="15"/>
      <c r="P39" s="15"/>
      <c r="Q39" s="15"/>
      <c r="R39" s="15"/>
      <c r="S39" s="793"/>
      <c r="T39" s="793"/>
      <c r="U39" s="793"/>
      <c r="V39" s="793"/>
      <c r="W39" s="786"/>
      <c r="X39" s="15"/>
      <c r="Y39" s="15"/>
      <c r="Z39" s="15"/>
      <c r="AA39" s="15"/>
      <c r="AB39" s="15"/>
      <c r="AC39" s="15"/>
      <c r="AD39" s="15"/>
      <c r="AE39" s="15"/>
    </row>
    <row r="40" ht="14.25" customHeight="1">
      <c r="A40" s="786"/>
      <c r="B40" s="787"/>
      <c r="C40" s="786"/>
      <c r="D40" s="793"/>
      <c r="E40" s="793"/>
      <c r="F40" s="793"/>
      <c r="G40" s="793"/>
      <c r="H40" s="793"/>
      <c r="I40" s="793"/>
      <c r="J40" s="790"/>
      <c r="K40" s="791"/>
      <c r="L40" s="791"/>
      <c r="M40" s="791"/>
      <c r="N40" s="791"/>
      <c r="O40" s="15"/>
      <c r="P40" s="15"/>
      <c r="Q40" s="15"/>
      <c r="R40" s="15"/>
      <c r="S40" s="793"/>
      <c r="T40" s="793"/>
      <c r="U40" s="793"/>
      <c r="V40" s="793"/>
      <c r="W40" s="786"/>
      <c r="X40" s="15"/>
      <c r="Y40" s="15"/>
      <c r="Z40" s="15"/>
      <c r="AA40" s="15"/>
      <c r="AB40" s="15"/>
      <c r="AC40" s="15"/>
      <c r="AD40" s="15"/>
      <c r="AE40" s="15"/>
    </row>
    <row r="41" ht="14.25" customHeight="1">
      <c r="A41" s="786"/>
      <c r="B41" s="787"/>
      <c r="C41" s="786"/>
      <c r="D41" s="793"/>
      <c r="E41" s="793"/>
      <c r="F41" s="793"/>
      <c r="G41" s="793"/>
      <c r="H41" s="793"/>
      <c r="I41" s="793"/>
      <c r="J41" s="790"/>
      <c r="K41" s="791"/>
      <c r="L41" s="791"/>
      <c r="M41" s="791"/>
      <c r="N41" s="791"/>
      <c r="O41" s="15"/>
      <c r="P41" s="15"/>
      <c r="Q41" s="15"/>
      <c r="R41" s="15"/>
      <c r="S41" s="793"/>
      <c r="T41" s="793"/>
      <c r="U41" s="793"/>
      <c r="V41" s="793"/>
      <c r="W41" s="786"/>
      <c r="X41" s="15"/>
      <c r="Y41" s="15"/>
      <c r="Z41" s="15"/>
      <c r="AA41" s="15"/>
      <c r="AB41" s="15"/>
      <c r="AC41" s="15"/>
      <c r="AD41" s="15"/>
      <c r="AE41" s="15"/>
    </row>
    <row r="42" ht="14.25" customHeight="1">
      <c r="A42" s="786"/>
      <c r="B42" s="787"/>
      <c r="C42" s="786"/>
      <c r="D42" s="793"/>
      <c r="E42" s="793"/>
      <c r="F42" s="793"/>
      <c r="G42" s="793"/>
      <c r="H42" s="793"/>
      <c r="I42" s="793"/>
      <c r="J42" s="790"/>
      <c r="K42" s="791"/>
      <c r="L42" s="791"/>
      <c r="M42" s="791"/>
      <c r="N42" s="791"/>
      <c r="O42" s="15"/>
      <c r="P42" s="15"/>
      <c r="Q42" s="15"/>
      <c r="R42" s="15"/>
      <c r="S42" s="793"/>
      <c r="T42" s="793"/>
      <c r="U42" s="793"/>
      <c r="V42" s="793"/>
      <c r="W42" s="786"/>
      <c r="X42" s="15"/>
      <c r="Y42" s="15"/>
      <c r="Z42" s="15"/>
      <c r="AA42" s="15"/>
      <c r="AB42" s="15"/>
      <c r="AC42" s="15"/>
      <c r="AD42" s="15"/>
      <c r="AE42" s="15"/>
    </row>
    <row r="43" ht="14.25" customHeight="1">
      <c r="A43" s="786"/>
      <c r="B43" s="787"/>
      <c r="C43" s="786"/>
      <c r="D43" s="793"/>
      <c r="E43" s="793"/>
      <c r="F43" s="793"/>
      <c r="G43" s="793"/>
      <c r="H43" s="793"/>
      <c r="I43" s="793"/>
      <c r="J43" s="790"/>
      <c r="K43" s="791"/>
      <c r="L43" s="791"/>
      <c r="M43" s="791"/>
      <c r="N43" s="791"/>
      <c r="O43" s="15"/>
      <c r="P43" s="15"/>
      <c r="Q43" s="15"/>
      <c r="R43" s="15"/>
      <c r="S43" s="793"/>
      <c r="T43" s="793"/>
      <c r="U43" s="793"/>
      <c r="V43" s="793"/>
      <c r="W43" s="786"/>
      <c r="X43" s="15"/>
      <c r="Y43" s="15"/>
      <c r="Z43" s="15"/>
      <c r="AA43" s="15"/>
      <c r="AB43" s="15"/>
      <c r="AC43" s="15"/>
      <c r="AD43" s="15"/>
      <c r="AE43" s="15"/>
    </row>
    <row r="44" ht="14.25" customHeight="1">
      <c r="A44" s="786"/>
      <c r="B44" s="787"/>
      <c r="C44" s="786"/>
      <c r="D44" s="793"/>
      <c r="E44" s="793"/>
      <c r="F44" s="793"/>
      <c r="G44" s="793"/>
      <c r="H44" s="793"/>
      <c r="I44" s="793"/>
      <c r="J44" s="790"/>
      <c r="K44" s="791"/>
      <c r="L44" s="791"/>
      <c r="M44" s="791"/>
      <c r="N44" s="791"/>
      <c r="O44" s="15"/>
      <c r="P44" s="15"/>
      <c r="Q44" s="15"/>
      <c r="R44" s="15"/>
      <c r="S44" s="793"/>
      <c r="T44" s="793"/>
      <c r="U44" s="793"/>
      <c r="V44" s="793"/>
      <c r="W44" s="786"/>
      <c r="X44" s="15"/>
      <c r="Y44" s="15"/>
      <c r="Z44" s="15"/>
      <c r="AA44" s="15"/>
      <c r="AB44" s="15"/>
      <c r="AC44" s="15"/>
      <c r="AD44" s="15"/>
      <c r="AE44" s="15"/>
    </row>
    <row r="45" ht="14.25" customHeight="1">
      <c r="A45" s="786"/>
      <c r="B45" s="787"/>
      <c r="C45" s="786"/>
      <c r="D45" s="793"/>
      <c r="E45" s="793"/>
      <c r="F45" s="793"/>
      <c r="G45" s="793"/>
      <c r="H45" s="793"/>
      <c r="I45" s="793"/>
      <c r="J45" s="790"/>
      <c r="K45" s="791"/>
      <c r="L45" s="791"/>
      <c r="M45" s="791"/>
      <c r="N45" s="791"/>
      <c r="O45" s="15"/>
      <c r="P45" s="15"/>
      <c r="Q45" s="15"/>
      <c r="R45" s="15"/>
      <c r="S45" s="793"/>
      <c r="T45" s="793"/>
      <c r="U45" s="793"/>
      <c r="V45" s="793"/>
      <c r="W45" s="786"/>
      <c r="X45" s="15"/>
      <c r="Y45" s="15"/>
      <c r="Z45" s="15"/>
      <c r="AA45" s="15"/>
      <c r="AB45" s="15"/>
      <c r="AC45" s="15"/>
      <c r="AD45" s="15"/>
      <c r="AE45" s="15"/>
    </row>
    <row r="46" ht="14.25" customHeight="1">
      <c r="A46" s="786"/>
      <c r="B46" s="787"/>
      <c r="C46" s="786"/>
      <c r="D46" s="793"/>
      <c r="E46" s="793"/>
      <c r="F46" s="793"/>
      <c r="G46" s="793"/>
      <c r="H46" s="793"/>
      <c r="I46" s="793"/>
      <c r="J46" s="790"/>
      <c r="K46" s="791"/>
      <c r="L46" s="791"/>
      <c r="M46" s="791"/>
      <c r="N46" s="791"/>
      <c r="O46" s="15"/>
      <c r="P46" s="15"/>
      <c r="Q46" s="15"/>
      <c r="R46" s="15"/>
      <c r="S46" s="793"/>
      <c r="T46" s="793"/>
      <c r="U46" s="793"/>
      <c r="V46" s="793"/>
      <c r="W46" s="786"/>
      <c r="X46" s="15"/>
      <c r="Y46" s="15"/>
      <c r="Z46" s="15"/>
      <c r="AA46" s="15"/>
      <c r="AB46" s="15"/>
      <c r="AC46" s="15"/>
      <c r="AD46" s="15"/>
      <c r="AE46" s="15"/>
    </row>
    <row r="47" ht="14.25" customHeight="1">
      <c r="A47" s="786"/>
      <c r="B47" s="787"/>
      <c r="C47" s="786"/>
      <c r="D47" s="793"/>
      <c r="E47" s="793"/>
      <c r="F47" s="793"/>
      <c r="G47" s="793"/>
      <c r="H47" s="793"/>
      <c r="I47" s="793"/>
      <c r="J47" s="790"/>
      <c r="K47" s="791"/>
      <c r="L47" s="791"/>
      <c r="M47" s="791"/>
      <c r="N47" s="791"/>
      <c r="O47" s="15"/>
      <c r="P47" s="15"/>
      <c r="Q47" s="15"/>
      <c r="R47" s="15"/>
      <c r="S47" s="793"/>
      <c r="T47" s="793"/>
      <c r="U47" s="793"/>
      <c r="V47" s="793"/>
      <c r="W47" s="786"/>
      <c r="X47" s="15"/>
      <c r="Y47" s="15"/>
      <c r="Z47" s="15"/>
      <c r="AA47" s="15"/>
      <c r="AB47" s="15"/>
      <c r="AC47" s="15"/>
      <c r="AD47" s="15"/>
      <c r="AE47" s="15"/>
    </row>
    <row r="48" ht="14.25" customHeight="1">
      <c r="A48" s="786"/>
      <c r="B48" s="787"/>
      <c r="C48" s="786"/>
      <c r="D48" s="793"/>
      <c r="E48" s="793"/>
      <c r="F48" s="793"/>
      <c r="G48" s="793"/>
      <c r="H48" s="793"/>
      <c r="I48" s="793"/>
      <c r="J48" s="790"/>
      <c r="K48" s="791"/>
      <c r="L48" s="791"/>
      <c r="M48" s="791"/>
      <c r="N48" s="791"/>
      <c r="O48" s="15"/>
      <c r="P48" s="15"/>
      <c r="Q48" s="15"/>
      <c r="R48" s="15"/>
      <c r="S48" s="793"/>
      <c r="T48" s="793"/>
      <c r="U48" s="793"/>
      <c r="V48" s="793"/>
      <c r="W48" s="786"/>
      <c r="X48" s="15"/>
      <c r="Y48" s="15"/>
      <c r="Z48" s="15"/>
      <c r="AA48" s="15"/>
      <c r="AB48" s="15"/>
      <c r="AC48" s="15"/>
      <c r="AD48" s="15"/>
      <c r="AE48" s="15"/>
    </row>
    <row r="49" ht="14.25" customHeight="1">
      <c r="A49" s="786"/>
      <c r="B49" s="787"/>
      <c r="C49" s="786"/>
      <c r="D49" s="793"/>
      <c r="E49" s="793"/>
      <c r="F49" s="793"/>
      <c r="G49" s="793"/>
      <c r="H49" s="793"/>
      <c r="I49" s="793"/>
      <c r="J49" s="790"/>
      <c r="K49" s="791"/>
      <c r="L49" s="791"/>
      <c r="M49" s="791"/>
      <c r="N49" s="791"/>
      <c r="O49" s="15"/>
      <c r="P49" s="15"/>
      <c r="Q49" s="15"/>
      <c r="R49" s="15"/>
      <c r="S49" s="793"/>
      <c r="T49" s="793"/>
      <c r="U49" s="793"/>
      <c r="V49" s="793"/>
      <c r="W49" s="786"/>
      <c r="X49" s="15"/>
      <c r="Y49" s="15"/>
      <c r="Z49" s="15"/>
      <c r="AA49" s="15"/>
      <c r="AB49" s="15"/>
      <c r="AC49" s="15"/>
      <c r="AD49" s="15"/>
      <c r="AE49" s="15"/>
    </row>
    <row r="50" ht="14.25" customHeight="1">
      <c r="A50" s="786"/>
      <c r="B50" s="787"/>
      <c r="C50" s="786"/>
      <c r="D50" s="793"/>
      <c r="E50" s="793"/>
      <c r="F50" s="793"/>
      <c r="G50" s="793"/>
      <c r="H50" s="793"/>
      <c r="I50" s="793"/>
      <c r="J50" s="790"/>
      <c r="K50" s="791"/>
      <c r="L50" s="791"/>
      <c r="M50" s="791"/>
      <c r="N50" s="791"/>
      <c r="O50" s="15"/>
      <c r="P50" s="15"/>
      <c r="Q50" s="15"/>
      <c r="R50" s="15"/>
      <c r="S50" s="793"/>
      <c r="T50" s="793"/>
      <c r="U50" s="793"/>
      <c r="V50" s="793"/>
      <c r="W50" s="786"/>
      <c r="X50" s="15"/>
      <c r="Y50" s="15"/>
      <c r="Z50" s="15"/>
      <c r="AA50" s="15"/>
      <c r="AB50" s="15"/>
      <c r="AC50" s="15"/>
      <c r="AD50" s="15"/>
      <c r="AE50" s="15"/>
    </row>
    <row r="51" ht="14.25" customHeight="1">
      <c r="A51" s="786"/>
      <c r="B51" s="787"/>
      <c r="C51" s="786"/>
      <c r="D51" s="793"/>
      <c r="E51" s="793"/>
      <c r="F51" s="793"/>
      <c r="G51" s="793"/>
      <c r="H51" s="793"/>
      <c r="I51" s="793"/>
      <c r="J51" s="790"/>
      <c r="K51" s="791"/>
      <c r="L51" s="791"/>
      <c r="M51" s="791"/>
      <c r="N51" s="791"/>
      <c r="O51" s="15"/>
      <c r="P51" s="15"/>
      <c r="Q51" s="15"/>
      <c r="R51" s="15"/>
      <c r="S51" s="793"/>
      <c r="T51" s="793"/>
      <c r="U51" s="793"/>
      <c r="V51" s="793"/>
      <c r="W51" s="786"/>
      <c r="X51" s="15"/>
      <c r="Y51" s="15"/>
      <c r="Z51" s="15"/>
      <c r="AA51" s="15"/>
      <c r="AB51" s="15"/>
      <c r="AC51" s="15"/>
      <c r="AD51" s="15"/>
      <c r="AE51" s="15"/>
    </row>
    <row r="52" ht="14.25" customHeight="1">
      <c r="A52" s="786"/>
      <c r="B52" s="787"/>
      <c r="C52" s="786"/>
      <c r="D52" s="793"/>
      <c r="E52" s="793"/>
      <c r="F52" s="793"/>
      <c r="G52" s="793"/>
      <c r="H52" s="793"/>
      <c r="I52" s="793"/>
      <c r="J52" s="790"/>
      <c r="K52" s="791"/>
      <c r="L52" s="791"/>
      <c r="M52" s="791"/>
      <c r="N52" s="791"/>
      <c r="O52" s="15"/>
      <c r="P52" s="15"/>
      <c r="Q52" s="15"/>
      <c r="R52" s="15"/>
      <c r="S52" s="793"/>
      <c r="T52" s="793"/>
      <c r="U52" s="793"/>
      <c r="V52" s="793"/>
      <c r="W52" s="786"/>
      <c r="X52" s="15"/>
      <c r="Y52" s="15"/>
      <c r="Z52" s="15"/>
      <c r="AA52" s="15"/>
      <c r="AB52" s="15"/>
      <c r="AC52" s="15"/>
      <c r="AD52" s="15"/>
      <c r="AE52" s="15"/>
    </row>
    <row r="53" ht="14.25" customHeight="1">
      <c r="A53" s="786"/>
      <c r="B53" s="787"/>
      <c r="C53" s="786"/>
      <c r="D53" s="793"/>
      <c r="E53" s="793"/>
      <c r="F53" s="793"/>
      <c r="G53" s="793"/>
      <c r="H53" s="793"/>
      <c r="I53" s="793"/>
      <c r="J53" s="790"/>
      <c r="K53" s="791"/>
      <c r="L53" s="791"/>
      <c r="M53" s="791"/>
      <c r="N53" s="791"/>
      <c r="O53" s="15"/>
      <c r="P53" s="15"/>
      <c r="Q53" s="15"/>
      <c r="R53" s="15"/>
      <c r="S53" s="793"/>
      <c r="T53" s="793"/>
      <c r="U53" s="793"/>
      <c r="V53" s="793"/>
      <c r="W53" s="786"/>
      <c r="X53" s="15"/>
      <c r="Y53" s="15"/>
      <c r="Z53" s="15"/>
      <c r="AA53" s="15"/>
      <c r="AB53" s="15"/>
      <c r="AC53" s="15"/>
      <c r="AD53" s="15"/>
      <c r="AE53" s="15"/>
    </row>
    <row r="54" ht="14.25" customHeight="1">
      <c r="A54" s="786"/>
      <c r="B54" s="787"/>
      <c r="C54" s="786"/>
      <c r="D54" s="793"/>
      <c r="E54" s="793"/>
      <c r="F54" s="793"/>
      <c r="G54" s="793"/>
      <c r="H54" s="793"/>
      <c r="I54" s="793"/>
      <c r="J54" s="790"/>
      <c r="K54" s="791"/>
      <c r="L54" s="791"/>
      <c r="M54" s="791"/>
      <c r="N54" s="791"/>
      <c r="O54" s="15"/>
      <c r="P54" s="15"/>
      <c r="Q54" s="15"/>
      <c r="R54" s="15"/>
      <c r="S54" s="793"/>
      <c r="T54" s="793"/>
      <c r="U54" s="793"/>
      <c r="V54" s="793"/>
      <c r="W54" s="786"/>
      <c r="X54" s="15"/>
      <c r="Y54" s="15"/>
      <c r="Z54" s="15"/>
      <c r="AA54" s="15"/>
      <c r="AB54" s="15"/>
      <c r="AC54" s="15"/>
      <c r="AD54" s="15"/>
      <c r="AE54" s="15"/>
    </row>
    <row r="55" ht="14.25" customHeight="1">
      <c r="A55" s="786"/>
      <c r="B55" s="787"/>
      <c r="C55" s="786"/>
      <c r="D55" s="793"/>
      <c r="E55" s="793"/>
      <c r="F55" s="793"/>
      <c r="G55" s="793"/>
      <c r="H55" s="793"/>
      <c r="I55" s="793"/>
      <c r="J55" s="790"/>
      <c r="K55" s="791"/>
      <c r="L55" s="791"/>
      <c r="M55" s="791"/>
      <c r="N55" s="791"/>
      <c r="O55" s="15"/>
      <c r="P55" s="15"/>
      <c r="Q55" s="15"/>
      <c r="R55" s="15"/>
      <c r="S55" s="793"/>
      <c r="T55" s="793"/>
      <c r="U55" s="793"/>
      <c r="V55" s="793"/>
      <c r="W55" s="786"/>
      <c r="X55" s="15"/>
      <c r="Y55" s="15"/>
      <c r="Z55" s="15"/>
      <c r="AA55" s="15"/>
      <c r="AB55" s="15"/>
      <c r="AC55" s="15"/>
      <c r="AD55" s="15"/>
      <c r="AE55" s="15"/>
    </row>
    <row r="56" ht="14.25" customHeight="1">
      <c r="A56" s="786"/>
      <c r="B56" s="787"/>
      <c r="C56" s="786"/>
      <c r="D56" s="793"/>
      <c r="E56" s="793"/>
      <c r="F56" s="793"/>
      <c r="G56" s="793"/>
      <c r="H56" s="793"/>
      <c r="I56" s="793"/>
      <c r="J56" s="790"/>
      <c r="K56" s="791"/>
      <c r="L56" s="791"/>
      <c r="M56" s="791"/>
      <c r="N56" s="791"/>
      <c r="O56" s="15"/>
      <c r="P56" s="15"/>
      <c r="Q56" s="15"/>
      <c r="R56" s="15"/>
      <c r="S56" s="793"/>
      <c r="T56" s="793"/>
      <c r="U56" s="793"/>
      <c r="V56" s="793"/>
      <c r="W56" s="786"/>
      <c r="X56" s="15"/>
      <c r="Y56" s="15"/>
      <c r="Z56" s="15"/>
      <c r="AA56" s="15"/>
      <c r="AB56" s="15"/>
      <c r="AC56" s="15"/>
      <c r="AD56" s="15"/>
      <c r="AE56" s="15"/>
    </row>
    <row r="57" ht="14.25" customHeight="1">
      <c r="A57" s="786"/>
      <c r="B57" s="787"/>
      <c r="C57" s="786"/>
      <c r="D57" s="793"/>
      <c r="E57" s="793"/>
      <c r="F57" s="793"/>
      <c r="G57" s="793"/>
      <c r="H57" s="793"/>
      <c r="I57" s="793"/>
      <c r="J57" s="790"/>
      <c r="K57" s="791"/>
      <c r="L57" s="791"/>
      <c r="M57" s="791"/>
      <c r="N57" s="791"/>
      <c r="O57" s="15"/>
      <c r="P57" s="15"/>
      <c r="Q57" s="15"/>
      <c r="R57" s="15"/>
      <c r="S57" s="793"/>
      <c r="T57" s="793"/>
      <c r="U57" s="793"/>
      <c r="V57" s="793"/>
      <c r="W57" s="786"/>
      <c r="X57" s="15"/>
      <c r="Y57" s="15"/>
      <c r="Z57" s="15"/>
      <c r="AA57" s="15"/>
      <c r="AB57" s="15"/>
      <c r="AC57" s="15"/>
      <c r="AD57" s="15"/>
      <c r="AE57" s="15"/>
    </row>
    <row r="58" ht="14.25" customHeight="1">
      <c r="A58" s="786"/>
      <c r="B58" s="787"/>
      <c r="C58" s="786"/>
      <c r="D58" s="793"/>
      <c r="E58" s="793"/>
      <c r="F58" s="793"/>
      <c r="G58" s="793"/>
      <c r="H58" s="793"/>
      <c r="I58" s="793"/>
      <c r="J58" s="790"/>
      <c r="K58" s="791"/>
      <c r="L58" s="791"/>
      <c r="M58" s="791"/>
      <c r="N58" s="791"/>
      <c r="O58" s="15"/>
      <c r="P58" s="15"/>
      <c r="Q58" s="15"/>
      <c r="R58" s="15"/>
      <c r="S58" s="793"/>
      <c r="T58" s="793"/>
      <c r="U58" s="793"/>
      <c r="V58" s="793"/>
      <c r="W58" s="786"/>
      <c r="X58" s="15"/>
      <c r="Y58" s="15"/>
      <c r="Z58" s="15"/>
      <c r="AA58" s="15"/>
      <c r="AB58" s="15"/>
      <c r="AC58" s="15"/>
      <c r="AD58" s="15"/>
      <c r="AE58" s="15"/>
    </row>
    <row r="59" ht="14.25" customHeight="1">
      <c r="A59" s="786"/>
      <c r="B59" s="787"/>
      <c r="C59" s="786"/>
      <c r="D59" s="793"/>
      <c r="E59" s="793"/>
      <c r="F59" s="793"/>
      <c r="G59" s="793"/>
      <c r="H59" s="793"/>
      <c r="I59" s="793"/>
      <c r="J59" s="790"/>
      <c r="K59" s="791"/>
      <c r="L59" s="791"/>
      <c r="M59" s="791"/>
      <c r="N59" s="791"/>
      <c r="O59" s="15"/>
      <c r="P59" s="15"/>
      <c r="Q59" s="15"/>
      <c r="R59" s="15"/>
      <c r="S59" s="793"/>
      <c r="T59" s="793"/>
      <c r="U59" s="793"/>
      <c r="V59" s="793"/>
      <c r="W59" s="786"/>
      <c r="X59" s="15"/>
      <c r="Y59" s="15"/>
      <c r="Z59" s="15"/>
      <c r="AA59" s="15"/>
      <c r="AB59" s="15"/>
      <c r="AC59" s="15"/>
      <c r="AD59" s="15"/>
      <c r="AE59" s="15"/>
    </row>
    <row r="60" ht="14.25" customHeight="1">
      <c r="A60" s="786"/>
      <c r="B60" s="787"/>
      <c r="C60" s="786"/>
      <c r="D60" s="793"/>
      <c r="E60" s="793"/>
      <c r="F60" s="793"/>
      <c r="G60" s="793"/>
      <c r="H60" s="793"/>
      <c r="I60" s="793"/>
      <c r="J60" s="790"/>
      <c r="K60" s="791"/>
      <c r="L60" s="791"/>
      <c r="M60" s="791"/>
      <c r="N60" s="791"/>
      <c r="O60" s="15"/>
      <c r="P60" s="15"/>
      <c r="Q60" s="15"/>
      <c r="R60" s="15"/>
      <c r="S60" s="793"/>
      <c r="T60" s="793"/>
      <c r="U60" s="793"/>
      <c r="V60" s="793"/>
      <c r="W60" s="786"/>
      <c r="X60" s="15"/>
      <c r="Y60" s="15"/>
      <c r="Z60" s="15"/>
      <c r="AA60" s="15"/>
      <c r="AB60" s="15"/>
      <c r="AC60" s="15"/>
      <c r="AD60" s="15"/>
      <c r="AE60" s="15"/>
    </row>
    <row r="61" ht="14.25" customHeight="1">
      <c r="A61" s="786"/>
      <c r="B61" s="787"/>
      <c r="C61" s="786"/>
      <c r="D61" s="793"/>
      <c r="E61" s="793"/>
      <c r="F61" s="793"/>
      <c r="G61" s="793"/>
      <c r="H61" s="793"/>
      <c r="I61" s="793"/>
      <c r="J61" s="790"/>
      <c r="K61" s="791"/>
      <c r="L61" s="791"/>
      <c r="M61" s="791"/>
      <c r="N61" s="791"/>
      <c r="O61" s="15"/>
      <c r="P61" s="15"/>
      <c r="Q61" s="15"/>
      <c r="R61" s="15"/>
      <c r="S61" s="793"/>
      <c r="T61" s="793"/>
      <c r="U61" s="793"/>
      <c r="V61" s="793"/>
      <c r="W61" s="786"/>
      <c r="X61" s="15"/>
      <c r="Y61" s="15"/>
      <c r="Z61" s="15"/>
      <c r="AA61" s="15"/>
      <c r="AB61" s="15"/>
      <c r="AC61" s="15"/>
      <c r="AD61" s="15"/>
      <c r="AE61" s="15"/>
    </row>
    <row r="62" ht="14.25" customHeight="1">
      <c r="A62" s="786"/>
      <c r="B62" s="787"/>
      <c r="C62" s="786"/>
      <c r="D62" s="793"/>
      <c r="E62" s="793"/>
      <c r="F62" s="793"/>
      <c r="G62" s="793"/>
      <c r="H62" s="793"/>
      <c r="I62" s="793"/>
      <c r="J62" s="790"/>
      <c r="K62" s="791"/>
      <c r="L62" s="791"/>
      <c r="M62" s="791"/>
      <c r="N62" s="791"/>
      <c r="O62" s="15"/>
      <c r="P62" s="15"/>
      <c r="Q62" s="15"/>
      <c r="R62" s="15"/>
      <c r="S62" s="793"/>
      <c r="T62" s="793"/>
      <c r="U62" s="793"/>
      <c r="V62" s="793"/>
      <c r="W62" s="786"/>
      <c r="X62" s="15"/>
      <c r="Y62" s="15"/>
      <c r="Z62" s="15"/>
      <c r="AA62" s="15"/>
      <c r="AB62" s="15"/>
      <c r="AC62" s="15"/>
      <c r="AD62" s="15"/>
      <c r="AE62" s="15"/>
    </row>
    <row r="63" ht="14.25" customHeight="1">
      <c r="A63" s="786"/>
      <c r="B63" s="787"/>
      <c r="C63" s="786"/>
      <c r="D63" s="793"/>
      <c r="E63" s="793"/>
      <c r="F63" s="793"/>
      <c r="G63" s="793"/>
      <c r="H63" s="793"/>
      <c r="I63" s="793"/>
      <c r="J63" s="790"/>
      <c r="K63" s="791"/>
      <c r="L63" s="791"/>
      <c r="M63" s="791"/>
      <c r="N63" s="791"/>
      <c r="O63" s="15"/>
      <c r="P63" s="15"/>
      <c r="Q63" s="15"/>
      <c r="R63" s="15"/>
      <c r="S63" s="793"/>
      <c r="T63" s="793"/>
      <c r="U63" s="793"/>
      <c r="V63" s="793"/>
      <c r="W63" s="786"/>
      <c r="X63" s="15"/>
      <c r="Y63" s="15"/>
      <c r="Z63" s="15"/>
      <c r="AA63" s="15"/>
      <c r="AB63" s="15"/>
      <c r="AC63" s="15"/>
      <c r="AD63" s="15"/>
      <c r="AE63" s="15"/>
    </row>
    <row r="64" ht="14.25" customHeight="1">
      <c r="A64" s="786"/>
      <c r="B64" s="787"/>
      <c r="C64" s="786"/>
      <c r="D64" s="793"/>
      <c r="E64" s="793"/>
      <c r="F64" s="793"/>
      <c r="G64" s="793"/>
      <c r="H64" s="793"/>
      <c r="I64" s="793"/>
      <c r="J64" s="790"/>
      <c r="K64" s="791"/>
      <c r="L64" s="791"/>
      <c r="M64" s="791"/>
      <c r="N64" s="791"/>
      <c r="O64" s="15"/>
      <c r="P64" s="15"/>
      <c r="Q64" s="15"/>
      <c r="R64" s="15"/>
      <c r="S64" s="793"/>
      <c r="T64" s="793"/>
      <c r="U64" s="793"/>
      <c r="V64" s="793"/>
      <c r="W64" s="786"/>
      <c r="X64" s="15"/>
      <c r="Y64" s="15"/>
      <c r="Z64" s="15"/>
      <c r="AA64" s="15"/>
      <c r="AB64" s="15"/>
      <c r="AC64" s="15"/>
      <c r="AD64" s="15"/>
      <c r="AE64" s="15"/>
    </row>
    <row r="65" ht="14.25" customHeight="1">
      <c r="A65" s="786"/>
      <c r="B65" s="787"/>
      <c r="C65" s="786"/>
      <c r="D65" s="793"/>
      <c r="E65" s="793"/>
      <c r="F65" s="793"/>
      <c r="G65" s="793"/>
      <c r="H65" s="793"/>
      <c r="I65" s="793"/>
      <c r="J65" s="790"/>
      <c r="K65" s="791"/>
      <c r="L65" s="791"/>
      <c r="M65" s="791"/>
      <c r="N65" s="791"/>
      <c r="O65" s="15"/>
      <c r="P65" s="15"/>
      <c r="Q65" s="15"/>
      <c r="R65" s="15"/>
      <c r="S65" s="793"/>
      <c r="T65" s="793"/>
      <c r="U65" s="793"/>
      <c r="V65" s="793"/>
      <c r="W65" s="786"/>
      <c r="X65" s="15"/>
      <c r="Y65" s="15"/>
      <c r="Z65" s="15"/>
      <c r="AA65" s="15"/>
      <c r="AB65" s="15"/>
      <c r="AC65" s="15"/>
      <c r="AD65" s="15"/>
      <c r="AE65" s="15"/>
    </row>
    <row r="66" ht="14.25" customHeight="1">
      <c r="A66" s="786"/>
      <c r="B66" s="787"/>
      <c r="C66" s="786"/>
      <c r="D66" s="793"/>
      <c r="E66" s="793"/>
      <c r="F66" s="793"/>
      <c r="G66" s="793"/>
      <c r="H66" s="793"/>
      <c r="I66" s="793"/>
      <c r="J66" s="790"/>
      <c r="K66" s="791"/>
      <c r="L66" s="791"/>
      <c r="M66" s="791"/>
      <c r="N66" s="791"/>
      <c r="O66" s="15"/>
      <c r="P66" s="15"/>
      <c r="Q66" s="15"/>
      <c r="R66" s="15"/>
      <c r="S66" s="793"/>
      <c r="T66" s="793"/>
      <c r="U66" s="793"/>
      <c r="V66" s="793"/>
      <c r="W66" s="786"/>
      <c r="X66" s="15"/>
      <c r="Y66" s="15"/>
      <c r="Z66" s="15"/>
      <c r="AA66" s="15"/>
      <c r="AB66" s="15"/>
      <c r="AC66" s="15"/>
      <c r="AD66" s="15"/>
      <c r="AE66" s="15"/>
    </row>
    <row r="67" ht="14.25" customHeight="1">
      <c r="A67" s="786"/>
      <c r="B67" s="787"/>
      <c r="C67" s="786"/>
      <c r="D67" s="793"/>
      <c r="E67" s="793"/>
      <c r="F67" s="793"/>
      <c r="G67" s="793"/>
      <c r="H67" s="793"/>
      <c r="I67" s="793"/>
      <c r="J67" s="790"/>
      <c r="K67" s="791"/>
      <c r="L67" s="791"/>
      <c r="M67" s="791"/>
      <c r="N67" s="791"/>
      <c r="O67" s="15"/>
      <c r="P67" s="15"/>
      <c r="Q67" s="15"/>
      <c r="R67" s="15"/>
      <c r="S67" s="793"/>
      <c r="T67" s="793"/>
      <c r="U67" s="793"/>
      <c r="V67" s="793"/>
      <c r="W67" s="786"/>
      <c r="X67" s="15"/>
      <c r="Y67" s="15"/>
      <c r="Z67" s="15"/>
      <c r="AA67" s="15"/>
      <c r="AB67" s="15"/>
      <c r="AC67" s="15"/>
      <c r="AD67" s="15"/>
      <c r="AE67" s="15"/>
    </row>
    <row r="68" ht="14.25" customHeight="1">
      <c r="A68" s="786"/>
      <c r="B68" s="787"/>
      <c r="C68" s="786"/>
      <c r="D68" s="793"/>
      <c r="E68" s="793"/>
      <c r="F68" s="793"/>
      <c r="G68" s="793"/>
      <c r="H68" s="793"/>
      <c r="I68" s="793"/>
      <c r="J68" s="790"/>
      <c r="K68" s="791"/>
      <c r="L68" s="791"/>
      <c r="M68" s="791"/>
      <c r="N68" s="791"/>
      <c r="O68" s="15"/>
      <c r="P68" s="15"/>
      <c r="Q68" s="15"/>
      <c r="R68" s="15"/>
      <c r="S68" s="793"/>
      <c r="T68" s="793"/>
      <c r="U68" s="793"/>
      <c r="V68" s="793"/>
      <c r="W68" s="786"/>
      <c r="X68" s="15"/>
      <c r="Y68" s="15"/>
      <c r="Z68" s="15"/>
      <c r="AA68" s="15"/>
      <c r="AB68" s="15"/>
      <c r="AC68" s="15"/>
      <c r="AD68" s="15"/>
      <c r="AE68" s="15"/>
    </row>
    <row r="69" ht="14.25" customHeight="1">
      <c r="A69" s="786"/>
      <c r="B69" s="787"/>
      <c r="C69" s="786"/>
      <c r="D69" s="793"/>
      <c r="E69" s="793"/>
      <c r="F69" s="793"/>
      <c r="G69" s="793"/>
      <c r="H69" s="793"/>
      <c r="I69" s="793"/>
      <c r="J69" s="790"/>
      <c r="K69" s="791"/>
      <c r="L69" s="791"/>
      <c r="M69" s="791"/>
      <c r="N69" s="791"/>
      <c r="O69" s="15"/>
      <c r="P69" s="15"/>
      <c r="Q69" s="15"/>
      <c r="R69" s="15"/>
      <c r="S69" s="793"/>
      <c r="T69" s="793"/>
      <c r="U69" s="793"/>
      <c r="V69" s="793"/>
      <c r="W69" s="786"/>
      <c r="X69" s="15"/>
      <c r="Y69" s="15"/>
      <c r="Z69" s="15"/>
      <c r="AA69" s="15"/>
      <c r="AB69" s="15"/>
      <c r="AC69" s="15"/>
      <c r="AD69" s="15"/>
      <c r="AE69" s="15"/>
    </row>
    <row r="70" ht="14.25" customHeight="1">
      <c r="A70" s="786"/>
      <c r="B70" s="787"/>
      <c r="C70" s="786"/>
      <c r="D70" s="793"/>
      <c r="E70" s="793"/>
      <c r="F70" s="793"/>
      <c r="G70" s="793"/>
      <c r="H70" s="793"/>
      <c r="I70" s="793"/>
      <c r="J70" s="790"/>
      <c r="K70" s="791"/>
      <c r="L70" s="791"/>
      <c r="M70" s="791"/>
      <c r="N70" s="791"/>
      <c r="O70" s="15"/>
      <c r="P70" s="15"/>
      <c r="Q70" s="15"/>
      <c r="R70" s="15"/>
      <c r="S70" s="793"/>
      <c r="T70" s="793"/>
      <c r="U70" s="793"/>
      <c r="V70" s="793"/>
      <c r="W70" s="786"/>
      <c r="X70" s="15"/>
      <c r="Y70" s="15"/>
      <c r="Z70" s="15"/>
      <c r="AA70" s="15"/>
      <c r="AB70" s="15"/>
      <c r="AC70" s="15"/>
      <c r="AD70" s="15"/>
      <c r="AE70" s="15"/>
    </row>
    <row r="71" ht="14.25" customHeight="1">
      <c r="A71" s="786"/>
      <c r="B71" s="787"/>
      <c r="C71" s="786"/>
      <c r="D71" s="793"/>
      <c r="E71" s="793"/>
      <c r="F71" s="793"/>
      <c r="G71" s="793"/>
      <c r="H71" s="793"/>
      <c r="I71" s="793"/>
      <c r="J71" s="790"/>
      <c r="K71" s="791"/>
      <c r="L71" s="791"/>
      <c r="M71" s="791"/>
      <c r="N71" s="791"/>
      <c r="O71" s="15"/>
      <c r="P71" s="15"/>
      <c r="Q71" s="15"/>
      <c r="R71" s="15"/>
      <c r="S71" s="793"/>
      <c r="T71" s="793"/>
      <c r="U71" s="793"/>
      <c r="V71" s="793"/>
      <c r="W71" s="786"/>
      <c r="X71" s="15"/>
      <c r="Y71" s="15"/>
      <c r="Z71" s="15"/>
      <c r="AA71" s="15"/>
      <c r="AB71" s="15"/>
      <c r="AC71" s="15"/>
      <c r="AD71" s="15"/>
      <c r="AE71" s="15"/>
    </row>
    <row r="72" ht="14.25" customHeight="1">
      <c r="A72" s="786"/>
      <c r="B72" s="787"/>
      <c r="C72" s="786"/>
      <c r="D72" s="793"/>
      <c r="E72" s="793"/>
      <c r="F72" s="793"/>
      <c r="G72" s="793"/>
      <c r="H72" s="793"/>
      <c r="I72" s="793"/>
      <c r="J72" s="790"/>
      <c r="K72" s="791"/>
      <c r="L72" s="791"/>
      <c r="M72" s="791"/>
      <c r="N72" s="791"/>
      <c r="O72" s="15"/>
      <c r="P72" s="15"/>
      <c r="Q72" s="15"/>
      <c r="R72" s="15"/>
      <c r="S72" s="793"/>
      <c r="T72" s="793"/>
      <c r="U72" s="793"/>
      <c r="V72" s="793"/>
      <c r="W72" s="786"/>
      <c r="X72" s="15"/>
      <c r="Y72" s="15"/>
      <c r="Z72" s="15"/>
      <c r="AA72" s="15"/>
      <c r="AB72" s="15"/>
      <c r="AC72" s="15"/>
      <c r="AD72" s="15"/>
      <c r="AE72" s="15"/>
    </row>
    <row r="73" ht="14.25" customHeight="1">
      <c r="A73" s="786"/>
      <c r="B73" s="787"/>
      <c r="C73" s="786"/>
      <c r="D73" s="793"/>
      <c r="E73" s="793"/>
      <c r="F73" s="793"/>
      <c r="G73" s="793"/>
      <c r="H73" s="793"/>
      <c r="I73" s="793"/>
      <c r="J73" s="790"/>
      <c r="K73" s="791"/>
      <c r="L73" s="791"/>
      <c r="M73" s="791"/>
      <c r="N73" s="791"/>
      <c r="O73" s="15"/>
      <c r="P73" s="15"/>
      <c r="Q73" s="15"/>
      <c r="R73" s="15"/>
      <c r="S73" s="793"/>
      <c r="T73" s="793"/>
      <c r="U73" s="793"/>
      <c r="V73" s="793"/>
      <c r="W73" s="786"/>
      <c r="X73" s="15"/>
      <c r="Y73" s="15"/>
      <c r="Z73" s="15"/>
      <c r="AA73" s="15"/>
      <c r="AB73" s="15"/>
      <c r="AC73" s="15"/>
      <c r="AD73" s="15"/>
      <c r="AE73" s="15"/>
    </row>
    <row r="74" ht="14.25" customHeight="1">
      <c r="A74" s="786"/>
      <c r="B74" s="787"/>
      <c r="C74" s="786"/>
      <c r="D74" s="793"/>
      <c r="E74" s="793"/>
      <c r="F74" s="793"/>
      <c r="G74" s="793"/>
      <c r="H74" s="793"/>
      <c r="I74" s="793"/>
      <c r="J74" s="790"/>
      <c r="K74" s="791"/>
      <c r="L74" s="791"/>
      <c r="M74" s="791"/>
      <c r="N74" s="791"/>
      <c r="O74" s="15"/>
      <c r="P74" s="15"/>
      <c r="Q74" s="15"/>
      <c r="R74" s="15"/>
      <c r="S74" s="793"/>
      <c r="T74" s="793"/>
      <c r="U74" s="793"/>
      <c r="V74" s="793"/>
      <c r="W74" s="786"/>
      <c r="X74" s="15"/>
      <c r="Y74" s="15"/>
      <c r="Z74" s="15"/>
      <c r="AA74" s="15"/>
      <c r="AB74" s="15"/>
      <c r="AC74" s="15"/>
      <c r="AD74" s="15"/>
      <c r="AE74" s="15"/>
    </row>
    <row r="75" ht="14.25" customHeight="1">
      <c r="A75" s="786"/>
      <c r="B75" s="787"/>
      <c r="C75" s="786"/>
      <c r="D75" s="793"/>
      <c r="E75" s="793"/>
      <c r="F75" s="793"/>
      <c r="G75" s="793"/>
      <c r="H75" s="793"/>
      <c r="I75" s="793"/>
      <c r="J75" s="790"/>
      <c r="K75" s="791"/>
      <c r="L75" s="791"/>
      <c r="M75" s="791"/>
      <c r="N75" s="791"/>
      <c r="O75" s="15"/>
      <c r="P75" s="15"/>
      <c r="Q75" s="15"/>
      <c r="R75" s="15"/>
      <c r="S75" s="793"/>
      <c r="T75" s="793"/>
      <c r="U75" s="793"/>
      <c r="V75" s="793"/>
      <c r="W75" s="786"/>
      <c r="X75" s="15"/>
      <c r="Y75" s="15"/>
      <c r="Z75" s="15"/>
      <c r="AA75" s="15"/>
      <c r="AB75" s="15"/>
      <c r="AC75" s="15"/>
      <c r="AD75" s="15"/>
      <c r="AE75" s="15"/>
    </row>
    <row r="76" ht="14.25" customHeight="1">
      <c r="A76" s="786"/>
      <c r="B76" s="787"/>
      <c r="C76" s="786"/>
      <c r="D76" s="793"/>
      <c r="E76" s="793"/>
      <c r="F76" s="793"/>
      <c r="G76" s="793"/>
      <c r="H76" s="793"/>
      <c r="I76" s="793"/>
      <c r="J76" s="790"/>
      <c r="K76" s="791"/>
      <c r="L76" s="791"/>
      <c r="M76" s="791"/>
      <c r="N76" s="791"/>
      <c r="O76" s="15"/>
      <c r="P76" s="15"/>
      <c r="Q76" s="15"/>
      <c r="R76" s="15"/>
      <c r="S76" s="793"/>
      <c r="T76" s="793"/>
      <c r="U76" s="793"/>
      <c r="V76" s="793"/>
      <c r="W76" s="786"/>
      <c r="X76" s="15"/>
      <c r="Y76" s="15"/>
      <c r="Z76" s="15"/>
      <c r="AA76" s="15"/>
      <c r="AB76" s="15"/>
      <c r="AC76" s="15"/>
      <c r="AD76" s="15"/>
      <c r="AE76" s="15"/>
    </row>
    <row r="77" ht="14.25" customHeight="1">
      <c r="A77" s="786"/>
      <c r="B77" s="787"/>
      <c r="C77" s="786"/>
      <c r="D77" s="793"/>
      <c r="E77" s="793"/>
      <c r="F77" s="793"/>
      <c r="G77" s="793"/>
      <c r="H77" s="793"/>
      <c r="I77" s="793"/>
      <c r="J77" s="790"/>
      <c r="K77" s="791"/>
      <c r="L77" s="791"/>
      <c r="M77" s="791"/>
      <c r="N77" s="791"/>
      <c r="O77" s="15"/>
      <c r="P77" s="15"/>
      <c r="Q77" s="15"/>
      <c r="R77" s="15"/>
      <c r="S77" s="793"/>
      <c r="T77" s="793"/>
      <c r="U77" s="793"/>
      <c r="V77" s="793"/>
      <c r="W77" s="786"/>
      <c r="X77" s="15"/>
      <c r="Y77" s="15"/>
      <c r="Z77" s="15"/>
      <c r="AA77" s="15"/>
      <c r="AB77" s="15"/>
      <c r="AC77" s="15"/>
      <c r="AD77" s="15"/>
      <c r="AE77" s="15"/>
    </row>
    <row r="78" ht="14.25" customHeight="1">
      <c r="A78" s="786"/>
      <c r="B78" s="787"/>
      <c r="C78" s="786"/>
      <c r="D78" s="793"/>
      <c r="E78" s="793"/>
      <c r="F78" s="793"/>
      <c r="G78" s="793"/>
      <c r="H78" s="793"/>
      <c r="I78" s="793"/>
      <c r="J78" s="790"/>
      <c r="K78" s="791"/>
      <c r="L78" s="791"/>
      <c r="M78" s="791"/>
      <c r="N78" s="791"/>
      <c r="O78" s="15"/>
      <c r="P78" s="15"/>
      <c r="Q78" s="15"/>
      <c r="R78" s="15"/>
      <c r="S78" s="793"/>
      <c r="T78" s="793"/>
      <c r="U78" s="793"/>
      <c r="V78" s="793"/>
      <c r="W78" s="786"/>
      <c r="X78" s="15"/>
      <c r="Y78" s="15"/>
      <c r="Z78" s="15"/>
      <c r="AA78" s="15"/>
      <c r="AB78" s="15"/>
      <c r="AC78" s="15"/>
      <c r="AD78" s="15"/>
      <c r="AE78" s="15"/>
    </row>
    <row r="79" ht="14.25" customHeight="1">
      <c r="A79" s="786"/>
      <c r="B79" s="787"/>
      <c r="C79" s="786"/>
      <c r="D79" s="793"/>
      <c r="E79" s="793"/>
      <c r="F79" s="793"/>
      <c r="G79" s="793"/>
      <c r="H79" s="793"/>
      <c r="I79" s="793"/>
      <c r="J79" s="790"/>
      <c r="K79" s="791"/>
      <c r="L79" s="791"/>
      <c r="M79" s="791"/>
      <c r="N79" s="791"/>
      <c r="O79" s="15"/>
      <c r="P79" s="15"/>
      <c r="Q79" s="15"/>
      <c r="R79" s="15"/>
      <c r="S79" s="793"/>
      <c r="T79" s="793"/>
      <c r="U79" s="793"/>
      <c r="V79" s="793"/>
      <c r="W79" s="786"/>
      <c r="X79" s="15"/>
      <c r="Y79" s="15"/>
      <c r="Z79" s="15"/>
      <c r="AA79" s="15"/>
      <c r="AB79" s="15"/>
      <c r="AC79" s="15"/>
      <c r="AD79" s="15"/>
      <c r="AE79" s="15"/>
    </row>
    <row r="80" ht="14.25" customHeight="1">
      <c r="A80" s="786"/>
      <c r="B80" s="787"/>
      <c r="C80" s="786"/>
      <c r="D80" s="793"/>
      <c r="E80" s="793"/>
      <c r="F80" s="793"/>
      <c r="G80" s="793"/>
      <c r="H80" s="793"/>
      <c r="I80" s="793"/>
      <c r="J80" s="790"/>
      <c r="K80" s="791"/>
      <c r="L80" s="791"/>
      <c r="M80" s="791"/>
      <c r="N80" s="791"/>
      <c r="O80" s="15"/>
      <c r="P80" s="15"/>
      <c r="Q80" s="15"/>
      <c r="R80" s="15"/>
      <c r="S80" s="793"/>
      <c r="T80" s="793"/>
      <c r="U80" s="793"/>
      <c r="V80" s="793"/>
      <c r="W80" s="786"/>
      <c r="X80" s="15"/>
      <c r="Y80" s="15"/>
      <c r="Z80" s="15"/>
      <c r="AA80" s="15"/>
      <c r="AB80" s="15"/>
      <c r="AC80" s="15"/>
      <c r="AD80" s="15"/>
      <c r="AE80" s="15"/>
    </row>
    <row r="81" ht="14.25" customHeight="1">
      <c r="A81" s="786"/>
      <c r="B81" s="787"/>
      <c r="C81" s="786"/>
      <c r="D81" s="793"/>
      <c r="E81" s="793"/>
      <c r="F81" s="793"/>
      <c r="G81" s="793"/>
      <c r="H81" s="793"/>
      <c r="I81" s="793"/>
      <c r="J81" s="790"/>
      <c r="K81" s="791"/>
      <c r="L81" s="791"/>
      <c r="M81" s="791"/>
      <c r="N81" s="791"/>
      <c r="O81" s="15"/>
      <c r="P81" s="15"/>
      <c r="Q81" s="15"/>
      <c r="R81" s="15"/>
      <c r="S81" s="793"/>
      <c r="T81" s="793"/>
      <c r="U81" s="793"/>
      <c r="V81" s="793"/>
      <c r="W81" s="786"/>
      <c r="X81" s="15"/>
      <c r="Y81" s="15"/>
      <c r="Z81" s="15"/>
      <c r="AA81" s="15"/>
      <c r="AB81" s="15"/>
      <c r="AC81" s="15"/>
      <c r="AD81" s="15"/>
      <c r="AE81" s="15"/>
    </row>
    <row r="82" ht="14.25" customHeight="1">
      <c r="A82" s="786"/>
      <c r="B82" s="787"/>
      <c r="C82" s="786"/>
      <c r="D82" s="793"/>
      <c r="E82" s="793"/>
      <c r="F82" s="793"/>
      <c r="G82" s="793"/>
      <c r="H82" s="793"/>
      <c r="I82" s="793"/>
      <c r="J82" s="790"/>
      <c r="K82" s="791"/>
      <c r="L82" s="791"/>
      <c r="M82" s="791"/>
      <c r="N82" s="791"/>
      <c r="O82" s="15"/>
      <c r="P82" s="15"/>
      <c r="Q82" s="15"/>
      <c r="R82" s="15"/>
      <c r="S82" s="793"/>
      <c r="T82" s="793"/>
      <c r="U82" s="793"/>
      <c r="V82" s="793"/>
      <c r="W82" s="786"/>
      <c r="X82" s="15"/>
      <c r="Y82" s="15"/>
      <c r="Z82" s="15"/>
      <c r="AA82" s="15"/>
      <c r="AB82" s="15"/>
      <c r="AC82" s="15"/>
      <c r="AD82" s="15"/>
      <c r="AE82" s="15"/>
    </row>
    <row r="83" ht="14.25" customHeight="1">
      <c r="A83" s="786"/>
      <c r="B83" s="787"/>
      <c r="C83" s="786"/>
      <c r="D83" s="793"/>
      <c r="E83" s="793"/>
      <c r="F83" s="793"/>
      <c r="G83" s="793"/>
      <c r="H83" s="793"/>
      <c r="I83" s="793"/>
      <c r="J83" s="790"/>
      <c r="K83" s="791"/>
      <c r="L83" s="791"/>
      <c r="M83" s="791"/>
      <c r="N83" s="791"/>
      <c r="O83" s="15"/>
      <c r="P83" s="15"/>
      <c r="Q83" s="15"/>
      <c r="R83" s="15"/>
      <c r="S83" s="793"/>
      <c r="T83" s="793"/>
      <c r="U83" s="793"/>
      <c r="V83" s="793"/>
      <c r="W83" s="786"/>
      <c r="X83" s="15"/>
      <c r="Y83" s="15"/>
      <c r="Z83" s="15"/>
      <c r="AA83" s="15"/>
      <c r="AB83" s="15"/>
      <c r="AC83" s="15"/>
      <c r="AD83" s="15"/>
      <c r="AE83" s="15"/>
    </row>
    <row r="84" ht="14.25" customHeight="1">
      <c r="A84" s="786"/>
      <c r="B84" s="787"/>
      <c r="C84" s="786"/>
      <c r="D84" s="793"/>
      <c r="E84" s="793"/>
      <c r="F84" s="793"/>
      <c r="G84" s="793"/>
      <c r="H84" s="793"/>
      <c r="I84" s="793"/>
      <c r="J84" s="790"/>
      <c r="K84" s="791"/>
      <c r="L84" s="791"/>
      <c r="M84" s="791"/>
      <c r="N84" s="791"/>
      <c r="O84" s="15"/>
      <c r="P84" s="15"/>
      <c r="Q84" s="15"/>
      <c r="R84" s="15"/>
      <c r="S84" s="793"/>
      <c r="T84" s="793"/>
      <c r="U84" s="793"/>
      <c r="V84" s="793"/>
      <c r="W84" s="786"/>
      <c r="X84" s="15"/>
      <c r="Y84" s="15"/>
      <c r="Z84" s="15"/>
      <c r="AA84" s="15"/>
      <c r="AB84" s="15"/>
      <c r="AC84" s="15"/>
      <c r="AD84" s="15"/>
      <c r="AE84" s="15"/>
    </row>
    <row r="85" ht="14.25" customHeight="1">
      <c r="A85" s="786"/>
      <c r="B85" s="787"/>
      <c r="C85" s="786"/>
      <c r="D85" s="793"/>
      <c r="E85" s="793"/>
      <c r="F85" s="793"/>
      <c r="G85" s="793"/>
      <c r="H85" s="793"/>
      <c r="I85" s="793"/>
      <c r="J85" s="790"/>
      <c r="K85" s="791"/>
      <c r="L85" s="791"/>
      <c r="M85" s="791"/>
      <c r="N85" s="791"/>
      <c r="O85" s="15"/>
      <c r="P85" s="15"/>
      <c r="Q85" s="15"/>
      <c r="R85" s="15"/>
      <c r="S85" s="793"/>
      <c r="T85" s="793"/>
      <c r="U85" s="793"/>
      <c r="V85" s="793"/>
      <c r="W85" s="786"/>
      <c r="X85" s="15"/>
      <c r="Y85" s="15"/>
      <c r="Z85" s="15"/>
      <c r="AA85" s="15"/>
      <c r="AB85" s="15"/>
      <c r="AC85" s="15"/>
      <c r="AD85" s="15"/>
      <c r="AE85" s="15"/>
    </row>
    <row r="86" ht="14.25" customHeight="1">
      <c r="A86" s="786"/>
      <c r="B86" s="787"/>
      <c r="C86" s="786"/>
      <c r="D86" s="793"/>
      <c r="E86" s="793"/>
      <c r="F86" s="793"/>
      <c r="G86" s="793"/>
      <c r="H86" s="793"/>
      <c r="I86" s="793"/>
      <c r="J86" s="790"/>
      <c r="K86" s="791"/>
      <c r="L86" s="791"/>
      <c r="M86" s="791"/>
      <c r="N86" s="791"/>
      <c r="O86" s="15"/>
      <c r="P86" s="15"/>
      <c r="Q86" s="15"/>
      <c r="R86" s="15"/>
      <c r="S86" s="793"/>
      <c r="T86" s="793"/>
      <c r="U86" s="793"/>
      <c r="V86" s="793"/>
      <c r="W86" s="786"/>
      <c r="X86" s="15"/>
      <c r="Y86" s="15"/>
      <c r="Z86" s="15"/>
      <c r="AA86" s="15"/>
      <c r="AB86" s="15"/>
      <c r="AC86" s="15"/>
      <c r="AD86" s="15"/>
      <c r="AE86" s="15"/>
    </row>
    <row r="87" ht="14.25" customHeight="1">
      <c r="A87" s="786"/>
      <c r="B87" s="787"/>
      <c r="C87" s="786"/>
      <c r="D87" s="793"/>
      <c r="E87" s="793"/>
      <c r="F87" s="793"/>
      <c r="G87" s="793"/>
      <c r="H87" s="793"/>
      <c r="I87" s="793"/>
      <c r="J87" s="790"/>
      <c r="K87" s="791"/>
      <c r="L87" s="791"/>
      <c r="M87" s="791"/>
      <c r="N87" s="791"/>
      <c r="O87" s="15"/>
      <c r="P87" s="15"/>
      <c r="Q87" s="15"/>
      <c r="R87" s="15"/>
      <c r="S87" s="793"/>
      <c r="T87" s="793"/>
      <c r="U87" s="793"/>
      <c r="V87" s="793"/>
      <c r="W87" s="786"/>
      <c r="X87" s="15"/>
      <c r="Y87" s="15"/>
      <c r="Z87" s="15"/>
      <c r="AA87" s="15"/>
      <c r="AB87" s="15"/>
      <c r="AC87" s="15"/>
      <c r="AD87" s="15"/>
      <c r="AE87" s="15"/>
    </row>
    <row r="88" ht="14.25" customHeight="1">
      <c r="A88" s="786"/>
      <c r="B88" s="787"/>
      <c r="C88" s="786"/>
      <c r="D88" s="793"/>
      <c r="E88" s="793"/>
      <c r="F88" s="793"/>
      <c r="G88" s="793"/>
      <c r="H88" s="793"/>
      <c r="I88" s="793"/>
      <c r="J88" s="790"/>
      <c r="K88" s="791"/>
      <c r="L88" s="791"/>
      <c r="M88" s="791"/>
      <c r="N88" s="791"/>
      <c r="O88" s="15"/>
      <c r="P88" s="15"/>
      <c r="Q88" s="15"/>
      <c r="R88" s="15"/>
      <c r="S88" s="793"/>
      <c r="T88" s="793"/>
      <c r="U88" s="793"/>
      <c r="V88" s="793"/>
      <c r="W88" s="786"/>
      <c r="X88" s="15"/>
      <c r="Y88" s="15"/>
      <c r="Z88" s="15"/>
      <c r="AA88" s="15"/>
      <c r="AB88" s="15"/>
      <c r="AC88" s="15"/>
      <c r="AD88" s="15"/>
      <c r="AE88" s="15"/>
    </row>
    <row r="89" ht="14.25" customHeight="1">
      <c r="A89" s="786"/>
      <c r="B89" s="787"/>
      <c r="C89" s="786"/>
      <c r="D89" s="793"/>
      <c r="E89" s="793"/>
      <c r="F89" s="793"/>
      <c r="G89" s="793"/>
      <c r="H89" s="793"/>
      <c r="I89" s="793"/>
      <c r="J89" s="790"/>
      <c r="K89" s="791"/>
      <c r="L89" s="791"/>
      <c r="M89" s="791"/>
      <c r="N89" s="791"/>
      <c r="O89" s="15"/>
      <c r="P89" s="15"/>
      <c r="Q89" s="15"/>
      <c r="R89" s="15"/>
      <c r="S89" s="793"/>
      <c r="T89" s="793"/>
      <c r="U89" s="793"/>
      <c r="V89" s="793"/>
      <c r="W89" s="786"/>
      <c r="X89" s="15"/>
      <c r="Y89" s="15"/>
      <c r="Z89" s="15"/>
      <c r="AA89" s="15"/>
      <c r="AB89" s="15"/>
      <c r="AC89" s="15"/>
      <c r="AD89" s="15"/>
      <c r="AE89" s="15"/>
    </row>
    <row r="90" ht="14.25" customHeight="1">
      <c r="A90" s="786"/>
      <c r="B90" s="787"/>
      <c r="C90" s="786"/>
      <c r="D90" s="793"/>
      <c r="E90" s="793"/>
      <c r="F90" s="793"/>
      <c r="G90" s="793"/>
      <c r="H90" s="793"/>
      <c r="I90" s="793"/>
      <c r="J90" s="790"/>
      <c r="K90" s="791"/>
      <c r="L90" s="791"/>
      <c r="M90" s="791"/>
      <c r="N90" s="791"/>
      <c r="O90" s="15"/>
      <c r="P90" s="15"/>
      <c r="Q90" s="15"/>
      <c r="R90" s="15"/>
      <c r="S90" s="793"/>
      <c r="T90" s="793"/>
      <c r="U90" s="793"/>
      <c r="V90" s="793"/>
      <c r="W90" s="786"/>
      <c r="X90" s="15"/>
      <c r="Y90" s="15"/>
      <c r="Z90" s="15"/>
      <c r="AA90" s="15"/>
      <c r="AB90" s="15"/>
      <c r="AC90" s="15"/>
      <c r="AD90" s="15"/>
      <c r="AE90" s="15"/>
    </row>
    <row r="91" ht="14.25" customHeight="1">
      <c r="A91" s="786"/>
      <c r="B91" s="787"/>
      <c r="C91" s="786"/>
      <c r="D91" s="793"/>
      <c r="E91" s="793"/>
      <c r="F91" s="793"/>
      <c r="G91" s="793"/>
      <c r="H91" s="793"/>
      <c r="I91" s="793"/>
      <c r="J91" s="790"/>
      <c r="K91" s="791"/>
      <c r="L91" s="791"/>
      <c r="M91" s="791"/>
      <c r="N91" s="791"/>
      <c r="O91" s="15"/>
      <c r="P91" s="15"/>
      <c r="Q91" s="15"/>
      <c r="R91" s="15"/>
      <c r="S91" s="793"/>
      <c r="T91" s="793"/>
      <c r="U91" s="793"/>
      <c r="V91" s="793"/>
      <c r="W91" s="786"/>
      <c r="X91" s="15"/>
      <c r="Y91" s="15"/>
      <c r="Z91" s="15"/>
      <c r="AA91" s="15"/>
      <c r="AB91" s="15"/>
      <c r="AC91" s="15"/>
      <c r="AD91" s="15"/>
      <c r="AE91" s="15"/>
    </row>
    <row r="92" ht="14.25" customHeight="1">
      <c r="A92" s="786"/>
      <c r="B92" s="787"/>
      <c r="C92" s="786"/>
      <c r="D92" s="793"/>
      <c r="E92" s="793"/>
      <c r="F92" s="793"/>
      <c r="G92" s="793"/>
      <c r="H92" s="793"/>
      <c r="I92" s="793"/>
      <c r="J92" s="790"/>
      <c r="K92" s="791"/>
      <c r="L92" s="791"/>
      <c r="M92" s="791"/>
      <c r="N92" s="791"/>
      <c r="O92" s="15"/>
      <c r="P92" s="15"/>
      <c r="Q92" s="15"/>
      <c r="R92" s="15"/>
      <c r="S92" s="793"/>
      <c r="T92" s="793"/>
      <c r="U92" s="793"/>
      <c r="V92" s="793"/>
      <c r="W92" s="786"/>
      <c r="X92" s="15"/>
      <c r="Y92" s="15"/>
      <c r="Z92" s="15"/>
      <c r="AA92" s="15"/>
      <c r="AB92" s="15"/>
      <c r="AC92" s="15"/>
      <c r="AD92" s="15"/>
      <c r="AE92" s="15"/>
    </row>
    <row r="93" ht="14.25" customHeight="1">
      <c r="A93" s="786"/>
      <c r="B93" s="787"/>
      <c r="C93" s="786"/>
      <c r="D93" s="793"/>
      <c r="E93" s="793"/>
      <c r="F93" s="793"/>
      <c r="G93" s="793"/>
      <c r="H93" s="793"/>
      <c r="I93" s="793"/>
      <c r="J93" s="790"/>
      <c r="K93" s="791"/>
      <c r="L93" s="791"/>
      <c r="M93" s="791"/>
      <c r="N93" s="791"/>
      <c r="O93" s="15"/>
      <c r="P93" s="15"/>
      <c r="Q93" s="15"/>
      <c r="R93" s="15"/>
      <c r="S93" s="793"/>
      <c r="T93" s="793"/>
      <c r="U93" s="793"/>
      <c r="V93" s="793"/>
      <c r="W93" s="786"/>
      <c r="X93" s="15"/>
      <c r="Y93" s="15"/>
      <c r="Z93" s="15"/>
      <c r="AA93" s="15"/>
      <c r="AB93" s="15"/>
      <c r="AC93" s="15"/>
      <c r="AD93" s="15"/>
      <c r="AE93" s="15"/>
    </row>
    <row r="94" ht="14.25" customHeight="1">
      <c r="A94" s="786"/>
      <c r="B94" s="787"/>
      <c r="C94" s="786"/>
      <c r="D94" s="793"/>
      <c r="E94" s="793"/>
      <c r="F94" s="793"/>
      <c r="G94" s="793"/>
      <c r="H94" s="793"/>
      <c r="I94" s="793"/>
      <c r="J94" s="790"/>
      <c r="K94" s="791"/>
      <c r="L94" s="791"/>
      <c r="M94" s="791"/>
      <c r="N94" s="791"/>
      <c r="O94" s="15"/>
      <c r="P94" s="15"/>
      <c r="Q94" s="15"/>
      <c r="R94" s="15"/>
      <c r="S94" s="793"/>
      <c r="T94" s="793"/>
      <c r="U94" s="793"/>
      <c r="V94" s="793"/>
      <c r="W94" s="786"/>
      <c r="X94" s="15"/>
      <c r="Y94" s="15"/>
      <c r="Z94" s="15"/>
      <c r="AA94" s="15"/>
      <c r="AB94" s="15"/>
      <c r="AC94" s="15"/>
      <c r="AD94" s="15"/>
      <c r="AE94" s="15"/>
    </row>
    <row r="95" ht="14.25" customHeight="1">
      <c r="A95" s="786"/>
      <c r="B95" s="787"/>
      <c r="C95" s="786"/>
      <c r="D95" s="793"/>
      <c r="E95" s="793"/>
      <c r="F95" s="793"/>
      <c r="G95" s="793"/>
      <c r="H95" s="793"/>
      <c r="I95" s="793"/>
      <c r="J95" s="790"/>
      <c r="K95" s="791"/>
      <c r="L95" s="791"/>
      <c r="M95" s="791"/>
      <c r="N95" s="791"/>
      <c r="O95" s="15"/>
      <c r="P95" s="15"/>
      <c r="Q95" s="15"/>
      <c r="R95" s="15"/>
      <c r="S95" s="793"/>
      <c r="T95" s="793"/>
      <c r="U95" s="793"/>
      <c r="V95" s="793"/>
      <c r="W95" s="786"/>
      <c r="X95" s="15"/>
      <c r="Y95" s="15"/>
      <c r="Z95" s="15"/>
      <c r="AA95" s="15"/>
      <c r="AB95" s="15"/>
      <c r="AC95" s="15"/>
      <c r="AD95" s="15"/>
      <c r="AE95" s="15"/>
    </row>
    <row r="96" ht="14.25" customHeight="1">
      <c r="A96" s="786"/>
      <c r="B96" s="787"/>
      <c r="C96" s="786"/>
      <c r="D96" s="793"/>
      <c r="E96" s="793"/>
      <c r="F96" s="793"/>
      <c r="G96" s="793"/>
      <c r="H96" s="793"/>
      <c r="I96" s="793"/>
      <c r="J96" s="790"/>
      <c r="K96" s="791"/>
      <c r="L96" s="791"/>
      <c r="M96" s="791"/>
      <c r="N96" s="791"/>
      <c r="O96" s="15"/>
      <c r="P96" s="15"/>
      <c r="Q96" s="15"/>
      <c r="R96" s="15"/>
      <c r="S96" s="793"/>
      <c r="T96" s="793"/>
      <c r="U96" s="793"/>
      <c r="V96" s="793"/>
      <c r="W96" s="786"/>
      <c r="X96" s="15"/>
      <c r="Y96" s="15"/>
      <c r="Z96" s="15"/>
      <c r="AA96" s="15"/>
      <c r="AB96" s="15"/>
      <c r="AC96" s="15"/>
      <c r="AD96" s="15"/>
      <c r="AE96" s="15"/>
    </row>
    <row r="97" ht="14.25" customHeight="1">
      <c r="A97" s="786"/>
      <c r="B97" s="787"/>
      <c r="C97" s="786"/>
      <c r="D97" s="793"/>
      <c r="E97" s="793"/>
      <c r="F97" s="793"/>
      <c r="G97" s="793"/>
      <c r="H97" s="793"/>
      <c r="I97" s="793"/>
      <c r="J97" s="790"/>
      <c r="K97" s="791"/>
      <c r="L97" s="791"/>
      <c r="M97" s="791"/>
      <c r="N97" s="791"/>
      <c r="O97" s="15"/>
      <c r="P97" s="15"/>
      <c r="Q97" s="15"/>
      <c r="R97" s="15"/>
      <c r="S97" s="793"/>
      <c r="T97" s="793"/>
      <c r="U97" s="793"/>
      <c r="V97" s="793"/>
      <c r="W97" s="786"/>
      <c r="X97" s="15"/>
      <c r="Y97" s="15"/>
      <c r="Z97" s="15"/>
      <c r="AA97" s="15"/>
      <c r="AB97" s="15"/>
      <c r="AC97" s="15"/>
      <c r="AD97" s="15"/>
      <c r="AE97" s="15"/>
    </row>
    <row r="98" ht="14.25" customHeight="1">
      <c r="A98" s="786"/>
      <c r="B98" s="787"/>
      <c r="C98" s="786"/>
      <c r="D98" s="793"/>
      <c r="E98" s="793"/>
      <c r="F98" s="793"/>
      <c r="G98" s="793"/>
      <c r="H98" s="793"/>
      <c r="I98" s="793"/>
      <c r="J98" s="790"/>
      <c r="K98" s="791"/>
      <c r="L98" s="791"/>
      <c r="M98" s="791"/>
      <c r="N98" s="791"/>
      <c r="O98" s="15"/>
      <c r="P98" s="15"/>
      <c r="Q98" s="15"/>
      <c r="R98" s="15"/>
      <c r="S98" s="793"/>
      <c r="T98" s="793"/>
      <c r="U98" s="793"/>
      <c r="V98" s="793"/>
      <c r="W98" s="786"/>
      <c r="X98" s="15"/>
      <c r="Y98" s="15"/>
      <c r="Z98" s="15"/>
      <c r="AA98" s="15"/>
      <c r="AB98" s="15"/>
      <c r="AC98" s="15"/>
      <c r="AD98" s="15"/>
      <c r="AE98" s="15"/>
    </row>
    <row r="99" ht="14.25" customHeight="1">
      <c r="A99" s="786"/>
      <c r="B99" s="787"/>
      <c r="C99" s="786"/>
      <c r="D99" s="793"/>
      <c r="E99" s="793"/>
      <c r="F99" s="793"/>
      <c r="G99" s="793"/>
      <c r="H99" s="793"/>
      <c r="I99" s="793"/>
      <c r="J99" s="790"/>
      <c r="K99" s="791"/>
      <c r="L99" s="791"/>
      <c r="M99" s="791"/>
      <c r="N99" s="791"/>
      <c r="O99" s="15"/>
      <c r="P99" s="15"/>
      <c r="Q99" s="15"/>
      <c r="R99" s="15"/>
      <c r="S99" s="793"/>
      <c r="T99" s="793"/>
      <c r="U99" s="793"/>
      <c r="V99" s="793"/>
      <c r="W99" s="786"/>
      <c r="X99" s="15"/>
      <c r="Y99" s="15"/>
      <c r="Z99" s="15"/>
      <c r="AA99" s="15"/>
      <c r="AB99" s="15"/>
      <c r="AC99" s="15"/>
      <c r="AD99" s="15"/>
      <c r="AE99" s="15"/>
    </row>
    <row r="100" ht="14.25" customHeight="1">
      <c r="A100" s="786"/>
      <c r="B100" s="787"/>
      <c r="C100" s="786"/>
      <c r="D100" s="793"/>
      <c r="E100" s="793"/>
      <c r="F100" s="793"/>
      <c r="G100" s="793"/>
      <c r="H100" s="793"/>
      <c r="I100" s="793"/>
      <c r="J100" s="790"/>
      <c r="K100" s="791"/>
      <c r="L100" s="791"/>
      <c r="M100" s="791"/>
      <c r="N100" s="791"/>
      <c r="O100" s="15"/>
      <c r="P100" s="15"/>
      <c r="Q100" s="15"/>
      <c r="R100" s="15"/>
      <c r="S100" s="793"/>
      <c r="T100" s="793"/>
      <c r="U100" s="793"/>
      <c r="V100" s="793"/>
      <c r="W100" s="786"/>
      <c r="X100" s="15"/>
      <c r="Y100" s="15"/>
      <c r="Z100" s="15"/>
      <c r="AA100" s="15"/>
      <c r="AB100" s="15"/>
      <c r="AC100" s="15"/>
      <c r="AD100" s="15"/>
      <c r="AE100" s="15"/>
    </row>
    <row r="101" ht="14.25" customHeight="1">
      <c r="A101" s="786"/>
      <c r="B101" s="787"/>
      <c r="C101" s="786"/>
      <c r="D101" s="793"/>
      <c r="E101" s="793"/>
      <c r="F101" s="793"/>
      <c r="G101" s="793"/>
      <c r="H101" s="793"/>
      <c r="I101" s="793"/>
      <c r="J101" s="790"/>
      <c r="K101" s="791"/>
      <c r="L101" s="791"/>
      <c r="M101" s="791"/>
      <c r="N101" s="791"/>
      <c r="O101" s="15"/>
      <c r="P101" s="15"/>
      <c r="Q101" s="15"/>
      <c r="R101" s="15"/>
      <c r="S101" s="793"/>
      <c r="T101" s="793"/>
      <c r="U101" s="793"/>
      <c r="V101" s="793"/>
      <c r="W101" s="786"/>
      <c r="X101" s="15"/>
      <c r="Y101" s="15"/>
      <c r="Z101" s="15"/>
      <c r="AA101" s="15"/>
      <c r="AB101" s="15"/>
      <c r="AC101" s="15"/>
      <c r="AD101" s="15"/>
      <c r="AE101" s="15"/>
    </row>
    <row r="102" ht="14.25" customHeight="1">
      <c r="A102" s="786"/>
      <c r="B102" s="787"/>
      <c r="C102" s="786"/>
      <c r="D102" s="793"/>
      <c r="E102" s="793"/>
      <c r="F102" s="793"/>
      <c r="G102" s="793"/>
      <c r="H102" s="793"/>
      <c r="I102" s="793"/>
      <c r="J102" s="790"/>
      <c r="K102" s="791"/>
      <c r="L102" s="791"/>
      <c r="M102" s="791"/>
      <c r="N102" s="791"/>
      <c r="O102" s="15"/>
      <c r="P102" s="15"/>
      <c r="Q102" s="15"/>
      <c r="R102" s="15"/>
      <c r="S102" s="793"/>
      <c r="T102" s="793"/>
      <c r="U102" s="793"/>
      <c r="V102" s="793"/>
      <c r="W102" s="786"/>
      <c r="X102" s="15"/>
      <c r="Y102" s="15"/>
      <c r="Z102" s="15"/>
      <c r="AA102" s="15"/>
      <c r="AB102" s="15"/>
      <c r="AC102" s="15"/>
      <c r="AD102" s="15"/>
      <c r="AE102" s="15"/>
    </row>
    <row r="103" ht="14.25" customHeight="1">
      <c r="A103" s="786"/>
      <c r="B103" s="787"/>
      <c r="C103" s="786"/>
      <c r="D103" s="793"/>
      <c r="E103" s="793"/>
      <c r="F103" s="793"/>
      <c r="G103" s="793"/>
      <c r="H103" s="793"/>
      <c r="I103" s="793"/>
      <c r="J103" s="790"/>
      <c r="K103" s="791"/>
      <c r="L103" s="791"/>
      <c r="M103" s="791"/>
      <c r="N103" s="791"/>
      <c r="O103" s="15"/>
      <c r="P103" s="15"/>
      <c r="Q103" s="15"/>
      <c r="R103" s="15"/>
      <c r="S103" s="793"/>
      <c r="T103" s="793"/>
      <c r="U103" s="793"/>
      <c r="V103" s="793"/>
      <c r="W103" s="786"/>
      <c r="X103" s="15"/>
      <c r="Y103" s="15"/>
      <c r="Z103" s="15"/>
      <c r="AA103" s="15"/>
      <c r="AB103" s="15"/>
      <c r="AC103" s="15"/>
      <c r="AD103" s="15"/>
      <c r="AE103" s="15"/>
    </row>
    <row r="104" ht="14.25" customHeight="1">
      <c r="A104" s="786"/>
      <c r="B104" s="787"/>
      <c r="C104" s="786"/>
      <c r="D104" s="793"/>
      <c r="E104" s="793"/>
      <c r="F104" s="793"/>
      <c r="G104" s="793"/>
      <c r="H104" s="793"/>
      <c r="I104" s="793"/>
      <c r="J104" s="790"/>
      <c r="K104" s="791"/>
      <c r="L104" s="791"/>
      <c r="M104" s="791"/>
      <c r="N104" s="791"/>
      <c r="O104" s="15"/>
      <c r="P104" s="15"/>
      <c r="Q104" s="15"/>
      <c r="R104" s="15"/>
      <c r="S104" s="793"/>
      <c r="T104" s="793"/>
      <c r="U104" s="793"/>
      <c r="V104" s="793"/>
      <c r="W104" s="786"/>
      <c r="X104" s="15"/>
      <c r="Y104" s="15"/>
      <c r="Z104" s="15"/>
      <c r="AA104" s="15"/>
      <c r="AB104" s="15"/>
      <c r="AC104" s="15"/>
      <c r="AD104" s="15"/>
      <c r="AE104" s="15"/>
    </row>
    <row r="105" ht="14.25" customHeight="1">
      <c r="A105" s="786"/>
      <c r="B105" s="787"/>
      <c r="C105" s="786"/>
      <c r="D105" s="793"/>
      <c r="E105" s="793"/>
      <c r="F105" s="793"/>
      <c r="G105" s="793"/>
      <c r="H105" s="793"/>
      <c r="I105" s="793"/>
      <c r="J105" s="790"/>
      <c r="K105" s="791"/>
      <c r="L105" s="791"/>
      <c r="M105" s="791"/>
      <c r="N105" s="791"/>
      <c r="O105" s="15"/>
      <c r="P105" s="15"/>
      <c r="Q105" s="15"/>
      <c r="R105" s="15"/>
      <c r="S105" s="793"/>
      <c r="T105" s="793"/>
      <c r="U105" s="793"/>
      <c r="V105" s="793"/>
      <c r="W105" s="786"/>
      <c r="X105" s="15"/>
      <c r="Y105" s="15"/>
      <c r="Z105" s="15"/>
      <c r="AA105" s="15"/>
      <c r="AB105" s="15"/>
      <c r="AC105" s="15"/>
      <c r="AD105" s="15"/>
      <c r="AE105" s="15"/>
    </row>
    <row r="106" ht="14.25" customHeight="1">
      <c r="A106" s="786"/>
      <c r="B106" s="787"/>
      <c r="C106" s="786"/>
      <c r="D106" s="793"/>
      <c r="E106" s="793"/>
      <c r="F106" s="793"/>
      <c r="G106" s="793"/>
      <c r="H106" s="793"/>
      <c r="I106" s="793"/>
      <c r="J106" s="790"/>
      <c r="K106" s="791"/>
      <c r="L106" s="791"/>
      <c r="M106" s="791"/>
      <c r="N106" s="791"/>
      <c r="O106" s="15"/>
      <c r="P106" s="15"/>
      <c r="Q106" s="15"/>
      <c r="R106" s="15"/>
      <c r="S106" s="793"/>
      <c r="T106" s="793"/>
      <c r="U106" s="793"/>
      <c r="V106" s="793"/>
      <c r="W106" s="786"/>
      <c r="X106" s="15"/>
      <c r="Y106" s="15"/>
      <c r="Z106" s="15"/>
      <c r="AA106" s="15"/>
      <c r="AB106" s="15"/>
      <c r="AC106" s="15"/>
      <c r="AD106" s="15"/>
      <c r="AE106" s="15"/>
    </row>
    <row r="107" ht="14.25" customHeight="1">
      <c r="A107" s="786"/>
      <c r="B107" s="787"/>
      <c r="C107" s="786"/>
      <c r="D107" s="793"/>
      <c r="E107" s="793"/>
      <c r="F107" s="793"/>
      <c r="G107" s="793"/>
      <c r="H107" s="793"/>
      <c r="I107" s="793"/>
      <c r="J107" s="790"/>
      <c r="K107" s="791"/>
      <c r="L107" s="791"/>
      <c r="M107" s="791"/>
      <c r="N107" s="791"/>
      <c r="O107" s="15"/>
      <c r="P107" s="15"/>
      <c r="Q107" s="15"/>
      <c r="R107" s="15"/>
      <c r="S107" s="793"/>
      <c r="T107" s="793"/>
      <c r="U107" s="793"/>
      <c r="V107" s="793"/>
      <c r="W107" s="786"/>
      <c r="X107" s="15"/>
      <c r="Y107" s="15"/>
      <c r="Z107" s="15"/>
      <c r="AA107" s="15"/>
      <c r="AB107" s="15"/>
      <c r="AC107" s="15"/>
      <c r="AD107" s="15"/>
      <c r="AE107" s="15"/>
    </row>
    <row r="108" ht="14.25" customHeight="1">
      <c r="A108" s="786"/>
      <c r="B108" s="787"/>
      <c r="C108" s="786"/>
      <c r="D108" s="793"/>
      <c r="E108" s="793"/>
      <c r="F108" s="793"/>
      <c r="G108" s="793"/>
      <c r="H108" s="793"/>
      <c r="I108" s="793"/>
      <c r="J108" s="790"/>
      <c r="K108" s="791"/>
      <c r="L108" s="791"/>
      <c r="M108" s="791"/>
      <c r="N108" s="791"/>
      <c r="O108" s="15"/>
      <c r="P108" s="15"/>
      <c r="Q108" s="15"/>
      <c r="R108" s="15"/>
      <c r="S108" s="793"/>
      <c r="T108" s="793"/>
      <c r="U108" s="793"/>
      <c r="V108" s="793"/>
      <c r="W108" s="786"/>
      <c r="X108" s="15"/>
      <c r="Y108" s="15"/>
      <c r="Z108" s="15"/>
      <c r="AA108" s="15"/>
      <c r="AB108" s="15"/>
      <c r="AC108" s="15"/>
      <c r="AD108" s="15"/>
      <c r="AE108" s="15"/>
    </row>
    <row r="109" ht="14.25" customHeight="1">
      <c r="A109" s="786"/>
      <c r="B109" s="787"/>
      <c r="C109" s="786"/>
      <c r="D109" s="793"/>
      <c r="E109" s="793"/>
      <c r="F109" s="793"/>
      <c r="G109" s="793"/>
      <c r="H109" s="793"/>
      <c r="I109" s="793"/>
      <c r="J109" s="790"/>
      <c r="K109" s="791"/>
      <c r="L109" s="791"/>
      <c r="M109" s="791"/>
      <c r="N109" s="791"/>
      <c r="O109" s="15"/>
      <c r="P109" s="15"/>
      <c r="Q109" s="15"/>
      <c r="R109" s="15"/>
      <c r="S109" s="793"/>
      <c r="T109" s="793"/>
      <c r="U109" s="793"/>
      <c r="V109" s="793"/>
      <c r="W109" s="786"/>
      <c r="X109" s="15"/>
      <c r="Y109" s="15"/>
      <c r="Z109" s="15"/>
      <c r="AA109" s="15"/>
      <c r="AB109" s="15"/>
      <c r="AC109" s="15"/>
      <c r="AD109" s="15"/>
      <c r="AE109" s="15"/>
    </row>
    <row r="110" ht="14.25" customHeight="1">
      <c r="A110" s="786"/>
      <c r="B110" s="787"/>
      <c r="C110" s="786"/>
      <c r="D110" s="793"/>
      <c r="E110" s="793"/>
      <c r="F110" s="793"/>
      <c r="G110" s="793"/>
      <c r="H110" s="793"/>
      <c r="I110" s="793"/>
      <c r="J110" s="790"/>
      <c r="K110" s="791"/>
      <c r="L110" s="791"/>
      <c r="M110" s="791"/>
      <c r="N110" s="791"/>
      <c r="O110" s="15"/>
      <c r="P110" s="15"/>
      <c r="Q110" s="15"/>
      <c r="R110" s="15"/>
      <c r="S110" s="793"/>
      <c r="T110" s="793"/>
      <c r="U110" s="793"/>
      <c r="V110" s="793"/>
      <c r="W110" s="786"/>
      <c r="X110" s="15"/>
      <c r="Y110" s="15"/>
      <c r="Z110" s="15"/>
      <c r="AA110" s="15"/>
      <c r="AB110" s="15"/>
      <c r="AC110" s="15"/>
      <c r="AD110" s="15"/>
      <c r="AE110" s="15"/>
    </row>
    <row r="111" ht="14.25" customHeight="1">
      <c r="A111" s="786"/>
      <c r="B111" s="787"/>
      <c r="C111" s="786"/>
      <c r="D111" s="793"/>
      <c r="E111" s="793"/>
      <c r="F111" s="793"/>
      <c r="G111" s="793"/>
      <c r="H111" s="793"/>
      <c r="I111" s="793"/>
      <c r="J111" s="790"/>
      <c r="K111" s="791"/>
      <c r="L111" s="791"/>
      <c r="M111" s="791"/>
      <c r="N111" s="791"/>
      <c r="O111" s="15"/>
      <c r="P111" s="15"/>
      <c r="Q111" s="15"/>
      <c r="R111" s="15"/>
      <c r="S111" s="793"/>
      <c r="T111" s="793"/>
      <c r="U111" s="793"/>
      <c r="V111" s="793"/>
      <c r="W111" s="786"/>
      <c r="X111" s="15"/>
      <c r="Y111" s="15"/>
      <c r="Z111" s="15"/>
      <c r="AA111" s="15"/>
      <c r="AB111" s="15"/>
      <c r="AC111" s="15"/>
      <c r="AD111" s="15"/>
      <c r="AE111" s="15"/>
    </row>
    <row r="112" ht="14.25" customHeight="1">
      <c r="A112" s="786"/>
      <c r="B112" s="787"/>
      <c r="C112" s="786"/>
      <c r="D112" s="793"/>
      <c r="E112" s="793"/>
      <c r="F112" s="793"/>
      <c r="G112" s="793"/>
      <c r="H112" s="793"/>
      <c r="I112" s="793"/>
      <c r="J112" s="790"/>
      <c r="K112" s="791"/>
      <c r="L112" s="791"/>
      <c r="M112" s="791"/>
      <c r="N112" s="791"/>
      <c r="O112" s="15"/>
      <c r="P112" s="15"/>
      <c r="Q112" s="15"/>
      <c r="R112" s="15"/>
      <c r="S112" s="793"/>
      <c r="T112" s="793"/>
      <c r="U112" s="793"/>
      <c r="V112" s="793"/>
      <c r="W112" s="786"/>
      <c r="X112" s="15"/>
      <c r="Y112" s="15"/>
      <c r="Z112" s="15"/>
      <c r="AA112" s="15"/>
      <c r="AB112" s="15"/>
      <c r="AC112" s="15"/>
      <c r="AD112" s="15"/>
      <c r="AE112" s="15"/>
    </row>
    <row r="113" ht="14.25" customHeight="1">
      <c r="A113" s="786"/>
      <c r="B113" s="787"/>
      <c r="C113" s="786"/>
      <c r="D113" s="793"/>
      <c r="E113" s="793"/>
      <c r="F113" s="793"/>
      <c r="G113" s="793"/>
      <c r="H113" s="793"/>
      <c r="I113" s="793"/>
      <c r="J113" s="790"/>
      <c r="K113" s="791"/>
      <c r="L113" s="791"/>
      <c r="M113" s="791"/>
      <c r="N113" s="791"/>
      <c r="O113" s="15"/>
      <c r="P113" s="15"/>
      <c r="Q113" s="15"/>
      <c r="R113" s="15"/>
      <c r="S113" s="793"/>
      <c r="T113" s="793"/>
      <c r="U113" s="793"/>
      <c r="V113" s="793"/>
      <c r="W113" s="786"/>
      <c r="X113" s="15"/>
      <c r="Y113" s="15"/>
      <c r="Z113" s="15"/>
      <c r="AA113" s="15"/>
      <c r="AB113" s="15"/>
      <c r="AC113" s="15"/>
      <c r="AD113" s="15"/>
      <c r="AE113" s="15"/>
    </row>
    <row r="114" ht="14.25" customHeight="1">
      <c r="A114" s="786"/>
      <c r="B114" s="787"/>
      <c r="C114" s="786"/>
      <c r="D114" s="793"/>
      <c r="E114" s="793"/>
      <c r="F114" s="793"/>
      <c r="G114" s="793"/>
      <c r="H114" s="793"/>
      <c r="I114" s="793"/>
      <c r="J114" s="790"/>
      <c r="K114" s="791"/>
      <c r="L114" s="791"/>
      <c r="M114" s="791"/>
      <c r="N114" s="791"/>
      <c r="O114" s="15"/>
      <c r="P114" s="15"/>
      <c r="Q114" s="15"/>
      <c r="R114" s="15"/>
      <c r="S114" s="793"/>
      <c r="T114" s="793"/>
      <c r="U114" s="793"/>
      <c r="V114" s="793"/>
      <c r="W114" s="786"/>
      <c r="X114" s="15"/>
      <c r="Y114" s="15"/>
      <c r="Z114" s="15"/>
      <c r="AA114" s="15"/>
      <c r="AB114" s="15"/>
      <c r="AC114" s="15"/>
      <c r="AD114" s="15"/>
      <c r="AE114" s="15"/>
    </row>
    <row r="115" ht="14.25" customHeight="1">
      <c r="A115" s="786"/>
      <c r="B115" s="787"/>
      <c r="C115" s="786"/>
      <c r="D115" s="793"/>
      <c r="E115" s="793"/>
      <c r="F115" s="793"/>
      <c r="G115" s="793"/>
      <c r="H115" s="793"/>
      <c r="I115" s="793"/>
      <c r="J115" s="790"/>
      <c r="K115" s="791"/>
      <c r="L115" s="791"/>
      <c r="M115" s="791"/>
      <c r="N115" s="791"/>
      <c r="O115" s="15"/>
      <c r="P115" s="15"/>
      <c r="Q115" s="15"/>
      <c r="R115" s="15"/>
      <c r="S115" s="793"/>
      <c r="T115" s="793"/>
      <c r="U115" s="793"/>
      <c r="V115" s="793"/>
      <c r="W115" s="786"/>
      <c r="X115" s="15"/>
      <c r="Y115" s="15"/>
      <c r="Z115" s="15"/>
      <c r="AA115" s="15"/>
      <c r="AB115" s="15"/>
      <c r="AC115" s="15"/>
      <c r="AD115" s="15"/>
      <c r="AE115" s="15"/>
    </row>
    <row r="116" ht="14.25" customHeight="1">
      <c r="A116" s="786"/>
      <c r="B116" s="787"/>
      <c r="C116" s="786"/>
      <c r="D116" s="793"/>
      <c r="E116" s="793"/>
      <c r="F116" s="793"/>
      <c r="G116" s="793"/>
      <c r="H116" s="793"/>
      <c r="I116" s="793"/>
      <c r="J116" s="790"/>
      <c r="K116" s="791"/>
      <c r="L116" s="791"/>
      <c r="M116" s="791"/>
      <c r="N116" s="791"/>
      <c r="O116" s="15"/>
      <c r="P116" s="15"/>
      <c r="Q116" s="15"/>
      <c r="R116" s="15"/>
      <c r="S116" s="793"/>
      <c r="T116" s="793"/>
      <c r="U116" s="793"/>
      <c r="V116" s="793"/>
      <c r="W116" s="786"/>
      <c r="X116" s="15"/>
      <c r="Y116" s="15"/>
      <c r="Z116" s="15"/>
      <c r="AA116" s="15"/>
      <c r="AB116" s="15"/>
      <c r="AC116" s="15"/>
      <c r="AD116" s="15"/>
      <c r="AE116" s="15"/>
    </row>
    <row r="117" ht="14.25" customHeight="1">
      <c r="A117" s="786"/>
      <c r="B117" s="787"/>
      <c r="C117" s="786"/>
      <c r="D117" s="793"/>
      <c r="E117" s="793"/>
      <c r="F117" s="793"/>
      <c r="G117" s="793"/>
      <c r="H117" s="793"/>
      <c r="I117" s="793"/>
      <c r="J117" s="790"/>
      <c r="K117" s="791"/>
      <c r="L117" s="791"/>
      <c r="M117" s="791"/>
      <c r="N117" s="791"/>
      <c r="O117" s="15"/>
      <c r="P117" s="15"/>
      <c r="Q117" s="15"/>
      <c r="R117" s="15"/>
      <c r="S117" s="793"/>
      <c r="T117" s="793"/>
      <c r="U117" s="793"/>
      <c r="V117" s="793"/>
      <c r="W117" s="786"/>
      <c r="X117" s="15"/>
      <c r="Y117" s="15"/>
      <c r="Z117" s="15"/>
      <c r="AA117" s="15"/>
      <c r="AB117" s="15"/>
      <c r="AC117" s="15"/>
      <c r="AD117" s="15"/>
      <c r="AE117" s="15"/>
    </row>
    <row r="118" ht="14.25" customHeight="1">
      <c r="A118" s="786"/>
      <c r="B118" s="787"/>
      <c r="C118" s="786"/>
      <c r="D118" s="793"/>
      <c r="E118" s="793"/>
      <c r="F118" s="793"/>
      <c r="G118" s="793"/>
      <c r="H118" s="793"/>
      <c r="I118" s="793"/>
      <c r="J118" s="790"/>
      <c r="K118" s="791"/>
      <c r="L118" s="791"/>
      <c r="M118" s="791"/>
      <c r="N118" s="791"/>
      <c r="O118" s="15"/>
      <c r="P118" s="15"/>
      <c r="Q118" s="15"/>
      <c r="R118" s="15"/>
      <c r="S118" s="793"/>
      <c r="T118" s="793"/>
      <c r="U118" s="793"/>
      <c r="V118" s="793"/>
      <c r="W118" s="786"/>
      <c r="X118" s="15"/>
      <c r="Y118" s="15"/>
      <c r="Z118" s="15"/>
      <c r="AA118" s="15"/>
      <c r="AB118" s="15"/>
      <c r="AC118" s="15"/>
      <c r="AD118" s="15"/>
      <c r="AE118" s="15"/>
    </row>
    <row r="119" ht="14.25" customHeight="1">
      <c r="A119" s="786"/>
      <c r="B119" s="787"/>
      <c r="C119" s="786"/>
      <c r="D119" s="793"/>
      <c r="E119" s="793"/>
      <c r="F119" s="793"/>
      <c r="G119" s="793"/>
      <c r="H119" s="793"/>
      <c r="I119" s="793"/>
      <c r="J119" s="790"/>
      <c r="K119" s="791"/>
      <c r="L119" s="791"/>
      <c r="M119" s="791"/>
      <c r="N119" s="791"/>
      <c r="O119" s="15"/>
      <c r="P119" s="15"/>
      <c r="Q119" s="15"/>
      <c r="R119" s="15"/>
      <c r="S119" s="793"/>
      <c r="T119" s="793"/>
      <c r="U119" s="793"/>
      <c r="V119" s="793"/>
      <c r="W119" s="786"/>
      <c r="X119" s="15"/>
      <c r="Y119" s="15"/>
      <c r="Z119" s="15"/>
      <c r="AA119" s="15"/>
      <c r="AB119" s="15"/>
      <c r="AC119" s="15"/>
      <c r="AD119" s="15"/>
      <c r="AE119" s="15"/>
    </row>
    <row r="120" ht="14.25" customHeight="1">
      <c r="A120" s="786"/>
      <c r="B120" s="787"/>
      <c r="C120" s="786"/>
      <c r="D120" s="793"/>
      <c r="E120" s="793"/>
      <c r="F120" s="793"/>
      <c r="G120" s="793"/>
      <c r="H120" s="793"/>
      <c r="I120" s="793"/>
      <c r="J120" s="790"/>
      <c r="K120" s="791"/>
      <c r="L120" s="791"/>
      <c r="M120" s="791"/>
      <c r="N120" s="791"/>
      <c r="O120" s="15"/>
      <c r="P120" s="15"/>
      <c r="Q120" s="15"/>
      <c r="R120" s="15"/>
      <c r="S120" s="793"/>
      <c r="T120" s="793"/>
      <c r="U120" s="793"/>
      <c r="V120" s="793"/>
      <c r="W120" s="786"/>
      <c r="X120" s="15"/>
      <c r="Y120" s="15"/>
      <c r="Z120" s="15"/>
      <c r="AA120" s="15"/>
      <c r="AB120" s="15"/>
      <c r="AC120" s="15"/>
      <c r="AD120" s="15"/>
      <c r="AE120" s="15"/>
    </row>
    <row r="121" ht="14.25" customHeight="1">
      <c r="A121" s="786"/>
      <c r="B121" s="787"/>
      <c r="C121" s="786"/>
      <c r="D121" s="793"/>
      <c r="E121" s="793"/>
      <c r="F121" s="793"/>
      <c r="G121" s="793"/>
      <c r="H121" s="793"/>
      <c r="I121" s="793"/>
      <c r="J121" s="790"/>
      <c r="K121" s="791"/>
      <c r="L121" s="791"/>
      <c r="M121" s="791"/>
      <c r="N121" s="791"/>
      <c r="O121" s="15"/>
      <c r="P121" s="15"/>
      <c r="Q121" s="15"/>
      <c r="R121" s="15"/>
      <c r="S121" s="793"/>
      <c r="T121" s="793"/>
      <c r="U121" s="793"/>
      <c r="V121" s="793"/>
      <c r="W121" s="786"/>
      <c r="X121" s="15"/>
      <c r="Y121" s="15"/>
      <c r="Z121" s="15"/>
      <c r="AA121" s="15"/>
      <c r="AB121" s="15"/>
      <c r="AC121" s="15"/>
      <c r="AD121" s="15"/>
      <c r="AE121" s="15"/>
    </row>
    <row r="122" ht="14.25" customHeight="1">
      <c r="A122" s="786"/>
      <c r="B122" s="787"/>
      <c r="C122" s="786"/>
      <c r="D122" s="793"/>
      <c r="E122" s="793"/>
      <c r="F122" s="793"/>
      <c r="G122" s="793"/>
      <c r="H122" s="793"/>
      <c r="I122" s="793"/>
      <c r="J122" s="790"/>
      <c r="K122" s="791"/>
      <c r="L122" s="791"/>
      <c r="M122" s="791"/>
      <c r="N122" s="791"/>
      <c r="O122" s="15"/>
      <c r="P122" s="15"/>
      <c r="Q122" s="15"/>
      <c r="R122" s="15"/>
      <c r="S122" s="793"/>
      <c r="T122" s="793"/>
      <c r="U122" s="793"/>
      <c r="V122" s="793"/>
      <c r="W122" s="786"/>
      <c r="X122" s="15"/>
      <c r="Y122" s="15"/>
      <c r="Z122" s="15"/>
      <c r="AA122" s="15"/>
      <c r="AB122" s="15"/>
      <c r="AC122" s="15"/>
      <c r="AD122" s="15"/>
      <c r="AE122" s="15"/>
    </row>
    <row r="123" ht="14.25" customHeight="1">
      <c r="A123" s="786"/>
      <c r="B123" s="787"/>
      <c r="C123" s="786"/>
      <c r="D123" s="793"/>
      <c r="E123" s="793"/>
      <c r="F123" s="793"/>
      <c r="G123" s="793"/>
      <c r="H123" s="793"/>
      <c r="I123" s="793"/>
      <c r="J123" s="790"/>
      <c r="K123" s="791"/>
      <c r="L123" s="791"/>
      <c r="M123" s="791"/>
      <c r="N123" s="791"/>
      <c r="O123" s="15"/>
      <c r="P123" s="15"/>
      <c r="Q123" s="15"/>
      <c r="R123" s="15"/>
      <c r="S123" s="793"/>
      <c r="T123" s="793"/>
      <c r="U123" s="793"/>
      <c r="V123" s="793"/>
      <c r="W123" s="786"/>
      <c r="X123" s="15"/>
      <c r="Y123" s="15"/>
      <c r="Z123" s="15"/>
      <c r="AA123" s="15"/>
      <c r="AB123" s="15"/>
      <c r="AC123" s="15"/>
      <c r="AD123" s="15"/>
      <c r="AE123" s="15"/>
    </row>
    <row r="124" ht="14.25" customHeight="1">
      <c r="A124" s="786"/>
      <c r="B124" s="787"/>
      <c r="C124" s="786"/>
      <c r="D124" s="793"/>
      <c r="E124" s="793"/>
      <c r="F124" s="793"/>
      <c r="G124" s="793"/>
      <c r="H124" s="793"/>
      <c r="I124" s="793"/>
      <c r="J124" s="790"/>
      <c r="K124" s="791"/>
      <c r="L124" s="791"/>
      <c r="M124" s="791"/>
      <c r="N124" s="791"/>
      <c r="O124" s="15"/>
      <c r="P124" s="15"/>
      <c r="Q124" s="15"/>
      <c r="R124" s="15"/>
      <c r="S124" s="793"/>
      <c r="T124" s="793"/>
      <c r="U124" s="793"/>
      <c r="V124" s="793"/>
      <c r="W124" s="786"/>
      <c r="X124" s="15"/>
      <c r="Y124" s="15"/>
      <c r="Z124" s="15"/>
      <c r="AA124" s="15"/>
      <c r="AB124" s="15"/>
      <c r="AC124" s="15"/>
      <c r="AD124" s="15"/>
      <c r="AE124" s="15"/>
    </row>
    <row r="125" ht="14.25" customHeight="1">
      <c r="A125" s="786"/>
      <c r="B125" s="787"/>
      <c r="C125" s="786"/>
      <c r="D125" s="793"/>
      <c r="E125" s="793"/>
      <c r="F125" s="793"/>
      <c r="G125" s="793"/>
      <c r="H125" s="793"/>
      <c r="I125" s="793"/>
      <c r="J125" s="790"/>
      <c r="K125" s="791"/>
      <c r="L125" s="791"/>
      <c r="M125" s="791"/>
      <c r="N125" s="791"/>
      <c r="O125" s="15"/>
      <c r="P125" s="15"/>
      <c r="Q125" s="15"/>
      <c r="R125" s="15"/>
      <c r="S125" s="793"/>
      <c r="T125" s="793"/>
      <c r="U125" s="793"/>
      <c r="V125" s="793"/>
      <c r="W125" s="786"/>
      <c r="X125" s="15"/>
      <c r="Y125" s="15"/>
      <c r="Z125" s="15"/>
      <c r="AA125" s="15"/>
      <c r="AB125" s="15"/>
      <c r="AC125" s="15"/>
      <c r="AD125" s="15"/>
      <c r="AE125" s="15"/>
    </row>
    <row r="126" ht="14.25" customHeight="1">
      <c r="A126" s="786"/>
      <c r="B126" s="787"/>
      <c r="C126" s="786"/>
      <c r="D126" s="793"/>
      <c r="E126" s="793"/>
      <c r="F126" s="793"/>
      <c r="G126" s="793"/>
      <c r="H126" s="793"/>
      <c r="I126" s="793"/>
      <c r="J126" s="790"/>
      <c r="K126" s="791"/>
      <c r="L126" s="791"/>
      <c r="M126" s="791"/>
      <c r="N126" s="791"/>
      <c r="O126" s="15"/>
      <c r="P126" s="15"/>
      <c r="Q126" s="15"/>
      <c r="R126" s="15"/>
      <c r="S126" s="793"/>
      <c r="T126" s="793"/>
      <c r="U126" s="793"/>
      <c r="V126" s="793"/>
      <c r="W126" s="786"/>
      <c r="X126" s="15"/>
      <c r="Y126" s="15"/>
      <c r="Z126" s="15"/>
      <c r="AA126" s="15"/>
      <c r="AB126" s="15"/>
      <c r="AC126" s="15"/>
      <c r="AD126" s="15"/>
      <c r="AE126" s="15"/>
    </row>
    <row r="127" ht="14.25" customHeight="1">
      <c r="A127" s="786"/>
      <c r="B127" s="787"/>
      <c r="C127" s="786"/>
      <c r="D127" s="793"/>
      <c r="E127" s="793"/>
      <c r="F127" s="793"/>
      <c r="G127" s="793"/>
      <c r="H127" s="793"/>
      <c r="I127" s="793"/>
      <c r="J127" s="790"/>
      <c r="K127" s="791"/>
      <c r="L127" s="791"/>
      <c r="M127" s="791"/>
      <c r="N127" s="791"/>
      <c r="O127" s="15"/>
      <c r="P127" s="15"/>
      <c r="Q127" s="15"/>
      <c r="R127" s="15"/>
      <c r="S127" s="793"/>
      <c r="T127" s="793"/>
      <c r="U127" s="793"/>
      <c r="V127" s="793"/>
      <c r="W127" s="786"/>
      <c r="X127" s="15"/>
      <c r="Y127" s="15"/>
      <c r="Z127" s="15"/>
      <c r="AA127" s="15"/>
      <c r="AB127" s="15"/>
      <c r="AC127" s="15"/>
      <c r="AD127" s="15"/>
      <c r="AE127" s="15"/>
    </row>
    <row r="128" ht="14.25" customHeight="1">
      <c r="A128" s="786"/>
      <c r="B128" s="787"/>
      <c r="C128" s="786"/>
      <c r="D128" s="793"/>
      <c r="E128" s="793"/>
      <c r="F128" s="793"/>
      <c r="G128" s="793"/>
      <c r="H128" s="793"/>
      <c r="I128" s="793"/>
      <c r="J128" s="790"/>
      <c r="K128" s="791"/>
      <c r="L128" s="791"/>
      <c r="M128" s="791"/>
      <c r="N128" s="791"/>
      <c r="O128" s="15"/>
      <c r="P128" s="15"/>
      <c r="Q128" s="15"/>
      <c r="R128" s="15"/>
      <c r="S128" s="793"/>
      <c r="T128" s="793"/>
      <c r="U128" s="793"/>
      <c r="V128" s="793"/>
      <c r="W128" s="786"/>
      <c r="X128" s="15"/>
      <c r="Y128" s="15"/>
      <c r="Z128" s="15"/>
      <c r="AA128" s="15"/>
      <c r="AB128" s="15"/>
      <c r="AC128" s="15"/>
      <c r="AD128" s="15"/>
      <c r="AE128" s="15"/>
    </row>
    <row r="129" ht="14.25" customHeight="1">
      <c r="A129" s="786"/>
      <c r="B129" s="787"/>
      <c r="C129" s="786"/>
      <c r="D129" s="793"/>
      <c r="E129" s="793"/>
      <c r="F129" s="793"/>
      <c r="G129" s="793"/>
      <c r="H129" s="793"/>
      <c r="I129" s="793"/>
      <c r="J129" s="790"/>
      <c r="K129" s="791"/>
      <c r="L129" s="791"/>
      <c r="M129" s="791"/>
      <c r="N129" s="791"/>
      <c r="O129" s="15"/>
      <c r="P129" s="15"/>
      <c r="Q129" s="15"/>
      <c r="R129" s="15"/>
      <c r="S129" s="793"/>
      <c r="T129" s="793"/>
      <c r="U129" s="793"/>
      <c r="V129" s="793"/>
      <c r="W129" s="786"/>
      <c r="X129" s="15"/>
      <c r="Y129" s="15"/>
      <c r="Z129" s="15"/>
      <c r="AA129" s="15"/>
      <c r="AB129" s="15"/>
      <c r="AC129" s="15"/>
      <c r="AD129" s="15"/>
      <c r="AE129" s="15"/>
    </row>
    <row r="130" ht="14.25" customHeight="1">
      <c r="A130" s="786"/>
      <c r="B130" s="787"/>
      <c r="C130" s="786"/>
      <c r="D130" s="793"/>
      <c r="E130" s="793"/>
      <c r="F130" s="793"/>
      <c r="G130" s="793"/>
      <c r="H130" s="793"/>
      <c r="I130" s="793"/>
      <c r="J130" s="790"/>
      <c r="K130" s="791"/>
      <c r="L130" s="791"/>
      <c r="M130" s="791"/>
      <c r="N130" s="791"/>
      <c r="O130" s="15"/>
      <c r="P130" s="15"/>
      <c r="Q130" s="15"/>
      <c r="R130" s="15"/>
      <c r="S130" s="793"/>
      <c r="T130" s="793"/>
      <c r="U130" s="793"/>
      <c r="V130" s="793"/>
      <c r="W130" s="786"/>
      <c r="X130" s="15"/>
      <c r="Y130" s="15"/>
      <c r="Z130" s="15"/>
      <c r="AA130" s="15"/>
      <c r="AB130" s="15"/>
      <c r="AC130" s="15"/>
      <c r="AD130" s="15"/>
      <c r="AE130" s="15"/>
    </row>
    <row r="131" ht="14.25" customHeight="1">
      <c r="A131" s="786"/>
      <c r="B131" s="787"/>
      <c r="C131" s="786"/>
      <c r="D131" s="793"/>
      <c r="E131" s="793"/>
      <c r="F131" s="793"/>
      <c r="G131" s="793"/>
      <c r="H131" s="793"/>
      <c r="I131" s="793"/>
      <c r="J131" s="790"/>
      <c r="K131" s="791"/>
      <c r="L131" s="791"/>
      <c r="M131" s="791"/>
      <c r="N131" s="791"/>
      <c r="O131" s="15"/>
      <c r="P131" s="15"/>
      <c r="Q131" s="15"/>
      <c r="R131" s="15"/>
      <c r="S131" s="793"/>
      <c r="T131" s="793"/>
      <c r="U131" s="793"/>
      <c r="V131" s="793"/>
      <c r="W131" s="786"/>
      <c r="X131" s="15"/>
      <c r="Y131" s="15"/>
      <c r="Z131" s="15"/>
      <c r="AA131" s="15"/>
      <c r="AB131" s="15"/>
      <c r="AC131" s="15"/>
      <c r="AD131" s="15"/>
      <c r="AE131" s="15"/>
    </row>
    <row r="132" ht="14.25" customHeight="1">
      <c r="A132" s="786"/>
      <c r="B132" s="787"/>
      <c r="C132" s="786"/>
      <c r="D132" s="793"/>
      <c r="E132" s="793"/>
      <c r="F132" s="793"/>
      <c r="G132" s="793"/>
      <c r="H132" s="793"/>
      <c r="I132" s="793"/>
      <c r="J132" s="790"/>
      <c r="K132" s="791"/>
      <c r="L132" s="791"/>
      <c r="M132" s="791"/>
      <c r="N132" s="791"/>
      <c r="O132" s="15"/>
      <c r="P132" s="15"/>
      <c r="Q132" s="15"/>
      <c r="R132" s="15"/>
      <c r="S132" s="793"/>
      <c r="T132" s="793"/>
      <c r="U132" s="793"/>
      <c r="V132" s="793"/>
      <c r="W132" s="786"/>
      <c r="X132" s="15"/>
      <c r="Y132" s="15"/>
      <c r="Z132" s="15"/>
      <c r="AA132" s="15"/>
      <c r="AB132" s="15"/>
      <c r="AC132" s="15"/>
      <c r="AD132" s="15"/>
      <c r="AE132" s="15"/>
    </row>
    <row r="133" ht="14.25" customHeight="1">
      <c r="A133" s="786"/>
      <c r="B133" s="787"/>
      <c r="C133" s="786"/>
      <c r="D133" s="793"/>
      <c r="E133" s="793"/>
      <c r="F133" s="793"/>
      <c r="G133" s="793"/>
      <c r="H133" s="793"/>
      <c r="I133" s="793"/>
      <c r="J133" s="790"/>
      <c r="K133" s="791"/>
      <c r="L133" s="791"/>
      <c r="M133" s="791"/>
      <c r="N133" s="791"/>
      <c r="O133" s="15"/>
      <c r="P133" s="15"/>
      <c r="Q133" s="15"/>
      <c r="R133" s="15"/>
      <c r="S133" s="793"/>
      <c r="T133" s="793"/>
      <c r="U133" s="793"/>
      <c r="V133" s="793"/>
      <c r="W133" s="786"/>
      <c r="X133" s="15"/>
      <c r="Y133" s="15"/>
      <c r="Z133" s="15"/>
      <c r="AA133" s="15"/>
      <c r="AB133" s="15"/>
      <c r="AC133" s="15"/>
      <c r="AD133" s="15"/>
      <c r="AE133" s="15"/>
    </row>
    <row r="134" ht="14.25" customHeight="1">
      <c r="A134" s="786"/>
      <c r="B134" s="787"/>
      <c r="C134" s="786"/>
      <c r="D134" s="793"/>
      <c r="E134" s="793"/>
      <c r="F134" s="793"/>
      <c r="G134" s="793"/>
      <c r="H134" s="793"/>
      <c r="I134" s="793"/>
      <c r="J134" s="790"/>
      <c r="K134" s="791"/>
      <c r="L134" s="791"/>
      <c r="M134" s="791"/>
      <c r="N134" s="791"/>
      <c r="O134" s="15"/>
      <c r="P134" s="15"/>
      <c r="Q134" s="15"/>
      <c r="R134" s="15"/>
      <c r="S134" s="793"/>
      <c r="T134" s="793"/>
      <c r="U134" s="793"/>
      <c r="V134" s="793"/>
      <c r="W134" s="786"/>
      <c r="X134" s="15"/>
      <c r="Y134" s="15"/>
      <c r="Z134" s="15"/>
      <c r="AA134" s="15"/>
      <c r="AB134" s="15"/>
      <c r="AC134" s="15"/>
      <c r="AD134" s="15"/>
      <c r="AE134" s="15"/>
    </row>
    <row r="135" ht="14.25" customHeight="1">
      <c r="A135" s="786"/>
      <c r="B135" s="787"/>
      <c r="C135" s="786"/>
      <c r="D135" s="793"/>
      <c r="E135" s="793"/>
      <c r="F135" s="793"/>
      <c r="G135" s="793"/>
      <c r="H135" s="793"/>
      <c r="I135" s="793"/>
      <c r="J135" s="790"/>
      <c r="K135" s="791"/>
      <c r="L135" s="791"/>
      <c r="M135" s="791"/>
      <c r="N135" s="791"/>
      <c r="O135" s="15"/>
      <c r="P135" s="15"/>
      <c r="Q135" s="15"/>
      <c r="R135" s="15"/>
      <c r="S135" s="793"/>
      <c r="T135" s="793"/>
      <c r="U135" s="793"/>
      <c r="V135" s="793"/>
      <c r="W135" s="786"/>
      <c r="X135" s="15"/>
      <c r="Y135" s="15"/>
      <c r="Z135" s="15"/>
      <c r="AA135" s="15"/>
      <c r="AB135" s="15"/>
      <c r="AC135" s="15"/>
      <c r="AD135" s="15"/>
      <c r="AE135" s="15"/>
    </row>
    <row r="136" ht="14.25" customHeight="1">
      <c r="A136" s="786"/>
      <c r="B136" s="787"/>
      <c r="C136" s="786"/>
      <c r="D136" s="793"/>
      <c r="E136" s="793"/>
      <c r="F136" s="793"/>
      <c r="G136" s="793"/>
      <c r="H136" s="793"/>
      <c r="I136" s="793"/>
      <c r="J136" s="790"/>
      <c r="K136" s="791"/>
      <c r="L136" s="791"/>
      <c r="M136" s="791"/>
      <c r="N136" s="791"/>
      <c r="O136" s="15"/>
      <c r="P136" s="15"/>
      <c r="Q136" s="15"/>
      <c r="R136" s="15"/>
      <c r="S136" s="793"/>
      <c r="T136" s="793"/>
      <c r="U136" s="793"/>
      <c r="V136" s="793"/>
      <c r="W136" s="786"/>
      <c r="X136" s="15"/>
      <c r="Y136" s="15"/>
      <c r="Z136" s="15"/>
      <c r="AA136" s="15"/>
      <c r="AB136" s="15"/>
      <c r="AC136" s="15"/>
      <c r="AD136" s="15"/>
      <c r="AE136" s="15"/>
    </row>
    <row r="137" ht="14.25" customHeight="1">
      <c r="A137" s="786"/>
      <c r="B137" s="787"/>
      <c r="C137" s="786"/>
      <c r="D137" s="793"/>
      <c r="E137" s="793"/>
      <c r="F137" s="793"/>
      <c r="G137" s="793"/>
      <c r="H137" s="793"/>
      <c r="I137" s="793"/>
      <c r="J137" s="790"/>
      <c r="K137" s="791"/>
      <c r="L137" s="791"/>
      <c r="M137" s="791"/>
      <c r="N137" s="791"/>
      <c r="O137" s="15"/>
      <c r="P137" s="15"/>
      <c r="Q137" s="15"/>
      <c r="R137" s="15"/>
      <c r="S137" s="793"/>
      <c r="T137" s="793"/>
      <c r="U137" s="793"/>
      <c r="V137" s="793"/>
      <c r="W137" s="786"/>
      <c r="X137" s="15"/>
      <c r="Y137" s="15"/>
      <c r="Z137" s="15"/>
      <c r="AA137" s="15"/>
      <c r="AB137" s="15"/>
      <c r="AC137" s="15"/>
      <c r="AD137" s="15"/>
      <c r="AE137" s="15"/>
    </row>
    <row r="138" ht="14.25" customHeight="1">
      <c r="A138" s="786"/>
      <c r="B138" s="787"/>
      <c r="C138" s="786"/>
      <c r="D138" s="793"/>
      <c r="E138" s="793"/>
      <c r="F138" s="793"/>
      <c r="G138" s="793"/>
      <c r="H138" s="793"/>
      <c r="I138" s="793"/>
      <c r="J138" s="790"/>
      <c r="K138" s="791"/>
      <c r="L138" s="791"/>
      <c r="M138" s="791"/>
      <c r="N138" s="791"/>
      <c r="O138" s="15"/>
      <c r="P138" s="15"/>
      <c r="Q138" s="15"/>
      <c r="R138" s="15"/>
      <c r="S138" s="793"/>
      <c r="T138" s="793"/>
      <c r="U138" s="793"/>
      <c r="V138" s="793"/>
      <c r="W138" s="786"/>
      <c r="X138" s="15"/>
      <c r="Y138" s="15"/>
      <c r="Z138" s="15"/>
      <c r="AA138" s="15"/>
      <c r="AB138" s="15"/>
      <c r="AC138" s="15"/>
      <c r="AD138" s="15"/>
      <c r="AE138" s="15"/>
    </row>
    <row r="139" ht="14.25" customHeight="1">
      <c r="A139" s="786"/>
      <c r="B139" s="787"/>
      <c r="C139" s="786"/>
      <c r="D139" s="793"/>
      <c r="E139" s="793"/>
      <c r="F139" s="793"/>
      <c r="G139" s="793"/>
      <c r="H139" s="793"/>
      <c r="I139" s="793"/>
      <c r="J139" s="790"/>
      <c r="K139" s="791"/>
      <c r="L139" s="791"/>
      <c r="M139" s="791"/>
      <c r="N139" s="791"/>
      <c r="O139" s="15"/>
      <c r="P139" s="15"/>
      <c r="Q139" s="15"/>
      <c r="R139" s="15"/>
      <c r="S139" s="793"/>
      <c r="T139" s="793"/>
      <c r="U139" s="793"/>
      <c r="V139" s="793"/>
      <c r="W139" s="786"/>
      <c r="X139" s="15"/>
      <c r="Y139" s="15"/>
      <c r="Z139" s="15"/>
      <c r="AA139" s="15"/>
      <c r="AB139" s="15"/>
      <c r="AC139" s="15"/>
      <c r="AD139" s="15"/>
      <c r="AE139" s="15"/>
    </row>
    <row r="140" ht="14.25" customHeight="1">
      <c r="A140" s="786"/>
      <c r="B140" s="787"/>
      <c r="C140" s="786"/>
      <c r="D140" s="793"/>
      <c r="E140" s="793"/>
      <c r="F140" s="793"/>
      <c r="G140" s="793"/>
      <c r="H140" s="793"/>
      <c r="I140" s="793"/>
      <c r="J140" s="790"/>
      <c r="K140" s="791"/>
      <c r="L140" s="791"/>
      <c r="M140" s="791"/>
      <c r="N140" s="791"/>
      <c r="O140" s="15"/>
      <c r="P140" s="15"/>
      <c r="Q140" s="15"/>
      <c r="R140" s="15"/>
      <c r="S140" s="793"/>
      <c r="T140" s="793"/>
      <c r="U140" s="793"/>
      <c r="V140" s="793"/>
      <c r="W140" s="786"/>
      <c r="X140" s="15"/>
      <c r="Y140" s="15"/>
      <c r="Z140" s="15"/>
      <c r="AA140" s="15"/>
      <c r="AB140" s="15"/>
      <c r="AC140" s="15"/>
      <c r="AD140" s="15"/>
      <c r="AE140" s="15"/>
    </row>
    <row r="141" ht="14.25" customHeight="1">
      <c r="A141" s="786"/>
      <c r="B141" s="787"/>
      <c r="C141" s="786"/>
      <c r="D141" s="793"/>
      <c r="E141" s="793"/>
      <c r="F141" s="793"/>
      <c r="G141" s="793"/>
      <c r="H141" s="793"/>
      <c r="I141" s="793"/>
      <c r="J141" s="790"/>
      <c r="K141" s="791"/>
      <c r="L141" s="791"/>
      <c r="M141" s="791"/>
      <c r="N141" s="791"/>
      <c r="O141" s="15"/>
      <c r="P141" s="15"/>
      <c r="Q141" s="15"/>
      <c r="R141" s="15"/>
      <c r="S141" s="793"/>
      <c r="T141" s="793"/>
      <c r="U141" s="793"/>
      <c r="V141" s="793"/>
      <c r="W141" s="786"/>
      <c r="X141" s="15"/>
      <c r="Y141" s="15"/>
      <c r="Z141" s="15"/>
      <c r="AA141" s="15"/>
      <c r="AB141" s="15"/>
      <c r="AC141" s="15"/>
      <c r="AD141" s="15"/>
      <c r="AE141" s="15"/>
    </row>
    <row r="142" ht="14.25" customHeight="1">
      <c r="A142" s="786"/>
      <c r="B142" s="787"/>
      <c r="C142" s="786"/>
      <c r="D142" s="793"/>
      <c r="E142" s="793"/>
      <c r="F142" s="793"/>
      <c r="G142" s="793"/>
      <c r="H142" s="793"/>
      <c r="I142" s="793"/>
      <c r="J142" s="790"/>
      <c r="K142" s="791"/>
      <c r="L142" s="791"/>
      <c r="M142" s="791"/>
      <c r="N142" s="791"/>
      <c r="O142" s="15"/>
      <c r="P142" s="15"/>
      <c r="Q142" s="15"/>
      <c r="R142" s="15"/>
      <c r="S142" s="793"/>
      <c r="T142" s="793"/>
      <c r="U142" s="793"/>
      <c r="V142" s="793"/>
      <c r="W142" s="786"/>
      <c r="X142" s="15"/>
      <c r="Y142" s="15"/>
      <c r="Z142" s="15"/>
      <c r="AA142" s="15"/>
      <c r="AB142" s="15"/>
      <c r="AC142" s="15"/>
      <c r="AD142" s="15"/>
      <c r="AE142" s="15"/>
    </row>
    <row r="143" ht="14.25" customHeight="1">
      <c r="A143" s="786"/>
      <c r="B143" s="787"/>
      <c r="C143" s="786"/>
      <c r="D143" s="793"/>
      <c r="E143" s="793"/>
      <c r="F143" s="793"/>
      <c r="G143" s="793"/>
      <c r="H143" s="793"/>
      <c r="I143" s="793"/>
      <c r="J143" s="790"/>
      <c r="K143" s="791"/>
      <c r="L143" s="791"/>
      <c r="M143" s="791"/>
      <c r="N143" s="791"/>
      <c r="O143" s="15"/>
      <c r="P143" s="15"/>
      <c r="Q143" s="15"/>
      <c r="R143" s="15"/>
      <c r="S143" s="793"/>
      <c r="T143" s="793"/>
      <c r="U143" s="793"/>
      <c r="V143" s="793"/>
      <c r="W143" s="786"/>
      <c r="X143" s="15"/>
      <c r="Y143" s="15"/>
      <c r="Z143" s="15"/>
      <c r="AA143" s="15"/>
      <c r="AB143" s="15"/>
      <c r="AC143" s="15"/>
      <c r="AD143" s="15"/>
      <c r="AE143" s="15"/>
    </row>
    <row r="144" ht="14.25" customHeight="1">
      <c r="A144" s="786"/>
      <c r="B144" s="787"/>
      <c r="C144" s="786"/>
      <c r="D144" s="793"/>
      <c r="E144" s="793"/>
      <c r="F144" s="793"/>
      <c r="G144" s="793"/>
      <c r="H144" s="793"/>
      <c r="I144" s="793"/>
      <c r="J144" s="790"/>
      <c r="K144" s="791"/>
      <c r="L144" s="791"/>
      <c r="M144" s="791"/>
      <c r="N144" s="791"/>
      <c r="O144" s="15"/>
      <c r="P144" s="15"/>
      <c r="Q144" s="15"/>
      <c r="R144" s="15"/>
      <c r="S144" s="793"/>
      <c r="T144" s="793"/>
      <c r="U144" s="793"/>
      <c r="V144" s="793"/>
      <c r="W144" s="786"/>
      <c r="X144" s="15"/>
      <c r="Y144" s="15"/>
      <c r="Z144" s="15"/>
      <c r="AA144" s="15"/>
      <c r="AB144" s="15"/>
      <c r="AC144" s="15"/>
      <c r="AD144" s="15"/>
      <c r="AE144" s="15"/>
    </row>
    <row r="145" ht="14.25" customHeight="1">
      <c r="A145" s="786"/>
      <c r="B145" s="787"/>
      <c r="C145" s="786"/>
      <c r="D145" s="793"/>
      <c r="E145" s="793"/>
      <c r="F145" s="793"/>
      <c r="G145" s="793"/>
      <c r="H145" s="793"/>
      <c r="I145" s="793"/>
      <c r="J145" s="790"/>
      <c r="K145" s="791"/>
      <c r="L145" s="791"/>
      <c r="M145" s="791"/>
      <c r="N145" s="791"/>
      <c r="O145" s="15"/>
      <c r="P145" s="15"/>
      <c r="Q145" s="15"/>
      <c r="R145" s="15"/>
      <c r="S145" s="793"/>
      <c r="T145" s="793"/>
      <c r="U145" s="793"/>
      <c r="V145" s="793"/>
      <c r="W145" s="786"/>
      <c r="X145" s="15"/>
      <c r="Y145" s="15"/>
      <c r="Z145" s="15"/>
      <c r="AA145" s="15"/>
      <c r="AB145" s="15"/>
      <c r="AC145" s="15"/>
      <c r="AD145" s="15"/>
      <c r="AE145" s="15"/>
    </row>
    <row r="146" ht="14.25" customHeight="1">
      <c r="A146" s="786"/>
      <c r="B146" s="787"/>
      <c r="C146" s="786"/>
      <c r="D146" s="793"/>
      <c r="E146" s="793"/>
      <c r="F146" s="793"/>
      <c r="G146" s="793"/>
      <c r="H146" s="793"/>
      <c r="I146" s="793"/>
      <c r="J146" s="790"/>
      <c r="K146" s="791"/>
      <c r="L146" s="791"/>
      <c r="M146" s="791"/>
      <c r="N146" s="791"/>
      <c r="O146" s="15"/>
      <c r="P146" s="15"/>
      <c r="Q146" s="15"/>
      <c r="R146" s="15"/>
      <c r="S146" s="793"/>
      <c r="T146" s="793"/>
      <c r="U146" s="793"/>
      <c r="V146" s="793"/>
      <c r="W146" s="786"/>
      <c r="X146" s="15"/>
      <c r="Y146" s="15"/>
      <c r="Z146" s="15"/>
      <c r="AA146" s="15"/>
      <c r="AB146" s="15"/>
      <c r="AC146" s="15"/>
      <c r="AD146" s="15"/>
      <c r="AE146" s="15"/>
    </row>
    <row r="147" ht="14.25" customHeight="1">
      <c r="A147" s="786"/>
      <c r="B147" s="787"/>
      <c r="C147" s="786"/>
      <c r="D147" s="793"/>
      <c r="E147" s="793"/>
      <c r="F147" s="793"/>
      <c r="G147" s="793"/>
      <c r="H147" s="793"/>
      <c r="I147" s="793"/>
      <c r="J147" s="790"/>
      <c r="K147" s="791"/>
      <c r="L147" s="791"/>
      <c r="M147" s="791"/>
      <c r="N147" s="791"/>
      <c r="O147" s="15"/>
      <c r="P147" s="15"/>
      <c r="Q147" s="15"/>
      <c r="R147" s="15"/>
      <c r="S147" s="793"/>
      <c r="T147" s="793"/>
      <c r="U147" s="793"/>
      <c r="V147" s="793"/>
      <c r="W147" s="786"/>
      <c r="X147" s="15"/>
      <c r="Y147" s="15"/>
      <c r="Z147" s="15"/>
      <c r="AA147" s="15"/>
      <c r="AB147" s="15"/>
      <c r="AC147" s="15"/>
      <c r="AD147" s="15"/>
      <c r="AE147" s="15"/>
    </row>
    <row r="148" ht="14.25" customHeight="1">
      <c r="A148" s="786"/>
      <c r="B148" s="787"/>
      <c r="C148" s="786"/>
      <c r="D148" s="793"/>
      <c r="E148" s="793"/>
      <c r="F148" s="793"/>
      <c r="G148" s="793"/>
      <c r="H148" s="793"/>
      <c r="I148" s="793"/>
      <c r="J148" s="790"/>
      <c r="K148" s="791"/>
      <c r="L148" s="791"/>
      <c r="M148" s="791"/>
      <c r="N148" s="791"/>
      <c r="O148" s="15"/>
      <c r="P148" s="15"/>
      <c r="Q148" s="15"/>
      <c r="R148" s="15"/>
      <c r="S148" s="793"/>
      <c r="T148" s="793"/>
      <c r="U148" s="793"/>
      <c r="V148" s="793"/>
      <c r="W148" s="786"/>
      <c r="X148" s="15"/>
      <c r="Y148" s="15"/>
      <c r="Z148" s="15"/>
      <c r="AA148" s="15"/>
      <c r="AB148" s="15"/>
      <c r="AC148" s="15"/>
      <c r="AD148" s="15"/>
      <c r="AE148" s="15"/>
    </row>
    <row r="149" ht="14.25" customHeight="1">
      <c r="A149" s="786"/>
      <c r="B149" s="787"/>
      <c r="C149" s="786"/>
      <c r="D149" s="793"/>
      <c r="E149" s="793"/>
      <c r="F149" s="793"/>
      <c r="G149" s="793"/>
      <c r="H149" s="793"/>
      <c r="I149" s="793"/>
      <c r="J149" s="790"/>
      <c r="K149" s="791"/>
      <c r="L149" s="791"/>
      <c r="M149" s="791"/>
      <c r="N149" s="791"/>
      <c r="O149" s="15"/>
      <c r="P149" s="15"/>
      <c r="Q149" s="15"/>
      <c r="R149" s="15"/>
      <c r="S149" s="793"/>
      <c r="T149" s="793"/>
      <c r="U149" s="793"/>
      <c r="V149" s="793"/>
      <c r="W149" s="786"/>
      <c r="X149" s="15"/>
      <c r="Y149" s="15"/>
      <c r="Z149" s="15"/>
      <c r="AA149" s="15"/>
      <c r="AB149" s="15"/>
      <c r="AC149" s="15"/>
      <c r="AD149" s="15"/>
      <c r="AE149" s="15"/>
    </row>
    <row r="150" ht="14.25" customHeight="1">
      <c r="A150" s="786"/>
      <c r="B150" s="787"/>
      <c r="C150" s="786"/>
      <c r="D150" s="793"/>
      <c r="E150" s="793"/>
      <c r="F150" s="793"/>
      <c r="G150" s="793"/>
      <c r="H150" s="793"/>
      <c r="I150" s="793"/>
      <c r="J150" s="790"/>
      <c r="K150" s="791"/>
      <c r="L150" s="791"/>
      <c r="M150" s="791"/>
      <c r="N150" s="791"/>
      <c r="O150" s="15"/>
      <c r="P150" s="15"/>
      <c r="Q150" s="15"/>
      <c r="R150" s="15"/>
      <c r="S150" s="793"/>
      <c r="T150" s="793"/>
      <c r="U150" s="793"/>
      <c r="V150" s="793"/>
      <c r="W150" s="786"/>
      <c r="X150" s="15"/>
      <c r="Y150" s="15"/>
      <c r="Z150" s="15"/>
      <c r="AA150" s="15"/>
      <c r="AB150" s="15"/>
      <c r="AC150" s="15"/>
      <c r="AD150" s="15"/>
      <c r="AE150" s="15"/>
    </row>
    <row r="151" ht="14.25" customHeight="1">
      <c r="A151" s="786"/>
      <c r="B151" s="787"/>
      <c r="C151" s="786"/>
      <c r="D151" s="793"/>
      <c r="E151" s="793"/>
      <c r="F151" s="793"/>
      <c r="G151" s="793"/>
      <c r="H151" s="793"/>
      <c r="I151" s="793"/>
      <c r="J151" s="790"/>
      <c r="K151" s="791"/>
      <c r="L151" s="791"/>
      <c r="M151" s="791"/>
      <c r="N151" s="791"/>
      <c r="O151" s="15"/>
      <c r="P151" s="15"/>
      <c r="Q151" s="15"/>
      <c r="R151" s="15"/>
      <c r="S151" s="793"/>
      <c r="T151" s="793"/>
      <c r="U151" s="793"/>
      <c r="V151" s="793"/>
      <c r="W151" s="786"/>
      <c r="X151" s="15"/>
      <c r="Y151" s="15"/>
      <c r="Z151" s="15"/>
      <c r="AA151" s="15"/>
      <c r="AB151" s="15"/>
      <c r="AC151" s="15"/>
      <c r="AD151" s="15"/>
      <c r="AE151" s="15"/>
    </row>
    <row r="152" ht="14.25" customHeight="1">
      <c r="A152" s="786"/>
      <c r="B152" s="787"/>
      <c r="C152" s="786"/>
      <c r="D152" s="793"/>
      <c r="E152" s="793"/>
      <c r="F152" s="793"/>
      <c r="G152" s="793"/>
      <c r="H152" s="793"/>
      <c r="I152" s="793"/>
      <c r="J152" s="790"/>
      <c r="K152" s="791"/>
      <c r="L152" s="791"/>
      <c r="M152" s="791"/>
      <c r="N152" s="791"/>
      <c r="O152" s="15"/>
      <c r="P152" s="15"/>
      <c r="Q152" s="15"/>
      <c r="R152" s="15"/>
      <c r="S152" s="793"/>
      <c r="T152" s="793"/>
      <c r="U152" s="793"/>
      <c r="V152" s="793"/>
      <c r="W152" s="786"/>
      <c r="X152" s="15"/>
      <c r="Y152" s="15"/>
      <c r="Z152" s="15"/>
      <c r="AA152" s="15"/>
      <c r="AB152" s="15"/>
      <c r="AC152" s="15"/>
      <c r="AD152" s="15"/>
      <c r="AE152" s="15"/>
    </row>
    <row r="153" ht="14.25" customHeight="1">
      <c r="A153" s="786"/>
      <c r="B153" s="787"/>
      <c r="C153" s="786"/>
      <c r="D153" s="793"/>
      <c r="E153" s="793"/>
      <c r="F153" s="793"/>
      <c r="G153" s="793"/>
      <c r="H153" s="793"/>
      <c r="I153" s="793"/>
      <c r="J153" s="790"/>
      <c r="K153" s="791"/>
      <c r="L153" s="791"/>
      <c r="M153" s="791"/>
      <c r="N153" s="791"/>
      <c r="O153" s="15"/>
      <c r="P153" s="15"/>
      <c r="Q153" s="15"/>
      <c r="R153" s="15"/>
      <c r="S153" s="793"/>
      <c r="T153" s="793"/>
      <c r="U153" s="793"/>
      <c r="V153" s="793"/>
      <c r="W153" s="786"/>
      <c r="X153" s="15"/>
      <c r="Y153" s="15"/>
      <c r="Z153" s="15"/>
      <c r="AA153" s="15"/>
      <c r="AB153" s="15"/>
      <c r="AC153" s="15"/>
      <c r="AD153" s="15"/>
      <c r="AE153" s="15"/>
    </row>
    <row r="154" ht="14.25" customHeight="1">
      <c r="A154" s="786"/>
      <c r="B154" s="787"/>
      <c r="C154" s="786"/>
      <c r="D154" s="793"/>
      <c r="E154" s="793"/>
      <c r="F154" s="793"/>
      <c r="G154" s="793"/>
      <c r="H154" s="793"/>
      <c r="I154" s="793"/>
      <c r="J154" s="790"/>
      <c r="K154" s="791"/>
      <c r="L154" s="791"/>
      <c r="M154" s="791"/>
      <c r="N154" s="791"/>
      <c r="O154" s="15"/>
      <c r="P154" s="15"/>
      <c r="Q154" s="15"/>
      <c r="R154" s="15"/>
      <c r="S154" s="793"/>
      <c r="T154" s="793"/>
      <c r="U154" s="793"/>
      <c r="V154" s="793"/>
      <c r="W154" s="786"/>
      <c r="X154" s="15"/>
      <c r="Y154" s="15"/>
      <c r="Z154" s="15"/>
      <c r="AA154" s="15"/>
      <c r="AB154" s="15"/>
      <c r="AC154" s="15"/>
      <c r="AD154" s="15"/>
      <c r="AE154" s="15"/>
    </row>
    <row r="155" ht="14.25" customHeight="1">
      <c r="A155" s="786"/>
      <c r="B155" s="787"/>
      <c r="C155" s="786"/>
      <c r="D155" s="793"/>
      <c r="E155" s="793"/>
      <c r="F155" s="793"/>
      <c r="G155" s="793"/>
      <c r="H155" s="793"/>
      <c r="I155" s="793"/>
      <c r="J155" s="790"/>
      <c r="K155" s="791"/>
      <c r="L155" s="791"/>
      <c r="M155" s="791"/>
      <c r="N155" s="791"/>
      <c r="O155" s="15"/>
      <c r="P155" s="15"/>
      <c r="Q155" s="15"/>
      <c r="R155" s="15"/>
      <c r="S155" s="793"/>
      <c r="T155" s="793"/>
      <c r="U155" s="793"/>
      <c r="V155" s="793"/>
      <c r="W155" s="786"/>
      <c r="X155" s="15"/>
      <c r="Y155" s="15"/>
      <c r="Z155" s="15"/>
      <c r="AA155" s="15"/>
      <c r="AB155" s="15"/>
      <c r="AC155" s="15"/>
      <c r="AD155" s="15"/>
      <c r="AE155" s="15"/>
    </row>
    <row r="156" ht="14.25" customHeight="1">
      <c r="A156" s="786"/>
      <c r="B156" s="787"/>
      <c r="C156" s="786"/>
      <c r="D156" s="793"/>
      <c r="E156" s="793"/>
      <c r="F156" s="793"/>
      <c r="G156" s="793"/>
      <c r="H156" s="793"/>
      <c r="I156" s="793"/>
      <c r="J156" s="790"/>
      <c r="K156" s="791"/>
      <c r="L156" s="791"/>
      <c r="M156" s="791"/>
      <c r="N156" s="791"/>
      <c r="O156" s="15"/>
      <c r="P156" s="15"/>
      <c r="Q156" s="15"/>
      <c r="R156" s="15"/>
      <c r="S156" s="793"/>
      <c r="T156" s="793"/>
      <c r="U156" s="793"/>
      <c r="V156" s="793"/>
      <c r="W156" s="786"/>
      <c r="X156" s="15"/>
      <c r="Y156" s="15"/>
      <c r="Z156" s="15"/>
      <c r="AA156" s="15"/>
      <c r="AB156" s="15"/>
      <c r="AC156" s="15"/>
      <c r="AD156" s="15"/>
      <c r="AE156" s="15"/>
    </row>
    <row r="157" ht="14.25" customHeight="1">
      <c r="A157" s="786"/>
      <c r="B157" s="787"/>
      <c r="C157" s="786"/>
      <c r="D157" s="793"/>
      <c r="E157" s="793"/>
      <c r="F157" s="793"/>
      <c r="G157" s="793"/>
      <c r="H157" s="793"/>
      <c r="I157" s="793"/>
      <c r="J157" s="790"/>
      <c r="K157" s="791"/>
      <c r="L157" s="791"/>
      <c r="M157" s="791"/>
      <c r="N157" s="791"/>
      <c r="O157" s="15"/>
      <c r="P157" s="15"/>
      <c r="Q157" s="15"/>
      <c r="R157" s="15"/>
      <c r="S157" s="793"/>
      <c r="T157" s="793"/>
      <c r="U157" s="793"/>
      <c r="V157" s="793"/>
      <c r="W157" s="786"/>
      <c r="X157" s="15"/>
      <c r="Y157" s="15"/>
      <c r="Z157" s="15"/>
      <c r="AA157" s="15"/>
      <c r="AB157" s="15"/>
      <c r="AC157" s="15"/>
      <c r="AD157" s="15"/>
      <c r="AE157" s="15"/>
    </row>
    <row r="158" ht="14.25" customHeight="1">
      <c r="A158" s="786"/>
      <c r="B158" s="787"/>
      <c r="C158" s="786"/>
      <c r="D158" s="793"/>
      <c r="E158" s="793"/>
      <c r="F158" s="793"/>
      <c r="G158" s="793"/>
      <c r="H158" s="793"/>
      <c r="I158" s="793"/>
      <c r="J158" s="790"/>
      <c r="K158" s="791"/>
      <c r="L158" s="791"/>
      <c r="M158" s="791"/>
      <c r="N158" s="791"/>
      <c r="O158" s="15"/>
      <c r="P158" s="15"/>
      <c r="Q158" s="15"/>
      <c r="R158" s="15"/>
      <c r="S158" s="793"/>
      <c r="T158" s="793"/>
      <c r="U158" s="793"/>
      <c r="V158" s="793"/>
      <c r="W158" s="786"/>
      <c r="X158" s="15"/>
      <c r="Y158" s="15"/>
      <c r="Z158" s="15"/>
      <c r="AA158" s="15"/>
      <c r="AB158" s="15"/>
      <c r="AC158" s="15"/>
      <c r="AD158" s="15"/>
      <c r="AE158" s="15"/>
    </row>
    <row r="159" ht="14.25" customHeight="1">
      <c r="A159" s="786"/>
      <c r="B159" s="787"/>
      <c r="C159" s="786"/>
      <c r="D159" s="793"/>
      <c r="E159" s="793"/>
      <c r="F159" s="793"/>
      <c r="G159" s="793"/>
      <c r="H159" s="793"/>
      <c r="I159" s="793"/>
      <c r="J159" s="790"/>
      <c r="K159" s="791"/>
      <c r="L159" s="791"/>
      <c r="M159" s="791"/>
      <c r="N159" s="791"/>
      <c r="O159" s="15"/>
      <c r="P159" s="15"/>
      <c r="Q159" s="15"/>
      <c r="R159" s="15"/>
      <c r="S159" s="793"/>
      <c r="T159" s="793"/>
      <c r="U159" s="793"/>
      <c r="V159" s="793"/>
      <c r="W159" s="786"/>
      <c r="X159" s="15"/>
      <c r="Y159" s="15"/>
      <c r="Z159" s="15"/>
      <c r="AA159" s="15"/>
      <c r="AB159" s="15"/>
      <c r="AC159" s="15"/>
      <c r="AD159" s="15"/>
      <c r="AE159" s="15"/>
    </row>
    <row r="160" ht="14.25" customHeight="1">
      <c r="A160" s="786"/>
      <c r="B160" s="787"/>
      <c r="C160" s="786"/>
      <c r="D160" s="793"/>
      <c r="E160" s="793"/>
      <c r="F160" s="793"/>
      <c r="G160" s="793"/>
      <c r="H160" s="793"/>
      <c r="I160" s="793"/>
      <c r="J160" s="790"/>
      <c r="K160" s="791"/>
      <c r="L160" s="791"/>
      <c r="M160" s="791"/>
      <c r="N160" s="791"/>
      <c r="O160" s="15"/>
      <c r="P160" s="15"/>
      <c r="Q160" s="15"/>
      <c r="R160" s="15"/>
      <c r="S160" s="793"/>
      <c r="T160" s="793"/>
      <c r="U160" s="793"/>
      <c r="V160" s="793"/>
      <c r="W160" s="786"/>
      <c r="X160" s="15"/>
      <c r="Y160" s="15"/>
      <c r="Z160" s="15"/>
      <c r="AA160" s="15"/>
      <c r="AB160" s="15"/>
      <c r="AC160" s="15"/>
      <c r="AD160" s="15"/>
      <c r="AE160" s="15"/>
    </row>
    <row r="161" ht="14.25" customHeight="1">
      <c r="A161" s="786"/>
      <c r="B161" s="787"/>
      <c r="C161" s="786"/>
      <c r="D161" s="793"/>
      <c r="E161" s="793"/>
      <c r="F161" s="793"/>
      <c r="G161" s="793"/>
      <c r="H161" s="793"/>
      <c r="I161" s="793"/>
      <c r="J161" s="790"/>
      <c r="K161" s="791"/>
      <c r="L161" s="791"/>
      <c r="M161" s="791"/>
      <c r="N161" s="791"/>
      <c r="O161" s="15"/>
      <c r="P161" s="15"/>
      <c r="Q161" s="15"/>
      <c r="R161" s="15"/>
      <c r="S161" s="793"/>
      <c r="T161" s="793"/>
      <c r="U161" s="793"/>
      <c r="V161" s="793"/>
      <c r="W161" s="786"/>
      <c r="X161" s="15"/>
      <c r="Y161" s="15"/>
      <c r="Z161" s="15"/>
      <c r="AA161" s="15"/>
      <c r="AB161" s="15"/>
      <c r="AC161" s="15"/>
      <c r="AD161" s="15"/>
      <c r="AE161" s="15"/>
    </row>
    <row r="162" ht="14.25" customHeight="1">
      <c r="A162" s="786"/>
      <c r="B162" s="787"/>
      <c r="C162" s="786"/>
      <c r="D162" s="793"/>
      <c r="E162" s="793"/>
      <c r="F162" s="793"/>
      <c r="G162" s="793"/>
      <c r="H162" s="793"/>
      <c r="I162" s="793"/>
      <c r="J162" s="790"/>
      <c r="K162" s="791"/>
      <c r="L162" s="791"/>
      <c r="M162" s="791"/>
      <c r="N162" s="791"/>
      <c r="O162" s="15"/>
      <c r="P162" s="15"/>
      <c r="Q162" s="15"/>
      <c r="R162" s="15"/>
      <c r="S162" s="793"/>
      <c r="T162" s="793"/>
      <c r="U162" s="793"/>
      <c r="V162" s="793"/>
      <c r="W162" s="786"/>
      <c r="X162" s="15"/>
      <c r="Y162" s="15"/>
      <c r="Z162" s="15"/>
      <c r="AA162" s="15"/>
      <c r="AB162" s="15"/>
      <c r="AC162" s="15"/>
      <c r="AD162" s="15"/>
      <c r="AE162" s="15"/>
    </row>
    <row r="163" ht="14.25" customHeight="1">
      <c r="A163" s="786"/>
      <c r="B163" s="787"/>
      <c r="C163" s="786"/>
      <c r="D163" s="793"/>
      <c r="E163" s="793"/>
      <c r="F163" s="793"/>
      <c r="G163" s="793"/>
      <c r="H163" s="793"/>
      <c r="I163" s="793"/>
      <c r="J163" s="790"/>
      <c r="K163" s="791"/>
      <c r="L163" s="791"/>
      <c r="M163" s="791"/>
      <c r="N163" s="791"/>
      <c r="O163" s="15"/>
      <c r="P163" s="15"/>
      <c r="Q163" s="15"/>
      <c r="R163" s="15"/>
      <c r="S163" s="793"/>
      <c r="T163" s="793"/>
      <c r="U163" s="793"/>
      <c r="V163" s="793"/>
      <c r="W163" s="786"/>
      <c r="X163" s="15"/>
      <c r="Y163" s="15"/>
      <c r="Z163" s="15"/>
      <c r="AA163" s="15"/>
      <c r="AB163" s="15"/>
      <c r="AC163" s="15"/>
      <c r="AD163" s="15"/>
      <c r="AE163" s="15"/>
    </row>
    <row r="164" ht="14.25" customHeight="1">
      <c r="A164" s="786"/>
      <c r="B164" s="787"/>
      <c r="C164" s="786"/>
      <c r="D164" s="793"/>
      <c r="E164" s="793"/>
      <c r="F164" s="793"/>
      <c r="G164" s="793"/>
      <c r="H164" s="793"/>
      <c r="I164" s="793"/>
      <c r="J164" s="790"/>
      <c r="K164" s="791"/>
      <c r="L164" s="791"/>
      <c r="M164" s="791"/>
      <c r="N164" s="791"/>
      <c r="O164" s="15"/>
      <c r="P164" s="15"/>
      <c r="Q164" s="15"/>
      <c r="R164" s="15"/>
      <c r="S164" s="793"/>
      <c r="T164" s="793"/>
      <c r="U164" s="793"/>
      <c r="V164" s="793"/>
      <c r="W164" s="786"/>
      <c r="X164" s="15"/>
      <c r="Y164" s="15"/>
      <c r="Z164" s="15"/>
      <c r="AA164" s="15"/>
      <c r="AB164" s="15"/>
      <c r="AC164" s="15"/>
      <c r="AD164" s="15"/>
      <c r="AE164" s="15"/>
    </row>
    <row r="165" ht="14.25" customHeight="1">
      <c r="A165" s="786"/>
      <c r="B165" s="787"/>
      <c r="C165" s="786"/>
      <c r="D165" s="793"/>
      <c r="E165" s="793"/>
      <c r="F165" s="793"/>
      <c r="G165" s="793"/>
      <c r="H165" s="793"/>
      <c r="I165" s="793"/>
      <c r="J165" s="790"/>
      <c r="K165" s="791"/>
      <c r="L165" s="791"/>
      <c r="M165" s="791"/>
      <c r="N165" s="791"/>
      <c r="O165" s="15"/>
      <c r="P165" s="15"/>
      <c r="Q165" s="15"/>
      <c r="R165" s="15"/>
      <c r="S165" s="793"/>
      <c r="T165" s="793"/>
      <c r="U165" s="793"/>
      <c r="V165" s="793"/>
      <c r="W165" s="786"/>
      <c r="X165" s="15"/>
      <c r="Y165" s="15"/>
      <c r="Z165" s="15"/>
      <c r="AA165" s="15"/>
      <c r="AB165" s="15"/>
      <c r="AC165" s="15"/>
      <c r="AD165" s="15"/>
      <c r="AE165" s="15"/>
    </row>
    <row r="166" ht="14.25" customHeight="1">
      <c r="A166" s="786"/>
      <c r="B166" s="787"/>
      <c r="C166" s="786"/>
      <c r="D166" s="793"/>
      <c r="E166" s="793"/>
      <c r="F166" s="793"/>
      <c r="G166" s="793"/>
      <c r="H166" s="793"/>
      <c r="I166" s="793"/>
      <c r="J166" s="790"/>
      <c r="K166" s="791"/>
      <c r="L166" s="791"/>
      <c r="M166" s="791"/>
      <c r="N166" s="791"/>
      <c r="O166" s="15"/>
      <c r="P166" s="15"/>
      <c r="Q166" s="15"/>
      <c r="R166" s="15"/>
      <c r="S166" s="793"/>
      <c r="T166" s="793"/>
      <c r="U166" s="793"/>
      <c r="V166" s="793"/>
      <c r="W166" s="786"/>
      <c r="X166" s="15"/>
      <c r="Y166" s="15"/>
      <c r="Z166" s="15"/>
      <c r="AA166" s="15"/>
      <c r="AB166" s="15"/>
      <c r="AC166" s="15"/>
      <c r="AD166" s="15"/>
      <c r="AE166" s="15"/>
    </row>
    <row r="167" ht="14.25" customHeight="1">
      <c r="A167" s="786"/>
      <c r="B167" s="787"/>
      <c r="C167" s="786"/>
      <c r="D167" s="793"/>
      <c r="E167" s="793"/>
      <c r="F167" s="793"/>
      <c r="G167" s="793"/>
      <c r="H167" s="793"/>
      <c r="I167" s="793"/>
      <c r="J167" s="790"/>
      <c r="K167" s="791"/>
      <c r="L167" s="791"/>
      <c r="M167" s="791"/>
      <c r="N167" s="791"/>
      <c r="O167" s="15"/>
      <c r="P167" s="15"/>
      <c r="Q167" s="15"/>
      <c r="R167" s="15"/>
      <c r="S167" s="793"/>
      <c r="T167" s="793"/>
      <c r="U167" s="793"/>
      <c r="V167" s="793"/>
      <c r="W167" s="786"/>
      <c r="X167" s="15"/>
      <c r="Y167" s="15"/>
      <c r="Z167" s="15"/>
      <c r="AA167" s="15"/>
      <c r="AB167" s="15"/>
      <c r="AC167" s="15"/>
      <c r="AD167" s="15"/>
      <c r="AE167" s="15"/>
    </row>
    <row r="168" ht="14.25" customHeight="1">
      <c r="A168" s="786"/>
      <c r="B168" s="787"/>
      <c r="C168" s="786"/>
      <c r="D168" s="793"/>
      <c r="E168" s="793"/>
      <c r="F168" s="793"/>
      <c r="G168" s="793"/>
      <c r="H168" s="793"/>
      <c r="I168" s="793"/>
      <c r="J168" s="790"/>
      <c r="K168" s="791"/>
      <c r="L168" s="791"/>
      <c r="M168" s="791"/>
      <c r="N168" s="791"/>
      <c r="O168" s="15"/>
      <c r="P168" s="15"/>
      <c r="Q168" s="15"/>
      <c r="R168" s="15"/>
      <c r="S168" s="793"/>
      <c r="T168" s="793"/>
      <c r="U168" s="793"/>
      <c r="V168" s="793"/>
      <c r="W168" s="786"/>
      <c r="X168" s="15"/>
      <c r="Y168" s="15"/>
      <c r="Z168" s="15"/>
      <c r="AA168" s="15"/>
      <c r="AB168" s="15"/>
      <c r="AC168" s="15"/>
      <c r="AD168" s="15"/>
      <c r="AE168" s="15"/>
    </row>
    <row r="169" ht="14.25" customHeight="1">
      <c r="A169" s="786"/>
      <c r="B169" s="787"/>
      <c r="C169" s="786"/>
      <c r="D169" s="793"/>
      <c r="E169" s="793"/>
      <c r="F169" s="793"/>
      <c r="G169" s="793"/>
      <c r="H169" s="793"/>
      <c r="I169" s="793"/>
      <c r="J169" s="790"/>
      <c r="K169" s="791"/>
      <c r="L169" s="791"/>
      <c r="M169" s="791"/>
      <c r="N169" s="791"/>
      <c r="O169" s="15"/>
      <c r="P169" s="15"/>
      <c r="Q169" s="15"/>
      <c r="R169" s="15"/>
      <c r="S169" s="793"/>
      <c r="T169" s="793"/>
      <c r="U169" s="793"/>
      <c r="V169" s="793"/>
      <c r="W169" s="786"/>
      <c r="X169" s="15"/>
      <c r="Y169" s="15"/>
      <c r="Z169" s="15"/>
      <c r="AA169" s="15"/>
      <c r="AB169" s="15"/>
      <c r="AC169" s="15"/>
      <c r="AD169" s="15"/>
      <c r="AE169" s="15"/>
    </row>
    <row r="170" ht="14.25" customHeight="1">
      <c r="A170" s="786"/>
      <c r="B170" s="787"/>
      <c r="C170" s="786"/>
      <c r="D170" s="793"/>
      <c r="E170" s="793"/>
      <c r="F170" s="793"/>
      <c r="G170" s="793"/>
      <c r="H170" s="793"/>
      <c r="I170" s="793"/>
      <c r="J170" s="790"/>
      <c r="K170" s="791"/>
      <c r="L170" s="791"/>
      <c r="M170" s="791"/>
      <c r="N170" s="791"/>
      <c r="O170" s="15"/>
      <c r="P170" s="15"/>
      <c r="Q170" s="15"/>
      <c r="R170" s="15"/>
      <c r="S170" s="793"/>
      <c r="T170" s="793"/>
      <c r="U170" s="793"/>
      <c r="V170" s="793"/>
      <c r="W170" s="786"/>
      <c r="X170" s="15"/>
      <c r="Y170" s="15"/>
      <c r="Z170" s="15"/>
      <c r="AA170" s="15"/>
      <c r="AB170" s="15"/>
      <c r="AC170" s="15"/>
      <c r="AD170" s="15"/>
      <c r="AE170" s="15"/>
    </row>
    <row r="171" ht="14.25" customHeight="1">
      <c r="A171" s="786"/>
      <c r="B171" s="787"/>
      <c r="C171" s="786"/>
      <c r="D171" s="793"/>
      <c r="E171" s="793"/>
      <c r="F171" s="793"/>
      <c r="G171" s="793"/>
      <c r="H171" s="793"/>
      <c r="I171" s="793"/>
      <c r="J171" s="790"/>
      <c r="K171" s="791"/>
      <c r="L171" s="791"/>
      <c r="M171" s="791"/>
      <c r="N171" s="791"/>
      <c r="O171" s="15"/>
      <c r="P171" s="15"/>
      <c r="Q171" s="15"/>
      <c r="R171" s="15"/>
      <c r="S171" s="793"/>
      <c r="T171" s="793"/>
      <c r="U171" s="793"/>
      <c r="V171" s="793"/>
      <c r="W171" s="786"/>
      <c r="X171" s="15"/>
      <c r="Y171" s="15"/>
      <c r="Z171" s="15"/>
      <c r="AA171" s="15"/>
      <c r="AB171" s="15"/>
      <c r="AC171" s="15"/>
      <c r="AD171" s="15"/>
      <c r="AE171" s="15"/>
    </row>
    <row r="172" ht="14.25" customHeight="1">
      <c r="A172" s="786"/>
      <c r="B172" s="787"/>
      <c r="C172" s="786"/>
      <c r="D172" s="793"/>
      <c r="E172" s="793"/>
      <c r="F172" s="793"/>
      <c r="G172" s="793"/>
      <c r="H172" s="793"/>
      <c r="I172" s="793"/>
      <c r="J172" s="790"/>
      <c r="K172" s="791"/>
      <c r="L172" s="791"/>
      <c r="M172" s="791"/>
      <c r="N172" s="791"/>
      <c r="O172" s="15"/>
      <c r="P172" s="15"/>
      <c r="Q172" s="15"/>
      <c r="R172" s="15"/>
      <c r="S172" s="793"/>
      <c r="T172" s="793"/>
      <c r="U172" s="793"/>
      <c r="V172" s="793"/>
      <c r="W172" s="786"/>
      <c r="X172" s="15"/>
      <c r="Y172" s="15"/>
      <c r="Z172" s="15"/>
      <c r="AA172" s="15"/>
      <c r="AB172" s="15"/>
      <c r="AC172" s="15"/>
      <c r="AD172" s="15"/>
      <c r="AE172" s="15"/>
    </row>
    <row r="173" ht="14.25" customHeight="1">
      <c r="A173" s="786"/>
      <c r="B173" s="787"/>
      <c r="C173" s="786"/>
      <c r="D173" s="793"/>
      <c r="E173" s="793"/>
      <c r="F173" s="793"/>
      <c r="G173" s="793"/>
      <c r="H173" s="793"/>
      <c r="I173" s="793"/>
      <c r="J173" s="790"/>
      <c r="K173" s="791"/>
      <c r="L173" s="791"/>
      <c r="M173" s="791"/>
      <c r="N173" s="791"/>
      <c r="O173" s="15"/>
      <c r="P173" s="15"/>
      <c r="Q173" s="15"/>
      <c r="R173" s="15"/>
      <c r="S173" s="793"/>
      <c r="T173" s="793"/>
      <c r="U173" s="793"/>
      <c r="V173" s="793"/>
      <c r="W173" s="786"/>
      <c r="X173" s="15"/>
      <c r="Y173" s="15"/>
      <c r="Z173" s="15"/>
      <c r="AA173" s="15"/>
      <c r="AB173" s="15"/>
      <c r="AC173" s="15"/>
      <c r="AD173" s="15"/>
      <c r="AE173" s="15"/>
    </row>
    <row r="174" ht="14.25" customHeight="1">
      <c r="A174" s="786"/>
      <c r="B174" s="787"/>
      <c r="C174" s="786"/>
      <c r="D174" s="793"/>
      <c r="E174" s="793"/>
      <c r="F174" s="793"/>
      <c r="G174" s="793"/>
      <c r="H174" s="793"/>
      <c r="I174" s="793"/>
      <c r="J174" s="790"/>
      <c r="K174" s="791"/>
      <c r="L174" s="791"/>
      <c r="M174" s="791"/>
      <c r="N174" s="791"/>
      <c r="O174" s="15"/>
      <c r="P174" s="15"/>
      <c r="Q174" s="15"/>
      <c r="R174" s="15"/>
      <c r="S174" s="793"/>
      <c r="T174" s="793"/>
      <c r="U174" s="793"/>
      <c r="V174" s="793"/>
      <c r="W174" s="786"/>
      <c r="X174" s="15"/>
      <c r="Y174" s="15"/>
      <c r="Z174" s="15"/>
      <c r="AA174" s="15"/>
      <c r="AB174" s="15"/>
      <c r="AC174" s="15"/>
      <c r="AD174" s="15"/>
      <c r="AE174" s="15"/>
    </row>
    <row r="175" ht="14.25" customHeight="1">
      <c r="A175" s="786"/>
      <c r="B175" s="787"/>
      <c r="C175" s="786"/>
      <c r="D175" s="793"/>
      <c r="E175" s="793"/>
      <c r="F175" s="793"/>
      <c r="G175" s="793"/>
      <c r="H175" s="793"/>
      <c r="I175" s="793"/>
      <c r="J175" s="790"/>
      <c r="K175" s="791"/>
      <c r="L175" s="791"/>
      <c r="M175" s="791"/>
      <c r="N175" s="791"/>
      <c r="O175" s="15"/>
      <c r="P175" s="15"/>
      <c r="Q175" s="15"/>
      <c r="R175" s="15"/>
      <c r="S175" s="793"/>
      <c r="T175" s="793"/>
      <c r="U175" s="793"/>
      <c r="V175" s="793"/>
      <c r="W175" s="786"/>
      <c r="X175" s="15"/>
      <c r="Y175" s="15"/>
      <c r="Z175" s="15"/>
      <c r="AA175" s="15"/>
      <c r="AB175" s="15"/>
      <c r="AC175" s="15"/>
      <c r="AD175" s="15"/>
      <c r="AE175" s="15"/>
    </row>
    <row r="176" ht="14.25" customHeight="1">
      <c r="A176" s="786"/>
      <c r="B176" s="787"/>
      <c r="C176" s="786"/>
      <c r="D176" s="793"/>
      <c r="E176" s="793"/>
      <c r="F176" s="793"/>
      <c r="G176" s="793"/>
      <c r="H176" s="793"/>
      <c r="I176" s="793"/>
      <c r="J176" s="790"/>
      <c r="K176" s="791"/>
      <c r="L176" s="791"/>
      <c r="M176" s="791"/>
      <c r="N176" s="791"/>
      <c r="O176" s="15"/>
      <c r="P176" s="15"/>
      <c r="Q176" s="15"/>
      <c r="R176" s="15"/>
      <c r="S176" s="793"/>
      <c r="T176" s="793"/>
      <c r="U176" s="793"/>
      <c r="V176" s="793"/>
      <c r="W176" s="786"/>
      <c r="X176" s="15"/>
      <c r="Y176" s="15"/>
      <c r="Z176" s="15"/>
      <c r="AA176" s="15"/>
      <c r="AB176" s="15"/>
      <c r="AC176" s="15"/>
      <c r="AD176" s="15"/>
      <c r="AE176" s="15"/>
    </row>
    <row r="177" ht="14.25" customHeight="1">
      <c r="A177" s="786"/>
      <c r="B177" s="787"/>
      <c r="C177" s="786"/>
      <c r="D177" s="793"/>
      <c r="E177" s="793"/>
      <c r="F177" s="793"/>
      <c r="G177" s="793"/>
      <c r="H177" s="793"/>
      <c r="I177" s="793"/>
      <c r="J177" s="790"/>
      <c r="K177" s="791"/>
      <c r="L177" s="791"/>
      <c r="M177" s="791"/>
      <c r="N177" s="791"/>
      <c r="O177" s="15"/>
      <c r="P177" s="15"/>
      <c r="Q177" s="15"/>
      <c r="R177" s="15"/>
      <c r="S177" s="793"/>
      <c r="T177" s="793"/>
      <c r="U177" s="793"/>
      <c r="V177" s="793"/>
      <c r="W177" s="786"/>
      <c r="X177" s="15"/>
      <c r="Y177" s="15"/>
      <c r="Z177" s="15"/>
      <c r="AA177" s="15"/>
      <c r="AB177" s="15"/>
      <c r="AC177" s="15"/>
      <c r="AD177" s="15"/>
      <c r="AE177" s="15"/>
    </row>
    <row r="178" ht="14.25" customHeight="1">
      <c r="A178" s="786"/>
      <c r="B178" s="787"/>
      <c r="C178" s="786"/>
      <c r="D178" s="793"/>
      <c r="E178" s="793"/>
      <c r="F178" s="793"/>
      <c r="G178" s="793"/>
      <c r="H178" s="793"/>
      <c r="I178" s="793"/>
      <c r="J178" s="790"/>
      <c r="K178" s="791"/>
      <c r="L178" s="791"/>
      <c r="M178" s="791"/>
      <c r="N178" s="791"/>
      <c r="O178" s="15"/>
      <c r="P178" s="15"/>
      <c r="Q178" s="15"/>
      <c r="R178" s="15"/>
      <c r="S178" s="793"/>
      <c r="T178" s="793"/>
      <c r="U178" s="793"/>
      <c r="V178" s="793"/>
      <c r="W178" s="786"/>
      <c r="X178" s="15"/>
      <c r="Y178" s="15"/>
      <c r="Z178" s="15"/>
      <c r="AA178" s="15"/>
      <c r="AB178" s="15"/>
      <c r="AC178" s="15"/>
      <c r="AD178" s="15"/>
      <c r="AE178" s="15"/>
    </row>
    <row r="179" ht="14.25" customHeight="1">
      <c r="A179" s="786"/>
      <c r="B179" s="787"/>
      <c r="C179" s="786"/>
      <c r="D179" s="793"/>
      <c r="E179" s="793"/>
      <c r="F179" s="793"/>
      <c r="G179" s="793"/>
      <c r="H179" s="793"/>
      <c r="I179" s="793"/>
      <c r="J179" s="790"/>
      <c r="K179" s="791"/>
      <c r="L179" s="791"/>
      <c r="M179" s="791"/>
      <c r="N179" s="791"/>
      <c r="O179" s="15"/>
      <c r="P179" s="15"/>
      <c r="Q179" s="15"/>
      <c r="R179" s="15"/>
      <c r="S179" s="793"/>
      <c r="T179" s="793"/>
      <c r="U179" s="793"/>
      <c r="V179" s="793"/>
      <c r="W179" s="786"/>
      <c r="X179" s="15"/>
      <c r="Y179" s="15"/>
      <c r="Z179" s="15"/>
      <c r="AA179" s="15"/>
      <c r="AB179" s="15"/>
      <c r="AC179" s="15"/>
      <c r="AD179" s="15"/>
      <c r="AE179" s="15"/>
    </row>
    <row r="180" ht="14.25" customHeight="1">
      <c r="A180" s="786"/>
      <c r="B180" s="787"/>
      <c r="C180" s="786"/>
      <c r="D180" s="793"/>
      <c r="E180" s="793"/>
      <c r="F180" s="793"/>
      <c r="G180" s="793"/>
      <c r="H180" s="793"/>
      <c r="I180" s="793"/>
      <c r="J180" s="790"/>
      <c r="K180" s="791"/>
      <c r="L180" s="791"/>
      <c r="M180" s="791"/>
      <c r="N180" s="791"/>
      <c r="O180" s="15"/>
      <c r="P180" s="15"/>
      <c r="Q180" s="15"/>
      <c r="R180" s="15"/>
      <c r="S180" s="793"/>
      <c r="T180" s="793"/>
      <c r="U180" s="793"/>
      <c r="V180" s="793"/>
      <c r="W180" s="786"/>
      <c r="X180" s="15"/>
      <c r="Y180" s="15"/>
      <c r="Z180" s="15"/>
      <c r="AA180" s="15"/>
      <c r="AB180" s="15"/>
      <c r="AC180" s="15"/>
      <c r="AD180" s="15"/>
      <c r="AE180" s="15"/>
    </row>
    <row r="181" ht="14.25" customHeight="1">
      <c r="A181" s="786"/>
      <c r="B181" s="787"/>
      <c r="C181" s="786"/>
      <c r="D181" s="793"/>
      <c r="E181" s="793"/>
      <c r="F181" s="793"/>
      <c r="G181" s="793"/>
      <c r="H181" s="793"/>
      <c r="I181" s="793"/>
      <c r="J181" s="790"/>
      <c r="K181" s="791"/>
      <c r="L181" s="791"/>
      <c r="M181" s="791"/>
      <c r="N181" s="791"/>
      <c r="O181" s="15"/>
      <c r="P181" s="15"/>
      <c r="Q181" s="15"/>
      <c r="R181" s="15"/>
      <c r="S181" s="793"/>
      <c r="T181" s="793"/>
      <c r="U181" s="793"/>
      <c r="V181" s="793"/>
      <c r="W181" s="786"/>
      <c r="X181" s="15"/>
      <c r="Y181" s="15"/>
      <c r="Z181" s="15"/>
      <c r="AA181" s="15"/>
      <c r="AB181" s="15"/>
      <c r="AC181" s="15"/>
      <c r="AD181" s="15"/>
      <c r="AE181" s="15"/>
    </row>
    <row r="182" ht="14.25" customHeight="1">
      <c r="A182" s="786"/>
      <c r="B182" s="787"/>
      <c r="C182" s="786"/>
      <c r="D182" s="793"/>
      <c r="E182" s="793"/>
      <c r="F182" s="793"/>
      <c r="G182" s="793"/>
      <c r="H182" s="793"/>
      <c r="I182" s="793"/>
      <c r="J182" s="790"/>
      <c r="K182" s="791"/>
      <c r="L182" s="791"/>
      <c r="M182" s="791"/>
      <c r="N182" s="791"/>
      <c r="O182" s="15"/>
      <c r="P182" s="15"/>
      <c r="Q182" s="15"/>
      <c r="R182" s="15"/>
      <c r="S182" s="793"/>
      <c r="T182" s="793"/>
      <c r="U182" s="793"/>
      <c r="V182" s="793"/>
      <c r="W182" s="786"/>
      <c r="X182" s="15"/>
      <c r="Y182" s="15"/>
      <c r="Z182" s="15"/>
      <c r="AA182" s="15"/>
      <c r="AB182" s="15"/>
      <c r="AC182" s="15"/>
      <c r="AD182" s="15"/>
      <c r="AE182" s="15"/>
    </row>
    <row r="183" ht="14.25" customHeight="1">
      <c r="A183" s="786"/>
      <c r="B183" s="787"/>
      <c r="C183" s="786"/>
      <c r="D183" s="793"/>
      <c r="E183" s="793"/>
      <c r="F183" s="793"/>
      <c r="G183" s="793"/>
      <c r="H183" s="793"/>
      <c r="I183" s="793"/>
      <c r="J183" s="790"/>
      <c r="K183" s="791"/>
      <c r="L183" s="791"/>
      <c r="M183" s="791"/>
      <c r="N183" s="791"/>
      <c r="O183" s="15"/>
      <c r="P183" s="15"/>
      <c r="Q183" s="15"/>
      <c r="R183" s="15"/>
      <c r="S183" s="793"/>
      <c r="T183" s="793"/>
      <c r="U183" s="793"/>
      <c r="V183" s="793"/>
      <c r="W183" s="786"/>
      <c r="X183" s="15"/>
      <c r="Y183" s="15"/>
      <c r="Z183" s="15"/>
      <c r="AA183" s="15"/>
      <c r="AB183" s="15"/>
      <c r="AC183" s="15"/>
      <c r="AD183" s="15"/>
      <c r="AE183" s="15"/>
    </row>
    <row r="184" ht="14.25" customHeight="1">
      <c r="A184" s="786"/>
      <c r="B184" s="787"/>
      <c r="C184" s="786"/>
      <c r="D184" s="793"/>
      <c r="E184" s="793"/>
      <c r="F184" s="793"/>
      <c r="G184" s="793"/>
      <c r="H184" s="793"/>
      <c r="I184" s="793"/>
      <c r="J184" s="790"/>
      <c r="K184" s="791"/>
      <c r="L184" s="791"/>
      <c r="M184" s="791"/>
      <c r="N184" s="791"/>
      <c r="O184" s="15"/>
      <c r="P184" s="15"/>
      <c r="Q184" s="15"/>
      <c r="R184" s="15"/>
      <c r="S184" s="793"/>
      <c r="T184" s="793"/>
      <c r="U184" s="793"/>
      <c r="V184" s="793"/>
      <c r="W184" s="786"/>
      <c r="X184" s="15"/>
      <c r="Y184" s="15"/>
      <c r="Z184" s="15"/>
      <c r="AA184" s="15"/>
      <c r="AB184" s="15"/>
      <c r="AC184" s="15"/>
      <c r="AD184" s="15"/>
      <c r="AE184" s="15"/>
    </row>
    <row r="185" ht="14.25" customHeight="1">
      <c r="A185" s="786"/>
      <c r="B185" s="787"/>
      <c r="C185" s="786"/>
      <c r="D185" s="793"/>
      <c r="E185" s="793"/>
      <c r="F185" s="793"/>
      <c r="G185" s="793"/>
      <c r="H185" s="793"/>
      <c r="I185" s="793"/>
      <c r="J185" s="790"/>
      <c r="K185" s="791"/>
      <c r="L185" s="791"/>
      <c r="M185" s="791"/>
      <c r="N185" s="791"/>
      <c r="O185" s="15"/>
      <c r="P185" s="15"/>
      <c r="Q185" s="15"/>
      <c r="R185" s="15"/>
      <c r="S185" s="793"/>
      <c r="T185" s="793"/>
      <c r="U185" s="793"/>
      <c r="V185" s="793"/>
      <c r="W185" s="786"/>
      <c r="X185" s="15"/>
      <c r="Y185" s="15"/>
      <c r="Z185" s="15"/>
      <c r="AA185" s="15"/>
      <c r="AB185" s="15"/>
      <c r="AC185" s="15"/>
      <c r="AD185" s="15"/>
      <c r="AE185" s="15"/>
    </row>
    <row r="186" ht="14.25" customHeight="1">
      <c r="A186" s="786"/>
      <c r="B186" s="787"/>
      <c r="C186" s="786"/>
      <c r="D186" s="793"/>
      <c r="E186" s="793"/>
      <c r="F186" s="793"/>
      <c r="G186" s="793"/>
      <c r="H186" s="793"/>
      <c r="I186" s="793"/>
      <c r="J186" s="790"/>
      <c r="K186" s="791"/>
      <c r="L186" s="791"/>
      <c r="M186" s="791"/>
      <c r="N186" s="791"/>
      <c r="O186" s="15"/>
      <c r="P186" s="15"/>
      <c r="Q186" s="15"/>
      <c r="R186" s="15"/>
      <c r="S186" s="793"/>
      <c r="T186" s="793"/>
      <c r="U186" s="793"/>
      <c r="V186" s="793"/>
      <c r="W186" s="786"/>
      <c r="X186" s="15"/>
      <c r="Y186" s="15"/>
      <c r="Z186" s="15"/>
      <c r="AA186" s="15"/>
      <c r="AB186" s="15"/>
      <c r="AC186" s="15"/>
      <c r="AD186" s="15"/>
      <c r="AE186" s="15"/>
    </row>
    <row r="187" ht="14.25" customHeight="1">
      <c r="A187" s="786"/>
      <c r="B187" s="787"/>
      <c r="C187" s="786"/>
      <c r="D187" s="793"/>
      <c r="E187" s="793"/>
      <c r="F187" s="793"/>
      <c r="G187" s="793"/>
      <c r="H187" s="793"/>
      <c r="I187" s="793"/>
      <c r="J187" s="790"/>
      <c r="K187" s="791"/>
      <c r="L187" s="791"/>
      <c r="M187" s="791"/>
      <c r="N187" s="791"/>
      <c r="O187" s="15"/>
      <c r="P187" s="15"/>
      <c r="Q187" s="15"/>
      <c r="R187" s="15"/>
      <c r="S187" s="793"/>
      <c r="T187" s="793"/>
      <c r="U187" s="793"/>
      <c r="V187" s="793"/>
      <c r="W187" s="786"/>
      <c r="X187" s="15"/>
      <c r="Y187" s="15"/>
      <c r="Z187" s="15"/>
      <c r="AA187" s="15"/>
      <c r="AB187" s="15"/>
      <c r="AC187" s="15"/>
      <c r="AD187" s="15"/>
      <c r="AE187" s="15"/>
    </row>
    <row r="188" ht="14.25" customHeight="1">
      <c r="A188" s="786"/>
      <c r="B188" s="787"/>
      <c r="C188" s="786"/>
      <c r="D188" s="793"/>
      <c r="E188" s="793"/>
      <c r="F188" s="793"/>
      <c r="G188" s="793"/>
      <c r="H188" s="793"/>
      <c r="I188" s="793"/>
      <c r="J188" s="790"/>
      <c r="K188" s="791"/>
      <c r="L188" s="791"/>
      <c r="M188" s="791"/>
      <c r="N188" s="791"/>
      <c r="O188" s="15"/>
      <c r="P188" s="15"/>
      <c r="Q188" s="15"/>
      <c r="R188" s="15"/>
      <c r="S188" s="793"/>
      <c r="T188" s="793"/>
      <c r="U188" s="793"/>
      <c r="V188" s="793"/>
      <c r="W188" s="786"/>
      <c r="X188" s="15"/>
      <c r="Y188" s="15"/>
      <c r="Z188" s="15"/>
      <c r="AA188" s="15"/>
      <c r="AB188" s="15"/>
      <c r="AC188" s="15"/>
      <c r="AD188" s="15"/>
      <c r="AE188" s="15"/>
    </row>
    <row r="189" ht="14.25" customHeight="1">
      <c r="A189" s="786"/>
      <c r="B189" s="787"/>
      <c r="C189" s="786"/>
      <c r="D189" s="793"/>
      <c r="E189" s="793"/>
      <c r="F189" s="793"/>
      <c r="G189" s="793"/>
      <c r="H189" s="793"/>
      <c r="I189" s="793"/>
      <c r="J189" s="790"/>
      <c r="K189" s="791"/>
      <c r="L189" s="791"/>
      <c r="M189" s="791"/>
      <c r="N189" s="791"/>
      <c r="O189" s="15"/>
      <c r="P189" s="15"/>
      <c r="Q189" s="15"/>
      <c r="R189" s="15"/>
      <c r="S189" s="793"/>
      <c r="T189" s="793"/>
      <c r="U189" s="793"/>
      <c r="V189" s="793"/>
      <c r="W189" s="786"/>
      <c r="X189" s="15"/>
      <c r="Y189" s="15"/>
      <c r="Z189" s="15"/>
      <c r="AA189" s="15"/>
      <c r="AB189" s="15"/>
      <c r="AC189" s="15"/>
      <c r="AD189" s="15"/>
      <c r="AE189" s="15"/>
    </row>
    <row r="190" ht="14.25" customHeight="1">
      <c r="A190" s="786"/>
      <c r="B190" s="787"/>
      <c r="C190" s="786"/>
      <c r="D190" s="793"/>
      <c r="E190" s="793"/>
      <c r="F190" s="793"/>
      <c r="G190" s="793"/>
      <c r="H190" s="793"/>
      <c r="I190" s="793"/>
      <c r="J190" s="790"/>
      <c r="K190" s="791"/>
      <c r="L190" s="791"/>
      <c r="M190" s="791"/>
      <c r="N190" s="791"/>
      <c r="O190" s="15"/>
      <c r="P190" s="15"/>
      <c r="Q190" s="15"/>
      <c r="R190" s="15"/>
      <c r="S190" s="793"/>
      <c r="T190" s="793"/>
      <c r="U190" s="793"/>
      <c r="V190" s="793"/>
      <c r="W190" s="786"/>
      <c r="X190" s="15"/>
      <c r="Y190" s="15"/>
      <c r="Z190" s="15"/>
      <c r="AA190" s="15"/>
      <c r="AB190" s="15"/>
      <c r="AC190" s="15"/>
      <c r="AD190" s="15"/>
      <c r="AE190" s="15"/>
    </row>
    <row r="191" ht="14.25" customHeight="1">
      <c r="A191" s="786"/>
      <c r="B191" s="787"/>
      <c r="C191" s="786"/>
      <c r="D191" s="793"/>
      <c r="E191" s="793"/>
      <c r="F191" s="793"/>
      <c r="G191" s="793"/>
      <c r="H191" s="793"/>
      <c r="I191" s="793"/>
      <c r="J191" s="790"/>
      <c r="K191" s="791"/>
      <c r="L191" s="791"/>
      <c r="M191" s="791"/>
      <c r="N191" s="791"/>
      <c r="O191" s="15"/>
      <c r="P191" s="15"/>
      <c r="Q191" s="15"/>
      <c r="R191" s="15"/>
      <c r="S191" s="793"/>
      <c r="T191" s="793"/>
      <c r="U191" s="793"/>
      <c r="V191" s="793"/>
      <c r="W191" s="786"/>
      <c r="X191" s="15"/>
      <c r="Y191" s="15"/>
      <c r="Z191" s="15"/>
      <c r="AA191" s="15"/>
      <c r="AB191" s="15"/>
      <c r="AC191" s="15"/>
      <c r="AD191" s="15"/>
      <c r="AE191" s="15"/>
    </row>
    <row r="192" ht="14.25" customHeight="1">
      <c r="A192" s="786"/>
      <c r="B192" s="787"/>
      <c r="C192" s="786"/>
      <c r="D192" s="793"/>
      <c r="E192" s="793"/>
      <c r="F192" s="793"/>
      <c r="G192" s="793"/>
      <c r="H192" s="793"/>
      <c r="I192" s="793"/>
      <c r="J192" s="790"/>
      <c r="K192" s="791"/>
      <c r="L192" s="791"/>
      <c r="M192" s="791"/>
      <c r="N192" s="791"/>
      <c r="O192" s="15"/>
      <c r="P192" s="15"/>
      <c r="Q192" s="15"/>
      <c r="R192" s="15"/>
      <c r="S192" s="793"/>
      <c r="T192" s="793"/>
      <c r="U192" s="793"/>
      <c r="V192" s="793"/>
      <c r="W192" s="786"/>
      <c r="X192" s="15"/>
      <c r="Y192" s="15"/>
      <c r="Z192" s="15"/>
      <c r="AA192" s="15"/>
      <c r="AB192" s="15"/>
      <c r="AC192" s="15"/>
      <c r="AD192" s="15"/>
      <c r="AE192" s="15"/>
    </row>
    <row r="193" ht="14.25" customHeight="1">
      <c r="A193" s="786"/>
      <c r="B193" s="787"/>
      <c r="C193" s="786"/>
      <c r="D193" s="793"/>
      <c r="E193" s="793"/>
      <c r="F193" s="793"/>
      <c r="G193" s="793"/>
      <c r="H193" s="793"/>
      <c r="I193" s="793"/>
      <c r="J193" s="790"/>
      <c r="K193" s="791"/>
      <c r="L193" s="791"/>
      <c r="M193" s="791"/>
      <c r="N193" s="791"/>
      <c r="O193" s="15"/>
      <c r="P193" s="15"/>
      <c r="Q193" s="15"/>
      <c r="R193" s="15"/>
      <c r="S193" s="793"/>
      <c r="T193" s="793"/>
      <c r="U193" s="793"/>
      <c r="V193" s="793"/>
      <c r="W193" s="786"/>
      <c r="X193" s="15"/>
      <c r="Y193" s="15"/>
      <c r="Z193" s="15"/>
      <c r="AA193" s="15"/>
      <c r="AB193" s="15"/>
      <c r="AC193" s="15"/>
      <c r="AD193" s="15"/>
      <c r="AE193" s="15"/>
    </row>
    <row r="194" ht="14.25" customHeight="1">
      <c r="A194" s="786"/>
      <c r="B194" s="787"/>
      <c r="C194" s="786"/>
      <c r="D194" s="793"/>
      <c r="E194" s="793"/>
      <c r="F194" s="793"/>
      <c r="G194" s="793"/>
      <c r="H194" s="793"/>
      <c r="I194" s="793"/>
      <c r="J194" s="790"/>
      <c r="K194" s="791"/>
      <c r="L194" s="791"/>
      <c r="M194" s="791"/>
      <c r="N194" s="791"/>
      <c r="O194" s="15"/>
      <c r="P194" s="15"/>
      <c r="Q194" s="15"/>
      <c r="R194" s="15"/>
      <c r="S194" s="793"/>
      <c r="T194" s="793"/>
      <c r="U194" s="793"/>
      <c r="V194" s="793"/>
      <c r="W194" s="786"/>
      <c r="X194" s="15"/>
      <c r="Y194" s="15"/>
      <c r="Z194" s="15"/>
      <c r="AA194" s="15"/>
      <c r="AB194" s="15"/>
      <c r="AC194" s="15"/>
      <c r="AD194" s="15"/>
      <c r="AE194" s="15"/>
    </row>
    <row r="195" ht="14.25" customHeight="1">
      <c r="A195" s="786"/>
      <c r="B195" s="787"/>
      <c r="C195" s="786"/>
      <c r="D195" s="793"/>
      <c r="E195" s="793"/>
      <c r="F195" s="793"/>
      <c r="G195" s="793"/>
      <c r="H195" s="793"/>
      <c r="I195" s="793"/>
      <c r="J195" s="790"/>
      <c r="K195" s="791"/>
      <c r="L195" s="791"/>
      <c r="M195" s="791"/>
      <c r="N195" s="791"/>
      <c r="O195" s="15"/>
      <c r="P195" s="15"/>
      <c r="Q195" s="15"/>
      <c r="R195" s="15"/>
      <c r="S195" s="793"/>
      <c r="T195" s="793"/>
      <c r="U195" s="793"/>
      <c r="V195" s="793"/>
      <c r="W195" s="786"/>
      <c r="X195" s="15"/>
      <c r="Y195" s="15"/>
      <c r="Z195" s="15"/>
      <c r="AA195" s="15"/>
      <c r="AB195" s="15"/>
      <c r="AC195" s="15"/>
      <c r="AD195" s="15"/>
      <c r="AE195" s="15"/>
    </row>
    <row r="196" ht="14.25" customHeight="1">
      <c r="A196" s="786"/>
      <c r="B196" s="787"/>
      <c r="C196" s="786"/>
      <c r="D196" s="793"/>
      <c r="E196" s="793"/>
      <c r="F196" s="793"/>
      <c r="G196" s="793"/>
      <c r="H196" s="793"/>
      <c r="I196" s="793"/>
      <c r="J196" s="790"/>
      <c r="K196" s="791"/>
      <c r="L196" s="791"/>
      <c r="M196" s="791"/>
      <c r="N196" s="791"/>
      <c r="O196" s="15"/>
      <c r="P196" s="15"/>
      <c r="Q196" s="15"/>
      <c r="R196" s="15"/>
      <c r="S196" s="793"/>
      <c r="T196" s="793"/>
      <c r="U196" s="793"/>
      <c r="V196" s="793"/>
      <c r="W196" s="786"/>
      <c r="X196" s="15"/>
      <c r="Y196" s="15"/>
      <c r="Z196" s="15"/>
      <c r="AA196" s="15"/>
      <c r="AB196" s="15"/>
      <c r="AC196" s="15"/>
      <c r="AD196" s="15"/>
      <c r="AE196" s="15"/>
    </row>
    <row r="197" ht="14.25" customHeight="1">
      <c r="A197" s="786"/>
      <c r="B197" s="787"/>
      <c r="C197" s="786"/>
      <c r="D197" s="793"/>
      <c r="E197" s="793"/>
      <c r="F197" s="793"/>
      <c r="G197" s="793"/>
      <c r="H197" s="793"/>
      <c r="I197" s="793"/>
      <c r="J197" s="790"/>
      <c r="K197" s="791"/>
      <c r="L197" s="791"/>
      <c r="M197" s="791"/>
      <c r="N197" s="791"/>
      <c r="O197" s="15"/>
      <c r="P197" s="15"/>
      <c r="Q197" s="15"/>
      <c r="R197" s="15"/>
      <c r="S197" s="793"/>
      <c r="T197" s="793"/>
      <c r="U197" s="793"/>
      <c r="V197" s="793"/>
      <c r="W197" s="786"/>
      <c r="X197" s="15"/>
      <c r="Y197" s="15"/>
      <c r="Z197" s="15"/>
      <c r="AA197" s="15"/>
      <c r="AB197" s="15"/>
      <c r="AC197" s="15"/>
      <c r="AD197" s="15"/>
      <c r="AE197" s="15"/>
    </row>
    <row r="198" ht="14.25" customHeight="1">
      <c r="A198" s="786"/>
      <c r="B198" s="787"/>
      <c r="C198" s="786"/>
      <c r="D198" s="793"/>
      <c r="E198" s="793"/>
      <c r="F198" s="793"/>
      <c r="G198" s="793"/>
      <c r="H198" s="793"/>
      <c r="I198" s="793"/>
      <c r="J198" s="790"/>
      <c r="K198" s="791"/>
      <c r="L198" s="791"/>
      <c r="M198" s="791"/>
      <c r="N198" s="791"/>
      <c r="O198" s="15"/>
      <c r="P198" s="15"/>
      <c r="Q198" s="15"/>
      <c r="R198" s="15"/>
      <c r="S198" s="793"/>
      <c r="T198" s="793"/>
      <c r="U198" s="793"/>
      <c r="V198" s="793"/>
      <c r="W198" s="786"/>
      <c r="X198" s="15"/>
      <c r="Y198" s="15"/>
      <c r="Z198" s="15"/>
      <c r="AA198" s="15"/>
      <c r="AB198" s="15"/>
      <c r="AC198" s="15"/>
      <c r="AD198" s="15"/>
      <c r="AE198" s="15"/>
    </row>
    <row r="199" ht="14.25" customHeight="1">
      <c r="A199" s="786"/>
      <c r="B199" s="787"/>
      <c r="C199" s="786"/>
      <c r="D199" s="793"/>
      <c r="E199" s="793"/>
      <c r="F199" s="793"/>
      <c r="G199" s="793"/>
      <c r="H199" s="793"/>
      <c r="I199" s="793"/>
      <c r="J199" s="790"/>
      <c r="K199" s="791"/>
      <c r="L199" s="791"/>
      <c r="M199" s="791"/>
      <c r="N199" s="791"/>
      <c r="O199" s="15"/>
      <c r="P199" s="15"/>
      <c r="Q199" s="15"/>
      <c r="R199" s="15"/>
      <c r="S199" s="793"/>
      <c r="T199" s="793"/>
      <c r="U199" s="793"/>
      <c r="V199" s="793"/>
      <c r="W199" s="786"/>
      <c r="X199" s="15"/>
      <c r="Y199" s="15"/>
      <c r="Z199" s="15"/>
      <c r="AA199" s="15"/>
      <c r="AB199" s="15"/>
      <c r="AC199" s="15"/>
      <c r="AD199" s="15"/>
      <c r="AE199" s="15"/>
    </row>
    <row r="200" ht="14.25" customHeight="1">
      <c r="A200" s="786"/>
      <c r="B200" s="787"/>
      <c r="C200" s="786"/>
      <c r="D200" s="793"/>
      <c r="E200" s="793"/>
      <c r="F200" s="793"/>
      <c r="G200" s="793"/>
      <c r="H200" s="793"/>
      <c r="I200" s="793"/>
      <c r="J200" s="790"/>
      <c r="K200" s="791"/>
      <c r="L200" s="791"/>
      <c r="M200" s="791"/>
      <c r="N200" s="791"/>
      <c r="O200" s="15"/>
      <c r="P200" s="15"/>
      <c r="Q200" s="15"/>
      <c r="R200" s="15"/>
      <c r="S200" s="793"/>
      <c r="T200" s="793"/>
      <c r="U200" s="793"/>
      <c r="V200" s="793"/>
      <c r="W200" s="786"/>
      <c r="X200" s="15"/>
      <c r="Y200" s="15"/>
      <c r="Z200" s="15"/>
      <c r="AA200" s="15"/>
      <c r="AB200" s="15"/>
      <c r="AC200" s="15"/>
      <c r="AD200" s="15"/>
      <c r="AE200" s="15"/>
    </row>
    <row r="201" ht="14.25" customHeight="1">
      <c r="A201" s="786"/>
      <c r="B201" s="787"/>
      <c r="C201" s="786"/>
      <c r="D201" s="793"/>
      <c r="E201" s="793"/>
      <c r="F201" s="793"/>
      <c r="G201" s="793"/>
      <c r="H201" s="793"/>
      <c r="I201" s="793"/>
      <c r="J201" s="790"/>
      <c r="K201" s="791"/>
      <c r="L201" s="791"/>
      <c r="M201" s="791"/>
      <c r="N201" s="791"/>
      <c r="O201" s="15"/>
      <c r="P201" s="15"/>
      <c r="Q201" s="15"/>
      <c r="R201" s="15"/>
      <c r="S201" s="793"/>
      <c r="T201" s="793"/>
      <c r="U201" s="793"/>
      <c r="V201" s="793"/>
      <c r="W201" s="786"/>
      <c r="X201" s="15"/>
      <c r="Y201" s="15"/>
      <c r="Z201" s="15"/>
      <c r="AA201" s="15"/>
      <c r="AB201" s="15"/>
      <c r="AC201" s="15"/>
      <c r="AD201" s="15"/>
      <c r="AE201" s="15"/>
    </row>
    <row r="202" ht="14.25" customHeight="1">
      <c r="A202" s="786"/>
      <c r="B202" s="787"/>
      <c r="C202" s="786"/>
      <c r="D202" s="793"/>
      <c r="E202" s="793"/>
      <c r="F202" s="793"/>
      <c r="G202" s="793"/>
      <c r="H202" s="793"/>
      <c r="I202" s="793"/>
      <c r="J202" s="790"/>
      <c r="K202" s="791"/>
      <c r="L202" s="791"/>
      <c r="M202" s="791"/>
      <c r="N202" s="791"/>
      <c r="O202" s="15"/>
      <c r="P202" s="15"/>
      <c r="Q202" s="15"/>
      <c r="R202" s="15"/>
      <c r="S202" s="793"/>
      <c r="T202" s="793"/>
      <c r="U202" s="793"/>
      <c r="V202" s="793"/>
      <c r="W202" s="786"/>
      <c r="X202" s="15"/>
      <c r="Y202" s="15"/>
      <c r="Z202" s="15"/>
      <c r="AA202" s="15"/>
      <c r="AB202" s="15"/>
      <c r="AC202" s="15"/>
      <c r="AD202" s="15"/>
      <c r="AE202" s="15"/>
    </row>
    <row r="203" ht="14.25" customHeight="1">
      <c r="A203" s="786"/>
      <c r="B203" s="787"/>
      <c r="C203" s="786"/>
      <c r="D203" s="793"/>
      <c r="E203" s="793"/>
      <c r="F203" s="793"/>
      <c r="G203" s="793"/>
      <c r="H203" s="793"/>
      <c r="I203" s="793"/>
      <c r="J203" s="790"/>
      <c r="K203" s="791"/>
      <c r="L203" s="791"/>
      <c r="M203" s="791"/>
      <c r="N203" s="791"/>
      <c r="O203" s="15"/>
      <c r="P203" s="15"/>
      <c r="Q203" s="15"/>
      <c r="R203" s="15"/>
      <c r="S203" s="793"/>
      <c r="T203" s="793"/>
      <c r="U203" s="793"/>
      <c r="V203" s="793"/>
      <c r="W203" s="786"/>
      <c r="X203" s="15"/>
      <c r="Y203" s="15"/>
      <c r="Z203" s="15"/>
      <c r="AA203" s="15"/>
      <c r="AB203" s="15"/>
      <c r="AC203" s="15"/>
      <c r="AD203" s="15"/>
      <c r="AE203" s="15"/>
    </row>
    <row r="204" ht="14.25" customHeight="1">
      <c r="A204" s="786"/>
      <c r="B204" s="787"/>
      <c r="C204" s="786"/>
      <c r="D204" s="793"/>
      <c r="E204" s="793"/>
      <c r="F204" s="793"/>
      <c r="G204" s="793"/>
      <c r="H204" s="793"/>
      <c r="I204" s="793"/>
      <c r="J204" s="790"/>
      <c r="K204" s="791"/>
      <c r="L204" s="791"/>
      <c r="M204" s="791"/>
      <c r="N204" s="791"/>
      <c r="O204" s="15"/>
      <c r="P204" s="15"/>
      <c r="Q204" s="15"/>
      <c r="R204" s="15"/>
      <c r="S204" s="793"/>
      <c r="T204" s="793"/>
      <c r="U204" s="793"/>
      <c r="V204" s="793"/>
      <c r="W204" s="786"/>
      <c r="X204" s="15"/>
      <c r="Y204" s="15"/>
      <c r="Z204" s="15"/>
      <c r="AA204" s="15"/>
      <c r="AB204" s="15"/>
      <c r="AC204" s="15"/>
      <c r="AD204" s="15"/>
      <c r="AE204" s="15"/>
    </row>
    <row r="205" ht="14.25" customHeight="1">
      <c r="A205" s="786"/>
      <c r="B205" s="787"/>
      <c r="C205" s="786"/>
      <c r="D205" s="793"/>
      <c r="E205" s="793"/>
      <c r="F205" s="793"/>
      <c r="G205" s="793"/>
      <c r="H205" s="793"/>
      <c r="I205" s="793"/>
      <c r="J205" s="790"/>
      <c r="K205" s="791"/>
      <c r="L205" s="791"/>
      <c r="M205" s="791"/>
      <c r="N205" s="791"/>
      <c r="O205" s="15"/>
      <c r="P205" s="15"/>
      <c r="Q205" s="15"/>
      <c r="R205" s="15"/>
      <c r="S205" s="793"/>
      <c r="T205" s="793"/>
      <c r="U205" s="793"/>
      <c r="V205" s="793"/>
      <c r="W205" s="786"/>
      <c r="X205" s="15"/>
      <c r="Y205" s="15"/>
      <c r="Z205" s="15"/>
      <c r="AA205" s="15"/>
      <c r="AB205" s="15"/>
      <c r="AC205" s="15"/>
      <c r="AD205" s="15"/>
      <c r="AE205" s="15"/>
    </row>
    <row r="206" ht="14.25" customHeight="1">
      <c r="A206" s="786"/>
      <c r="B206" s="787"/>
      <c r="C206" s="786"/>
      <c r="D206" s="793"/>
      <c r="E206" s="793"/>
      <c r="F206" s="793"/>
      <c r="G206" s="793"/>
      <c r="H206" s="793"/>
      <c r="I206" s="793"/>
      <c r="J206" s="790"/>
      <c r="K206" s="791"/>
      <c r="L206" s="791"/>
      <c r="M206" s="791"/>
      <c r="N206" s="791"/>
      <c r="O206" s="15"/>
      <c r="P206" s="15"/>
      <c r="Q206" s="15"/>
      <c r="R206" s="15"/>
      <c r="S206" s="793"/>
      <c r="T206" s="793"/>
      <c r="U206" s="793"/>
      <c r="V206" s="793"/>
      <c r="W206" s="786"/>
      <c r="X206" s="15"/>
      <c r="Y206" s="15"/>
      <c r="Z206" s="15"/>
      <c r="AA206" s="15"/>
      <c r="AB206" s="15"/>
      <c r="AC206" s="15"/>
      <c r="AD206" s="15"/>
      <c r="AE206" s="15"/>
    </row>
    <row r="207" ht="14.25" customHeight="1">
      <c r="A207" s="786"/>
      <c r="B207" s="787"/>
      <c r="C207" s="786"/>
      <c r="D207" s="793"/>
      <c r="E207" s="793"/>
      <c r="F207" s="793"/>
      <c r="G207" s="793"/>
      <c r="H207" s="793"/>
      <c r="I207" s="793"/>
      <c r="J207" s="790"/>
      <c r="K207" s="791"/>
      <c r="L207" s="791"/>
      <c r="M207" s="791"/>
      <c r="N207" s="791"/>
      <c r="O207" s="15"/>
      <c r="P207" s="15"/>
      <c r="Q207" s="15"/>
      <c r="R207" s="15"/>
      <c r="S207" s="793"/>
      <c r="T207" s="793"/>
      <c r="U207" s="793"/>
      <c r="V207" s="793"/>
      <c r="W207" s="786"/>
      <c r="X207" s="15"/>
      <c r="Y207" s="15"/>
      <c r="Z207" s="15"/>
      <c r="AA207" s="15"/>
      <c r="AB207" s="15"/>
      <c r="AC207" s="15"/>
      <c r="AD207" s="15"/>
      <c r="AE207" s="15"/>
    </row>
    <row r="208" ht="14.25" customHeight="1">
      <c r="A208" s="786"/>
      <c r="B208" s="787"/>
      <c r="C208" s="786"/>
      <c r="D208" s="793"/>
      <c r="E208" s="793"/>
      <c r="F208" s="793"/>
      <c r="G208" s="793"/>
      <c r="H208" s="793"/>
      <c r="I208" s="793"/>
      <c r="J208" s="790"/>
      <c r="K208" s="791"/>
      <c r="L208" s="791"/>
      <c r="M208" s="791"/>
      <c r="N208" s="791"/>
      <c r="O208" s="15"/>
      <c r="P208" s="15"/>
      <c r="Q208" s="15"/>
      <c r="R208" s="15"/>
      <c r="S208" s="793"/>
      <c r="T208" s="793"/>
      <c r="U208" s="793"/>
      <c r="V208" s="793"/>
      <c r="W208" s="786"/>
      <c r="X208" s="15"/>
      <c r="Y208" s="15"/>
      <c r="Z208" s="15"/>
      <c r="AA208" s="15"/>
      <c r="AB208" s="15"/>
      <c r="AC208" s="15"/>
      <c r="AD208" s="15"/>
      <c r="AE208" s="15"/>
    </row>
    <row r="209" ht="14.25" customHeight="1">
      <c r="A209" s="786"/>
      <c r="B209" s="787"/>
      <c r="C209" s="786"/>
      <c r="D209" s="793"/>
      <c r="E209" s="793"/>
      <c r="F209" s="793"/>
      <c r="G209" s="793"/>
      <c r="H209" s="793"/>
      <c r="I209" s="793"/>
      <c r="J209" s="790"/>
      <c r="K209" s="791"/>
      <c r="L209" s="791"/>
      <c r="M209" s="791"/>
      <c r="N209" s="791"/>
      <c r="O209" s="15"/>
      <c r="P209" s="15"/>
      <c r="Q209" s="15"/>
      <c r="R209" s="15"/>
      <c r="S209" s="793"/>
      <c r="T209" s="793"/>
      <c r="U209" s="793"/>
      <c r="V209" s="793"/>
      <c r="W209" s="786"/>
      <c r="X209" s="15"/>
      <c r="Y209" s="15"/>
      <c r="Z209" s="15"/>
      <c r="AA209" s="15"/>
      <c r="AB209" s="15"/>
      <c r="AC209" s="15"/>
      <c r="AD209" s="15"/>
      <c r="AE209" s="15"/>
    </row>
    <row r="210" ht="14.25" customHeight="1">
      <c r="A210" s="786"/>
      <c r="B210" s="787"/>
      <c r="C210" s="786"/>
      <c r="D210" s="793"/>
      <c r="E210" s="793"/>
      <c r="F210" s="793"/>
      <c r="G210" s="793"/>
      <c r="H210" s="793"/>
      <c r="I210" s="793"/>
      <c r="J210" s="790"/>
      <c r="K210" s="791"/>
      <c r="L210" s="791"/>
      <c r="M210" s="791"/>
      <c r="N210" s="791"/>
      <c r="O210" s="15"/>
      <c r="P210" s="15"/>
      <c r="Q210" s="15"/>
      <c r="R210" s="15"/>
      <c r="S210" s="793"/>
      <c r="T210" s="793"/>
      <c r="U210" s="793"/>
      <c r="V210" s="793"/>
      <c r="W210" s="786"/>
      <c r="X210" s="15"/>
      <c r="Y210" s="15"/>
      <c r="Z210" s="15"/>
      <c r="AA210" s="15"/>
      <c r="AB210" s="15"/>
      <c r="AC210" s="15"/>
      <c r="AD210" s="15"/>
      <c r="AE210" s="15"/>
    </row>
    <row r="211" ht="14.25" customHeight="1">
      <c r="A211" s="786"/>
      <c r="B211" s="787"/>
      <c r="C211" s="786"/>
      <c r="D211" s="793"/>
      <c r="E211" s="793"/>
      <c r="F211" s="793"/>
      <c r="G211" s="793"/>
      <c r="H211" s="793"/>
      <c r="I211" s="793"/>
      <c r="J211" s="790"/>
      <c r="K211" s="791"/>
      <c r="L211" s="791"/>
      <c r="M211" s="791"/>
      <c r="N211" s="791"/>
      <c r="O211" s="15"/>
      <c r="P211" s="15"/>
      <c r="Q211" s="15"/>
      <c r="R211" s="15"/>
      <c r="S211" s="793"/>
      <c r="T211" s="793"/>
      <c r="U211" s="793"/>
      <c r="V211" s="793"/>
      <c r="W211" s="786"/>
      <c r="X211" s="15"/>
      <c r="Y211" s="15"/>
      <c r="Z211" s="15"/>
      <c r="AA211" s="15"/>
      <c r="AB211" s="15"/>
      <c r="AC211" s="15"/>
      <c r="AD211" s="15"/>
      <c r="AE211" s="15"/>
    </row>
    <row r="212" ht="14.25" customHeight="1">
      <c r="A212" s="786"/>
      <c r="B212" s="787"/>
      <c r="C212" s="786"/>
      <c r="D212" s="793"/>
      <c r="E212" s="793"/>
      <c r="F212" s="793"/>
      <c r="G212" s="793"/>
      <c r="H212" s="793"/>
      <c r="I212" s="793"/>
      <c r="J212" s="790"/>
      <c r="K212" s="791"/>
      <c r="L212" s="791"/>
      <c r="M212" s="791"/>
      <c r="N212" s="791"/>
      <c r="O212" s="15"/>
      <c r="P212" s="15"/>
      <c r="Q212" s="15"/>
      <c r="R212" s="15"/>
      <c r="S212" s="793"/>
      <c r="T212" s="793"/>
      <c r="U212" s="793"/>
      <c r="V212" s="793"/>
      <c r="W212" s="786"/>
      <c r="X212" s="15"/>
      <c r="Y212" s="15"/>
      <c r="Z212" s="15"/>
      <c r="AA212" s="15"/>
      <c r="AB212" s="15"/>
      <c r="AC212" s="15"/>
      <c r="AD212" s="15"/>
      <c r="AE212" s="15"/>
    </row>
    <row r="213" ht="14.25" customHeight="1">
      <c r="A213" s="786"/>
      <c r="B213" s="787"/>
      <c r="C213" s="786"/>
      <c r="D213" s="793"/>
      <c r="E213" s="793"/>
      <c r="F213" s="793"/>
      <c r="G213" s="793"/>
      <c r="H213" s="793"/>
      <c r="I213" s="793"/>
      <c r="J213" s="790"/>
      <c r="K213" s="791"/>
      <c r="L213" s="791"/>
      <c r="M213" s="791"/>
      <c r="N213" s="791"/>
      <c r="O213" s="15"/>
      <c r="P213" s="15"/>
      <c r="Q213" s="15"/>
      <c r="R213" s="15"/>
      <c r="S213" s="793"/>
      <c r="T213" s="793"/>
      <c r="U213" s="793"/>
      <c r="V213" s="793"/>
      <c r="W213" s="786"/>
      <c r="X213" s="15"/>
      <c r="Y213" s="15"/>
      <c r="Z213" s="15"/>
      <c r="AA213" s="15"/>
      <c r="AB213" s="15"/>
      <c r="AC213" s="15"/>
      <c r="AD213" s="15"/>
      <c r="AE213" s="15"/>
    </row>
    <row r="214" ht="14.25" customHeight="1">
      <c r="A214" s="786"/>
      <c r="B214" s="787"/>
      <c r="C214" s="786"/>
      <c r="D214" s="793"/>
      <c r="E214" s="793"/>
      <c r="F214" s="793"/>
      <c r="G214" s="793"/>
      <c r="H214" s="793"/>
      <c r="I214" s="793"/>
      <c r="J214" s="790"/>
      <c r="K214" s="791"/>
      <c r="L214" s="791"/>
      <c r="M214" s="791"/>
      <c r="N214" s="791"/>
      <c r="O214" s="15"/>
      <c r="P214" s="15"/>
      <c r="Q214" s="15"/>
      <c r="R214" s="15"/>
      <c r="S214" s="793"/>
      <c r="T214" s="793"/>
      <c r="U214" s="793"/>
      <c r="V214" s="793"/>
      <c r="W214" s="786"/>
      <c r="X214" s="15"/>
      <c r="Y214" s="15"/>
      <c r="Z214" s="15"/>
      <c r="AA214" s="15"/>
      <c r="AB214" s="15"/>
      <c r="AC214" s="15"/>
      <c r="AD214" s="15"/>
      <c r="AE214" s="15"/>
    </row>
    <row r="215" ht="14.25" customHeight="1">
      <c r="A215" s="786"/>
      <c r="B215" s="787"/>
      <c r="C215" s="786"/>
      <c r="D215" s="793"/>
      <c r="E215" s="793"/>
      <c r="F215" s="793"/>
      <c r="G215" s="793"/>
      <c r="H215" s="793"/>
      <c r="I215" s="793"/>
      <c r="J215" s="790"/>
      <c r="K215" s="791"/>
      <c r="L215" s="791"/>
      <c r="M215" s="791"/>
      <c r="N215" s="791"/>
      <c r="O215" s="15"/>
      <c r="P215" s="15"/>
      <c r="Q215" s="15"/>
      <c r="R215" s="15"/>
      <c r="S215" s="793"/>
      <c r="T215" s="793"/>
      <c r="U215" s="793"/>
      <c r="V215" s="793"/>
      <c r="W215" s="786"/>
      <c r="X215" s="15"/>
      <c r="Y215" s="15"/>
      <c r="Z215" s="15"/>
      <c r="AA215" s="15"/>
      <c r="AB215" s="15"/>
      <c r="AC215" s="15"/>
      <c r="AD215" s="15"/>
      <c r="AE215" s="15"/>
    </row>
    <row r="216" ht="14.25" customHeight="1">
      <c r="A216" s="786"/>
      <c r="B216" s="787"/>
      <c r="C216" s="786"/>
      <c r="D216" s="793"/>
      <c r="E216" s="793"/>
      <c r="F216" s="793"/>
      <c r="G216" s="793"/>
      <c r="H216" s="793"/>
      <c r="I216" s="793"/>
      <c r="J216" s="790"/>
      <c r="K216" s="791"/>
      <c r="L216" s="791"/>
      <c r="M216" s="791"/>
      <c r="N216" s="791"/>
      <c r="O216" s="15"/>
      <c r="P216" s="15"/>
      <c r="Q216" s="15"/>
      <c r="R216" s="15"/>
      <c r="S216" s="793"/>
      <c r="T216" s="793"/>
      <c r="U216" s="793"/>
      <c r="V216" s="793"/>
      <c r="W216" s="786"/>
      <c r="X216" s="15"/>
      <c r="Y216" s="15"/>
      <c r="Z216" s="15"/>
      <c r="AA216" s="15"/>
      <c r="AB216" s="15"/>
      <c r="AC216" s="15"/>
      <c r="AD216" s="15"/>
      <c r="AE216" s="15"/>
    </row>
    <row r="217" ht="14.25" customHeight="1">
      <c r="A217" s="786"/>
      <c r="B217" s="787"/>
      <c r="C217" s="786"/>
      <c r="D217" s="793"/>
      <c r="E217" s="793"/>
      <c r="F217" s="793"/>
      <c r="G217" s="793"/>
      <c r="H217" s="793"/>
      <c r="I217" s="793"/>
      <c r="J217" s="790"/>
      <c r="K217" s="791"/>
      <c r="L217" s="791"/>
      <c r="M217" s="791"/>
      <c r="N217" s="791"/>
      <c r="O217" s="15"/>
      <c r="P217" s="15"/>
      <c r="Q217" s="15"/>
      <c r="R217" s="15"/>
      <c r="S217" s="793"/>
      <c r="T217" s="793"/>
      <c r="U217" s="793"/>
      <c r="V217" s="793"/>
      <c r="W217" s="786"/>
      <c r="X217" s="15"/>
      <c r="Y217" s="15"/>
      <c r="Z217" s="15"/>
      <c r="AA217" s="15"/>
      <c r="AB217" s="15"/>
      <c r="AC217" s="15"/>
      <c r="AD217" s="15"/>
      <c r="AE217" s="15"/>
    </row>
    <row r="218" ht="14.25" customHeight="1">
      <c r="A218" s="786"/>
      <c r="B218" s="787"/>
      <c r="C218" s="786"/>
      <c r="D218" s="793"/>
      <c r="E218" s="793"/>
      <c r="F218" s="793"/>
      <c r="G218" s="793"/>
      <c r="H218" s="793"/>
      <c r="I218" s="793"/>
      <c r="J218" s="790"/>
      <c r="K218" s="791"/>
      <c r="L218" s="791"/>
      <c r="M218" s="791"/>
      <c r="N218" s="791"/>
      <c r="O218" s="15"/>
      <c r="P218" s="15"/>
      <c r="Q218" s="15"/>
      <c r="R218" s="15"/>
      <c r="S218" s="793"/>
      <c r="T218" s="793"/>
      <c r="U218" s="793"/>
      <c r="V218" s="793"/>
      <c r="W218" s="786"/>
      <c r="X218" s="15"/>
      <c r="Y218" s="15"/>
      <c r="Z218" s="15"/>
      <c r="AA218" s="15"/>
      <c r="AB218" s="15"/>
      <c r="AC218" s="15"/>
      <c r="AD218" s="15"/>
      <c r="AE218" s="15"/>
    </row>
    <row r="219" ht="14.25" customHeight="1">
      <c r="A219" s="786"/>
      <c r="B219" s="787"/>
      <c r="C219" s="786"/>
      <c r="D219" s="793"/>
      <c r="E219" s="793"/>
      <c r="F219" s="793"/>
      <c r="G219" s="793"/>
      <c r="H219" s="793"/>
      <c r="I219" s="793"/>
      <c r="J219" s="790"/>
      <c r="K219" s="791"/>
      <c r="L219" s="791"/>
      <c r="M219" s="791"/>
      <c r="N219" s="791"/>
      <c r="O219" s="15"/>
      <c r="P219" s="15"/>
      <c r="Q219" s="15"/>
      <c r="R219" s="15"/>
      <c r="S219" s="793"/>
      <c r="T219" s="793"/>
      <c r="U219" s="793"/>
      <c r="V219" s="793"/>
      <c r="W219" s="786"/>
      <c r="X219" s="15"/>
      <c r="Y219" s="15"/>
      <c r="Z219" s="15"/>
      <c r="AA219" s="15"/>
      <c r="AB219" s="15"/>
      <c r="AC219" s="15"/>
      <c r="AD219" s="15"/>
      <c r="AE219" s="15"/>
    </row>
    <row r="220" ht="14.25" customHeight="1">
      <c r="A220" s="786"/>
      <c r="B220" s="787"/>
      <c r="C220" s="786"/>
      <c r="D220" s="793"/>
      <c r="E220" s="793"/>
      <c r="F220" s="793"/>
      <c r="G220" s="793"/>
      <c r="H220" s="793"/>
      <c r="I220" s="793"/>
      <c r="J220" s="790"/>
      <c r="K220" s="791"/>
      <c r="L220" s="791"/>
      <c r="M220" s="791"/>
      <c r="N220" s="791"/>
      <c r="O220" s="15"/>
      <c r="P220" s="15"/>
      <c r="Q220" s="15"/>
      <c r="R220" s="15"/>
      <c r="S220" s="793"/>
      <c r="T220" s="793"/>
      <c r="U220" s="793"/>
      <c r="V220" s="793"/>
      <c r="W220" s="786"/>
      <c r="X220" s="15"/>
      <c r="Y220" s="15"/>
      <c r="Z220" s="15"/>
      <c r="AA220" s="15"/>
      <c r="AB220" s="15"/>
      <c r="AC220" s="15"/>
      <c r="AD220" s="15"/>
      <c r="AE220" s="15"/>
    </row>
    <row r="221" ht="14.25" customHeight="1">
      <c r="A221" s="786"/>
      <c r="B221" s="787"/>
      <c r="C221" s="786"/>
      <c r="D221" s="793"/>
      <c r="E221" s="793"/>
      <c r="F221" s="793"/>
      <c r="G221" s="793"/>
      <c r="H221" s="793"/>
      <c r="I221" s="793"/>
      <c r="J221" s="790"/>
      <c r="K221" s="791"/>
      <c r="L221" s="791"/>
      <c r="M221" s="791"/>
      <c r="N221" s="791"/>
      <c r="O221" s="15"/>
      <c r="P221" s="15"/>
      <c r="Q221" s="15"/>
      <c r="R221" s="15"/>
      <c r="S221" s="793"/>
      <c r="T221" s="793"/>
      <c r="U221" s="793"/>
      <c r="V221" s="793"/>
      <c r="W221" s="786"/>
      <c r="X221" s="15"/>
      <c r="Y221" s="15"/>
      <c r="Z221" s="15"/>
      <c r="AA221" s="15"/>
      <c r="AB221" s="15"/>
      <c r="AC221" s="15"/>
      <c r="AD221" s="15"/>
      <c r="AE221" s="15"/>
    </row>
    <row r="222" ht="14.25" customHeight="1">
      <c r="A222" s="786"/>
      <c r="B222" s="787"/>
      <c r="C222" s="786"/>
      <c r="D222" s="793"/>
      <c r="E222" s="793"/>
      <c r="F222" s="793"/>
      <c r="G222" s="793"/>
      <c r="H222" s="793"/>
      <c r="I222" s="793"/>
      <c r="J222" s="790"/>
      <c r="K222" s="791"/>
      <c r="L222" s="791"/>
      <c r="M222" s="791"/>
      <c r="N222" s="791"/>
      <c r="O222" s="15"/>
      <c r="P222" s="15"/>
      <c r="Q222" s="15"/>
      <c r="R222" s="15"/>
      <c r="S222" s="793"/>
      <c r="T222" s="793"/>
      <c r="U222" s="793"/>
      <c r="V222" s="793"/>
      <c r="W222" s="786"/>
      <c r="X222" s="15"/>
      <c r="Y222" s="15"/>
      <c r="Z222" s="15"/>
      <c r="AA222" s="15"/>
      <c r="AB222" s="15"/>
      <c r="AC222" s="15"/>
      <c r="AD222" s="15"/>
      <c r="AE222" s="15"/>
    </row>
    <row r="223" ht="14.25" customHeight="1">
      <c r="A223" s="786"/>
      <c r="B223" s="787"/>
      <c r="C223" s="786"/>
      <c r="D223" s="793"/>
      <c r="E223" s="793"/>
      <c r="F223" s="793"/>
      <c r="G223" s="793"/>
      <c r="H223" s="793"/>
      <c r="I223" s="793"/>
      <c r="J223" s="790"/>
      <c r="K223" s="791"/>
      <c r="L223" s="791"/>
      <c r="M223" s="791"/>
      <c r="N223" s="791"/>
      <c r="O223" s="15"/>
      <c r="P223" s="15"/>
      <c r="Q223" s="15"/>
      <c r="R223" s="15"/>
      <c r="S223" s="793"/>
      <c r="T223" s="793"/>
      <c r="U223" s="793"/>
      <c r="V223" s="793"/>
      <c r="W223" s="786"/>
      <c r="X223" s="15"/>
      <c r="Y223" s="15"/>
      <c r="Z223" s="15"/>
      <c r="AA223" s="15"/>
      <c r="AB223" s="15"/>
      <c r="AC223" s="15"/>
      <c r="AD223" s="15"/>
      <c r="AE223" s="15"/>
    </row>
    <row r="224" ht="14.25" customHeight="1">
      <c r="A224" s="786"/>
      <c r="B224" s="787"/>
      <c r="C224" s="786"/>
      <c r="D224" s="793"/>
      <c r="E224" s="793"/>
      <c r="F224" s="793"/>
      <c r="G224" s="793"/>
      <c r="H224" s="793"/>
      <c r="I224" s="793"/>
      <c r="J224" s="790"/>
      <c r="K224" s="791"/>
      <c r="L224" s="791"/>
      <c r="M224" s="791"/>
      <c r="N224" s="791"/>
      <c r="O224" s="15"/>
      <c r="P224" s="15"/>
      <c r="Q224" s="15"/>
      <c r="R224" s="15"/>
      <c r="S224" s="793"/>
      <c r="T224" s="793"/>
      <c r="U224" s="793"/>
      <c r="V224" s="793"/>
      <c r="W224" s="786"/>
      <c r="X224" s="15"/>
      <c r="Y224" s="15"/>
      <c r="Z224" s="15"/>
      <c r="AA224" s="15"/>
      <c r="AB224" s="15"/>
      <c r="AC224" s="15"/>
      <c r="AD224" s="15"/>
      <c r="AE224" s="15"/>
    </row>
    <row r="225" ht="14.25" customHeight="1">
      <c r="A225" s="786"/>
      <c r="B225" s="787"/>
      <c r="C225" s="786"/>
      <c r="D225" s="793"/>
      <c r="E225" s="793"/>
      <c r="F225" s="793"/>
      <c r="G225" s="793"/>
      <c r="H225" s="793"/>
      <c r="I225" s="793"/>
      <c r="J225" s="790"/>
      <c r="K225" s="791"/>
      <c r="L225" s="791"/>
      <c r="M225" s="791"/>
      <c r="N225" s="791"/>
      <c r="O225" s="15"/>
      <c r="P225" s="15"/>
      <c r="Q225" s="15"/>
      <c r="R225" s="15"/>
      <c r="S225" s="793"/>
      <c r="T225" s="793"/>
      <c r="U225" s="793"/>
      <c r="V225" s="793"/>
      <c r="W225" s="786"/>
      <c r="X225" s="15"/>
      <c r="Y225" s="15"/>
      <c r="Z225" s="15"/>
      <c r="AA225" s="15"/>
      <c r="AB225" s="15"/>
      <c r="AC225" s="15"/>
      <c r="AD225" s="15"/>
      <c r="AE225" s="15"/>
    </row>
    <row r="226" ht="14.25" customHeight="1">
      <c r="A226" s="786"/>
      <c r="B226" s="787"/>
      <c r="C226" s="786"/>
      <c r="D226" s="793"/>
      <c r="E226" s="793"/>
      <c r="F226" s="793"/>
      <c r="G226" s="793"/>
      <c r="H226" s="793"/>
      <c r="I226" s="793"/>
      <c r="J226" s="790"/>
      <c r="K226" s="791"/>
      <c r="L226" s="791"/>
      <c r="M226" s="791"/>
      <c r="N226" s="791"/>
      <c r="O226" s="15"/>
      <c r="P226" s="15"/>
      <c r="Q226" s="15"/>
      <c r="R226" s="15"/>
      <c r="S226" s="793"/>
      <c r="T226" s="793"/>
      <c r="U226" s="793"/>
      <c r="V226" s="793"/>
      <c r="W226" s="786"/>
      <c r="X226" s="15"/>
      <c r="Y226" s="15"/>
      <c r="Z226" s="15"/>
      <c r="AA226" s="15"/>
      <c r="AB226" s="15"/>
      <c r="AC226" s="15"/>
      <c r="AD226" s="15"/>
      <c r="AE226" s="15"/>
    </row>
    <row r="227" ht="14.25" customHeight="1">
      <c r="A227" s="786"/>
      <c r="B227" s="787"/>
      <c r="C227" s="786"/>
      <c r="D227" s="793"/>
      <c r="E227" s="793"/>
      <c r="F227" s="793"/>
      <c r="G227" s="793"/>
      <c r="H227" s="793"/>
      <c r="I227" s="793"/>
      <c r="J227" s="790"/>
      <c r="K227" s="791"/>
      <c r="L227" s="791"/>
      <c r="M227" s="791"/>
      <c r="N227" s="791"/>
      <c r="O227" s="15"/>
      <c r="P227" s="15"/>
      <c r="Q227" s="15"/>
      <c r="R227" s="15"/>
      <c r="S227" s="793"/>
      <c r="T227" s="793"/>
      <c r="U227" s="793"/>
      <c r="V227" s="793"/>
      <c r="W227" s="786"/>
      <c r="X227" s="15"/>
      <c r="Y227" s="15"/>
      <c r="Z227" s="15"/>
      <c r="AA227" s="15"/>
      <c r="AB227" s="15"/>
      <c r="AC227" s="15"/>
      <c r="AD227" s="15"/>
      <c r="AE227" s="15"/>
    </row>
    <row r="228" ht="14.25" customHeight="1">
      <c r="A228" s="786"/>
      <c r="B228" s="787"/>
      <c r="C228" s="786"/>
      <c r="D228" s="793"/>
      <c r="E228" s="793"/>
      <c r="F228" s="793"/>
      <c r="G228" s="793"/>
      <c r="H228" s="793"/>
      <c r="I228" s="793"/>
      <c r="J228" s="790"/>
      <c r="K228" s="791"/>
      <c r="L228" s="791"/>
      <c r="M228" s="791"/>
      <c r="N228" s="791"/>
      <c r="O228" s="15"/>
      <c r="P228" s="15"/>
      <c r="Q228" s="15"/>
      <c r="R228" s="15"/>
      <c r="S228" s="793"/>
      <c r="T228" s="793"/>
      <c r="U228" s="793"/>
      <c r="V228" s="793"/>
      <c r="W228" s="786"/>
      <c r="X228" s="15"/>
      <c r="Y228" s="15"/>
      <c r="Z228" s="15"/>
      <c r="AA228" s="15"/>
      <c r="AB228" s="15"/>
      <c r="AC228" s="15"/>
      <c r="AD228" s="15"/>
      <c r="AE228" s="15"/>
    </row>
    <row r="229" ht="14.25" customHeight="1">
      <c r="A229" s="786"/>
      <c r="B229" s="787"/>
      <c r="C229" s="786"/>
      <c r="D229" s="793"/>
      <c r="E229" s="793"/>
      <c r="F229" s="793"/>
      <c r="G229" s="793"/>
      <c r="H229" s="793"/>
      <c r="I229" s="793"/>
      <c r="J229" s="790"/>
      <c r="K229" s="791"/>
      <c r="L229" s="791"/>
      <c r="M229" s="791"/>
      <c r="N229" s="791"/>
      <c r="O229" s="15"/>
      <c r="P229" s="15"/>
      <c r="Q229" s="15"/>
      <c r="R229" s="15"/>
      <c r="S229" s="793"/>
      <c r="T229" s="793"/>
      <c r="U229" s="793"/>
      <c r="V229" s="793"/>
      <c r="W229" s="786"/>
      <c r="X229" s="15"/>
      <c r="Y229" s="15"/>
      <c r="Z229" s="15"/>
      <c r="AA229" s="15"/>
      <c r="AB229" s="15"/>
      <c r="AC229" s="15"/>
      <c r="AD229" s="15"/>
      <c r="AE229" s="15"/>
    </row>
    <row r="230" ht="14.25" customHeight="1">
      <c r="A230" s="786"/>
      <c r="B230" s="787"/>
      <c r="C230" s="786"/>
      <c r="D230" s="793"/>
      <c r="E230" s="793"/>
      <c r="F230" s="793"/>
      <c r="G230" s="793"/>
      <c r="H230" s="793"/>
      <c r="I230" s="793"/>
      <c r="J230" s="790"/>
      <c r="K230" s="791"/>
      <c r="L230" s="791"/>
      <c r="M230" s="791"/>
      <c r="N230" s="791"/>
      <c r="O230" s="15"/>
      <c r="P230" s="15"/>
      <c r="Q230" s="15"/>
      <c r="R230" s="15"/>
      <c r="S230" s="793"/>
      <c r="T230" s="793"/>
      <c r="U230" s="793"/>
      <c r="V230" s="793"/>
      <c r="W230" s="786"/>
      <c r="X230" s="15"/>
      <c r="Y230" s="15"/>
      <c r="Z230" s="15"/>
      <c r="AA230" s="15"/>
      <c r="AB230" s="15"/>
      <c r="AC230" s="15"/>
      <c r="AD230" s="15"/>
      <c r="AE230" s="15"/>
    </row>
    <row r="231" ht="14.25" customHeight="1">
      <c r="A231" s="786"/>
      <c r="B231" s="787"/>
      <c r="C231" s="786"/>
      <c r="D231" s="793"/>
      <c r="E231" s="793"/>
      <c r="F231" s="793"/>
      <c r="G231" s="793"/>
      <c r="H231" s="793"/>
      <c r="I231" s="793"/>
      <c r="J231" s="790"/>
      <c r="K231" s="791"/>
      <c r="L231" s="791"/>
      <c r="M231" s="791"/>
      <c r="N231" s="791"/>
      <c r="O231" s="15"/>
      <c r="P231" s="15"/>
      <c r="Q231" s="15"/>
      <c r="R231" s="15"/>
      <c r="S231" s="793"/>
      <c r="T231" s="793"/>
      <c r="U231" s="793"/>
      <c r="V231" s="793"/>
      <c r="W231" s="786"/>
      <c r="X231" s="15"/>
      <c r="Y231" s="15"/>
      <c r="Z231" s="15"/>
      <c r="AA231" s="15"/>
      <c r="AB231" s="15"/>
      <c r="AC231" s="15"/>
      <c r="AD231" s="15"/>
      <c r="AE231" s="15"/>
    </row>
    <row r="232" ht="14.25" customHeight="1">
      <c r="A232" s="786"/>
      <c r="B232" s="787"/>
      <c r="C232" s="786"/>
      <c r="D232" s="793"/>
      <c r="E232" s="793"/>
      <c r="F232" s="793"/>
      <c r="G232" s="793"/>
      <c r="H232" s="793"/>
      <c r="I232" s="793"/>
      <c r="J232" s="790"/>
      <c r="K232" s="791"/>
      <c r="L232" s="791"/>
      <c r="M232" s="791"/>
      <c r="N232" s="791"/>
      <c r="O232" s="15"/>
      <c r="P232" s="15"/>
      <c r="Q232" s="15"/>
      <c r="R232" s="15"/>
      <c r="S232" s="793"/>
      <c r="T232" s="793"/>
      <c r="U232" s="793"/>
      <c r="V232" s="793"/>
      <c r="W232" s="786"/>
      <c r="X232" s="15"/>
      <c r="Y232" s="15"/>
      <c r="Z232" s="15"/>
      <c r="AA232" s="15"/>
      <c r="AB232" s="15"/>
      <c r="AC232" s="15"/>
      <c r="AD232" s="15"/>
      <c r="AE232" s="15"/>
    </row>
    <row r="233" ht="14.25" customHeight="1">
      <c r="A233" s="786"/>
      <c r="B233" s="787"/>
      <c r="C233" s="786"/>
      <c r="D233" s="793"/>
      <c r="E233" s="793"/>
      <c r="F233" s="793"/>
      <c r="G233" s="793"/>
      <c r="H233" s="793"/>
      <c r="I233" s="793"/>
      <c r="J233" s="790"/>
      <c r="K233" s="791"/>
      <c r="L233" s="791"/>
      <c r="M233" s="791"/>
      <c r="N233" s="791"/>
      <c r="O233" s="15"/>
      <c r="P233" s="15"/>
      <c r="Q233" s="15"/>
      <c r="R233" s="15"/>
      <c r="S233" s="793"/>
      <c r="T233" s="793"/>
      <c r="U233" s="793"/>
      <c r="V233" s="793"/>
      <c r="W233" s="786"/>
      <c r="X233" s="15"/>
      <c r="Y233" s="15"/>
      <c r="Z233" s="15"/>
      <c r="AA233" s="15"/>
      <c r="AB233" s="15"/>
      <c r="AC233" s="15"/>
      <c r="AD233" s="15"/>
      <c r="AE233" s="15"/>
    </row>
    <row r="234" ht="14.25" customHeight="1">
      <c r="A234" s="786"/>
      <c r="B234" s="787"/>
      <c r="C234" s="786"/>
      <c r="D234" s="793"/>
      <c r="E234" s="793"/>
      <c r="F234" s="793"/>
      <c r="G234" s="793"/>
      <c r="H234" s="793"/>
      <c r="I234" s="793"/>
      <c r="J234" s="790"/>
      <c r="K234" s="791"/>
      <c r="L234" s="791"/>
      <c r="M234" s="791"/>
      <c r="N234" s="791"/>
      <c r="O234" s="15"/>
      <c r="P234" s="15"/>
      <c r="Q234" s="15"/>
      <c r="R234" s="15"/>
      <c r="S234" s="793"/>
      <c r="T234" s="793"/>
      <c r="U234" s="793"/>
      <c r="V234" s="793"/>
      <c r="W234" s="786"/>
      <c r="X234" s="15"/>
      <c r="Y234" s="15"/>
      <c r="Z234" s="15"/>
      <c r="AA234" s="15"/>
      <c r="AB234" s="15"/>
      <c r="AC234" s="15"/>
      <c r="AD234" s="15"/>
      <c r="AE234" s="15"/>
    </row>
    <row r="235" ht="14.25" customHeight="1">
      <c r="A235" s="786"/>
      <c r="B235" s="787"/>
      <c r="C235" s="786"/>
      <c r="D235" s="793"/>
      <c r="E235" s="793"/>
      <c r="F235" s="793"/>
      <c r="G235" s="793"/>
      <c r="H235" s="793"/>
      <c r="I235" s="793"/>
      <c r="J235" s="790"/>
      <c r="K235" s="791"/>
      <c r="L235" s="791"/>
      <c r="M235" s="791"/>
      <c r="N235" s="791"/>
      <c r="O235" s="15"/>
      <c r="P235" s="15"/>
      <c r="Q235" s="15"/>
      <c r="R235" s="15"/>
      <c r="S235" s="793"/>
      <c r="T235" s="793"/>
      <c r="U235" s="793"/>
      <c r="V235" s="793"/>
      <c r="W235" s="786"/>
      <c r="X235" s="15"/>
      <c r="Y235" s="15"/>
      <c r="Z235" s="15"/>
      <c r="AA235" s="15"/>
      <c r="AB235" s="15"/>
      <c r="AC235" s="15"/>
      <c r="AD235" s="15"/>
      <c r="AE235" s="15"/>
    </row>
    <row r="236" ht="14.25" customHeight="1">
      <c r="A236" s="786"/>
      <c r="B236" s="787"/>
      <c r="C236" s="786"/>
      <c r="D236" s="793"/>
      <c r="E236" s="793"/>
      <c r="F236" s="793"/>
      <c r="G236" s="793"/>
      <c r="H236" s="793"/>
      <c r="I236" s="793"/>
      <c r="J236" s="790"/>
      <c r="K236" s="791"/>
      <c r="L236" s="791"/>
      <c r="M236" s="791"/>
      <c r="N236" s="791"/>
      <c r="O236" s="15"/>
      <c r="P236" s="15"/>
      <c r="Q236" s="15"/>
      <c r="R236" s="15"/>
      <c r="S236" s="793"/>
      <c r="T236" s="793"/>
      <c r="U236" s="793"/>
      <c r="V236" s="793"/>
      <c r="W236" s="786"/>
      <c r="X236" s="15"/>
      <c r="Y236" s="15"/>
      <c r="Z236" s="15"/>
      <c r="AA236" s="15"/>
      <c r="AB236" s="15"/>
      <c r="AC236" s="15"/>
      <c r="AD236" s="15"/>
      <c r="AE236" s="15"/>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D1:H1"/>
    <mergeCell ref="S1:U1"/>
    <mergeCell ref="K3:M3"/>
    <mergeCell ref="K22:W22"/>
    <mergeCell ref="I25:J2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4.43" defaultRowHeight="15.0" outlineLevelCol="1" outlineLevelRow="6"/>
  <cols>
    <col customWidth="1" min="1" max="1" width="1.0"/>
    <col customWidth="1" min="2" max="2" width="2.0"/>
    <col customWidth="1" min="3" max="3" width="50.57"/>
    <col customWidth="1" hidden="1" min="4" max="6" width="12.57" outlineLevel="1"/>
    <col customWidth="1" min="7" max="10" width="12.57" outlineLevel="1"/>
    <col customWidth="1" min="11" max="11" width="10.57" outlineLevel="1"/>
    <col customWidth="1" min="12" max="12" width="2.57"/>
    <col customWidth="1" min="13" max="28" width="14.57"/>
    <col customWidth="1" min="29" max="29" width="1.86"/>
    <col customWidth="1" min="30" max="51" width="14.57"/>
  </cols>
  <sheetData>
    <row r="1" ht="6.0" customHeight="1">
      <c r="A1" s="846"/>
      <c r="B1" s="847"/>
      <c r="C1" s="847"/>
      <c r="D1" s="847"/>
      <c r="E1" s="847"/>
      <c r="F1" s="847"/>
      <c r="G1" s="847"/>
      <c r="H1" s="847"/>
      <c r="I1" s="847"/>
      <c r="J1" s="847"/>
      <c r="K1" s="847"/>
      <c r="L1" s="847"/>
      <c r="M1" s="848"/>
      <c r="N1" s="848"/>
      <c r="O1" s="848"/>
      <c r="P1" s="848"/>
      <c r="Q1" s="848"/>
      <c r="R1" s="848"/>
      <c r="S1" s="848"/>
      <c r="T1" s="847"/>
      <c r="U1" s="847"/>
      <c r="V1" s="847"/>
      <c r="W1" s="847"/>
      <c r="X1" s="847"/>
      <c r="Y1" s="847"/>
      <c r="Z1" s="847"/>
      <c r="AA1" s="847"/>
      <c r="AB1" s="847"/>
      <c r="AC1" s="847"/>
      <c r="AD1" s="846"/>
      <c r="AE1" s="846"/>
      <c r="AF1" s="846"/>
      <c r="AG1" s="846"/>
      <c r="AH1" s="846"/>
      <c r="AI1" s="846"/>
      <c r="AJ1" s="846"/>
      <c r="AK1" s="846"/>
      <c r="AL1" s="846"/>
      <c r="AM1" s="846"/>
      <c r="AN1" s="846"/>
      <c r="AO1" s="846"/>
      <c r="AP1" s="846"/>
      <c r="AQ1" s="846"/>
      <c r="AR1" s="846"/>
      <c r="AS1" s="846"/>
      <c r="AT1" s="846"/>
      <c r="AU1" s="846"/>
      <c r="AV1" s="846"/>
      <c r="AW1" s="846"/>
      <c r="AX1" s="846"/>
      <c r="AY1" s="846"/>
    </row>
    <row r="2" ht="39.75" customHeight="1">
      <c r="A2" s="849"/>
      <c r="B2" s="15"/>
      <c r="C2" s="15"/>
      <c r="D2" s="15"/>
      <c r="E2" s="15"/>
      <c r="F2" s="15"/>
      <c r="G2" s="15"/>
      <c r="H2" s="15"/>
      <c r="I2" s="15"/>
      <c r="J2" s="15"/>
      <c r="K2" s="15"/>
      <c r="L2" s="15"/>
      <c r="M2" s="850">
        <v>2012.0</v>
      </c>
      <c r="N2" s="850">
        <v>2013.0</v>
      </c>
      <c r="O2" s="850">
        <v>2014.0</v>
      </c>
      <c r="P2" s="850">
        <v>2015.0</v>
      </c>
      <c r="Q2" s="850">
        <v>2016.0</v>
      </c>
      <c r="R2" s="850">
        <v>2017.0</v>
      </c>
      <c r="S2" s="850">
        <v>2018.0</v>
      </c>
      <c r="T2" s="15">
        <v>2011.0</v>
      </c>
      <c r="U2" s="15">
        <v>2010.0</v>
      </c>
      <c r="V2" s="15">
        <v>2009.0</v>
      </c>
      <c r="W2" s="15">
        <v>2008.0</v>
      </c>
      <c r="X2" s="15">
        <v>2007.0</v>
      </c>
      <c r="Y2" s="15">
        <v>2006.0</v>
      </c>
      <c r="Z2" s="15">
        <v>2005.0</v>
      </c>
      <c r="AA2" s="15">
        <v>2004.0</v>
      </c>
      <c r="AB2" s="15"/>
      <c r="AC2" s="15"/>
      <c r="AD2" s="851"/>
      <c r="AE2" s="846"/>
      <c r="AF2" s="846"/>
      <c r="AG2" s="846"/>
      <c r="AH2" s="846"/>
      <c r="AI2" s="846"/>
      <c r="AJ2" s="846"/>
      <c r="AK2" s="846"/>
      <c r="AL2" s="846"/>
      <c r="AM2" s="846"/>
      <c r="AN2" s="846"/>
      <c r="AO2" s="846"/>
      <c r="AP2" s="846"/>
      <c r="AQ2" s="846"/>
      <c r="AR2" s="846"/>
      <c r="AS2" s="846"/>
      <c r="AT2" s="846"/>
      <c r="AU2" s="846"/>
      <c r="AV2" s="846"/>
      <c r="AW2" s="846"/>
      <c r="AX2" s="846"/>
      <c r="AY2" s="846"/>
    </row>
    <row r="3" ht="18.75" customHeight="1">
      <c r="A3" s="849"/>
      <c r="B3" s="15"/>
      <c r="C3" s="852" t="s">
        <v>193</v>
      </c>
      <c r="D3" s="15"/>
      <c r="E3" s="15"/>
      <c r="F3" s="15"/>
      <c r="G3" s="15"/>
      <c r="H3" s="15"/>
      <c r="I3" s="15"/>
      <c r="J3" s="15"/>
      <c r="K3" s="15"/>
      <c r="L3" s="15"/>
      <c r="M3" s="850"/>
      <c r="N3" s="850"/>
      <c r="O3" s="850"/>
      <c r="P3" s="850"/>
      <c r="Q3" s="850"/>
      <c r="R3" s="850"/>
      <c r="S3" s="850"/>
      <c r="T3" s="15"/>
      <c r="U3" s="15"/>
      <c r="V3" s="15"/>
      <c r="W3" s="15"/>
      <c r="X3" s="15"/>
      <c r="Y3" s="15"/>
      <c r="Z3" s="15"/>
      <c r="AA3" s="15"/>
      <c r="AB3" s="15"/>
      <c r="AC3" s="15"/>
      <c r="AD3" s="851"/>
      <c r="AE3" s="846"/>
      <c r="AF3" s="846"/>
      <c r="AG3" s="846"/>
      <c r="AH3" s="846"/>
      <c r="AI3" s="846"/>
      <c r="AJ3" s="846"/>
      <c r="AK3" s="846"/>
      <c r="AL3" s="846"/>
      <c r="AM3" s="846"/>
      <c r="AN3" s="846"/>
      <c r="AO3" s="846"/>
      <c r="AP3" s="846"/>
      <c r="AQ3" s="846"/>
      <c r="AR3" s="846"/>
      <c r="AS3" s="846"/>
      <c r="AT3" s="846"/>
      <c r="AU3" s="846"/>
      <c r="AV3" s="846"/>
      <c r="AW3" s="846"/>
      <c r="AX3" s="846"/>
      <c r="AY3" s="846"/>
    </row>
    <row r="4">
      <c r="A4" s="849" t="s">
        <v>194</v>
      </c>
      <c r="B4" s="15"/>
      <c r="C4" s="853" t="s">
        <v>195</v>
      </c>
      <c r="D4" s="854" t="s">
        <v>196</v>
      </c>
      <c r="E4" s="855" t="s">
        <v>194</v>
      </c>
      <c r="F4" s="855" t="s">
        <v>194</v>
      </c>
      <c r="G4" s="855" t="s">
        <v>194</v>
      </c>
      <c r="H4" s="855" t="s">
        <v>194</v>
      </c>
      <c r="I4" s="855" t="s">
        <v>194</v>
      </c>
      <c r="J4" s="855" t="s">
        <v>194</v>
      </c>
      <c r="K4" s="855" t="s">
        <v>194</v>
      </c>
      <c r="L4" s="15"/>
      <c r="M4" s="850"/>
      <c r="N4" s="850"/>
      <c r="O4" s="850"/>
      <c r="P4" s="850"/>
      <c r="Q4" s="850"/>
      <c r="R4" s="850"/>
      <c r="S4" s="850"/>
      <c r="T4" s="15"/>
      <c r="U4" s="15"/>
      <c r="V4" s="15"/>
      <c r="W4" s="15"/>
      <c r="X4" s="15"/>
      <c r="Y4" s="15"/>
      <c r="Z4" s="15"/>
      <c r="AA4" s="15"/>
      <c r="AB4" s="15"/>
      <c r="AC4" s="15"/>
      <c r="AD4" s="851" t="s">
        <v>194</v>
      </c>
      <c r="AE4" s="846" t="s">
        <v>194</v>
      </c>
      <c r="AF4" s="846" t="s">
        <v>194</v>
      </c>
      <c r="AG4" s="846" t="s">
        <v>194</v>
      </c>
      <c r="AH4" s="846" t="s">
        <v>194</v>
      </c>
      <c r="AI4" s="846" t="s">
        <v>194</v>
      </c>
      <c r="AJ4" s="846" t="s">
        <v>194</v>
      </c>
      <c r="AK4" s="846" t="s">
        <v>194</v>
      </c>
      <c r="AL4" s="846" t="s">
        <v>194</v>
      </c>
      <c r="AM4" s="846" t="s">
        <v>194</v>
      </c>
      <c r="AN4" s="846" t="s">
        <v>194</v>
      </c>
      <c r="AO4" s="846" t="s">
        <v>194</v>
      </c>
      <c r="AP4" s="846" t="s">
        <v>194</v>
      </c>
      <c r="AQ4" s="846" t="s">
        <v>194</v>
      </c>
      <c r="AR4" s="846" t="s">
        <v>194</v>
      </c>
      <c r="AS4" s="846" t="s">
        <v>194</v>
      </c>
      <c r="AT4" s="846" t="s">
        <v>194</v>
      </c>
      <c r="AU4" s="846" t="s">
        <v>194</v>
      </c>
      <c r="AV4" s="846" t="s">
        <v>194</v>
      </c>
      <c r="AW4" s="846" t="s">
        <v>194</v>
      </c>
      <c r="AX4" s="846" t="s">
        <v>194</v>
      </c>
      <c r="AY4" s="846" t="s">
        <v>194</v>
      </c>
    </row>
    <row r="5">
      <c r="A5" s="849" t="s">
        <v>194</v>
      </c>
      <c r="B5" s="15"/>
      <c r="C5" s="853" t="s">
        <v>197</v>
      </c>
      <c r="D5" s="856" t="s">
        <v>174</v>
      </c>
      <c r="E5" s="856" t="s">
        <v>198</v>
      </c>
      <c r="F5" s="856" t="s">
        <v>199</v>
      </c>
      <c r="G5" s="856" t="s">
        <v>200</v>
      </c>
      <c r="H5" s="856" t="s">
        <v>201</v>
      </c>
      <c r="I5" s="856" t="s">
        <v>202</v>
      </c>
      <c r="J5" s="856" t="s">
        <v>203</v>
      </c>
      <c r="K5" s="856" t="s">
        <v>204</v>
      </c>
      <c r="L5" s="15"/>
      <c r="M5" s="857" t="s">
        <v>205</v>
      </c>
      <c r="N5" s="857" t="s">
        <v>206</v>
      </c>
      <c r="O5" s="857" t="s">
        <v>207</v>
      </c>
      <c r="P5" s="857" t="s">
        <v>208</v>
      </c>
      <c r="Q5" s="857" t="s">
        <v>209</v>
      </c>
      <c r="R5" s="857" t="s">
        <v>210</v>
      </c>
      <c r="S5" s="857" t="s">
        <v>211</v>
      </c>
      <c r="T5" s="858" t="s">
        <v>212</v>
      </c>
      <c r="U5" s="858" t="s">
        <v>213</v>
      </c>
      <c r="V5" s="858" t="s">
        <v>214</v>
      </c>
      <c r="W5" s="858" t="s">
        <v>215</v>
      </c>
      <c r="X5" s="858" t="s">
        <v>216</v>
      </c>
      <c r="Y5" s="858" t="s">
        <v>217</v>
      </c>
      <c r="Z5" s="858" t="s">
        <v>218</v>
      </c>
      <c r="AA5" s="858" t="s">
        <v>219</v>
      </c>
      <c r="AB5" s="858" t="s">
        <v>220</v>
      </c>
      <c r="AC5" s="15"/>
      <c r="AD5" s="851" t="s">
        <v>194</v>
      </c>
      <c r="AE5" s="846" t="s">
        <v>194</v>
      </c>
      <c r="AF5" s="846" t="s">
        <v>194</v>
      </c>
      <c r="AG5" s="846" t="s">
        <v>194</v>
      </c>
      <c r="AH5" s="846" t="s">
        <v>194</v>
      </c>
      <c r="AI5" s="846" t="s">
        <v>194</v>
      </c>
      <c r="AJ5" s="846" t="s">
        <v>194</v>
      </c>
      <c r="AK5" s="846" t="s">
        <v>194</v>
      </c>
      <c r="AL5" s="846" t="s">
        <v>194</v>
      </c>
      <c r="AM5" s="846" t="s">
        <v>194</v>
      </c>
      <c r="AN5" s="846" t="s">
        <v>194</v>
      </c>
      <c r="AO5" s="846" t="s">
        <v>194</v>
      </c>
      <c r="AP5" s="846" t="s">
        <v>194</v>
      </c>
      <c r="AQ5" s="846" t="s">
        <v>194</v>
      </c>
      <c r="AR5" s="846" t="s">
        <v>194</v>
      </c>
      <c r="AS5" s="846" t="s">
        <v>194</v>
      </c>
      <c r="AT5" s="846" t="s">
        <v>194</v>
      </c>
      <c r="AU5" s="846" t="s">
        <v>194</v>
      </c>
      <c r="AV5" s="846" t="s">
        <v>194</v>
      </c>
      <c r="AW5" s="846" t="s">
        <v>194</v>
      </c>
      <c r="AX5" s="846" t="s">
        <v>194</v>
      </c>
      <c r="AY5" s="846" t="s">
        <v>194</v>
      </c>
    </row>
    <row r="6">
      <c r="A6" s="849" t="s">
        <v>194</v>
      </c>
      <c r="B6" s="15"/>
      <c r="C6" s="859" t="s">
        <v>221</v>
      </c>
      <c r="D6" s="860"/>
      <c r="E6" s="860"/>
      <c r="F6" s="860"/>
      <c r="G6" s="860"/>
      <c r="H6" s="860"/>
      <c r="I6" s="860"/>
      <c r="J6" s="860"/>
      <c r="K6" s="860"/>
      <c r="L6" s="15"/>
      <c r="M6" s="850"/>
      <c r="N6" s="850"/>
      <c r="O6" s="850"/>
      <c r="P6" s="850"/>
      <c r="Q6" s="850"/>
      <c r="R6" s="850"/>
      <c r="S6" s="850"/>
      <c r="T6" s="15"/>
      <c r="U6" s="15"/>
      <c r="V6" s="15"/>
      <c r="W6" s="15"/>
      <c r="X6" s="15"/>
      <c r="Y6" s="15"/>
      <c r="Z6" s="15"/>
      <c r="AA6" s="15"/>
      <c r="AB6" s="15"/>
      <c r="AC6" s="15"/>
      <c r="AD6" s="851" t="s">
        <v>194</v>
      </c>
      <c r="AE6" s="846" t="s">
        <v>194</v>
      </c>
      <c r="AF6" s="846" t="s">
        <v>194</v>
      </c>
      <c r="AG6" s="846" t="s">
        <v>194</v>
      </c>
      <c r="AH6" s="846" t="s">
        <v>194</v>
      </c>
      <c r="AI6" s="846" t="s">
        <v>194</v>
      </c>
      <c r="AJ6" s="846" t="s">
        <v>194</v>
      </c>
      <c r="AK6" s="846" t="s">
        <v>194</v>
      </c>
      <c r="AL6" s="846" t="s">
        <v>194</v>
      </c>
      <c r="AM6" s="846" t="s">
        <v>194</v>
      </c>
      <c r="AN6" s="846" t="s">
        <v>194</v>
      </c>
      <c r="AO6" s="846" t="s">
        <v>194</v>
      </c>
      <c r="AP6" s="846" t="s">
        <v>194</v>
      </c>
      <c r="AQ6" s="846" t="s">
        <v>194</v>
      </c>
      <c r="AR6" s="846" t="s">
        <v>194</v>
      </c>
      <c r="AS6" s="846" t="s">
        <v>194</v>
      </c>
      <c r="AT6" s="846" t="s">
        <v>194</v>
      </c>
      <c r="AU6" s="846" t="s">
        <v>194</v>
      </c>
      <c r="AV6" s="846" t="s">
        <v>194</v>
      </c>
      <c r="AW6" s="846" t="s">
        <v>194</v>
      </c>
      <c r="AX6" s="846" t="s">
        <v>194</v>
      </c>
      <c r="AY6" s="846" t="s">
        <v>194</v>
      </c>
    </row>
    <row r="7">
      <c r="A7" s="849" t="s">
        <v>194</v>
      </c>
      <c r="B7" s="15"/>
      <c r="C7" s="15"/>
      <c r="D7" s="855" t="s">
        <v>194</v>
      </c>
      <c r="E7" s="855" t="s">
        <v>194</v>
      </c>
      <c r="F7" s="855" t="s">
        <v>194</v>
      </c>
      <c r="G7" s="855" t="s">
        <v>194</v>
      </c>
      <c r="H7" s="855" t="s">
        <v>194</v>
      </c>
      <c r="I7" s="855" t="s">
        <v>194</v>
      </c>
      <c r="J7" s="855" t="s">
        <v>194</v>
      </c>
      <c r="K7" s="855" t="s">
        <v>194</v>
      </c>
      <c r="L7" s="15"/>
      <c r="M7" s="850"/>
      <c r="N7" s="850"/>
      <c r="O7" s="850"/>
      <c r="P7" s="850"/>
      <c r="Q7" s="850"/>
      <c r="R7" s="850"/>
      <c r="S7" s="850"/>
      <c r="T7" s="15"/>
      <c r="U7" s="15"/>
      <c r="V7" s="15"/>
      <c r="W7" s="15"/>
      <c r="X7" s="15"/>
      <c r="Y7" s="15"/>
      <c r="Z7" s="15"/>
      <c r="AA7" s="15"/>
      <c r="AB7" s="15"/>
      <c r="AC7" s="15"/>
      <c r="AD7" s="851" t="s">
        <v>194</v>
      </c>
      <c r="AE7" s="846" t="s">
        <v>194</v>
      </c>
      <c r="AF7" s="846" t="s">
        <v>194</v>
      </c>
      <c r="AG7" s="846" t="s">
        <v>194</v>
      </c>
      <c r="AH7" s="846" t="s">
        <v>194</v>
      </c>
      <c r="AI7" s="846" t="s">
        <v>194</v>
      </c>
      <c r="AJ7" s="846" t="s">
        <v>194</v>
      </c>
      <c r="AK7" s="846" t="s">
        <v>194</v>
      </c>
      <c r="AL7" s="846" t="s">
        <v>194</v>
      </c>
      <c r="AM7" s="846" t="s">
        <v>194</v>
      </c>
      <c r="AN7" s="846" t="s">
        <v>194</v>
      </c>
      <c r="AO7" s="846" t="s">
        <v>194</v>
      </c>
      <c r="AP7" s="846" t="s">
        <v>194</v>
      </c>
      <c r="AQ7" s="846" t="s">
        <v>194</v>
      </c>
      <c r="AR7" s="846" t="s">
        <v>194</v>
      </c>
      <c r="AS7" s="846" t="s">
        <v>194</v>
      </c>
      <c r="AT7" s="846" t="s">
        <v>194</v>
      </c>
      <c r="AU7" s="846" t="s">
        <v>194</v>
      </c>
      <c r="AV7" s="846" t="s">
        <v>194</v>
      </c>
      <c r="AW7" s="846" t="s">
        <v>194</v>
      </c>
      <c r="AX7" s="846" t="s">
        <v>194</v>
      </c>
      <c r="AY7" s="846" t="s">
        <v>194</v>
      </c>
    </row>
    <row r="8">
      <c r="A8" s="849" t="s">
        <v>194</v>
      </c>
      <c r="B8" s="15"/>
      <c r="C8" s="15"/>
      <c r="D8" s="855" t="s">
        <v>194</v>
      </c>
      <c r="E8" s="855" t="s">
        <v>194</v>
      </c>
      <c r="F8" s="855" t="s">
        <v>194</v>
      </c>
      <c r="G8" s="855" t="s">
        <v>194</v>
      </c>
      <c r="H8" s="855" t="s">
        <v>194</v>
      </c>
      <c r="I8" s="855" t="s">
        <v>194</v>
      </c>
      <c r="J8" s="855" t="s">
        <v>194</v>
      </c>
      <c r="K8" s="855" t="s">
        <v>194</v>
      </c>
      <c r="L8" s="15"/>
      <c r="M8" s="861"/>
      <c r="N8" s="850"/>
      <c r="O8" s="862" t="s">
        <v>222</v>
      </c>
      <c r="P8" s="850"/>
      <c r="Q8" s="861"/>
      <c r="R8" s="850"/>
      <c r="S8" s="862" t="s">
        <v>223</v>
      </c>
      <c r="T8" s="15"/>
      <c r="U8" s="863" t="s">
        <v>224</v>
      </c>
      <c r="V8" s="863" t="s">
        <v>225</v>
      </c>
      <c r="W8" s="863" t="s">
        <v>226</v>
      </c>
      <c r="X8" s="863" t="s">
        <v>227</v>
      </c>
      <c r="Y8" s="15"/>
      <c r="Z8" s="15"/>
      <c r="AA8" s="15"/>
      <c r="AB8" s="15"/>
      <c r="AC8" s="15"/>
      <c r="AD8" s="851" t="s">
        <v>194</v>
      </c>
      <c r="AE8" s="846" t="s">
        <v>194</v>
      </c>
      <c r="AF8" s="846" t="s">
        <v>194</v>
      </c>
      <c r="AG8" s="846" t="s">
        <v>194</v>
      </c>
      <c r="AH8" s="846" t="s">
        <v>194</v>
      </c>
      <c r="AI8" s="846" t="s">
        <v>194</v>
      </c>
      <c r="AJ8" s="846" t="s">
        <v>194</v>
      </c>
      <c r="AK8" s="846" t="s">
        <v>194</v>
      </c>
      <c r="AL8" s="846" t="s">
        <v>194</v>
      </c>
      <c r="AM8" s="846" t="s">
        <v>194</v>
      </c>
      <c r="AN8" s="846" t="s">
        <v>194</v>
      </c>
      <c r="AO8" s="846" t="s">
        <v>194</v>
      </c>
      <c r="AP8" s="846" t="s">
        <v>194</v>
      </c>
      <c r="AQ8" s="846" t="s">
        <v>194</v>
      </c>
      <c r="AR8" s="846" t="s">
        <v>194</v>
      </c>
      <c r="AS8" s="846" t="s">
        <v>194</v>
      </c>
      <c r="AT8" s="846" t="s">
        <v>194</v>
      </c>
      <c r="AU8" s="846" t="s">
        <v>194</v>
      </c>
      <c r="AV8" s="846" t="s">
        <v>194</v>
      </c>
      <c r="AW8" s="846" t="s">
        <v>194</v>
      </c>
      <c r="AX8" s="846" t="s">
        <v>194</v>
      </c>
      <c r="AY8" s="846" t="s">
        <v>194</v>
      </c>
    </row>
    <row r="9">
      <c r="A9" s="849" t="s">
        <v>194</v>
      </c>
      <c r="B9" s="15"/>
      <c r="C9" s="15"/>
      <c r="D9" s="855" t="s">
        <v>194</v>
      </c>
      <c r="E9" s="855" t="s">
        <v>194</v>
      </c>
      <c r="F9" s="855" t="s">
        <v>194</v>
      </c>
      <c r="G9" s="855" t="s">
        <v>194</v>
      </c>
      <c r="H9" s="855" t="s">
        <v>194</v>
      </c>
      <c r="I9" s="855" t="s">
        <v>194</v>
      </c>
      <c r="J9" s="855" t="s">
        <v>194</v>
      </c>
      <c r="K9" s="855" t="s">
        <v>194</v>
      </c>
      <c r="L9" s="15"/>
      <c r="M9" s="861"/>
      <c r="N9" s="850"/>
      <c r="O9" s="864" t="s">
        <v>228</v>
      </c>
      <c r="P9" s="850"/>
      <c r="Q9" s="861"/>
      <c r="R9" s="850"/>
      <c r="S9" s="864" t="s">
        <v>228</v>
      </c>
      <c r="T9" s="15"/>
      <c r="U9" s="865" t="s">
        <v>228</v>
      </c>
      <c r="V9" s="865" t="s">
        <v>228</v>
      </c>
      <c r="W9" s="865" t="s">
        <v>228</v>
      </c>
      <c r="X9" s="865" t="s">
        <v>228</v>
      </c>
      <c r="Y9" s="15"/>
      <c r="Z9" s="15"/>
      <c r="AA9" s="15"/>
      <c r="AB9" s="15"/>
      <c r="AC9" s="15"/>
      <c r="AD9" s="851" t="s">
        <v>194</v>
      </c>
      <c r="AE9" s="846" t="s">
        <v>194</v>
      </c>
      <c r="AF9" s="846" t="s">
        <v>194</v>
      </c>
      <c r="AG9" s="846" t="s">
        <v>194</v>
      </c>
      <c r="AH9" s="846" t="s">
        <v>194</v>
      </c>
      <c r="AI9" s="846" t="s">
        <v>194</v>
      </c>
      <c r="AJ9" s="846" t="s">
        <v>194</v>
      </c>
      <c r="AK9" s="846" t="s">
        <v>194</v>
      </c>
      <c r="AL9" s="846" t="s">
        <v>194</v>
      </c>
      <c r="AM9" s="846" t="s">
        <v>194</v>
      </c>
      <c r="AN9" s="846" t="s">
        <v>194</v>
      </c>
      <c r="AO9" s="846" t="s">
        <v>194</v>
      </c>
      <c r="AP9" s="846" t="s">
        <v>194</v>
      </c>
      <c r="AQ9" s="846" t="s">
        <v>194</v>
      </c>
      <c r="AR9" s="846" t="s">
        <v>194</v>
      </c>
      <c r="AS9" s="846" t="s">
        <v>194</v>
      </c>
      <c r="AT9" s="846" t="s">
        <v>194</v>
      </c>
      <c r="AU9" s="846" t="s">
        <v>194</v>
      </c>
      <c r="AV9" s="846" t="s">
        <v>194</v>
      </c>
      <c r="AW9" s="846" t="s">
        <v>194</v>
      </c>
      <c r="AX9" s="846" t="s">
        <v>194</v>
      </c>
      <c r="AY9" s="846" t="s">
        <v>194</v>
      </c>
    </row>
    <row r="10" collapsed="1">
      <c r="A10" s="849">
        <v>1.0</v>
      </c>
      <c r="B10" s="15"/>
      <c r="C10" s="855" t="s">
        <v>229</v>
      </c>
      <c r="D10" s="866" t="s">
        <v>194</v>
      </c>
      <c r="E10" s="866" t="s">
        <v>194</v>
      </c>
      <c r="F10" s="866" t="s">
        <v>194</v>
      </c>
      <c r="G10" s="866" t="s">
        <v>194</v>
      </c>
      <c r="H10" s="866" t="s">
        <v>194</v>
      </c>
      <c r="I10" s="866" t="s">
        <v>194</v>
      </c>
      <c r="J10" s="866" t="s">
        <v>194</v>
      </c>
      <c r="K10" s="867" t="s">
        <v>194</v>
      </c>
      <c r="L10" s="866" t="s">
        <v>194</v>
      </c>
      <c r="M10" s="868" t="s">
        <v>194</v>
      </c>
      <c r="N10" s="868" t="s">
        <v>194</v>
      </c>
      <c r="O10" s="868" t="s">
        <v>194</v>
      </c>
      <c r="P10" s="868" t="s">
        <v>194</v>
      </c>
      <c r="Q10" s="868" t="s">
        <v>194</v>
      </c>
      <c r="R10" s="868" t="s">
        <v>194</v>
      </c>
      <c r="S10" s="868" t="s">
        <v>194</v>
      </c>
      <c r="T10" s="866" t="s">
        <v>194</v>
      </c>
      <c r="U10" s="866" t="s">
        <v>194</v>
      </c>
      <c r="V10" s="866" t="s">
        <v>194</v>
      </c>
      <c r="W10" s="866" t="s">
        <v>194</v>
      </c>
      <c r="X10" s="866" t="s">
        <v>194</v>
      </c>
      <c r="Y10" s="866" t="s">
        <v>194</v>
      </c>
      <c r="Z10" s="866" t="s">
        <v>194</v>
      </c>
      <c r="AA10" s="866" t="s">
        <v>194</v>
      </c>
      <c r="AB10" s="866" t="s">
        <v>194</v>
      </c>
      <c r="AC10" s="15"/>
      <c r="AD10" s="851" t="s">
        <v>194</v>
      </c>
      <c r="AE10" s="846" t="s">
        <v>194</v>
      </c>
      <c r="AF10" s="846" t="s">
        <v>194</v>
      </c>
      <c r="AG10" s="846" t="s">
        <v>194</v>
      </c>
      <c r="AH10" s="846" t="s">
        <v>194</v>
      </c>
      <c r="AI10" s="846" t="s">
        <v>194</v>
      </c>
      <c r="AJ10" s="846" t="s">
        <v>194</v>
      </c>
      <c r="AK10" s="846" t="s">
        <v>194</v>
      </c>
      <c r="AL10" s="846" t="s">
        <v>194</v>
      </c>
      <c r="AM10" s="846" t="s">
        <v>194</v>
      </c>
      <c r="AN10" s="846" t="s">
        <v>194</v>
      </c>
      <c r="AO10" s="846" t="s">
        <v>194</v>
      </c>
      <c r="AP10" s="846" t="s">
        <v>194</v>
      </c>
      <c r="AQ10" s="846" t="s">
        <v>194</v>
      </c>
      <c r="AR10" s="846" t="s">
        <v>194</v>
      </c>
      <c r="AS10" s="846" t="s">
        <v>194</v>
      </c>
      <c r="AT10" s="846" t="s">
        <v>194</v>
      </c>
      <c r="AU10" s="846" t="s">
        <v>194</v>
      </c>
      <c r="AV10" s="846" t="s">
        <v>194</v>
      </c>
      <c r="AW10" s="846" t="s">
        <v>194</v>
      </c>
      <c r="AX10" s="846" t="s">
        <v>194</v>
      </c>
      <c r="AY10" s="846" t="s">
        <v>194</v>
      </c>
    </row>
    <row r="11" hidden="1" outlineLevel="1">
      <c r="A11" s="849">
        <v>1.0</v>
      </c>
      <c r="B11" s="15"/>
      <c r="C11" s="869" t="s">
        <v>230</v>
      </c>
      <c r="D11" s="870" t="s">
        <v>194</v>
      </c>
      <c r="E11" s="870" t="s">
        <v>194</v>
      </c>
      <c r="F11" s="870" t="s">
        <v>194</v>
      </c>
      <c r="G11" s="870" t="s">
        <v>194</v>
      </c>
      <c r="H11" s="870" t="s">
        <v>194</v>
      </c>
      <c r="I11" s="870" t="s">
        <v>194</v>
      </c>
      <c r="J11" s="870" t="s">
        <v>194</v>
      </c>
      <c r="K11" s="871" t="s">
        <v>194</v>
      </c>
      <c r="L11" s="872" t="s">
        <v>194</v>
      </c>
      <c r="M11" s="873" t="s">
        <v>194</v>
      </c>
      <c r="N11" s="873" t="s">
        <v>194</v>
      </c>
      <c r="O11" s="873" t="s">
        <v>194</v>
      </c>
      <c r="P11" s="873" t="s">
        <v>194</v>
      </c>
      <c r="Q11" s="873" t="s">
        <v>194</v>
      </c>
      <c r="R11" s="873" t="s">
        <v>194</v>
      </c>
      <c r="S11" s="873" t="s">
        <v>194</v>
      </c>
      <c r="T11" s="872" t="s">
        <v>194</v>
      </c>
      <c r="U11" s="872" t="s">
        <v>194</v>
      </c>
      <c r="V11" s="872" t="s">
        <v>194</v>
      </c>
      <c r="W11" s="872" t="s">
        <v>194</v>
      </c>
      <c r="X11" s="872" t="s">
        <v>194</v>
      </c>
      <c r="Y11" s="872" t="s">
        <v>194</v>
      </c>
      <c r="Z11" s="872" t="s">
        <v>194</v>
      </c>
      <c r="AA11" s="872" t="s">
        <v>194</v>
      </c>
      <c r="AB11" s="872" t="s">
        <v>194</v>
      </c>
      <c r="AC11" s="15"/>
      <c r="AD11" s="851" t="s">
        <v>194</v>
      </c>
      <c r="AE11" s="846" t="s">
        <v>194</v>
      </c>
      <c r="AF11" s="846" t="s">
        <v>194</v>
      </c>
      <c r="AG11" s="846" t="s">
        <v>194</v>
      </c>
      <c r="AH11" s="846" t="s">
        <v>194</v>
      </c>
      <c r="AI11" s="846" t="s">
        <v>194</v>
      </c>
      <c r="AJ11" s="846" t="s">
        <v>194</v>
      </c>
      <c r="AK11" s="846" t="s">
        <v>194</v>
      </c>
      <c r="AL11" s="846" t="s">
        <v>194</v>
      </c>
      <c r="AM11" s="846" t="s">
        <v>194</v>
      </c>
      <c r="AN11" s="846" t="s">
        <v>194</v>
      </c>
      <c r="AO11" s="846" t="s">
        <v>194</v>
      </c>
      <c r="AP11" s="846" t="s">
        <v>194</v>
      </c>
      <c r="AQ11" s="846" t="s">
        <v>194</v>
      </c>
      <c r="AR11" s="846" t="s">
        <v>194</v>
      </c>
      <c r="AS11" s="846" t="s">
        <v>194</v>
      </c>
      <c r="AT11" s="846" t="s">
        <v>194</v>
      </c>
      <c r="AU11" s="846" t="s">
        <v>194</v>
      </c>
      <c r="AV11" s="846" t="s">
        <v>194</v>
      </c>
      <c r="AW11" s="846" t="s">
        <v>194</v>
      </c>
      <c r="AX11" s="846" t="s">
        <v>194</v>
      </c>
      <c r="AY11" s="846" t="s">
        <v>194</v>
      </c>
    </row>
    <row r="12" hidden="1" outlineLevel="2">
      <c r="A12" s="849">
        <v>1.0</v>
      </c>
      <c r="B12" s="15"/>
      <c r="C12" s="869" t="s">
        <v>231</v>
      </c>
      <c r="D12" s="870" t="s">
        <v>194</v>
      </c>
      <c r="E12" s="870" t="s">
        <v>194</v>
      </c>
      <c r="F12" s="870" t="s">
        <v>194</v>
      </c>
      <c r="G12" s="870" t="s">
        <v>194</v>
      </c>
      <c r="H12" s="870" t="s">
        <v>194</v>
      </c>
      <c r="I12" s="870" t="s">
        <v>194</v>
      </c>
      <c r="J12" s="870" t="s">
        <v>194</v>
      </c>
      <c r="K12" s="871" t="s">
        <v>194</v>
      </c>
      <c r="L12" s="872" t="s">
        <v>194</v>
      </c>
      <c r="M12" s="873" t="s">
        <v>194</v>
      </c>
      <c r="N12" s="873" t="s">
        <v>194</v>
      </c>
      <c r="O12" s="873" t="s">
        <v>194</v>
      </c>
      <c r="P12" s="873" t="s">
        <v>194</v>
      </c>
      <c r="Q12" s="873" t="s">
        <v>194</v>
      </c>
      <c r="R12" s="873" t="s">
        <v>194</v>
      </c>
      <c r="S12" s="873" t="s">
        <v>194</v>
      </c>
      <c r="T12" s="872" t="s">
        <v>194</v>
      </c>
      <c r="U12" s="872" t="s">
        <v>194</v>
      </c>
      <c r="V12" s="872" t="s">
        <v>194</v>
      </c>
      <c r="W12" s="872" t="s">
        <v>194</v>
      </c>
      <c r="X12" s="872" t="s">
        <v>194</v>
      </c>
      <c r="Y12" s="872" t="s">
        <v>194</v>
      </c>
      <c r="Z12" s="872" t="s">
        <v>194</v>
      </c>
      <c r="AA12" s="872" t="s">
        <v>194</v>
      </c>
      <c r="AB12" s="872" t="s">
        <v>194</v>
      </c>
      <c r="AC12" s="15"/>
      <c r="AD12" s="851" t="s">
        <v>194</v>
      </c>
      <c r="AE12" s="846" t="s">
        <v>194</v>
      </c>
      <c r="AF12" s="846" t="s">
        <v>194</v>
      </c>
      <c r="AG12" s="846" t="s">
        <v>194</v>
      </c>
      <c r="AH12" s="846" t="s">
        <v>194</v>
      </c>
      <c r="AI12" s="846" t="s">
        <v>194</v>
      </c>
      <c r="AJ12" s="846" t="s">
        <v>194</v>
      </c>
      <c r="AK12" s="846" t="s">
        <v>194</v>
      </c>
      <c r="AL12" s="846" t="s">
        <v>194</v>
      </c>
      <c r="AM12" s="846" t="s">
        <v>194</v>
      </c>
      <c r="AN12" s="846" t="s">
        <v>194</v>
      </c>
      <c r="AO12" s="846" t="s">
        <v>194</v>
      </c>
      <c r="AP12" s="846" t="s">
        <v>194</v>
      </c>
      <c r="AQ12" s="846" t="s">
        <v>194</v>
      </c>
      <c r="AR12" s="846" t="s">
        <v>194</v>
      </c>
      <c r="AS12" s="846" t="s">
        <v>194</v>
      </c>
      <c r="AT12" s="846" t="s">
        <v>194</v>
      </c>
      <c r="AU12" s="846" t="s">
        <v>194</v>
      </c>
      <c r="AV12" s="846" t="s">
        <v>194</v>
      </c>
      <c r="AW12" s="846" t="s">
        <v>194</v>
      </c>
      <c r="AX12" s="846" t="s">
        <v>194</v>
      </c>
      <c r="AY12" s="846" t="s">
        <v>194</v>
      </c>
    </row>
    <row r="13" hidden="1" outlineLevel="3">
      <c r="A13" s="849">
        <v>1.0</v>
      </c>
      <c r="B13" s="15"/>
      <c r="C13" s="869" t="s">
        <v>232</v>
      </c>
      <c r="D13" s="870">
        <v>-7644.732</v>
      </c>
      <c r="E13" s="870">
        <v>-3405.6716923076924</v>
      </c>
      <c r="F13" s="870">
        <v>-61422.0</v>
      </c>
      <c r="G13" s="870">
        <v>53437.0</v>
      </c>
      <c r="H13" s="870">
        <v>-17143.0</v>
      </c>
      <c r="I13" s="870">
        <v>7428.0</v>
      </c>
      <c r="J13" s="870">
        <v>28628.701321934786</v>
      </c>
      <c r="K13" s="871">
        <v>-8.40618353982791</v>
      </c>
      <c r="L13" s="872" t="s">
        <v>194</v>
      </c>
      <c r="M13" s="873">
        <v>-12202.0</v>
      </c>
      <c r="N13" s="873">
        <v>-7319.0</v>
      </c>
      <c r="O13" s="873">
        <v>-9793.0</v>
      </c>
      <c r="P13" s="873">
        <v>7428.0</v>
      </c>
      <c r="Q13" s="873">
        <v>53437.0</v>
      </c>
      <c r="R13" s="873">
        <v>-17143.0</v>
      </c>
      <c r="S13" s="873">
        <v>41874.0</v>
      </c>
      <c r="T13" s="872">
        <v>-61422.0</v>
      </c>
      <c r="U13" s="872">
        <v>-19860.0</v>
      </c>
      <c r="V13" s="872">
        <v>-20476.0</v>
      </c>
      <c r="W13" s="872">
        <v>9205.0</v>
      </c>
      <c r="X13" s="872">
        <v>-358.0</v>
      </c>
      <c r="Y13" s="872">
        <v>-7644.732</v>
      </c>
      <c r="Z13" s="872" t="s">
        <v>194</v>
      </c>
      <c r="AA13" s="872" t="s">
        <v>194</v>
      </c>
      <c r="AB13" s="872" t="s">
        <v>194</v>
      </c>
      <c r="AC13" s="15"/>
      <c r="AD13" s="851" t="s">
        <v>194</v>
      </c>
      <c r="AE13" s="846" t="s">
        <v>194</v>
      </c>
      <c r="AF13" s="846" t="s">
        <v>194</v>
      </c>
      <c r="AG13" s="846" t="s">
        <v>194</v>
      </c>
      <c r="AH13" s="846" t="s">
        <v>194</v>
      </c>
      <c r="AI13" s="846" t="s">
        <v>194</v>
      </c>
      <c r="AJ13" s="846" t="s">
        <v>194</v>
      </c>
      <c r="AK13" s="846" t="s">
        <v>194</v>
      </c>
      <c r="AL13" s="846" t="s">
        <v>194</v>
      </c>
      <c r="AM13" s="846" t="s">
        <v>194</v>
      </c>
      <c r="AN13" s="846" t="s">
        <v>194</v>
      </c>
      <c r="AO13" s="846" t="s">
        <v>194</v>
      </c>
      <c r="AP13" s="846" t="s">
        <v>194</v>
      </c>
      <c r="AQ13" s="846" t="s">
        <v>194</v>
      </c>
      <c r="AR13" s="846" t="s">
        <v>194</v>
      </c>
      <c r="AS13" s="846" t="s">
        <v>194</v>
      </c>
      <c r="AT13" s="846" t="s">
        <v>194</v>
      </c>
      <c r="AU13" s="846" t="s">
        <v>194</v>
      </c>
      <c r="AV13" s="846" t="s">
        <v>194</v>
      </c>
      <c r="AW13" s="846" t="s">
        <v>194</v>
      </c>
      <c r="AX13" s="846" t="s">
        <v>194</v>
      </c>
      <c r="AY13" s="846" t="s">
        <v>194</v>
      </c>
    </row>
    <row r="14" hidden="1" outlineLevel="3">
      <c r="A14" s="849">
        <v>1.0</v>
      </c>
      <c r="B14" s="15"/>
      <c r="C14" s="869" t="s">
        <v>233</v>
      </c>
      <c r="D14" s="870" t="s">
        <v>194</v>
      </c>
      <c r="E14" s="870" t="s">
        <v>194</v>
      </c>
      <c r="F14" s="870" t="s">
        <v>194</v>
      </c>
      <c r="G14" s="870" t="s">
        <v>194</v>
      </c>
      <c r="H14" s="870" t="s">
        <v>194</v>
      </c>
      <c r="I14" s="870" t="s">
        <v>194</v>
      </c>
      <c r="J14" s="870" t="s">
        <v>194</v>
      </c>
      <c r="K14" s="871" t="s">
        <v>194</v>
      </c>
      <c r="L14" s="872" t="s">
        <v>194</v>
      </c>
      <c r="M14" s="873" t="s">
        <v>194</v>
      </c>
      <c r="N14" s="873" t="s">
        <v>194</v>
      </c>
      <c r="O14" s="873" t="s">
        <v>194</v>
      </c>
      <c r="P14" s="873" t="s">
        <v>194</v>
      </c>
      <c r="Q14" s="873" t="s">
        <v>194</v>
      </c>
      <c r="R14" s="873" t="s">
        <v>194</v>
      </c>
      <c r="S14" s="873" t="s">
        <v>194</v>
      </c>
      <c r="T14" s="872" t="s">
        <v>194</v>
      </c>
      <c r="U14" s="872" t="s">
        <v>194</v>
      </c>
      <c r="V14" s="872" t="s">
        <v>194</v>
      </c>
      <c r="W14" s="872" t="s">
        <v>194</v>
      </c>
      <c r="X14" s="872" t="s">
        <v>194</v>
      </c>
      <c r="Y14" s="872" t="s">
        <v>194</v>
      </c>
      <c r="Z14" s="872" t="s">
        <v>194</v>
      </c>
      <c r="AA14" s="872" t="s">
        <v>194</v>
      </c>
      <c r="AB14" s="872" t="s">
        <v>194</v>
      </c>
      <c r="AC14" s="15"/>
      <c r="AD14" s="851" t="s">
        <v>194</v>
      </c>
      <c r="AE14" s="846" t="s">
        <v>194</v>
      </c>
      <c r="AF14" s="846" t="s">
        <v>194</v>
      </c>
      <c r="AG14" s="846" t="s">
        <v>194</v>
      </c>
      <c r="AH14" s="846" t="s">
        <v>194</v>
      </c>
      <c r="AI14" s="846" t="s">
        <v>194</v>
      </c>
      <c r="AJ14" s="846" t="s">
        <v>194</v>
      </c>
      <c r="AK14" s="846" t="s">
        <v>194</v>
      </c>
      <c r="AL14" s="846" t="s">
        <v>194</v>
      </c>
      <c r="AM14" s="846" t="s">
        <v>194</v>
      </c>
      <c r="AN14" s="846" t="s">
        <v>194</v>
      </c>
      <c r="AO14" s="846" t="s">
        <v>194</v>
      </c>
      <c r="AP14" s="846" t="s">
        <v>194</v>
      </c>
      <c r="AQ14" s="846" t="s">
        <v>194</v>
      </c>
      <c r="AR14" s="846" t="s">
        <v>194</v>
      </c>
      <c r="AS14" s="846" t="s">
        <v>194</v>
      </c>
      <c r="AT14" s="846" t="s">
        <v>194</v>
      </c>
      <c r="AU14" s="846" t="s">
        <v>194</v>
      </c>
      <c r="AV14" s="846" t="s">
        <v>194</v>
      </c>
      <c r="AW14" s="846" t="s">
        <v>194</v>
      </c>
      <c r="AX14" s="846" t="s">
        <v>194</v>
      </c>
      <c r="AY14" s="846" t="s">
        <v>194</v>
      </c>
    </row>
    <row r="15" hidden="1" outlineLevel="4">
      <c r="A15" s="874">
        <v>1.0</v>
      </c>
      <c r="B15" s="850"/>
      <c r="C15" s="875" t="s">
        <v>234</v>
      </c>
      <c r="D15" s="873">
        <v>12132.0</v>
      </c>
      <c r="E15" s="873">
        <v>13905.407</v>
      </c>
      <c r="F15" s="873">
        <v>2656.291</v>
      </c>
      <c r="G15" s="873">
        <v>40168.0</v>
      </c>
      <c r="H15" s="873">
        <v>9378.0</v>
      </c>
      <c r="I15" s="873">
        <v>12550.0</v>
      </c>
      <c r="J15" s="873">
        <v>9950.215466734224</v>
      </c>
      <c r="K15" s="876">
        <v>0.7155644898947744</v>
      </c>
      <c r="L15" s="873" t="s">
        <v>194</v>
      </c>
      <c r="M15" s="873">
        <v>9378.0</v>
      </c>
      <c r="N15" s="873">
        <v>12318.0</v>
      </c>
      <c r="O15" s="873">
        <v>12550.0</v>
      </c>
      <c r="P15" s="873">
        <v>12488.0</v>
      </c>
      <c r="Q15" s="873">
        <v>14269.0</v>
      </c>
      <c r="R15" s="873">
        <v>28561.0</v>
      </c>
      <c r="S15" s="873">
        <v>40168.0</v>
      </c>
      <c r="T15" s="873">
        <v>12132.0</v>
      </c>
      <c r="U15" s="873">
        <v>12071.0</v>
      </c>
      <c r="V15" s="873">
        <v>10937.0</v>
      </c>
      <c r="W15" s="873">
        <v>8693.0</v>
      </c>
      <c r="X15" s="873">
        <v>4549.0</v>
      </c>
      <c r="Y15" s="873">
        <v>2656.291</v>
      </c>
      <c r="Z15" s="873" t="s">
        <v>194</v>
      </c>
      <c r="AA15" s="873" t="s">
        <v>194</v>
      </c>
      <c r="AB15" s="873" t="s">
        <v>194</v>
      </c>
      <c r="AC15" s="850"/>
      <c r="AD15" s="877" t="s">
        <v>194</v>
      </c>
      <c r="AE15" s="850" t="s">
        <v>194</v>
      </c>
      <c r="AF15" s="850" t="s">
        <v>194</v>
      </c>
      <c r="AG15" s="850" t="s">
        <v>194</v>
      </c>
      <c r="AH15" s="850" t="s">
        <v>194</v>
      </c>
      <c r="AI15" s="850" t="s">
        <v>194</v>
      </c>
      <c r="AJ15" s="850" t="s">
        <v>194</v>
      </c>
      <c r="AK15" s="850" t="s">
        <v>194</v>
      </c>
      <c r="AL15" s="850" t="s">
        <v>194</v>
      </c>
      <c r="AM15" s="850" t="s">
        <v>194</v>
      </c>
      <c r="AN15" s="850" t="s">
        <v>194</v>
      </c>
      <c r="AO15" s="850" t="s">
        <v>194</v>
      </c>
      <c r="AP15" s="850" t="s">
        <v>194</v>
      </c>
      <c r="AQ15" s="850" t="s">
        <v>194</v>
      </c>
      <c r="AR15" s="850" t="s">
        <v>194</v>
      </c>
      <c r="AS15" s="850" t="s">
        <v>194</v>
      </c>
      <c r="AT15" s="850" t="s">
        <v>194</v>
      </c>
      <c r="AU15" s="850" t="s">
        <v>194</v>
      </c>
      <c r="AV15" s="850" t="s">
        <v>194</v>
      </c>
      <c r="AW15" s="850" t="s">
        <v>194</v>
      </c>
      <c r="AX15" s="850" t="s">
        <v>194</v>
      </c>
      <c r="AY15" s="850" t="s">
        <v>194</v>
      </c>
    </row>
    <row r="16" hidden="1" outlineLevel="5">
      <c r="A16" s="874">
        <v>1.0</v>
      </c>
      <c r="B16" s="850"/>
      <c r="C16" s="875" t="s">
        <v>235</v>
      </c>
      <c r="D16" s="873">
        <v>12132.0</v>
      </c>
      <c r="E16" s="873">
        <v>13905.407</v>
      </c>
      <c r="F16" s="873">
        <v>2656.291</v>
      </c>
      <c r="G16" s="873">
        <v>40168.0</v>
      </c>
      <c r="H16" s="873">
        <v>9378.0</v>
      </c>
      <c r="I16" s="873">
        <v>12550.0</v>
      </c>
      <c r="J16" s="873">
        <v>9950.215466734224</v>
      </c>
      <c r="K16" s="876">
        <v>0.7155644898947744</v>
      </c>
      <c r="L16" s="873" t="s">
        <v>194</v>
      </c>
      <c r="M16" s="873">
        <v>9378.0</v>
      </c>
      <c r="N16" s="873">
        <v>12318.0</v>
      </c>
      <c r="O16" s="873">
        <v>12550.0</v>
      </c>
      <c r="P16" s="873">
        <v>12488.0</v>
      </c>
      <c r="Q16" s="873">
        <v>14269.0</v>
      </c>
      <c r="R16" s="873">
        <v>28561.0</v>
      </c>
      <c r="S16" s="873">
        <v>40168.0</v>
      </c>
      <c r="T16" s="873">
        <v>12132.0</v>
      </c>
      <c r="U16" s="873">
        <v>12071.0</v>
      </c>
      <c r="V16" s="873">
        <v>10937.0</v>
      </c>
      <c r="W16" s="873">
        <v>8693.0</v>
      </c>
      <c r="X16" s="873">
        <v>4549.0</v>
      </c>
      <c r="Y16" s="873">
        <v>2656.291</v>
      </c>
      <c r="Z16" s="873" t="s">
        <v>194</v>
      </c>
      <c r="AA16" s="873" t="s">
        <v>194</v>
      </c>
      <c r="AB16" s="873" t="s">
        <v>194</v>
      </c>
      <c r="AC16" s="850"/>
      <c r="AD16" s="877" t="s">
        <v>194</v>
      </c>
      <c r="AE16" s="850" t="s">
        <v>194</v>
      </c>
      <c r="AF16" s="850" t="s">
        <v>194</v>
      </c>
      <c r="AG16" s="850" t="s">
        <v>194</v>
      </c>
      <c r="AH16" s="850" t="s">
        <v>194</v>
      </c>
      <c r="AI16" s="850" t="s">
        <v>194</v>
      </c>
      <c r="AJ16" s="850" t="s">
        <v>194</v>
      </c>
      <c r="AK16" s="850" t="s">
        <v>194</v>
      </c>
      <c r="AL16" s="850" t="s">
        <v>194</v>
      </c>
      <c r="AM16" s="850" t="s">
        <v>194</v>
      </c>
      <c r="AN16" s="850" t="s">
        <v>194</v>
      </c>
      <c r="AO16" s="850" t="s">
        <v>194</v>
      </c>
      <c r="AP16" s="850" t="s">
        <v>194</v>
      </c>
      <c r="AQ16" s="850" t="s">
        <v>194</v>
      </c>
      <c r="AR16" s="850" t="s">
        <v>194</v>
      </c>
      <c r="AS16" s="850" t="s">
        <v>194</v>
      </c>
      <c r="AT16" s="850" t="s">
        <v>194</v>
      </c>
      <c r="AU16" s="850" t="s">
        <v>194</v>
      </c>
      <c r="AV16" s="850" t="s">
        <v>194</v>
      </c>
      <c r="AW16" s="850" t="s">
        <v>194</v>
      </c>
      <c r="AX16" s="850" t="s">
        <v>194</v>
      </c>
      <c r="AY16" s="850" t="s">
        <v>194</v>
      </c>
    </row>
    <row r="17" hidden="1" outlineLevel="6">
      <c r="A17" s="874">
        <v>1.0</v>
      </c>
      <c r="B17" s="850"/>
      <c r="C17" s="875" t="s">
        <v>236</v>
      </c>
      <c r="D17" s="873">
        <v>10015.5</v>
      </c>
      <c r="E17" s="873">
        <v>10985.666666666666</v>
      </c>
      <c r="F17" s="873">
        <v>3750.0</v>
      </c>
      <c r="G17" s="873">
        <v>22963.0</v>
      </c>
      <c r="H17" s="873">
        <v>8652.75</v>
      </c>
      <c r="I17" s="873">
        <v>11108.75</v>
      </c>
      <c r="J17" s="873">
        <v>5048.7968203655555</v>
      </c>
      <c r="K17" s="876">
        <v>0.4595803762811138</v>
      </c>
      <c r="L17" s="873" t="s">
        <v>194</v>
      </c>
      <c r="M17" s="873">
        <v>8037.0</v>
      </c>
      <c r="N17" s="873">
        <v>9978.0</v>
      </c>
      <c r="O17" s="873">
        <v>8858.0</v>
      </c>
      <c r="P17" s="873">
        <v>8987.0</v>
      </c>
      <c r="Q17" s="873">
        <v>10547.0</v>
      </c>
      <c r="R17" s="873">
        <v>18337.0</v>
      </c>
      <c r="S17" s="873">
        <v>22963.0</v>
      </c>
      <c r="T17" s="873">
        <v>10913.0</v>
      </c>
      <c r="U17" s="873">
        <v>11696.0</v>
      </c>
      <c r="V17" s="873">
        <v>10053.0</v>
      </c>
      <c r="W17" s="873">
        <v>7709.0</v>
      </c>
      <c r="X17" s="873">
        <v>3750.0</v>
      </c>
      <c r="Y17" s="873" t="s">
        <v>194</v>
      </c>
      <c r="Z17" s="873" t="s">
        <v>194</v>
      </c>
      <c r="AA17" s="873" t="s">
        <v>194</v>
      </c>
      <c r="AB17" s="873" t="s">
        <v>194</v>
      </c>
      <c r="AC17" s="850"/>
      <c r="AD17" s="877" t="s">
        <v>194</v>
      </c>
      <c r="AE17" s="850" t="s">
        <v>194</v>
      </c>
      <c r="AF17" s="850" t="s">
        <v>194</v>
      </c>
      <c r="AG17" s="850" t="s">
        <v>194</v>
      </c>
      <c r="AH17" s="850" t="s">
        <v>194</v>
      </c>
      <c r="AI17" s="850" t="s">
        <v>194</v>
      </c>
      <c r="AJ17" s="850" t="s">
        <v>194</v>
      </c>
      <c r="AK17" s="850" t="s">
        <v>194</v>
      </c>
      <c r="AL17" s="850" t="s">
        <v>194</v>
      </c>
      <c r="AM17" s="850" t="s">
        <v>194</v>
      </c>
      <c r="AN17" s="850" t="s">
        <v>194</v>
      </c>
      <c r="AO17" s="850" t="s">
        <v>194</v>
      </c>
      <c r="AP17" s="850" t="s">
        <v>194</v>
      </c>
      <c r="AQ17" s="850" t="s">
        <v>194</v>
      </c>
      <c r="AR17" s="850" t="s">
        <v>194</v>
      </c>
      <c r="AS17" s="850" t="s">
        <v>194</v>
      </c>
      <c r="AT17" s="850" t="s">
        <v>194</v>
      </c>
      <c r="AU17" s="850" t="s">
        <v>194</v>
      </c>
      <c r="AV17" s="850" t="s">
        <v>194</v>
      </c>
      <c r="AW17" s="850" t="s">
        <v>194</v>
      </c>
      <c r="AX17" s="850" t="s">
        <v>194</v>
      </c>
      <c r="AY17" s="850" t="s">
        <v>194</v>
      </c>
    </row>
    <row r="18" hidden="1" outlineLevel="6">
      <c r="A18" s="874">
        <v>1.0</v>
      </c>
      <c r="B18" s="850"/>
      <c r="C18" s="875" t="s">
        <v>237</v>
      </c>
      <c r="D18" s="873">
        <v>1840.5</v>
      </c>
      <c r="E18" s="873">
        <v>3857.1666666666665</v>
      </c>
      <c r="F18" s="873">
        <v>375.0</v>
      </c>
      <c r="G18" s="873">
        <v>17205.0</v>
      </c>
      <c r="H18" s="873">
        <v>959.0</v>
      </c>
      <c r="I18" s="873">
        <v>3699.5</v>
      </c>
      <c r="J18" s="873">
        <v>4982.1418693229325</v>
      </c>
      <c r="K18" s="876">
        <v>1.2916584373649742</v>
      </c>
      <c r="L18" s="873" t="s">
        <v>194</v>
      </c>
      <c r="M18" s="873">
        <v>1341.0</v>
      </c>
      <c r="N18" s="873">
        <v>2340.0</v>
      </c>
      <c r="O18" s="873">
        <v>3692.0</v>
      </c>
      <c r="P18" s="873">
        <v>3501.0</v>
      </c>
      <c r="Q18" s="873">
        <v>3722.0</v>
      </c>
      <c r="R18" s="873">
        <v>10224.0</v>
      </c>
      <c r="S18" s="873">
        <v>17205.0</v>
      </c>
      <c r="T18" s="873">
        <v>1219.0</v>
      </c>
      <c r="U18" s="873">
        <v>375.0</v>
      </c>
      <c r="V18" s="873">
        <v>884.0</v>
      </c>
      <c r="W18" s="873">
        <v>984.0</v>
      </c>
      <c r="X18" s="873">
        <v>799.0</v>
      </c>
      <c r="Y18" s="873" t="s">
        <v>194</v>
      </c>
      <c r="Z18" s="873" t="s">
        <v>194</v>
      </c>
      <c r="AA18" s="873" t="s">
        <v>194</v>
      </c>
      <c r="AB18" s="873" t="s">
        <v>194</v>
      </c>
      <c r="AC18" s="850"/>
      <c r="AD18" s="877" t="s">
        <v>194</v>
      </c>
      <c r="AE18" s="850" t="s">
        <v>194</v>
      </c>
      <c r="AF18" s="850" t="s">
        <v>194</v>
      </c>
      <c r="AG18" s="850" t="s">
        <v>194</v>
      </c>
      <c r="AH18" s="850" t="s">
        <v>194</v>
      </c>
      <c r="AI18" s="850" t="s">
        <v>194</v>
      </c>
      <c r="AJ18" s="850" t="s">
        <v>194</v>
      </c>
      <c r="AK18" s="850" t="s">
        <v>194</v>
      </c>
      <c r="AL18" s="850" t="s">
        <v>194</v>
      </c>
      <c r="AM18" s="850" t="s">
        <v>194</v>
      </c>
      <c r="AN18" s="850" t="s">
        <v>194</v>
      </c>
      <c r="AO18" s="850" t="s">
        <v>194</v>
      </c>
      <c r="AP18" s="850" t="s">
        <v>194</v>
      </c>
      <c r="AQ18" s="850" t="s">
        <v>194</v>
      </c>
      <c r="AR18" s="850" t="s">
        <v>194</v>
      </c>
      <c r="AS18" s="850" t="s">
        <v>194</v>
      </c>
      <c r="AT18" s="850" t="s">
        <v>194</v>
      </c>
      <c r="AU18" s="850" t="s">
        <v>194</v>
      </c>
      <c r="AV18" s="850" t="s">
        <v>194</v>
      </c>
      <c r="AW18" s="850" t="s">
        <v>194</v>
      </c>
      <c r="AX18" s="850" t="s">
        <v>194</v>
      </c>
      <c r="AY18" s="850" t="s">
        <v>194</v>
      </c>
    </row>
    <row r="19" hidden="1" outlineLevel="6">
      <c r="A19" s="874">
        <v>1.0</v>
      </c>
      <c r="B19" s="850"/>
      <c r="C19" s="878" t="s">
        <v>238</v>
      </c>
      <c r="D19" s="879">
        <v>12132.0</v>
      </c>
      <c r="E19" s="879">
        <v>13905.407</v>
      </c>
      <c r="F19" s="879">
        <v>2656.291</v>
      </c>
      <c r="G19" s="879">
        <v>40168.0</v>
      </c>
      <c r="H19" s="879">
        <v>9378.0</v>
      </c>
      <c r="I19" s="879">
        <v>12550.0</v>
      </c>
      <c r="J19" s="879">
        <v>9950.215466734224</v>
      </c>
      <c r="K19" s="880">
        <v>0.7155644898947744</v>
      </c>
      <c r="L19" s="879" t="s">
        <v>194</v>
      </c>
      <c r="M19" s="879">
        <v>9378.0</v>
      </c>
      <c r="N19" s="879">
        <v>12318.0</v>
      </c>
      <c r="O19" s="879">
        <v>12550.0</v>
      </c>
      <c r="P19" s="879">
        <v>12488.0</v>
      </c>
      <c r="Q19" s="879">
        <v>14269.0</v>
      </c>
      <c r="R19" s="879">
        <v>28561.0</v>
      </c>
      <c r="S19" s="879">
        <v>40168.0</v>
      </c>
      <c r="T19" s="879">
        <v>12132.0</v>
      </c>
      <c r="U19" s="879">
        <v>12071.0</v>
      </c>
      <c r="V19" s="879">
        <v>10937.0</v>
      </c>
      <c r="W19" s="879">
        <v>8693.0</v>
      </c>
      <c r="X19" s="879">
        <v>4549.0</v>
      </c>
      <c r="Y19" s="879">
        <v>2656.291</v>
      </c>
      <c r="Z19" s="879" t="s">
        <v>194</v>
      </c>
      <c r="AA19" s="879" t="s">
        <v>194</v>
      </c>
      <c r="AB19" s="879" t="s">
        <v>194</v>
      </c>
      <c r="AC19" s="850"/>
      <c r="AD19" s="877" t="s">
        <v>194</v>
      </c>
      <c r="AE19" s="850" t="s">
        <v>194</v>
      </c>
      <c r="AF19" s="850" t="s">
        <v>194</v>
      </c>
      <c r="AG19" s="850" t="s">
        <v>194</v>
      </c>
      <c r="AH19" s="850" t="s">
        <v>194</v>
      </c>
      <c r="AI19" s="850" t="s">
        <v>194</v>
      </c>
      <c r="AJ19" s="850" t="s">
        <v>194</v>
      </c>
      <c r="AK19" s="850" t="s">
        <v>194</v>
      </c>
      <c r="AL19" s="850" t="s">
        <v>194</v>
      </c>
      <c r="AM19" s="850" t="s">
        <v>194</v>
      </c>
      <c r="AN19" s="850" t="s">
        <v>194</v>
      </c>
      <c r="AO19" s="850" t="s">
        <v>194</v>
      </c>
      <c r="AP19" s="850" t="s">
        <v>194</v>
      </c>
      <c r="AQ19" s="850" t="s">
        <v>194</v>
      </c>
      <c r="AR19" s="850" t="s">
        <v>194</v>
      </c>
      <c r="AS19" s="850" t="s">
        <v>194</v>
      </c>
      <c r="AT19" s="850" t="s">
        <v>194</v>
      </c>
      <c r="AU19" s="850" t="s">
        <v>194</v>
      </c>
      <c r="AV19" s="850" t="s">
        <v>194</v>
      </c>
      <c r="AW19" s="850" t="s">
        <v>194</v>
      </c>
      <c r="AX19" s="850" t="s">
        <v>194</v>
      </c>
      <c r="AY19" s="850" t="s">
        <v>194</v>
      </c>
    </row>
    <row r="20" hidden="1" outlineLevel="5">
      <c r="A20" s="874">
        <v>1.0</v>
      </c>
      <c r="B20" s="850"/>
      <c r="C20" s="878" t="s">
        <v>239</v>
      </c>
      <c r="D20" s="879">
        <v>12132.0</v>
      </c>
      <c r="E20" s="879">
        <v>13905.407</v>
      </c>
      <c r="F20" s="879">
        <v>2656.291</v>
      </c>
      <c r="G20" s="879">
        <v>40168.0</v>
      </c>
      <c r="H20" s="879">
        <v>9378.0</v>
      </c>
      <c r="I20" s="879">
        <v>12550.0</v>
      </c>
      <c r="J20" s="879">
        <v>9950.215466734224</v>
      </c>
      <c r="K20" s="880">
        <v>0.7155644898947744</v>
      </c>
      <c r="L20" s="879" t="s">
        <v>194</v>
      </c>
      <c r="M20" s="879">
        <v>9378.0</v>
      </c>
      <c r="N20" s="879">
        <v>12318.0</v>
      </c>
      <c r="O20" s="879">
        <v>12550.0</v>
      </c>
      <c r="P20" s="879">
        <v>12488.0</v>
      </c>
      <c r="Q20" s="879">
        <v>14269.0</v>
      </c>
      <c r="R20" s="879">
        <v>28561.0</v>
      </c>
      <c r="S20" s="879">
        <v>40168.0</v>
      </c>
      <c r="T20" s="879">
        <v>12132.0</v>
      </c>
      <c r="U20" s="879">
        <v>12071.0</v>
      </c>
      <c r="V20" s="879">
        <v>10937.0</v>
      </c>
      <c r="W20" s="879">
        <v>8693.0</v>
      </c>
      <c r="X20" s="879">
        <v>4549.0</v>
      </c>
      <c r="Y20" s="879">
        <v>2656.291</v>
      </c>
      <c r="Z20" s="879" t="s">
        <v>194</v>
      </c>
      <c r="AA20" s="879" t="s">
        <v>194</v>
      </c>
      <c r="AB20" s="879" t="s">
        <v>194</v>
      </c>
      <c r="AC20" s="850"/>
      <c r="AD20" s="877" t="s">
        <v>194</v>
      </c>
      <c r="AE20" s="850" t="s">
        <v>194</v>
      </c>
      <c r="AF20" s="850" t="s">
        <v>194</v>
      </c>
      <c r="AG20" s="850" t="s">
        <v>194</v>
      </c>
      <c r="AH20" s="850" t="s">
        <v>194</v>
      </c>
      <c r="AI20" s="850" t="s">
        <v>194</v>
      </c>
      <c r="AJ20" s="850" t="s">
        <v>194</v>
      </c>
      <c r="AK20" s="850" t="s">
        <v>194</v>
      </c>
      <c r="AL20" s="850" t="s">
        <v>194</v>
      </c>
      <c r="AM20" s="850" t="s">
        <v>194</v>
      </c>
      <c r="AN20" s="850" t="s">
        <v>194</v>
      </c>
      <c r="AO20" s="850" t="s">
        <v>194</v>
      </c>
      <c r="AP20" s="850" t="s">
        <v>194</v>
      </c>
      <c r="AQ20" s="850" t="s">
        <v>194</v>
      </c>
      <c r="AR20" s="850" t="s">
        <v>194</v>
      </c>
      <c r="AS20" s="850" t="s">
        <v>194</v>
      </c>
      <c r="AT20" s="850" t="s">
        <v>194</v>
      </c>
      <c r="AU20" s="850" t="s">
        <v>194</v>
      </c>
      <c r="AV20" s="850" t="s">
        <v>194</v>
      </c>
      <c r="AW20" s="850" t="s">
        <v>194</v>
      </c>
      <c r="AX20" s="850" t="s">
        <v>194</v>
      </c>
      <c r="AY20" s="850" t="s">
        <v>194</v>
      </c>
    </row>
    <row r="21" ht="15.75" hidden="1" customHeight="1" outlineLevel="4">
      <c r="A21" s="874">
        <v>1.0</v>
      </c>
      <c r="B21" s="850"/>
      <c r="C21" s="875" t="s">
        <v>240</v>
      </c>
      <c r="D21" s="873">
        <v>344.5</v>
      </c>
      <c r="E21" s="873">
        <v>377.25</v>
      </c>
      <c r="F21" s="873">
        <v>259.0</v>
      </c>
      <c r="G21" s="873">
        <v>561.0</v>
      </c>
      <c r="H21" s="873">
        <v>265.75</v>
      </c>
      <c r="I21" s="873">
        <v>456.0</v>
      </c>
      <c r="J21" s="873">
        <v>143.29078825939928</v>
      </c>
      <c r="K21" s="876">
        <v>0.37982978995201927</v>
      </c>
      <c r="L21" s="873" t="s">
        <v>194</v>
      </c>
      <c r="M21" s="873">
        <v>268.0</v>
      </c>
      <c r="N21" s="873" t="s">
        <v>194</v>
      </c>
      <c r="O21" s="873" t="s">
        <v>194</v>
      </c>
      <c r="P21" s="873">
        <v>259.0</v>
      </c>
      <c r="Q21" s="873" t="s">
        <v>194</v>
      </c>
      <c r="R21" s="873" t="s">
        <v>194</v>
      </c>
      <c r="S21" s="873" t="s">
        <v>194</v>
      </c>
      <c r="T21" s="873">
        <v>561.0</v>
      </c>
      <c r="U21" s="873">
        <v>421.0</v>
      </c>
      <c r="V21" s="873" t="s">
        <v>194</v>
      </c>
      <c r="W21" s="873" t="s">
        <v>194</v>
      </c>
      <c r="X21" s="873" t="s">
        <v>194</v>
      </c>
      <c r="Y21" s="873" t="s">
        <v>194</v>
      </c>
      <c r="Z21" s="873" t="s">
        <v>194</v>
      </c>
      <c r="AA21" s="873" t="s">
        <v>194</v>
      </c>
      <c r="AB21" s="873" t="s">
        <v>194</v>
      </c>
      <c r="AC21" s="850"/>
      <c r="AD21" s="877" t="s">
        <v>194</v>
      </c>
      <c r="AE21" s="850" t="s">
        <v>194</v>
      </c>
      <c r="AF21" s="850" t="s">
        <v>194</v>
      </c>
      <c r="AG21" s="850" t="s">
        <v>194</v>
      </c>
      <c r="AH21" s="850" t="s">
        <v>194</v>
      </c>
      <c r="AI21" s="850" t="s">
        <v>194</v>
      </c>
      <c r="AJ21" s="850" t="s">
        <v>194</v>
      </c>
      <c r="AK21" s="850" t="s">
        <v>194</v>
      </c>
      <c r="AL21" s="850" t="s">
        <v>194</v>
      </c>
      <c r="AM21" s="850" t="s">
        <v>194</v>
      </c>
      <c r="AN21" s="850" t="s">
        <v>194</v>
      </c>
      <c r="AO21" s="850" t="s">
        <v>194</v>
      </c>
      <c r="AP21" s="850" t="s">
        <v>194</v>
      </c>
      <c r="AQ21" s="850" t="s">
        <v>194</v>
      </c>
      <c r="AR21" s="850" t="s">
        <v>194</v>
      </c>
      <c r="AS21" s="850" t="s">
        <v>194</v>
      </c>
      <c r="AT21" s="850" t="s">
        <v>194</v>
      </c>
      <c r="AU21" s="850" t="s">
        <v>194</v>
      </c>
      <c r="AV21" s="850" t="s">
        <v>194</v>
      </c>
      <c r="AW21" s="850" t="s">
        <v>194</v>
      </c>
      <c r="AX21" s="850" t="s">
        <v>194</v>
      </c>
      <c r="AY21" s="850" t="s">
        <v>194</v>
      </c>
    </row>
    <row r="22" ht="15.75" hidden="1" customHeight="1" outlineLevel="4">
      <c r="A22" s="849">
        <v>1.0</v>
      </c>
      <c r="B22" s="15"/>
      <c r="C22" s="869" t="s">
        <v>241</v>
      </c>
      <c r="D22" s="870">
        <v>4021.5</v>
      </c>
      <c r="E22" s="870">
        <v>5685.75</v>
      </c>
      <c r="F22" s="870">
        <v>779.0</v>
      </c>
      <c r="G22" s="870">
        <v>16625.0</v>
      </c>
      <c r="H22" s="870">
        <v>3658.25</v>
      </c>
      <c r="I22" s="870">
        <v>6796.5</v>
      </c>
      <c r="J22" s="870">
        <v>4100.722444665307</v>
      </c>
      <c r="K22" s="871">
        <v>0.7212280604432674</v>
      </c>
      <c r="L22" s="872" t="s">
        <v>194</v>
      </c>
      <c r="M22" s="873">
        <v>3747.0</v>
      </c>
      <c r="N22" s="873">
        <v>3303.0</v>
      </c>
      <c r="O22" s="873">
        <v>4037.0</v>
      </c>
      <c r="P22" s="873">
        <v>4952.0</v>
      </c>
      <c r="Q22" s="873">
        <v>6502.0</v>
      </c>
      <c r="R22" s="873">
        <v>7680.0</v>
      </c>
      <c r="S22" s="873">
        <v>9261.0</v>
      </c>
      <c r="T22" s="872">
        <v>4006.0</v>
      </c>
      <c r="U22" s="872">
        <v>3945.0</v>
      </c>
      <c r="V22" s="872">
        <v>16625.0</v>
      </c>
      <c r="W22" s="872">
        <v>3392.0</v>
      </c>
      <c r="X22" s="872">
        <v>779.0</v>
      </c>
      <c r="Y22" s="872" t="s">
        <v>194</v>
      </c>
      <c r="Z22" s="872" t="s">
        <v>194</v>
      </c>
      <c r="AA22" s="872" t="s">
        <v>194</v>
      </c>
      <c r="AB22" s="872" t="s">
        <v>194</v>
      </c>
      <c r="AC22" s="15"/>
      <c r="AD22" s="851" t="s">
        <v>194</v>
      </c>
      <c r="AE22" s="846" t="s">
        <v>194</v>
      </c>
      <c r="AF22" s="846" t="s">
        <v>194</v>
      </c>
      <c r="AG22" s="846" t="s">
        <v>194</v>
      </c>
      <c r="AH22" s="846" t="s">
        <v>194</v>
      </c>
      <c r="AI22" s="846" t="s">
        <v>194</v>
      </c>
      <c r="AJ22" s="846" t="s">
        <v>194</v>
      </c>
      <c r="AK22" s="846" t="s">
        <v>194</v>
      </c>
      <c r="AL22" s="846" t="s">
        <v>194</v>
      </c>
      <c r="AM22" s="846" t="s">
        <v>194</v>
      </c>
      <c r="AN22" s="846" t="s">
        <v>194</v>
      </c>
      <c r="AO22" s="846" t="s">
        <v>194</v>
      </c>
      <c r="AP22" s="846" t="s">
        <v>194</v>
      </c>
      <c r="AQ22" s="846" t="s">
        <v>194</v>
      </c>
      <c r="AR22" s="846" t="s">
        <v>194</v>
      </c>
      <c r="AS22" s="846" t="s">
        <v>194</v>
      </c>
      <c r="AT22" s="846" t="s">
        <v>194</v>
      </c>
      <c r="AU22" s="846" t="s">
        <v>194</v>
      </c>
      <c r="AV22" s="846" t="s">
        <v>194</v>
      </c>
      <c r="AW22" s="846" t="s">
        <v>194</v>
      </c>
      <c r="AX22" s="846" t="s">
        <v>194</v>
      </c>
      <c r="AY22" s="846" t="s">
        <v>194</v>
      </c>
    </row>
    <row r="23" ht="15.75" hidden="1" customHeight="1" outlineLevel="4">
      <c r="A23" s="849">
        <v>1.0</v>
      </c>
      <c r="B23" s="15"/>
      <c r="C23" s="869" t="s">
        <v>242</v>
      </c>
      <c r="D23" s="870">
        <v>0.0</v>
      </c>
      <c r="E23" s="870">
        <v>-5050.285714285715</v>
      </c>
      <c r="F23" s="870">
        <v>-38141.0</v>
      </c>
      <c r="G23" s="870">
        <v>6050.0</v>
      </c>
      <c r="H23" s="870">
        <v>-1663.5</v>
      </c>
      <c r="I23" s="870">
        <v>33.0</v>
      </c>
      <c r="J23" s="870">
        <v>14827.526110967689</v>
      </c>
      <c r="K23" s="871">
        <v>-2.935977675287786</v>
      </c>
      <c r="L23" s="872" t="s">
        <v>194</v>
      </c>
      <c r="M23" s="873">
        <v>-1033.0</v>
      </c>
      <c r="N23" s="873">
        <v>53.0</v>
      </c>
      <c r="O23" s="873" t="s">
        <v>194</v>
      </c>
      <c r="P23" s="873" t="s">
        <v>194</v>
      </c>
      <c r="Q23" s="873">
        <v>-38141.0</v>
      </c>
      <c r="R23" s="873">
        <v>6050.0</v>
      </c>
      <c r="S23" s="873">
        <v>-2294.0</v>
      </c>
      <c r="T23" s="872">
        <v>13.0</v>
      </c>
      <c r="U23" s="872">
        <v>0.0</v>
      </c>
      <c r="V23" s="872" t="s">
        <v>194</v>
      </c>
      <c r="W23" s="872" t="s">
        <v>194</v>
      </c>
      <c r="X23" s="872" t="s">
        <v>194</v>
      </c>
      <c r="Y23" s="872" t="s">
        <v>194</v>
      </c>
      <c r="Z23" s="872" t="s">
        <v>194</v>
      </c>
      <c r="AA23" s="872" t="s">
        <v>194</v>
      </c>
      <c r="AB23" s="872" t="s">
        <v>194</v>
      </c>
      <c r="AC23" s="15"/>
      <c r="AD23" s="851" t="s">
        <v>194</v>
      </c>
      <c r="AE23" s="846" t="s">
        <v>194</v>
      </c>
      <c r="AF23" s="846" t="s">
        <v>194</v>
      </c>
      <c r="AG23" s="846" t="s">
        <v>194</v>
      </c>
      <c r="AH23" s="846" t="s">
        <v>194</v>
      </c>
      <c r="AI23" s="846" t="s">
        <v>194</v>
      </c>
      <c r="AJ23" s="846" t="s">
        <v>194</v>
      </c>
      <c r="AK23" s="846" t="s">
        <v>194</v>
      </c>
      <c r="AL23" s="846" t="s">
        <v>194</v>
      </c>
      <c r="AM23" s="846" t="s">
        <v>194</v>
      </c>
      <c r="AN23" s="846" t="s">
        <v>194</v>
      </c>
      <c r="AO23" s="846" t="s">
        <v>194</v>
      </c>
      <c r="AP23" s="846" t="s">
        <v>194</v>
      </c>
      <c r="AQ23" s="846" t="s">
        <v>194</v>
      </c>
      <c r="AR23" s="846" t="s">
        <v>194</v>
      </c>
      <c r="AS23" s="846" t="s">
        <v>194</v>
      </c>
      <c r="AT23" s="846" t="s">
        <v>194</v>
      </c>
      <c r="AU23" s="846" t="s">
        <v>194</v>
      </c>
      <c r="AV23" s="846" t="s">
        <v>194</v>
      </c>
      <c r="AW23" s="846" t="s">
        <v>194</v>
      </c>
      <c r="AX23" s="846" t="s">
        <v>194</v>
      </c>
      <c r="AY23" s="846" t="s">
        <v>194</v>
      </c>
    </row>
    <row r="24" ht="15.75" hidden="1" customHeight="1" outlineLevel="4">
      <c r="A24" s="849">
        <v>1.0</v>
      </c>
      <c r="B24" s="15"/>
      <c r="C24" s="869" t="s">
        <v>243</v>
      </c>
      <c r="D24" s="870">
        <v>678.0</v>
      </c>
      <c r="E24" s="870">
        <v>712.6666666666666</v>
      </c>
      <c r="F24" s="870">
        <v>217.0</v>
      </c>
      <c r="G24" s="870">
        <v>1243.0</v>
      </c>
      <c r="H24" s="870">
        <v>447.5</v>
      </c>
      <c r="I24" s="870">
        <v>960.5</v>
      </c>
      <c r="J24" s="870">
        <v>513.8777416208386</v>
      </c>
      <c r="K24" s="871">
        <v>0.721063248298651</v>
      </c>
      <c r="L24" s="872" t="s">
        <v>194</v>
      </c>
      <c r="M24" s="873" t="s">
        <v>194</v>
      </c>
      <c r="N24" s="873" t="s">
        <v>194</v>
      </c>
      <c r="O24" s="873" t="s">
        <v>194</v>
      </c>
      <c r="P24" s="873" t="s">
        <v>194</v>
      </c>
      <c r="Q24" s="873">
        <v>217.0</v>
      </c>
      <c r="R24" s="873">
        <v>678.0</v>
      </c>
      <c r="S24" s="873">
        <v>1243.0</v>
      </c>
      <c r="T24" s="872" t="s">
        <v>194</v>
      </c>
      <c r="U24" s="872" t="s">
        <v>194</v>
      </c>
      <c r="V24" s="872" t="s">
        <v>194</v>
      </c>
      <c r="W24" s="872" t="s">
        <v>194</v>
      </c>
      <c r="X24" s="872" t="s">
        <v>194</v>
      </c>
      <c r="Y24" s="872" t="s">
        <v>194</v>
      </c>
      <c r="Z24" s="872" t="s">
        <v>194</v>
      </c>
      <c r="AA24" s="872" t="s">
        <v>194</v>
      </c>
      <c r="AB24" s="872" t="s">
        <v>194</v>
      </c>
      <c r="AC24" s="15"/>
      <c r="AD24" s="851" t="s">
        <v>194</v>
      </c>
      <c r="AE24" s="846" t="s">
        <v>194</v>
      </c>
      <c r="AF24" s="846" t="s">
        <v>194</v>
      </c>
      <c r="AG24" s="846" t="s">
        <v>194</v>
      </c>
      <c r="AH24" s="846" t="s">
        <v>194</v>
      </c>
      <c r="AI24" s="846" t="s">
        <v>194</v>
      </c>
      <c r="AJ24" s="846" t="s">
        <v>194</v>
      </c>
      <c r="AK24" s="846" t="s">
        <v>194</v>
      </c>
      <c r="AL24" s="846" t="s">
        <v>194</v>
      </c>
      <c r="AM24" s="846" t="s">
        <v>194</v>
      </c>
      <c r="AN24" s="846" t="s">
        <v>194</v>
      </c>
      <c r="AO24" s="846" t="s">
        <v>194</v>
      </c>
      <c r="AP24" s="846" t="s">
        <v>194</v>
      </c>
      <c r="AQ24" s="846" t="s">
        <v>194</v>
      </c>
      <c r="AR24" s="846" t="s">
        <v>194</v>
      </c>
      <c r="AS24" s="846" t="s">
        <v>194</v>
      </c>
      <c r="AT24" s="846" t="s">
        <v>194</v>
      </c>
      <c r="AU24" s="846" t="s">
        <v>194</v>
      </c>
      <c r="AV24" s="846" t="s">
        <v>194</v>
      </c>
      <c r="AW24" s="846" t="s">
        <v>194</v>
      </c>
      <c r="AX24" s="846" t="s">
        <v>194</v>
      </c>
      <c r="AY24" s="846" t="s">
        <v>194</v>
      </c>
    </row>
    <row r="25" ht="15.75" hidden="1" customHeight="1" outlineLevel="4">
      <c r="A25" s="849">
        <v>1.0</v>
      </c>
      <c r="B25" s="15"/>
      <c r="C25" s="869" t="s">
        <v>244</v>
      </c>
      <c r="D25" s="870">
        <v>11912.0</v>
      </c>
      <c r="E25" s="870">
        <v>11680.8</v>
      </c>
      <c r="F25" s="870">
        <v>7787.0</v>
      </c>
      <c r="G25" s="870">
        <v>18578.0</v>
      </c>
      <c r="H25" s="870">
        <v>8047.0</v>
      </c>
      <c r="I25" s="870">
        <v>12080.0</v>
      </c>
      <c r="J25" s="870">
        <v>4363.20876190906</v>
      </c>
      <c r="K25" s="871">
        <v>0.37353680928609856</v>
      </c>
      <c r="L25" s="872" t="s">
        <v>194</v>
      </c>
      <c r="M25" s="873">
        <v>11912.0</v>
      </c>
      <c r="N25" s="873">
        <v>7787.0</v>
      </c>
      <c r="O25" s="873" t="s">
        <v>194</v>
      </c>
      <c r="P25" s="873">
        <v>8047.0</v>
      </c>
      <c r="Q25" s="873" t="s">
        <v>194</v>
      </c>
      <c r="R25" s="873" t="s">
        <v>194</v>
      </c>
      <c r="S25" s="873" t="s">
        <v>194</v>
      </c>
      <c r="T25" s="872">
        <v>12080.0</v>
      </c>
      <c r="U25" s="872">
        <v>18578.0</v>
      </c>
      <c r="V25" s="872" t="s">
        <v>194</v>
      </c>
      <c r="W25" s="872" t="s">
        <v>194</v>
      </c>
      <c r="X25" s="872" t="s">
        <v>194</v>
      </c>
      <c r="Y25" s="872" t="s">
        <v>194</v>
      </c>
      <c r="Z25" s="872" t="s">
        <v>194</v>
      </c>
      <c r="AA25" s="872" t="s">
        <v>194</v>
      </c>
      <c r="AB25" s="872" t="s">
        <v>194</v>
      </c>
      <c r="AC25" s="15"/>
      <c r="AD25" s="851" t="s">
        <v>194</v>
      </c>
      <c r="AE25" s="846" t="s">
        <v>194</v>
      </c>
      <c r="AF25" s="846" t="s">
        <v>194</v>
      </c>
      <c r="AG25" s="846" t="s">
        <v>194</v>
      </c>
      <c r="AH25" s="846" t="s">
        <v>194</v>
      </c>
      <c r="AI25" s="846" t="s">
        <v>194</v>
      </c>
      <c r="AJ25" s="846" t="s">
        <v>194</v>
      </c>
      <c r="AK25" s="846" t="s">
        <v>194</v>
      </c>
      <c r="AL25" s="846" t="s">
        <v>194</v>
      </c>
      <c r="AM25" s="846" t="s">
        <v>194</v>
      </c>
      <c r="AN25" s="846" t="s">
        <v>194</v>
      </c>
      <c r="AO25" s="846" t="s">
        <v>194</v>
      </c>
      <c r="AP25" s="846" t="s">
        <v>194</v>
      </c>
      <c r="AQ25" s="846" t="s">
        <v>194</v>
      </c>
      <c r="AR25" s="846" t="s">
        <v>194</v>
      </c>
      <c r="AS25" s="846" t="s">
        <v>194</v>
      </c>
      <c r="AT25" s="846" t="s">
        <v>194</v>
      </c>
      <c r="AU25" s="846" t="s">
        <v>194</v>
      </c>
      <c r="AV25" s="846" t="s">
        <v>194</v>
      </c>
      <c r="AW25" s="846" t="s">
        <v>194</v>
      </c>
      <c r="AX25" s="846" t="s">
        <v>194</v>
      </c>
      <c r="AY25" s="846" t="s">
        <v>194</v>
      </c>
    </row>
    <row r="26" ht="15.75" hidden="1" customHeight="1" outlineLevel="4">
      <c r="A26" s="874">
        <v>1.0</v>
      </c>
      <c r="B26" s="850"/>
      <c r="C26" s="875" t="s">
        <v>245</v>
      </c>
      <c r="D26" s="873">
        <v>615.0</v>
      </c>
      <c r="E26" s="873">
        <v>10724.4</v>
      </c>
      <c r="F26" s="873">
        <v>0.0</v>
      </c>
      <c r="G26" s="873">
        <v>45999.0</v>
      </c>
      <c r="H26" s="873">
        <v>254.25</v>
      </c>
      <c r="I26" s="873">
        <v>19149.25</v>
      </c>
      <c r="J26" s="873">
        <v>15983.176031203699</v>
      </c>
      <c r="K26" s="876">
        <v>1.4903561999928854</v>
      </c>
      <c r="L26" s="873" t="s">
        <v>194</v>
      </c>
      <c r="M26" s="873">
        <v>0.0</v>
      </c>
      <c r="N26" s="873" t="s">
        <v>194</v>
      </c>
      <c r="O26" s="873">
        <v>203.0</v>
      </c>
      <c r="P26" s="873" t="s">
        <v>194</v>
      </c>
      <c r="Q26" s="873">
        <v>9931.0</v>
      </c>
      <c r="R26" s="873">
        <v>27201.0</v>
      </c>
      <c r="S26" s="873">
        <v>22222.0</v>
      </c>
      <c r="T26" s="873">
        <v>45999.0</v>
      </c>
      <c r="U26" s="873">
        <v>807.0</v>
      </c>
      <c r="V26" s="873">
        <v>408.0</v>
      </c>
      <c r="W26" s="873">
        <v>423.0</v>
      </c>
      <c r="X26" s="873">
        <v>50.0</v>
      </c>
      <c r="Y26" s="873" t="s">
        <v>194</v>
      </c>
      <c r="Z26" s="873" t="s">
        <v>194</v>
      </c>
      <c r="AA26" s="873" t="s">
        <v>194</v>
      </c>
      <c r="AB26" s="873" t="s">
        <v>194</v>
      </c>
      <c r="AC26" s="850"/>
      <c r="AD26" s="877" t="s">
        <v>194</v>
      </c>
      <c r="AE26" s="850" t="s">
        <v>194</v>
      </c>
      <c r="AF26" s="850" t="s">
        <v>194</v>
      </c>
      <c r="AG26" s="850" t="s">
        <v>194</v>
      </c>
      <c r="AH26" s="850" t="s">
        <v>194</v>
      </c>
      <c r="AI26" s="850" t="s">
        <v>194</v>
      </c>
      <c r="AJ26" s="850" t="s">
        <v>194</v>
      </c>
      <c r="AK26" s="850" t="s">
        <v>194</v>
      </c>
      <c r="AL26" s="850" t="s">
        <v>194</v>
      </c>
      <c r="AM26" s="850" t="s">
        <v>194</v>
      </c>
      <c r="AN26" s="850" t="s">
        <v>194</v>
      </c>
      <c r="AO26" s="850" t="s">
        <v>194</v>
      </c>
      <c r="AP26" s="850" t="s">
        <v>194</v>
      </c>
      <c r="AQ26" s="850" t="s">
        <v>194</v>
      </c>
      <c r="AR26" s="850" t="s">
        <v>194</v>
      </c>
      <c r="AS26" s="850" t="s">
        <v>194</v>
      </c>
      <c r="AT26" s="850" t="s">
        <v>194</v>
      </c>
      <c r="AU26" s="850" t="s">
        <v>194</v>
      </c>
      <c r="AV26" s="850" t="s">
        <v>194</v>
      </c>
      <c r="AW26" s="850" t="s">
        <v>194</v>
      </c>
      <c r="AX26" s="850" t="s">
        <v>194</v>
      </c>
      <c r="AY26" s="850" t="s">
        <v>194</v>
      </c>
    </row>
    <row r="27" ht="15.75" hidden="1" customHeight="1" outlineLevel="5">
      <c r="A27" s="849">
        <v>1.0</v>
      </c>
      <c r="B27" s="15"/>
      <c r="C27" s="869" t="s">
        <v>246</v>
      </c>
      <c r="D27" s="870">
        <v>415.5</v>
      </c>
      <c r="E27" s="870">
        <v>422.0</v>
      </c>
      <c r="F27" s="870">
        <v>50.0</v>
      </c>
      <c r="G27" s="870">
        <v>807.0</v>
      </c>
      <c r="H27" s="870">
        <v>318.5</v>
      </c>
      <c r="I27" s="870">
        <v>519.0</v>
      </c>
      <c r="J27" s="870">
        <v>309.19573088902763</v>
      </c>
      <c r="K27" s="871">
        <v>0.7326913054242361</v>
      </c>
      <c r="L27" s="872" t="s">
        <v>194</v>
      </c>
      <c r="M27" s="873" t="s">
        <v>194</v>
      </c>
      <c r="N27" s="873" t="s">
        <v>194</v>
      </c>
      <c r="O27" s="873" t="s">
        <v>194</v>
      </c>
      <c r="P27" s="873" t="s">
        <v>194</v>
      </c>
      <c r="Q27" s="873" t="s">
        <v>194</v>
      </c>
      <c r="R27" s="873" t="s">
        <v>194</v>
      </c>
      <c r="S27" s="873" t="s">
        <v>194</v>
      </c>
      <c r="T27" s="872" t="s">
        <v>194</v>
      </c>
      <c r="U27" s="872">
        <v>807.0</v>
      </c>
      <c r="V27" s="872">
        <v>408.0</v>
      </c>
      <c r="W27" s="872">
        <v>423.0</v>
      </c>
      <c r="X27" s="872">
        <v>50.0</v>
      </c>
      <c r="Y27" s="872" t="s">
        <v>194</v>
      </c>
      <c r="Z27" s="872" t="s">
        <v>194</v>
      </c>
      <c r="AA27" s="872" t="s">
        <v>194</v>
      </c>
      <c r="AB27" s="872" t="s">
        <v>194</v>
      </c>
      <c r="AC27" s="15"/>
      <c r="AD27" s="851" t="s">
        <v>194</v>
      </c>
      <c r="AE27" s="846" t="s">
        <v>194</v>
      </c>
      <c r="AF27" s="846" t="s">
        <v>194</v>
      </c>
      <c r="AG27" s="846" t="s">
        <v>194</v>
      </c>
      <c r="AH27" s="846" t="s">
        <v>194</v>
      </c>
      <c r="AI27" s="846" t="s">
        <v>194</v>
      </c>
      <c r="AJ27" s="846" t="s">
        <v>194</v>
      </c>
      <c r="AK27" s="846" t="s">
        <v>194</v>
      </c>
      <c r="AL27" s="846" t="s">
        <v>194</v>
      </c>
      <c r="AM27" s="846" t="s">
        <v>194</v>
      </c>
      <c r="AN27" s="846" t="s">
        <v>194</v>
      </c>
      <c r="AO27" s="846" t="s">
        <v>194</v>
      </c>
      <c r="AP27" s="846" t="s">
        <v>194</v>
      </c>
      <c r="AQ27" s="846" t="s">
        <v>194</v>
      </c>
      <c r="AR27" s="846" t="s">
        <v>194</v>
      </c>
      <c r="AS27" s="846" t="s">
        <v>194</v>
      </c>
      <c r="AT27" s="846" t="s">
        <v>194</v>
      </c>
      <c r="AU27" s="846" t="s">
        <v>194</v>
      </c>
      <c r="AV27" s="846" t="s">
        <v>194</v>
      </c>
      <c r="AW27" s="846" t="s">
        <v>194</v>
      </c>
      <c r="AX27" s="846" t="s">
        <v>194</v>
      </c>
      <c r="AY27" s="846" t="s">
        <v>194</v>
      </c>
    </row>
    <row r="28" ht="15.75" hidden="1" customHeight="1" outlineLevel="6">
      <c r="A28" s="849">
        <v>1.0</v>
      </c>
      <c r="B28" s="15"/>
      <c r="C28" s="869" t="s">
        <v>247</v>
      </c>
      <c r="D28" s="870">
        <v>415.5</v>
      </c>
      <c r="E28" s="870">
        <v>422.0</v>
      </c>
      <c r="F28" s="870">
        <v>50.0</v>
      </c>
      <c r="G28" s="870">
        <v>807.0</v>
      </c>
      <c r="H28" s="870">
        <v>318.5</v>
      </c>
      <c r="I28" s="870">
        <v>519.0</v>
      </c>
      <c r="J28" s="870">
        <v>309.19573088902763</v>
      </c>
      <c r="K28" s="871">
        <v>0.7326913054242361</v>
      </c>
      <c r="L28" s="872" t="s">
        <v>194</v>
      </c>
      <c r="M28" s="873" t="s">
        <v>194</v>
      </c>
      <c r="N28" s="873" t="s">
        <v>194</v>
      </c>
      <c r="O28" s="873" t="s">
        <v>194</v>
      </c>
      <c r="P28" s="873" t="s">
        <v>194</v>
      </c>
      <c r="Q28" s="873" t="s">
        <v>194</v>
      </c>
      <c r="R28" s="873" t="s">
        <v>194</v>
      </c>
      <c r="S28" s="873" t="s">
        <v>194</v>
      </c>
      <c r="T28" s="872" t="s">
        <v>194</v>
      </c>
      <c r="U28" s="872">
        <v>807.0</v>
      </c>
      <c r="V28" s="872">
        <v>408.0</v>
      </c>
      <c r="W28" s="872">
        <v>423.0</v>
      </c>
      <c r="X28" s="872">
        <v>50.0</v>
      </c>
      <c r="Y28" s="872" t="s">
        <v>194</v>
      </c>
      <c r="Z28" s="872" t="s">
        <v>194</v>
      </c>
      <c r="AA28" s="872" t="s">
        <v>194</v>
      </c>
      <c r="AB28" s="872" t="s">
        <v>194</v>
      </c>
      <c r="AC28" s="15"/>
      <c r="AD28" s="851" t="s">
        <v>194</v>
      </c>
      <c r="AE28" s="846" t="s">
        <v>194</v>
      </c>
      <c r="AF28" s="846" t="s">
        <v>194</v>
      </c>
      <c r="AG28" s="846" t="s">
        <v>194</v>
      </c>
      <c r="AH28" s="846" t="s">
        <v>194</v>
      </c>
      <c r="AI28" s="846" t="s">
        <v>194</v>
      </c>
      <c r="AJ28" s="846" t="s">
        <v>194</v>
      </c>
      <c r="AK28" s="846" t="s">
        <v>194</v>
      </c>
      <c r="AL28" s="846" t="s">
        <v>194</v>
      </c>
      <c r="AM28" s="846" t="s">
        <v>194</v>
      </c>
      <c r="AN28" s="846" t="s">
        <v>194</v>
      </c>
      <c r="AO28" s="846" t="s">
        <v>194</v>
      </c>
      <c r="AP28" s="846" t="s">
        <v>194</v>
      </c>
      <c r="AQ28" s="846" t="s">
        <v>194</v>
      </c>
      <c r="AR28" s="846" t="s">
        <v>194</v>
      </c>
      <c r="AS28" s="846" t="s">
        <v>194</v>
      </c>
      <c r="AT28" s="846" t="s">
        <v>194</v>
      </c>
      <c r="AU28" s="846" t="s">
        <v>194</v>
      </c>
      <c r="AV28" s="846" t="s">
        <v>194</v>
      </c>
      <c r="AW28" s="846" t="s">
        <v>194</v>
      </c>
      <c r="AX28" s="846" t="s">
        <v>194</v>
      </c>
      <c r="AY28" s="846" t="s">
        <v>194</v>
      </c>
    </row>
    <row r="29" ht="15.75" hidden="1" customHeight="1" outlineLevel="6">
      <c r="A29" s="849">
        <v>1.0</v>
      </c>
      <c r="B29" s="15"/>
      <c r="C29" s="881" t="s">
        <v>248</v>
      </c>
      <c r="D29" s="882">
        <v>415.5</v>
      </c>
      <c r="E29" s="882">
        <v>422.0</v>
      </c>
      <c r="F29" s="882">
        <v>50.0</v>
      </c>
      <c r="G29" s="882">
        <v>807.0</v>
      </c>
      <c r="H29" s="882">
        <v>318.5</v>
      </c>
      <c r="I29" s="882">
        <v>519.0</v>
      </c>
      <c r="J29" s="882">
        <v>309.19573088902763</v>
      </c>
      <c r="K29" s="883">
        <v>0.7326913054242361</v>
      </c>
      <c r="L29" s="884" t="s">
        <v>194</v>
      </c>
      <c r="M29" s="879" t="s">
        <v>194</v>
      </c>
      <c r="N29" s="879" t="s">
        <v>194</v>
      </c>
      <c r="O29" s="879" t="s">
        <v>194</v>
      </c>
      <c r="P29" s="879" t="s">
        <v>194</v>
      </c>
      <c r="Q29" s="879" t="s">
        <v>194</v>
      </c>
      <c r="R29" s="879" t="s">
        <v>194</v>
      </c>
      <c r="S29" s="879" t="s">
        <v>194</v>
      </c>
      <c r="T29" s="884" t="s">
        <v>194</v>
      </c>
      <c r="U29" s="884">
        <v>807.0</v>
      </c>
      <c r="V29" s="884">
        <v>408.0</v>
      </c>
      <c r="W29" s="884">
        <v>423.0</v>
      </c>
      <c r="X29" s="884">
        <v>50.0</v>
      </c>
      <c r="Y29" s="884" t="s">
        <v>194</v>
      </c>
      <c r="Z29" s="884" t="s">
        <v>194</v>
      </c>
      <c r="AA29" s="884" t="s">
        <v>194</v>
      </c>
      <c r="AB29" s="884" t="s">
        <v>194</v>
      </c>
      <c r="AC29" s="15"/>
      <c r="AD29" s="851" t="s">
        <v>194</v>
      </c>
      <c r="AE29" s="846" t="s">
        <v>194</v>
      </c>
      <c r="AF29" s="846" t="s">
        <v>194</v>
      </c>
      <c r="AG29" s="846" t="s">
        <v>194</v>
      </c>
      <c r="AH29" s="846" t="s">
        <v>194</v>
      </c>
      <c r="AI29" s="846" t="s">
        <v>194</v>
      </c>
      <c r="AJ29" s="846" t="s">
        <v>194</v>
      </c>
      <c r="AK29" s="846" t="s">
        <v>194</v>
      </c>
      <c r="AL29" s="846" t="s">
        <v>194</v>
      </c>
      <c r="AM29" s="846" t="s">
        <v>194</v>
      </c>
      <c r="AN29" s="846" t="s">
        <v>194</v>
      </c>
      <c r="AO29" s="846" t="s">
        <v>194</v>
      </c>
      <c r="AP29" s="846" t="s">
        <v>194</v>
      </c>
      <c r="AQ29" s="846" t="s">
        <v>194</v>
      </c>
      <c r="AR29" s="846" t="s">
        <v>194</v>
      </c>
      <c r="AS29" s="846" t="s">
        <v>194</v>
      </c>
      <c r="AT29" s="846" t="s">
        <v>194</v>
      </c>
      <c r="AU29" s="846" t="s">
        <v>194</v>
      </c>
      <c r="AV29" s="846" t="s">
        <v>194</v>
      </c>
      <c r="AW29" s="846" t="s">
        <v>194</v>
      </c>
      <c r="AX29" s="846" t="s">
        <v>194</v>
      </c>
      <c r="AY29" s="846" t="s">
        <v>194</v>
      </c>
    </row>
    <row r="30" ht="15.75" hidden="1" customHeight="1" outlineLevel="5">
      <c r="A30" s="849">
        <v>1.0</v>
      </c>
      <c r="B30" s="15"/>
      <c r="C30" s="869" t="s">
        <v>249</v>
      </c>
      <c r="D30" s="870">
        <v>22999.5</v>
      </c>
      <c r="E30" s="870">
        <v>22999.5</v>
      </c>
      <c r="F30" s="870">
        <v>0.0</v>
      </c>
      <c r="G30" s="870">
        <v>45999.0</v>
      </c>
      <c r="H30" s="870">
        <v>11499.75</v>
      </c>
      <c r="I30" s="870">
        <v>34499.25</v>
      </c>
      <c r="J30" s="870">
        <v>32526.2048278</v>
      </c>
      <c r="K30" s="871">
        <v>1.4142135623730951</v>
      </c>
      <c r="L30" s="872" t="s">
        <v>194</v>
      </c>
      <c r="M30" s="873" t="s">
        <v>194</v>
      </c>
      <c r="N30" s="873" t="s">
        <v>194</v>
      </c>
      <c r="O30" s="873" t="s">
        <v>194</v>
      </c>
      <c r="P30" s="873" t="s">
        <v>194</v>
      </c>
      <c r="Q30" s="873" t="s">
        <v>194</v>
      </c>
      <c r="R30" s="873" t="s">
        <v>194</v>
      </c>
      <c r="S30" s="873" t="s">
        <v>194</v>
      </c>
      <c r="T30" s="872">
        <v>45999.0</v>
      </c>
      <c r="U30" s="872">
        <v>0.0</v>
      </c>
      <c r="V30" s="872" t="s">
        <v>194</v>
      </c>
      <c r="W30" s="872" t="s">
        <v>194</v>
      </c>
      <c r="X30" s="872" t="s">
        <v>194</v>
      </c>
      <c r="Y30" s="872" t="s">
        <v>194</v>
      </c>
      <c r="Z30" s="872" t="s">
        <v>194</v>
      </c>
      <c r="AA30" s="872" t="s">
        <v>194</v>
      </c>
      <c r="AB30" s="872" t="s">
        <v>194</v>
      </c>
      <c r="AC30" s="15"/>
      <c r="AD30" s="851" t="s">
        <v>194</v>
      </c>
      <c r="AE30" s="846" t="s">
        <v>194</v>
      </c>
      <c r="AF30" s="846" t="s">
        <v>194</v>
      </c>
      <c r="AG30" s="846" t="s">
        <v>194</v>
      </c>
      <c r="AH30" s="846" t="s">
        <v>194</v>
      </c>
      <c r="AI30" s="846" t="s">
        <v>194</v>
      </c>
      <c r="AJ30" s="846" t="s">
        <v>194</v>
      </c>
      <c r="AK30" s="846" t="s">
        <v>194</v>
      </c>
      <c r="AL30" s="846" t="s">
        <v>194</v>
      </c>
      <c r="AM30" s="846" t="s">
        <v>194</v>
      </c>
      <c r="AN30" s="846" t="s">
        <v>194</v>
      </c>
      <c r="AO30" s="846" t="s">
        <v>194</v>
      </c>
      <c r="AP30" s="846" t="s">
        <v>194</v>
      </c>
      <c r="AQ30" s="846" t="s">
        <v>194</v>
      </c>
      <c r="AR30" s="846" t="s">
        <v>194</v>
      </c>
      <c r="AS30" s="846" t="s">
        <v>194</v>
      </c>
      <c r="AT30" s="846" t="s">
        <v>194</v>
      </c>
      <c r="AU30" s="846" t="s">
        <v>194</v>
      </c>
      <c r="AV30" s="846" t="s">
        <v>194</v>
      </c>
      <c r="AW30" s="846" t="s">
        <v>194</v>
      </c>
      <c r="AX30" s="846" t="s">
        <v>194</v>
      </c>
      <c r="AY30" s="846" t="s">
        <v>194</v>
      </c>
    </row>
    <row r="31" ht="15.75" hidden="1" customHeight="1" outlineLevel="5">
      <c r="A31" s="849">
        <v>1.0</v>
      </c>
      <c r="B31" s="15"/>
      <c r="C31" s="869" t="s">
        <v>250</v>
      </c>
      <c r="D31" s="870">
        <v>22222.0</v>
      </c>
      <c r="E31" s="870">
        <v>19603.666666666668</v>
      </c>
      <c r="F31" s="870">
        <v>9931.0</v>
      </c>
      <c r="G31" s="870">
        <v>26658.0</v>
      </c>
      <c r="H31" s="870">
        <v>16076.5</v>
      </c>
      <c r="I31" s="870">
        <v>24440.0</v>
      </c>
      <c r="J31" s="870">
        <v>8665.4419583385</v>
      </c>
      <c r="K31" s="871">
        <v>0.4420316926257928</v>
      </c>
      <c r="L31" s="872" t="s">
        <v>194</v>
      </c>
      <c r="M31" s="873" t="s">
        <v>194</v>
      </c>
      <c r="N31" s="873" t="s">
        <v>194</v>
      </c>
      <c r="O31" s="873" t="s">
        <v>194</v>
      </c>
      <c r="P31" s="873" t="s">
        <v>194</v>
      </c>
      <c r="Q31" s="873">
        <v>9931.0</v>
      </c>
      <c r="R31" s="873">
        <v>26658.0</v>
      </c>
      <c r="S31" s="873">
        <v>22222.0</v>
      </c>
      <c r="T31" s="872" t="s">
        <v>194</v>
      </c>
      <c r="U31" s="872" t="s">
        <v>194</v>
      </c>
      <c r="V31" s="872" t="s">
        <v>194</v>
      </c>
      <c r="W31" s="872" t="s">
        <v>194</v>
      </c>
      <c r="X31" s="872" t="s">
        <v>194</v>
      </c>
      <c r="Y31" s="872" t="s">
        <v>194</v>
      </c>
      <c r="Z31" s="872" t="s">
        <v>194</v>
      </c>
      <c r="AA31" s="872" t="s">
        <v>194</v>
      </c>
      <c r="AB31" s="872" t="s">
        <v>194</v>
      </c>
      <c r="AC31" s="15"/>
      <c r="AD31" s="851" t="s">
        <v>194</v>
      </c>
      <c r="AE31" s="846" t="s">
        <v>194</v>
      </c>
      <c r="AF31" s="846" t="s">
        <v>194</v>
      </c>
      <c r="AG31" s="846" t="s">
        <v>194</v>
      </c>
      <c r="AH31" s="846" t="s">
        <v>194</v>
      </c>
      <c r="AI31" s="846" t="s">
        <v>194</v>
      </c>
      <c r="AJ31" s="846" t="s">
        <v>194</v>
      </c>
      <c r="AK31" s="846" t="s">
        <v>194</v>
      </c>
      <c r="AL31" s="846" t="s">
        <v>194</v>
      </c>
      <c r="AM31" s="846" t="s">
        <v>194</v>
      </c>
      <c r="AN31" s="846" t="s">
        <v>194</v>
      </c>
      <c r="AO31" s="846" t="s">
        <v>194</v>
      </c>
      <c r="AP31" s="846" t="s">
        <v>194</v>
      </c>
      <c r="AQ31" s="846" t="s">
        <v>194</v>
      </c>
      <c r="AR31" s="846" t="s">
        <v>194</v>
      </c>
      <c r="AS31" s="846" t="s">
        <v>194</v>
      </c>
      <c r="AT31" s="846" t="s">
        <v>194</v>
      </c>
      <c r="AU31" s="846" t="s">
        <v>194</v>
      </c>
      <c r="AV31" s="846" t="s">
        <v>194</v>
      </c>
      <c r="AW31" s="846" t="s">
        <v>194</v>
      </c>
      <c r="AX31" s="846" t="s">
        <v>194</v>
      </c>
      <c r="AY31" s="846" t="s">
        <v>194</v>
      </c>
    </row>
    <row r="32" ht="15.75" hidden="1" customHeight="1" outlineLevel="5">
      <c r="A32" s="849">
        <v>1.0</v>
      </c>
      <c r="B32" s="15"/>
      <c r="C32" s="869" t="s">
        <v>251</v>
      </c>
      <c r="D32" s="870">
        <v>0.0</v>
      </c>
      <c r="E32" s="870">
        <v>149.2</v>
      </c>
      <c r="F32" s="870">
        <v>0.0</v>
      </c>
      <c r="G32" s="870">
        <v>543.0</v>
      </c>
      <c r="H32" s="870">
        <v>0.0</v>
      </c>
      <c r="I32" s="870">
        <v>203.0</v>
      </c>
      <c r="J32" s="870">
        <v>237.04155753791358</v>
      </c>
      <c r="K32" s="871">
        <v>1.5887503856428524</v>
      </c>
      <c r="L32" s="872" t="s">
        <v>194</v>
      </c>
      <c r="M32" s="873">
        <v>0.0</v>
      </c>
      <c r="N32" s="873" t="s">
        <v>194</v>
      </c>
      <c r="O32" s="873">
        <v>203.0</v>
      </c>
      <c r="P32" s="873" t="s">
        <v>194</v>
      </c>
      <c r="Q32" s="873">
        <v>0.0</v>
      </c>
      <c r="R32" s="873">
        <v>543.0</v>
      </c>
      <c r="S32" s="873">
        <v>0.0</v>
      </c>
      <c r="T32" s="872" t="s">
        <v>194</v>
      </c>
      <c r="U32" s="872" t="s">
        <v>194</v>
      </c>
      <c r="V32" s="872" t="s">
        <v>194</v>
      </c>
      <c r="W32" s="872" t="s">
        <v>194</v>
      </c>
      <c r="X32" s="872" t="s">
        <v>194</v>
      </c>
      <c r="Y32" s="872" t="s">
        <v>194</v>
      </c>
      <c r="Z32" s="872" t="s">
        <v>194</v>
      </c>
      <c r="AA32" s="872" t="s">
        <v>194</v>
      </c>
      <c r="AB32" s="872" t="s">
        <v>194</v>
      </c>
      <c r="AC32" s="15"/>
      <c r="AD32" s="851" t="s">
        <v>194</v>
      </c>
      <c r="AE32" s="846" t="s">
        <v>194</v>
      </c>
      <c r="AF32" s="846" t="s">
        <v>194</v>
      </c>
      <c r="AG32" s="846" t="s">
        <v>194</v>
      </c>
      <c r="AH32" s="846" t="s">
        <v>194</v>
      </c>
      <c r="AI32" s="846" t="s">
        <v>194</v>
      </c>
      <c r="AJ32" s="846" t="s">
        <v>194</v>
      </c>
      <c r="AK32" s="846" t="s">
        <v>194</v>
      </c>
      <c r="AL32" s="846" t="s">
        <v>194</v>
      </c>
      <c r="AM32" s="846" t="s">
        <v>194</v>
      </c>
      <c r="AN32" s="846" t="s">
        <v>194</v>
      </c>
      <c r="AO32" s="846" t="s">
        <v>194</v>
      </c>
      <c r="AP32" s="846" t="s">
        <v>194</v>
      </c>
      <c r="AQ32" s="846" t="s">
        <v>194</v>
      </c>
      <c r="AR32" s="846" t="s">
        <v>194</v>
      </c>
      <c r="AS32" s="846" t="s">
        <v>194</v>
      </c>
      <c r="AT32" s="846" t="s">
        <v>194</v>
      </c>
      <c r="AU32" s="846" t="s">
        <v>194</v>
      </c>
      <c r="AV32" s="846" t="s">
        <v>194</v>
      </c>
      <c r="AW32" s="846" t="s">
        <v>194</v>
      </c>
      <c r="AX32" s="846" t="s">
        <v>194</v>
      </c>
      <c r="AY32" s="846" t="s">
        <v>194</v>
      </c>
    </row>
    <row r="33" ht="15.75" hidden="1" customHeight="1" outlineLevel="5">
      <c r="A33" s="849">
        <v>1.0</v>
      </c>
      <c r="B33" s="15"/>
      <c r="C33" s="881" t="s">
        <v>252</v>
      </c>
      <c r="D33" s="882">
        <v>615.0</v>
      </c>
      <c r="E33" s="882">
        <v>10724.4</v>
      </c>
      <c r="F33" s="882">
        <v>0.0</v>
      </c>
      <c r="G33" s="882">
        <v>45999.0</v>
      </c>
      <c r="H33" s="882">
        <v>254.25</v>
      </c>
      <c r="I33" s="882">
        <v>19149.25</v>
      </c>
      <c r="J33" s="882">
        <v>15983.176031203699</v>
      </c>
      <c r="K33" s="883">
        <v>1.4903561999928854</v>
      </c>
      <c r="L33" s="884" t="s">
        <v>194</v>
      </c>
      <c r="M33" s="879">
        <v>0.0</v>
      </c>
      <c r="N33" s="879" t="s">
        <v>194</v>
      </c>
      <c r="O33" s="879">
        <v>203.0</v>
      </c>
      <c r="P33" s="879" t="s">
        <v>194</v>
      </c>
      <c r="Q33" s="879">
        <v>9931.0</v>
      </c>
      <c r="R33" s="879">
        <v>27201.0</v>
      </c>
      <c r="S33" s="879">
        <v>22222.0</v>
      </c>
      <c r="T33" s="884">
        <v>45999.0</v>
      </c>
      <c r="U33" s="884">
        <v>807.0</v>
      </c>
      <c r="V33" s="884">
        <v>408.0</v>
      </c>
      <c r="W33" s="884">
        <v>423.0</v>
      </c>
      <c r="X33" s="884">
        <v>50.0</v>
      </c>
      <c r="Y33" s="884" t="s">
        <v>194</v>
      </c>
      <c r="Z33" s="884" t="s">
        <v>194</v>
      </c>
      <c r="AA33" s="884" t="s">
        <v>194</v>
      </c>
      <c r="AB33" s="884" t="s">
        <v>194</v>
      </c>
      <c r="AC33" s="15"/>
      <c r="AD33" s="851" t="s">
        <v>194</v>
      </c>
      <c r="AE33" s="846" t="s">
        <v>194</v>
      </c>
      <c r="AF33" s="846" t="s">
        <v>194</v>
      </c>
      <c r="AG33" s="846" t="s">
        <v>194</v>
      </c>
      <c r="AH33" s="846" t="s">
        <v>194</v>
      </c>
      <c r="AI33" s="846" t="s">
        <v>194</v>
      </c>
      <c r="AJ33" s="846" t="s">
        <v>194</v>
      </c>
      <c r="AK33" s="846" t="s">
        <v>194</v>
      </c>
      <c r="AL33" s="846" t="s">
        <v>194</v>
      </c>
      <c r="AM33" s="846" t="s">
        <v>194</v>
      </c>
      <c r="AN33" s="846" t="s">
        <v>194</v>
      </c>
      <c r="AO33" s="846" t="s">
        <v>194</v>
      </c>
      <c r="AP33" s="846" t="s">
        <v>194</v>
      </c>
      <c r="AQ33" s="846" t="s">
        <v>194</v>
      </c>
      <c r="AR33" s="846" t="s">
        <v>194</v>
      </c>
      <c r="AS33" s="846" t="s">
        <v>194</v>
      </c>
      <c r="AT33" s="846" t="s">
        <v>194</v>
      </c>
      <c r="AU33" s="846" t="s">
        <v>194</v>
      </c>
      <c r="AV33" s="846" t="s">
        <v>194</v>
      </c>
      <c r="AW33" s="846" t="s">
        <v>194</v>
      </c>
      <c r="AX33" s="846" t="s">
        <v>194</v>
      </c>
      <c r="AY33" s="846" t="s">
        <v>194</v>
      </c>
    </row>
    <row r="34" ht="15.75" hidden="1" customHeight="1" outlineLevel="4">
      <c r="A34" s="849">
        <v>1.0</v>
      </c>
      <c r="B34" s="15"/>
      <c r="C34" s="869" t="s">
        <v>253</v>
      </c>
      <c r="D34" s="870">
        <v>14.471</v>
      </c>
      <c r="E34" s="870">
        <v>14.471</v>
      </c>
      <c r="F34" s="870">
        <v>14.471</v>
      </c>
      <c r="G34" s="870">
        <v>14.471</v>
      </c>
      <c r="H34" s="870">
        <v>14.471</v>
      </c>
      <c r="I34" s="870">
        <v>14.471</v>
      </c>
      <c r="J34" s="870" t="s">
        <v>194</v>
      </c>
      <c r="K34" s="871" t="s">
        <v>194</v>
      </c>
      <c r="L34" s="872" t="s">
        <v>194</v>
      </c>
      <c r="M34" s="873" t="s">
        <v>194</v>
      </c>
      <c r="N34" s="873" t="s">
        <v>194</v>
      </c>
      <c r="O34" s="873" t="s">
        <v>194</v>
      </c>
      <c r="P34" s="873" t="s">
        <v>194</v>
      </c>
      <c r="Q34" s="873" t="s">
        <v>194</v>
      </c>
      <c r="R34" s="873" t="s">
        <v>194</v>
      </c>
      <c r="S34" s="873" t="s">
        <v>194</v>
      </c>
      <c r="T34" s="872" t="s">
        <v>194</v>
      </c>
      <c r="U34" s="872" t="s">
        <v>194</v>
      </c>
      <c r="V34" s="872" t="s">
        <v>194</v>
      </c>
      <c r="W34" s="872" t="s">
        <v>194</v>
      </c>
      <c r="X34" s="872" t="s">
        <v>194</v>
      </c>
      <c r="Y34" s="872">
        <v>14.471</v>
      </c>
      <c r="Z34" s="872" t="s">
        <v>194</v>
      </c>
      <c r="AA34" s="872" t="s">
        <v>194</v>
      </c>
      <c r="AB34" s="872" t="s">
        <v>194</v>
      </c>
      <c r="AC34" s="15"/>
      <c r="AD34" s="851" t="s">
        <v>194</v>
      </c>
      <c r="AE34" s="846" t="s">
        <v>194</v>
      </c>
      <c r="AF34" s="846" t="s">
        <v>194</v>
      </c>
      <c r="AG34" s="846" t="s">
        <v>194</v>
      </c>
      <c r="AH34" s="846" t="s">
        <v>194</v>
      </c>
      <c r="AI34" s="846" t="s">
        <v>194</v>
      </c>
      <c r="AJ34" s="846" t="s">
        <v>194</v>
      </c>
      <c r="AK34" s="846" t="s">
        <v>194</v>
      </c>
      <c r="AL34" s="846" t="s">
        <v>194</v>
      </c>
      <c r="AM34" s="846" t="s">
        <v>194</v>
      </c>
      <c r="AN34" s="846" t="s">
        <v>194</v>
      </c>
      <c r="AO34" s="846" t="s">
        <v>194</v>
      </c>
      <c r="AP34" s="846" t="s">
        <v>194</v>
      </c>
      <c r="AQ34" s="846" t="s">
        <v>194</v>
      </c>
      <c r="AR34" s="846" t="s">
        <v>194</v>
      </c>
      <c r="AS34" s="846" t="s">
        <v>194</v>
      </c>
      <c r="AT34" s="846" t="s">
        <v>194</v>
      </c>
      <c r="AU34" s="846" t="s">
        <v>194</v>
      </c>
      <c r="AV34" s="846" t="s">
        <v>194</v>
      </c>
      <c r="AW34" s="846" t="s">
        <v>194</v>
      </c>
      <c r="AX34" s="846" t="s">
        <v>194</v>
      </c>
      <c r="AY34" s="846" t="s">
        <v>194</v>
      </c>
    </row>
    <row r="35" ht="15.75" hidden="1" customHeight="1" outlineLevel="4">
      <c r="A35" s="849">
        <v>1.0</v>
      </c>
      <c r="B35" s="15"/>
      <c r="C35" s="869" t="s">
        <v>254</v>
      </c>
      <c r="D35" s="870">
        <v>231.0</v>
      </c>
      <c r="E35" s="870">
        <v>4030.0860000000002</v>
      </c>
      <c r="F35" s="870">
        <v>-3977.0</v>
      </c>
      <c r="G35" s="870">
        <v>19982.0</v>
      </c>
      <c r="H35" s="870">
        <v>-303.0</v>
      </c>
      <c r="I35" s="870">
        <v>9204.0</v>
      </c>
      <c r="J35" s="870">
        <v>6988.291643991494</v>
      </c>
      <c r="K35" s="871">
        <v>1.734030401334238</v>
      </c>
      <c r="L35" s="872" t="s">
        <v>194</v>
      </c>
      <c r="M35" s="873">
        <v>-198.0</v>
      </c>
      <c r="N35" s="873">
        <v>-215.0</v>
      </c>
      <c r="O35" s="873">
        <v>9702.0</v>
      </c>
      <c r="P35" s="873">
        <v>231.0</v>
      </c>
      <c r="Q35" s="873">
        <v>457.0</v>
      </c>
      <c r="R35" s="873">
        <v>-3977.0</v>
      </c>
      <c r="S35" s="873">
        <v>-446.0</v>
      </c>
      <c r="T35" s="872">
        <v>-303.0</v>
      </c>
      <c r="U35" s="872">
        <v>-340.0</v>
      </c>
      <c r="V35" s="872">
        <v>19982.0</v>
      </c>
      <c r="W35" s="872">
        <v>13339.0</v>
      </c>
      <c r="X35" s="872">
        <v>9204.0</v>
      </c>
      <c r="Y35" s="872">
        <v>4955.118</v>
      </c>
      <c r="Z35" s="872" t="s">
        <v>194</v>
      </c>
      <c r="AA35" s="872" t="s">
        <v>194</v>
      </c>
      <c r="AB35" s="872" t="s">
        <v>194</v>
      </c>
      <c r="AC35" s="15"/>
      <c r="AD35" s="851" t="s">
        <v>194</v>
      </c>
      <c r="AE35" s="846" t="s">
        <v>194</v>
      </c>
      <c r="AF35" s="846" t="s">
        <v>194</v>
      </c>
      <c r="AG35" s="846" t="s">
        <v>194</v>
      </c>
      <c r="AH35" s="846" t="s">
        <v>194</v>
      </c>
      <c r="AI35" s="846" t="s">
        <v>194</v>
      </c>
      <c r="AJ35" s="846" t="s">
        <v>194</v>
      </c>
      <c r="AK35" s="846" t="s">
        <v>194</v>
      </c>
      <c r="AL35" s="846" t="s">
        <v>194</v>
      </c>
      <c r="AM35" s="846" t="s">
        <v>194</v>
      </c>
      <c r="AN35" s="846" t="s">
        <v>194</v>
      </c>
      <c r="AO35" s="846" t="s">
        <v>194</v>
      </c>
      <c r="AP35" s="846" t="s">
        <v>194</v>
      </c>
      <c r="AQ35" s="846" t="s">
        <v>194</v>
      </c>
      <c r="AR35" s="846" t="s">
        <v>194</v>
      </c>
      <c r="AS35" s="846" t="s">
        <v>194</v>
      </c>
      <c r="AT35" s="846" t="s">
        <v>194</v>
      </c>
      <c r="AU35" s="846" t="s">
        <v>194</v>
      </c>
      <c r="AV35" s="846" t="s">
        <v>194</v>
      </c>
      <c r="AW35" s="846" t="s">
        <v>194</v>
      </c>
      <c r="AX35" s="846" t="s">
        <v>194</v>
      </c>
      <c r="AY35" s="846" t="s">
        <v>194</v>
      </c>
    </row>
    <row r="36" ht="15.75" hidden="1" customHeight="1" outlineLevel="4">
      <c r="A36" s="849">
        <v>1.0</v>
      </c>
      <c r="B36" s="15"/>
      <c r="C36" s="881" t="s">
        <v>255</v>
      </c>
      <c r="D36" s="882">
        <v>25977.0</v>
      </c>
      <c r="E36" s="882">
        <v>33488.29846153846</v>
      </c>
      <c r="F36" s="882">
        <v>-6765.0</v>
      </c>
      <c r="G36" s="882">
        <v>74488.0</v>
      </c>
      <c r="H36" s="882">
        <v>23246.0</v>
      </c>
      <c r="I36" s="882">
        <v>47952.0</v>
      </c>
      <c r="J36" s="882">
        <v>24684.76585827847</v>
      </c>
      <c r="K36" s="883">
        <v>0.7371161567563396</v>
      </c>
      <c r="L36" s="884" t="s">
        <v>194</v>
      </c>
      <c r="M36" s="879">
        <v>24074.0</v>
      </c>
      <c r="N36" s="879">
        <v>23246.0</v>
      </c>
      <c r="O36" s="879">
        <v>26492.0</v>
      </c>
      <c r="P36" s="879">
        <v>25977.0</v>
      </c>
      <c r="Q36" s="879">
        <v>-6765.0</v>
      </c>
      <c r="R36" s="879">
        <v>66193.0</v>
      </c>
      <c r="S36" s="879">
        <v>70154.0</v>
      </c>
      <c r="T36" s="884">
        <v>74488.0</v>
      </c>
      <c r="U36" s="884">
        <v>35482.0</v>
      </c>
      <c r="V36" s="884">
        <v>47952.0</v>
      </c>
      <c r="W36" s="884">
        <v>25847.0</v>
      </c>
      <c r="X36" s="884">
        <v>14582.0</v>
      </c>
      <c r="Y36" s="884">
        <v>7625.88</v>
      </c>
      <c r="Z36" s="884" t="s">
        <v>194</v>
      </c>
      <c r="AA36" s="884" t="s">
        <v>194</v>
      </c>
      <c r="AB36" s="884" t="s">
        <v>194</v>
      </c>
      <c r="AC36" s="15"/>
      <c r="AD36" s="851" t="s">
        <v>194</v>
      </c>
      <c r="AE36" s="846" t="s">
        <v>194</v>
      </c>
      <c r="AF36" s="846" t="s">
        <v>194</v>
      </c>
      <c r="AG36" s="846" t="s">
        <v>194</v>
      </c>
      <c r="AH36" s="846" t="s">
        <v>194</v>
      </c>
      <c r="AI36" s="846" t="s">
        <v>194</v>
      </c>
      <c r="AJ36" s="846" t="s">
        <v>194</v>
      </c>
      <c r="AK36" s="846" t="s">
        <v>194</v>
      </c>
      <c r="AL36" s="846" t="s">
        <v>194</v>
      </c>
      <c r="AM36" s="846" t="s">
        <v>194</v>
      </c>
      <c r="AN36" s="846" t="s">
        <v>194</v>
      </c>
      <c r="AO36" s="846" t="s">
        <v>194</v>
      </c>
      <c r="AP36" s="846" t="s">
        <v>194</v>
      </c>
      <c r="AQ36" s="846" t="s">
        <v>194</v>
      </c>
      <c r="AR36" s="846" t="s">
        <v>194</v>
      </c>
      <c r="AS36" s="846" t="s">
        <v>194</v>
      </c>
      <c r="AT36" s="846" t="s">
        <v>194</v>
      </c>
      <c r="AU36" s="846" t="s">
        <v>194</v>
      </c>
      <c r="AV36" s="846" t="s">
        <v>194</v>
      </c>
      <c r="AW36" s="846" t="s">
        <v>194</v>
      </c>
      <c r="AX36" s="846" t="s">
        <v>194</v>
      </c>
      <c r="AY36" s="846" t="s">
        <v>194</v>
      </c>
    </row>
    <row r="37" ht="15.75" hidden="1" customHeight="1" outlineLevel="3">
      <c r="A37" s="849">
        <v>1.0</v>
      </c>
      <c r="B37" s="15"/>
      <c r="C37" s="869" t="s">
        <v>256</v>
      </c>
      <c r="D37" s="870">
        <v>-8036.0</v>
      </c>
      <c r="E37" s="870">
        <v>-14097.221307692309</v>
      </c>
      <c r="F37" s="870">
        <v>-39282.0</v>
      </c>
      <c r="G37" s="870">
        <v>-2893.877</v>
      </c>
      <c r="H37" s="870">
        <v>-20104.0</v>
      </c>
      <c r="I37" s="870">
        <v>-5389.0</v>
      </c>
      <c r="J37" s="870">
        <v>10959.462944249086</v>
      </c>
      <c r="K37" s="871">
        <v>-0.7774200819468536</v>
      </c>
      <c r="L37" s="872" t="s">
        <v>194</v>
      </c>
      <c r="M37" s="873">
        <v>-6129.0</v>
      </c>
      <c r="N37" s="873">
        <v>-4668.0</v>
      </c>
      <c r="O37" s="873">
        <v>-5389.0</v>
      </c>
      <c r="P37" s="873">
        <v>-19055.0</v>
      </c>
      <c r="Q37" s="873">
        <v>-7821.0</v>
      </c>
      <c r="R37" s="873">
        <v>-25268.0</v>
      </c>
      <c r="S37" s="873">
        <v>-39282.0</v>
      </c>
      <c r="T37" s="872">
        <v>-8036.0</v>
      </c>
      <c r="U37" s="872">
        <v>-5260.0</v>
      </c>
      <c r="V37" s="872">
        <v>-20104.0</v>
      </c>
      <c r="W37" s="872">
        <v>-24744.0</v>
      </c>
      <c r="X37" s="872">
        <v>-14614.0</v>
      </c>
      <c r="Y37" s="872">
        <v>-2893.877</v>
      </c>
      <c r="Z37" s="872" t="s">
        <v>194</v>
      </c>
      <c r="AA37" s="872" t="s">
        <v>194</v>
      </c>
      <c r="AB37" s="872" t="s">
        <v>194</v>
      </c>
      <c r="AC37" s="15"/>
      <c r="AD37" s="851" t="s">
        <v>194</v>
      </c>
      <c r="AE37" s="846" t="s">
        <v>194</v>
      </c>
      <c r="AF37" s="846" t="s">
        <v>194</v>
      </c>
      <c r="AG37" s="846" t="s">
        <v>194</v>
      </c>
      <c r="AH37" s="846" t="s">
        <v>194</v>
      </c>
      <c r="AI37" s="846" t="s">
        <v>194</v>
      </c>
      <c r="AJ37" s="846" t="s">
        <v>194</v>
      </c>
      <c r="AK37" s="846" t="s">
        <v>194</v>
      </c>
      <c r="AL37" s="846" t="s">
        <v>194</v>
      </c>
      <c r="AM37" s="846" t="s">
        <v>194</v>
      </c>
      <c r="AN37" s="846" t="s">
        <v>194</v>
      </c>
      <c r="AO37" s="846" t="s">
        <v>194</v>
      </c>
      <c r="AP37" s="846" t="s">
        <v>194</v>
      </c>
      <c r="AQ37" s="846" t="s">
        <v>194</v>
      </c>
      <c r="AR37" s="846" t="s">
        <v>194</v>
      </c>
      <c r="AS37" s="846" t="s">
        <v>194</v>
      </c>
      <c r="AT37" s="846" t="s">
        <v>194</v>
      </c>
      <c r="AU37" s="846" t="s">
        <v>194</v>
      </c>
      <c r="AV37" s="846" t="s">
        <v>194</v>
      </c>
      <c r="AW37" s="846" t="s">
        <v>194</v>
      </c>
      <c r="AX37" s="846" t="s">
        <v>194</v>
      </c>
      <c r="AY37" s="846" t="s">
        <v>194</v>
      </c>
    </row>
    <row r="38" ht="15.75" hidden="1" customHeight="1" outlineLevel="4">
      <c r="A38" s="849">
        <v>1.0</v>
      </c>
      <c r="B38" s="15"/>
      <c r="C38" s="869" t="s">
        <v>257</v>
      </c>
      <c r="D38" s="870">
        <v>0.0</v>
      </c>
      <c r="E38" s="870">
        <v>-298.3333333333333</v>
      </c>
      <c r="F38" s="870">
        <v>-1991.0</v>
      </c>
      <c r="G38" s="870">
        <v>665.0</v>
      </c>
      <c r="H38" s="870">
        <v>-753.0</v>
      </c>
      <c r="I38" s="870">
        <v>299.0</v>
      </c>
      <c r="J38" s="870">
        <v>828.8669977746731</v>
      </c>
      <c r="K38" s="871">
        <v>-2.7783251322056084</v>
      </c>
      <c r="L38" s="872" t="s">
        <v>194</v>
      </c>
      <c r="M38" s="873">
        <v>-885.0</v>
      </c>
      <c r="N38" s="873">
        <v>340.0</v>
      </c>
      <c r="O38" s="873">
        <v>299.0</v>
      </c>
      <c r="P38" s="873">
        <v>188.0</v>
      </c>
      <c r="Q38" s="873">
        <v>-753.0</v>
      </c>
      <c r="R38" s="873">
        <v>665.0</v>
      </c>
      <c r="S38" s="873">
        <v>-1991.0</v>
      </c>
      <c r="T38" s="872">
        <v>-548.0</v>
      </c>
      <c r="U38" s="872">
        <v>0.0</v>
      </c>
      <c r="V38" s="872" t="s">
        <v>194</v>
      </c>
      <c r="W38" s="872" t="s">
        <v>194</v>
      </c>
      <c r="X38" s="872" t="s">
        <v>194</v>
      </c>
      <c r="Y38" s="872" t="s">
        <v>194</v>
      </c>
      <c r="Z38" s="872" t="s">
        <v>194</v>
      </c>
      <c r="AA38" s="872" t="s">
        <v>194</v>
      </c>
      <c r="AB38" s="872" t="s">
        <v>194</v>
      </c>
      <c r="AC38" s="15"/>
      <c r="AD38" s="851" t="s">
        <v>194</v>
      </c>
      <c r="AE38" s="846" t="s">
        <v>194</v>
      </c>
      <c r="AF38" s="846" t="s">
        <v>194</v>
      </c>
      <c r="AG38" s="846" t="s">
        <v>194</v>
      </c>
      <c r="AH38" s="846" t="s">
        <v>194</v>
      </c>
      <c r="AI38" s="846" t="s">
        <v>194</v>
      </c>
      <c r="AJ38" s="846" t="s">
        <v>194</v>
      </c>
      <c r="AK38" s="846" t="s">
        <v>194</v>
      </c>
      <c r="AL38" s="846" t="s">
        <v>194</v>
      </c>
      <c r="AM38" s="846" t="s">
        <v>194</v>
      </c>
      <c r="AN38" s="846" t="s">
        <v>194</v>
      </c>
      <c r="AO38" s="846" t="s">
        <v>194</v>
      </c>
      <c r="AP38" s="846" t="s">
        <v>194</v>
      </c>
      <c r="AQ38" s="846" t="s">
        <v>194</v>
      </c>
      <c r="AR38" s="846" t="s">
        <v>194</v>
      </c>
      <c r="AS38" s="846" t="s">
        <v>194</v>
      </c>
      <c r="AT38" s="846" t="s">
        <v>194</v>
      </c>
      <c r="AU38" s="846" t="s">
        <v>194</v>
      </c>
      <c r="AV38" s="846" t="s">
        <v>194</v>
      </c>
      <c r="AW38" s="846" t="s">
        <v>194</v>
      </c>
      <c r="AX38" s="846" t="s">
        <v>194</v>
      </c>
      <c r="AY38" s="846" t="s">
        <v>194</v>
      </c>
    </row>
    <row r="39" ht="15.75" hidden="1" customHeight="1" outlineLevel="4">
      <c r="A39" s="849">
        <v>1.0</v>
      </c>
      <c r="B39" s="15"/>
      <c r="C39" s="869" t="s">
        <v>258</v>
      </c>
      <c r="D39" s="870">
        <v>-8707.0</v>
      </c>
      <c r="E39" s="870">
        <v>-13074.578615384615</v>
      </c>
      <c r="F39" s="870">
        <v>-35742.0</v>
      </c>
      <c r="G39" s="870">
        <v>-3062.0</v>
      </c>
      <c r="H39" s="870">
        <v>-15455.0</v>
      </c>
      <c r="I39" s="870">
        <v>-5554.522</v>
      </c>
      <c r="J39" s="870">
        <v>10312.838043106512</v>
      </c>
      <c r="K39" s="871">
        <v>-0.7887702041097973</v>
      </c>
      <c r="L39" s="872" t="s">
        <v>194</v>
      </c>
      <c r="M39" s="873">
        <v>-3635.0</v>
      </c>
      <c r="N39" s="873">
        <v>-4597.0</v>
      </c>
      <c r="O39" s="873">
        <v>-12795.0</v>
      </c>
      <c r="P39" s="873">
        <v>-7677.0</v>
      </c>
      <c r="Q39" s="873">
        <v>-8707.0</v>
      </c>
      <c r="R39" s="873">
        <v>-15455.0</v>
      </c>
      <c r="S39" s="873">
        <v>-35742.0</v>
      </c>
      <c r="T39" s="872">
        <v>-6653.0</v>
      </c>
      <c r="U39" s="872">
        <v>-3062.0</v>
      </c>
      <c r="V39" s="872">
        <v>-21436.0</v>
      </c>
      <c r="W39" s="872">
        <v>-29687.0</v>
      </c>
      <c r="X39" s="872">
        <v>-14969.0</v>
      </c>
      <c r="Y39" s="872">
        <v>-5554.522</v>
      </c>
      <c r="Z39" s="872" t="s">
        <v>194</v>
      </c>
      <c r="AA39" s="872" t="s">
        <v>194</v>
      </c>
      <c r="AB39" s="872" t="s">
        <v>194</v>
      </c>
      <c r="AC39" s="15"/>
      <c r="AD39" s="851" t="s">
        <v>194</v>
      </c>
      <c r="AE39" s="846" t="s">
        <v>194</v>
      </c>
      <c r="AF39" s="846" t="s">
        <v>194</v>
      </c>
      <c r="AG39" s="846" t="s">
        <v>194</v>
      </c>
      <c r="AH39" s="846" t="s">
        <v>194</v>
      </c>
      <c r="AI39" s="846" t="s">
        <v>194</v>
      </c>
      <c r="AJ39" s="846" t="s">
        <v>194</v>
      </c>
      <c r="AK39" s="846" t="s">
        <v>194</v>
      </c>
      <c r="AL39" s="846" t="s">
        <v>194</v>
      </c>
      <c r="AM39" s="846" t="s">
        <v>194</v>
      </c>
      <c r="AN39" s="846" t="s">
        <v>194</v>
      </c>
      <c r="AO39" s="846" t="s">
        <v>194</v>
      </c>
      <c r="AP39" s="846" t="s">
        <v>194</v>
      </c>
      <c r="AQ39" s="846" t="s">
        <v>194</v>
      </c>
      <c r="AR39" s="846" t="s">
        <v>194</v>
      </c>
      <c r="AS39" s="846" t="s">
        <v>194</v>
      </c>
      <c r="AT39" s="846" t="s">
        <v>194</v>
      </c>
      <c r="AU39" s="846" t="s">
        <v>194</v>
      </c>
      <c r="AV39" s="846" t="s">
        <v>194</v>
      </c>
      <c r="AW39" s="846" t="s">
        <v>194</v>
      </c>
      <c r="AX39" s="846" t="s">
        <v>194</v>
      </c>
      <c r="AY39" s="846" t="s">
        <v>194</v>
      </c>
    </row>
    <row r="40" ht="15.75" hidden="1" customHeight="1" outlineLevel="5">
      <c r="A40" s="849">
        <v>1.0</v>
      </c>
      <c r="B40" s="15"/>
      <c r="C40" s="869" t="s">
        <v>259</v>
      </c>
      <c r="D40" s="870">
        <v>-7165.0</v>
      </c>
      <c r="E40" s="870">
        <v>-11489.625</v>
      </c>
      <c r="F40" s="870">
        <v>-29733.0</v>
      </c>
      <c r="G40" s="870">
        <v>-3062.0</v>
      </c>
      <c r="H40" s="870">
        <v>-16702.0</v>
      </c>
      <c r="I40" s="870">
        <v>-4356.5</v>
      </c>
      <c r="J40" s="870">
        <v>9732.986003974907</v>
      </c>
      <c r="K40" s="871">
        <v>-0.8471108503519399</v>
      </c>
      <c r="L40" s="872" t="s">
        <v>194</v>
      </c>
      <c r="M40" s="873">
        <v>-3635.0</v>
      </c>
      <c r="N40" s="873">
        <v>-4597.0</v>
      </c>
      <c r="O40" s="873" t="s">
        <v>194</v>
      </c>
      <c r="P40" s="873">
        <v>-7677.0</v>
      </c>
      <c r="Q40" s="873" t="s">
        <v>194</v>
      </c>
      <c r="R40" s="873" t="s">
        <v>194</v>
      </c>
      <c r="S40" s="873" t="s">
        <v>194</v>
      </c>
      <c r="T40" s="872">
        <v>-6653.0</v>
      </c>
      <c r="U40" s="872">
        <v>-3062.0</v>
      </c>
      <c r="V40" s="872">
        <v>-21436.0</v>
      </c>
      <c r="W40" s="872">
        <v>-29733.0</v>
      </c>
      <c r="X40" s="872">
        <v>-15124.0</v>
      </c>
      <c r="Y40" s="872" t="s">
        <v>194</v>
      </c>
      <c r="Z40" s="872" t="s">
        <v>194</v>
      </c>
      <c r="AA40" s="872" t="s">
        <v>194</v>
      </c>
      <c r="AB40" s="872" t="s">
        <v>194</v>
      </c>
      <c r="AC40" s="15"/>
      <c r="AD40" s="851" t="s">
        <v>194</v>
      </c>
      <c r="AE40" s="846" t="s">
        <v>194</v>
      </c>
      <c r="AF40" s="846" t="s">
        <v>194</v>
      </c>
      <c r="AG40" s="846" t="s">
        <v>194</v>
      </c>
      <c r="AH40" s="846" t="s">
        <v>194</v>
      </c>
      <c r="AI40" s="846" t="s">
        <v>194</v>
      </c>
      <c r="AJ40" s="846" t="s">
        <v>194</v>
      </c>
      <c r="AK40" s="846" t="s">
        <v>194</v>
      </c>
      <c r="AL40" s="846" t="s">
        <v>194</v>
      </c>
      <c r="AM40" s="846" t="s">
        <v>194</v>
      </c>
      <c r="AN40" s="846" t="s">
        <v>194</v>
      </c>
      <c r="AO40" s="846" t="s">
        <v>194</v>
      </c>
      <c r="AP40" s="846" t="s">
        <v>194</v>
      </c>
      <c r="AQ40" s="846" t="s">
        <v>194</v>
      </c>
      <c r="AR40" s="846" t="s">
        <v>194</v>
      </c>
      <c r="AS40" s="846" t="s">
        <v>194</v>
      </c>
      <c r="AT40" s="846" t="s">
        <v>194</v>
      </c>
      <c r="AU40" s="846" t="s">
        <v>194</v>
      </c>
      <c r="AV40" s="846" t="s">
        <v>194</v>
      </c>
      <c r="AW40" s="846" t="s">
        <v>194</v>
      </c>
      <c r="AX40" s="846" t="s">
        <v>194</v>
      </c>
      <c r="AY40" s="846" t="s">
        <v>194</v>
      </c>
    </row>
    <row r="41" ht="15.75" hidden="1" customHeight="1" outlineLevel="5">
      <c r="A41" s="849">
        <v>1.0</v>
      </c>
      <c r="B41" s="15"/>
      <c r="C41" s="869" t="s">
        <v>260</v>
      </c>
      <c r="D41" s="870">
        <v>100.5</v>
      </c>
      <c r="E41" s="870">
        <v>100.5</v>
      </c>
      <c r="F41" s="870">
        <v>46.0</v>
      </c>
      <c r="G41" s="870">
        <v>155.0</v>
      </c>
      <c r="H41" s="870">
        <v>73.25</v>
      </c>
      <c r="I41" s="870">
        <v>127.75</v>
      </c>
      <c r="J41" s="870">
        <v>77.07463914933368</v>
      </c>
      <c r="K41" s="871">
        <v>0.7669118323316784</v>
      </c>
      <c r="L41" s="872" t="s">
        <v>194</v>
      </c>
      <c r="M41" s="873" t="s">
        <v>194</v>
      </c>
      <c r="N41" s="873" t="s">
        <v>194</v>
      </c>
      <c r="O41" s="873" t="s">
        <v>194</v>
      </c>
      <c r="P41" s="873" t="s">
        <v>194</v>
      </c>
      <c r="Q41" s="873" t="s">
        <v>194</v>
      </c>
      <c r="R41" s="873" t="s">
        <v>194</v>
      </c>
      <c r="S41" s="873" t="s">
        <v>194</v>
      </c>
      <c r="T41" s="872" t="s">
        <v>194</v>
      </c>
      <c r="U41" s="872" t="s">
        <v>194</v>
      </c>
      <c r="V41" s="872" t="s">
        <v>194</v>
      </c>
      <c r="W41" s="872">
        <v>46.0</v>
      </c>
      <c r="X41" s="872">
        <v>155.0</v>
      </c>
      <c r="Y41" s="872" t="s">
        <v>194</v>
      </c>
      <c r="Z41" s="872" t="s">
        <v>194</v>
      </c>
      <c r="AA41" s="872" t="s">
        <v>194</v>
      </c>
      <c r="AB41" s="872" t="s">
        <v>194</v>
      </c>
      <c r="AC41" s="15"/>
      <c r="AD41" s="851" t="s">
        <v>194</v>
      </c>
      <c r="AE41" s="846" t="s">
        <v>194</v>
      </c>
      <c r="AF41" s="846" t="s">
        <v>194</v>
      </c>
      <c r="AG41" s="846" t="s">
        <v>194</v>
      </c>
      <c r="AH41" s="846" t="s">
        <v>194</v>
      </c>
      <c r="AI41" s="846" t="s">
        <v>194</v>
      </c>
      <c r="AJ41" s="846" t="s">
        <v>194</v>
      </c>
      <c r="AK41" s="846" t="s">
        <v>194</v>
      </c>
      <c r="AL41" s="846" t="s">
        <v>194</v>
      </c>
      <c r="AM41" s="846" t="s">
        <v>194</v>
      </c>
      <c r="AN41" s="846" t="s">
        <v>194</v>
      </c>
      <c r="AO41" s="846" t="s">
        <v>194</v>
      </c>
      <c r="AP41" s="846" t="s">
        <v>194</v>
      </c>
      <c r="AQ41" s="846" t="s">
        <v>194</v>
      </c>
      <c r="AR41" s="846" t="s">
        <v>194</v>
      </c>
      <c r="AS41" s="846" t="s">
        <v>194</v>
      </c>
      <c r="AT41" s="846" t="s">
        <v>194</v>
      </c>
      <c r="AU41" s="846" t="s">
        <v>194</v>
      </c>
      <c r="AV41" s="846" t="s">
        <v>194</v>
      </c>
      <c r="AW41" s="846" t="s">
        <v>194</v>
      </c>
      <c r="AX41" s="846" t="s">
        <v>194</v>
      </c>
      <c r="AY41" s="846" t="s">
        <v>194</v>
      </c>
    </row>
    <row r="42" ht="15.75" hidden="1" customHeight="1" outlineLevel="5">
      <c r="A42" s="849">
        <v>1.0</v>
      </c>
      <c r="B42" s="15"/>
      <c r="C42" s="881" t="s">
        <v>261</v>
      </c>
      <c r="D42" s="882">
        <v>-8707.0</v>
      </c>
      <c r="E42" s="882">
        <v>-13074.578615384615</v>
      </c>
      <c r="F42" s="882">
        <v>-35742.0</v>
      </c>
      <c r="G42" s="882">
        <v>-3062.0</v>
      </c>
      <c r="H42" s="882">
        <v>-15455.0</v>
      </c>
      <c r="I42" s="882">
        <v>-5554.522</v>
      </c>
      <c r="J42" s="882">
        <v>10312.838043106512</v>
      </c>
      <c r="K42" s="883">
        <v>-0.7887702041097973</v>
      </c>
      <c r="L42" s="884" t="s">
        <v>194</v>
      </c>
      <c r="M42" s="879">
        <v>-3635.0</v>
      </c>
      <c r="N42" s="879">
        <v>-4597.0</v>
      </c>
      <c r="O42" s="879">
        <v>-12795.0</v>
      </c>
      <c r="P42" s="879">
        <v>-7677.0</v>
      </c>
      <c r="Q42" s="879">
        <v>-8707.0</v>
      </c>
      <c r="R42" s="879">
        <v>-15455.0</v>
      </c>
      <c r="S42" s="879">
        <v>-35742.0</v>
      </c>
      <c r="T42" s="884">
        <v>-6653.0</v>
      </c>
      <c r="U42" s="884">
        <v>-3062.0</v>
      </c>
      <c r="V42" s="884">
        <v>-21436.0</v>
      </c>
      <c r="W42" s="884">
        <v>-29687.0</v>
      </c>
      <c r="X42" s="884">
        <v>-14969.0</v>
      </c>
      <c r="Y42" s="884">
        <v>-5554.522</v>
      </c>
      <c r="Z42" s="884" t="s">
        <v>194</v>
      </c>
      <c r="AA42" s="884" t="s">
        <v>194</v>
      </c>
      <c r="AB42" s="884" t="s">
        <v>194</v>
      </c>
      <c r="AC42" s="15"/>
      <c r="AD42" s="851" t="s">
        <v>194</v>
      </c>
      <c r="AE42" s="846" t="s">
        <v>194</v>
      </c>
      <c r="AF42" s="846" t="s">
        <v>194</v>
      </c>
      <c r="AG42" s="846" t="s">
        <v>194</v>
      </c>
      <c r="AH42" s="846" t="s">
        <v>194</v>
      </c>
      <c r="AI42" s="846" t="s">
        <v>194</v>
      </c>
      <c r="AJ42" s="846" t="s">
        <v>194</v>
      </c>
      <c r="AK42" s="846" t="s">
        <v>194</v>
      </c>
      <c r="AL42" s="846" t="s">
        <v>194</v>
      </c>
      <c r="AM42" s="846" t="s">
        <v>194</v>
      </c>
      <c r="AN42" s="846" t="s">
        <v>194</v>
      </c>
      <c r="AO42" s="846" t="s">
        <v>194</v>
      </c>
      <c r="AP42" s="846" t="s">
        <v>194</v>
      </c>
      <c r="AQ42" s="846" t="s">
        <v>194</v>
      </c>
      <c r="AR42" s="846" t="s">
        <v>194</v>
      </c>
      <c r="AS42" s="846" t="s">
        <v>194</v>
      </c>
      <c r="AT42" s="846" t="s">
        <v>194</v>
      </c>
      <c r="AU42" s="846" t="s">
        <v>194</v>
      </c>
      <c r="AV42" s="846" t="s">
        <v>194</v>
      </c>
      <c r="AW42" s="846" t="s">
        <v>194</v>
      </c>
      <c r="AX42" s="846" t="s">
        <v>194</v>
      </c>
      <c r="AY42" s="846" t="s">
        <v>194</v>
      </c>
    </row>
    <row r="43" ht="15.75" hidden="1" customHeight="1" outlineLevel="4">
      <c r="A43" s="849">
        <v>1.0</v>
      </c>
      <c r="B43" s="15"/>
      <c r="C43" s="869" t="s">
        <v>262</v>
      </c>
      <c r="D43" s="870">
        <v>-3.0</v>
      </c>
      <c r="E43" s="870">
        <v>249.49215384615385</v>
      </c>
      <c r="F43" s="870">
        <v>-1759.0</v>
      </c>
      <c r="G43" s="870">
        <v>3661.0</v>
      </c>
      <c r="H43" s="870">
        <v>-694.0</v>
      </c>
      <c r="I43" s="870">
        <v>223.0</v>
      </c>
      <c r="J43" s="870">
        <v>1613.0811931828812</v>
      </c>
      <c r="K43" s="871">
        <v>6.465458605874905</v>
      </c>
      <c r="L43" s="872" t="s">
        <v>194</v>
      </c>
      <c r="M43" s="873">
        <v>691.0</v>
      </c>
      <c r="N43" s="873">
        <v>-637.0</v>
      </c>
      <c r="O43" s="873">
        <v>-128.0</v>
      </c>
      <c r="P43" s="873">
        <v>-3.0</v>
      </c>
      <c r="Q43" s="873">
        <v>-1050.0</v>
      </c>
      <c r="R43" s="873">
        <v>-694.0</v>
      </c>
      <c r="S43" s="873">
        <v>3517.0</v>
      </c>
      <c r="T43" s="872">
        <v>3661.0</v>
      </c>
      <c r="U43" s="872">
        <v>0.0</v>
      </c>
      <c r="V43" s="872">
        <v>-1759.0</v>
      </c>
      <c r="W43" s="872">
        <v>-772.0</v>
      </c>
      <c r="X43" s="872">
        <v>223.0</v>
      </c>
      <c r="Y43" s="872">
        <v>194.398</v>
      </c>
      <c r="Z43" s="872" t="s">
        <v>194</v>
      </c>
      <c r="AA43" s="872" t="s">
        <v>194</v>
      </c>
      <c r="AB43" s="872" t="s">
        <v>194</v>
      </c>
      <c r="AC43" s="15"/>
      <c r="AD43" s="851" t="s">
        <v>194</v>
      </c>
      <c r="AE43" s="846" t="s">
        <v>194</v>
      </c>
      <c r="AF43" s="846" t="s">
        <v>194</v>
      </c>
      <c r="AG43" s="846" t="s">
        <v>194</v>
      </c>
      <c r="AH43" s="846" t="s">
        <v>194</v>
      </c>
      <c r="AI43" s="846" t="s">
        <v>194</v>
      </c>
      <c r="AJ43" s="846" t="s">
        <v>194</v>
      </c>
      <c r="AK43" s="846" t="s">
        <v>194</v>
      </c>
      <c r="AL43" s="846" t="s">
        <v>194</v>
      </c>
      <c r="AM43" s="846" t="s">
        <v>194</v>
      </c>
      <c r="AN43" s="846" t="s">
        <v>194</v>
      </c>
      <c r="AO43" s="846" t="s">
        <v>194</v>
      </c>
      <c r="AP43" s="846" t="s">
        <v>194</v>
      </c>
      <c r="AQ43" s="846" t="s">
        <v>194</v>
      </c>
      <c r="AR43" s="846" t="s">
        <v>194</v>
      </c>
      <c r="AS43" s="846" t="s">
        <v>194</v>
      </c>
      <c r="AT43" s="846" t="s">
        <v>194</v>
      </c>
      <c r="AU43" s="846" t="s">
        <v>194</v>
      </c>
      <c r="AV43" s="846" t="s">
        <v>194</v>
      </c>
      <c r="AW43" s="846" t="s">
        <v>194</v>
      </c>
      <c r="AX43" s="846" t="s">
        <v>194</v>
      </c>
      <c r="AY43" s="846" t="s">
        <v>194</v>
      </c>
    </row>
    <row r="44" ht="15.75" hidden="1" customHeight="1" outlineLevel="4">
      <c r="A44" s="849">
        <v>1.0</v>
      </c>
      <c r="B44" s="15"/>
      <c r="C44" s="869" t="s">
        <v>263</v>
      </c>
      <c r="D44" s="870">
        <v>-196.357</v>
      </c>
      <c r="E44" s="870">
        <v>-196.357</v>
      </c>
      <c r="F44" s="870">
        <v>-196.357</v>
      </c>
      <c r="G44" s="870">
        <v>-196.357</v>
      </c>
      <c r="H44" s="870">
        <v>-196.357</v>
      </c>
      <c r="I44" s="870">
        <v>-196.357</v>
      </c>
      <c r="J44" s="870" t="s">
        <v>194</v>
      </c>
      <c r="K44" s="871" t="s">
        <v>194</v>
      </c>
      <c r="L44" s="872" t="s">
        <v>194</v>
      </c>
      <c r="M44" s="873" t="s">
        <v>194</v>
      </c>
      <c r="N44" s="873" t="s">
        <v>194</v>
      </c>
      <c r="O44" s="873" t="s">
        <v>194</v>
      </c>
      <c r="P44" s="873" t="s">
        <v>194</v>
      </c>
      <c r="Q44" s="873" t="s">
        <v>194</v>
      </c>
      <c r="R44" s="873" t="s">
        <v>194</v>
      </c>
      <c r="S44" s="873" t="s">
        <v>194</v>
      </c>
      <c r="T44" s="872" t="s">
        <v>194</v>
      </c>
      <c r="U44" s="872" t="s">
        <v>194</v>
      </c>
      <c r="V44" s="872" t="s">
        <v>194</v>
      </c>
      <c r="W44" s="872" t="s">
        <v>194</v>
      </c>
      <c r="X44" s="872" t="s">
        <v>194</v>
      </c>
      <c r="Y44" s="872">
        <v>-196.357</v>
      </c>
      <c r="Z44" s="872" t="s">
        <v>194</v>
      </c>
      <c r="AA44" s="872" t="s">
        <v>194</v>
      </c>
      <c r="AB44" s="872" t="s">
        <v>194</v>
      </c>
      <c r="AC44" s="15"/>
      <c r="AD44" s="851" t="s">
        <v>194</v>
      </c>
      <c r="AE44" s="846" t="s">
        <v>194</v>
      </c>
      <c r="AF44" s="846" t="s">
        <v>194</v>
      </c>
      <c r="AG44" s="846" t="s">
        <v>194</v>
      </c>
      <c r="AH44" s="846" t="s">
        <v>194</v>
      </c>
      <c r="AI44" s="846" t="s">
        <v>194</v>
      </c>
      <c r="AJ44" s="846" t="s">
        <v>194</v>
      </c>
      <c r="AK44" s="846" t="s">
        <v>194</v>
      </c>
      <c r="AL44" s="846" t="s">
        <v>194</v>
      </c>
      <c r="AM44" s="846" t="s">
        <v>194</v>
      </c>
      <c r="AN44" s="846" t="s">
        <v>194</v>
      </c>
      <c r="AO44" s="846" t="s">
        <v>194</v>
      </c>
      <c r="AP44" s="846" t="s">
        <v>194</v>
      </c>
      <c r="AQ44" s="846" t="s">
        <v>194</v>
      </c>
      <c r="AR44" s="846" t="s">
        <v>194</v>
      </c>
      <c r="AS44" s="846" t="s">
        <v>194</v>
      </c>
      <c r="AT44" s="846" t="s">
        <v>194</v>
      </c>
      <c r="AU44" s="846" t="s">
        <v>194</v>
      </c>
      <c r="AV44" s="846" t="s">
        <v>194</v>
      </c>
      <c r="AW44" s="846" t="s">
        <v>194</v>
      </c>
      <c r="AX44" s="846" t="s">
        <v>194</v>
      </c>
      <c r="AY44" s="846" t="s">
        <v>194</v>
      </c>
    </row>
    <row r="45" ht="15.75" hidden="1" customHeight="1" outlineLevel="4">
      <c r="A45" s="849">
        <v>1.0</v>
      </c>
      <c r="B45" s="15"/>
      <c r="C45" s="869" t="s">
        <v>264</v>
      </c>
      <c r="D45" s="870">
        <v>226.0</v>
      </c>
      <c r="E45" s="870">
        <v>-1075.0374615384615</v>
      </c>
      <c r="F45" s="870">
        <v>-9784.0</v>
      </c>
      <c r="G45" s="870">
        <v>3679.0</v>
      </c>
      <c r="H45" s="870">
        <v>-4496.0</v>
      </c>
      <c r="I45" s="870">
        <v>2302.0</v>
      </c>
      <c r="J45" s="870">
        <v>4022.67482604263</v>
      </c>
      <c r="K45" s="871">
        <v>-3.7418926967306536</v>
      </c>
      <c r="L45" s="872" t="s">
        <v>194</v>
      </c>
      <c r="M45" s="873">
        <v>-2300.0</v>
      </c>
      <c r="N45" s="873">
        <v>226.0</v>
      </c>
      <c r="O45" s="873">
        <v>835.0</v>
      </c>
      <c r="P45" s="873">
        <v>-5163.0</v>
      </c>
      <c r="Q45" s="873">
        <v>2689.0</v>
      </c>
      <c r="R45" s="873">
        <v>-9784.0</v>
      </c>
      <c r="S45" s="873">
        <v>-5066.0</v>
      </c>
      <c r="T45" s="872">
        <v>-4496.0</v>
      </c>
      <c r="U45" s="872">
        <v>-155.0</v>
      </c>
      <c r="V45" s="872">
        <v>2954.0</v>
      </c>
      <c r="W45" s="872">
        <v>3679.0</v>
      </c>
      <c r="X45" s="872">
        <v>2302.0</v>
      </c>
      <c r="Y45" s="872">
        <v>303.513</v>
      </c>
      <c r="Z45" s="872" t="s">
        <v>194</v>
      </c>
      <c r="AA45" s="872" t="s">
        <v>194</v>
      </c>
      <c r="AB45" s="872" t="s">
        <v>194</v>
      </c>
      <c r="AC45" s="15"/>
      <c r="AD45" s="851" t="s">
        <v>194</v>
      </c>
      <c r="AE45" s="846" t="s">
        <v>194</v>
      </c>
      <c r="AF45" s="846" t="s">
        <v>194</v>
      </c>
      <c r="AG45" s="846" t="s">
        <v>194</v>
      </c>
      <c r="AH45" s="846" t="s">
        <v>194</v>
      </c>
      <c r="AI45" s="846" t="s">
        <v>194</v>
      </c>
      <c r="AJ45" s="846" t="s">
        <v>194</v>
      </c>
      <c r="AK45" s="846" t="s">
        <v>194</v>
      </c>
      <c r="AL45" s="846" t="s">
        <v>194</v>
      </c>
      <c r="AM45" s="846" t="s">
        <v>194</v>
      </c>
      <c r="AN45" s="846" t="s">
        <v>194</v>
      </c>
      <c r="AO45" s="846" t="s">
        <v>194</v>
      </c>
      <c r="AP45" s="846" t="s">
        <v>194</v>
      </c>
      <c r="AQ45" s="846" t="s">
        <v>194</v>
      </c>
      <c r="AR45" s="846" t="s">
        <v>194</v>
      </c>
      <c r="AS45" s="846" t="s">
        <v>194</v>
      </c>
      <c r="AT45" s="846" t="s">
        <v>194</v>
      </c>
      <c r="AU45" s="846" t="s">
        <v>194</v>
      </c>
      <c r="AV45" s="846" t="s">
        <v>194</v>
      </c>
      <c r="AW45" s="846" t="s">
        <v>194</v>
      </c>
      <c r="AX45" s="846" t="s">
        <v>194</v>
      </c>
      <c r="AY45" s="846" t="s">
        <v>194</v>
      </c>
    </row>
    <row r="46" ht="15.75" hidden="1" customHeight="1" outlineLevel="5">
      <c r="A46" s="849">
        <v>1.0</v>
      </c>
      <c r="B46" s="15"/>
      <c r="C46" s="869" t="s">
        <v>265</v>
      </c>
      <c r="D46" s="870">
        <v>299.5</v>
      </c>
      <c r="E46" s="870">
        <v>-233.33333333333334</v>
      </c>
      <c r="F46" s="870">
        <v>-8320.0</v>
      </c>
      <c r="G46" s="870">
        <v>3760.0</v>
      </c>
      <c r="H46" s="870">
        <v>-1644.75</v>
      </c>
      <c r="I46" s="870">
        <v>2563.0</v>
      </c>
      <c r="J46" s="870">
        <v>3619.798445753408</v>
      </c>
      <c r="K46" s="871">
        <v>-15.513421910371749</v>
      </c>
      <c r="L46" s="872" t="s">
        <v>194</v>
      </c>
      <c r="M46" s="873">
        <v>552.0</v>
      </c>
      <c r="N46" s="873">
        <v>2369.0</v>
      </c>
      <c r="O46" s="873">
        <v>47.0</v>
      </c>
      <c r="P46" s="873">
        <v>-4699.0</v>
      </c>
      <c r="Q46" s="873">
        <v>3145.0</v>
      </c>
      <c r="R46" s="873">
        <v>-8320.0</v>
      </c>
      <c r="S46" s="873">
        <v>3760.0</v>
      </c>
      <c r="T46" s="872">
        <v>-3033.0</v>
      </c>
      <c r="U46" s="872">
        <v>-1182.0</v>
      </c>
      <c r="V46" s="872">
        <v>3322.0</v>
      </c>
      <c r="W46" s="872">
        <v>-134.0</v>
      </c>
      <c r="X46" s="872">
        <v>1373.0</v>
      </c>
      <c r="Y46" s="872" t="s">
        <v>194</v>
      </c>
      <c r="Z46" s="872" t="s">
        <v>194</v>
      </c>
      <c r="AA46" s="872" t="s">
        <v>194</v>
      </c>
      <c r="AB46" s="872" t="s">
        <v>194</v>
      </c>
      <c r="AC46" s="15"/>
      <c r="AD46" s="851" t="s">
        <v>194</v>
      </c>
      <c r="AE46" s="846" t="s">
        <v>194</v>
      </c>
      <c r="AF46" s="846" t="s">
        <v>194</v>
      </c>
      <c r="AG46" s="846" t="s">
        <v>194</v>
      </c>
      <c r="AH46" s="846" t="s">
        <v>194</v>
      </c>
      <c r="AI46" s="846" t="s">
        <v>194</v>
      </c>
      <c r="AJ46" s="846" t="s">
        <v>194</v>
      </c>
      <c r="AK46" s="846" t="s">
        <v>194</v>
      </c>
      <c r="AL46" s="846" t="s">
        <v>194</v>
      </c>
      <c r="AM46" s="846" t="s">
        <v>194</v>
      </c>
      <c r="AN46" s="846" t="s">
        <v>194</v>
      </c>
      <c r="AO46" s="846" t="s">
        <v>194</v>
      </c>
      <c r="AP46" s="846" t="s">
        <v>194</v>
      </c>
      <c r="AQ46" s="846" t="s">
        <v>194</v>
      </c>
      <c r="AR46" s="846" t="s">
        <v>194</v>
      </c>
      <c r="AS46" s="846" t="s">
        <v>194</v>
      </c>
      <c r="AT46" s="846" t="s">
        <v>194</v>
      </c>
      <c r="AU46" s="846" t="s">
        <v>194</v>
      </c>
      <c r="AV46" s="846" t="s">
        <v>194</v>
      </c>
      <c r="AW46" s="846" t="s">
        <v>194</v>
      </c>
      <c r="AX46" s="846" t="s">
        <v>194</v>
      </c>
      <c r="AY46" s="846" t="s">
        <v>194</v>
      </c>
    </row>
    <row r="47" ht="15.75" hidden="1" customHeight="1" outlineLevel="6">
      <c r="A47" s="849">
        <v>1.0</v>
      </c>
      <c r="B47" s="15"/>
      <c r="C47" s="869" t="s">
        <v>266</v>
      </c>
      <c r="D47" s="870">
        <v>299.5</v>
      </c>
      <c r="E47" s="870">
        <v>-233.33333333333334</v>
      </c>
      <c r="F47" s="870">
        <v>-8320.0</v>
      </c>
      <c r="G47" s="870">
        <v>3760.0</v>
      </c>
      <c r="H47" s="870">
        <v>-1644.75</v>
      </c>
      <c r="I47" s="870">
        <v>2563.0</v>
      </c>
      <c r="J47" s="870">
        <v>3619.798445753408</v>
      </c>
      <c r="K47" s="871">
        <v>-15.513421910371749</v>
      </c>
      <c r="L47" s="872" t="s">
        <v>194</v>
      </c>
      <c r="M47" s="873">
        <v>552.0</v>
      </c>
      <c r="N47" s="873">
        <v>2369.0</v>
      </c>
      <c r="O47" s="873">
        <v>47.0</v>
      </c>
      <c r="P47" s="873">
        <v>-4699.0</v>
      </c>
      <c r="Q47" s="873">
        <v>3145.0</v>
      </c>
      <c r="R47" s="873">
        <v>-8320.0</v>
      </c>
      <c r="S47" s="873">
        <v>3760.0</v>
      </c>
      <c r="T47" s="872">
        <v>-3033.0</v>
      </c>
      <c r="U47" s="872">
        <v>-1182.0</v>
      </c>
      <c r="V47" s="872">
        <v>3322.0</v>
      </c>
      <c r="W47" s="872">
        <v>-134.0</v>
      </c>
      <c r="X47" s="872">
        <v>1373.0</v>
      </c>
      <c r="Y47" s="872" t="s">
        <v>194</v>
      </c>
      <c r="Z47" s="872" t="s">
        <v>194</v>
      </c>
      <c r="AA47" s="872" t="s">
        <v>194</v>
      </c>
      <c r="AB47" s="872" t="s">
        <v>194</v>
      </c>
      <c r="AC47" s="15"/>
      <c r="AD47" s="851" t="s">
        <v>194</v>
      </c>
      <c r="AE47" s="846" t="s">
        <v>194</v>
      </c>
      <c r="AF47" s="846" t="s">
        <v>194</v>
      </c>
      <c r="AG47" s="846" t="s">
        <v>194</v>
      </c>
      <c r="AH47" s="846" t="s">
        <v>194</v>
      </c>
      <c r="AI47" s="846" t="s">
        <v>194</v>
      </c>
      <c r="AJ47" s="846" t="s">
        <v>194</v>
      </c>
      <c r="AK47" s="846" t="s">
        <v>194</v>
      </c>
      <c r="AL47" s="846" t="s">
        <v>194</v>
      </c>
      <c r="AM47" s="846" t="s">
        <v>194</v>
      </c>
      <c r="AN47" s="846" t="s">
        <v>194</v>
      </c>
      <c r="AO47" s="846" t="s">
        <v>194</v>
      </c>
      <c r="AP47" s="846" t="s">
        <v>194</v>
      </c>
      <c r="AQ47" s="846" t="s">
        <v>194</v>
      </c>
      <c r="AR47" s="846" t="s">
        <v>194</v>
      </c>
      <c r="AS47" s="846" t="s">
        <v>194</v>
      </c>
      <c r="AT47" s="846" t="s">
        <v>194</v>
      </c>
      <c r="AU47" s="846" t="s">
        <v>194</v>
      </c>
      <c r="AV47" s="846" t="s">
        <v>194</v>
      </c>
      <c r="AW47" s="846" t="s">
        <v>194</v>
      </c>
      <c r="AX47" s="846" t="s">
        <v>194</v>
      </c>
      <c r="AY47" s="846" t="s">
        <v>194</v>
      </c>
    </row>
    <row r="48" ht="15.75" hidden="1" customHeight="1" outlineLevel="6">
      <c r="A48" s="849">
        <v>1.0</v>
      </c>
      <c r="B48" s="15"/>
      <c r="C48" s="881" t="s">
        <v>267</v>
      </c>
      <c r="D48" s="882">
        <v>299.5</v>
      </c>
      <c r="E48" s="882">
        <v>-233.33333333333334</v>
      </c>
      <c r="F48" s="882">
        <v>-8320.0</v>
      </c>
      <c r="G48" s="882">
        <v>3760.0</v>
      </c>
      <c r="H48" s="882">
        <v>-1644.75</v>
      </c>
      <c r="I48" s="882">
        <v>2563.0</v>
      </c>
      <c r="J48" s="882">
        <v>3619.798445753408</v>
      </c>
      <c r="K48" s="883">
        <v>-15.513421910371749</v>
      </c>
      <c r="L48" s="884" t="s">
        <v>194</v>
      </c>
      <c r="M48" s="879">
        <v>552.0</v>
      </c>
      <c r="N48" s="879">
        <v>2369.0</v>
      </c>
      <c r="O48" s="879">
        <v>47.0</v>
      </c>
      <c r="P48" s="879">
        <v>-4699.0</v>
      </c>
      <c r="Q48" s="879">
        <v>3145.0</v>
      </c>
      <c r="R48" s="879">
        <v>-8320.0</v>
      </c>
      <c r="S48" s="879">
        <v>3760.0</v>
      </c>
      <c r="T48" s="884">
        <v>-3033.0</v>
      </c>
      <c r="U48" s="884">
        <v>-1182.0</v>
      </c>
      <c r="V48" s="884">
        <v>3322.0</v>
      </c>
      <c r="W48" s="884">
        <v>-134.0</v>
      </c>
      <c r="X48" s="884">
        <v>1373.0</v>
      </c>
      <c r="Y48" s="884" t="s">
        <v>194</v>
      </c>
      <c r="Z48" s="884" t="s">
        <v>194</v>
      </c>
      <c r="AA48" s="884" t="s">
        <v>194</v>
      </c>
      <c r="AB48" s="884" t="s">
        <v>194</v>
      </c>
      <c r="AC48" s="15"/>
      <c r="AD48" s="851" t="s">
        <v>194</v>
      </c>
      <c r="AE48" s="846" t="s">
        <v>194</v>
      </c>
      <c r="AF48" s="846" t="s">
        <v>194</v>
      </c>
      <c r="AG48" s="846" t="s">
        <v>194</v>
      </c>
      <c r="AH48" s="846" t="s">
        <v>194</v>
      </c>
      <c r="AI48" s="846" t="s">
        <v>194</v>
      </c>
      <c r="AJ48" s="846" t="s">
        <v>194</v>
      </c>
      <c r="AK48" s="846" t="s">
        <v>194</v>
      </c>
      <c r="AL48" s="846" t="s">
        <v>194</v>
      </c>
      <c r="AM48" s="846" t="s">
        <v>194</v>
      </c>
      <c r="AN48" s="846" t="s">
        <v>194</v>
      </c>
      <c r="AO48" s="846" t="s">
        <v>194</v>
      </c>
      <c r="AP48" s="846" t="s">
        <v>194</v>
      </c>
      <c r="AQ48" s="846" t="s">
        <v>194</v>
      </c>
      <c r="AR48" s="846" t="s">
        <v>194</v>
      </c>
      <c r="AS48" s="846" t="s">
        <v>194</v>
      </c>
      <c r="AT48" s="846" t="s">
        <v>194</v>
      </c>
      <c r="AU48" s="846" t="s">
        <v>194</v>
      </c>
      <c r="AV48" s="846" t="s">
        <v>194</v>
      </c>
      <c r="AW48" s="846" t="s">
        <v>194</v>
      </c>
      <c r="AX48" s="846" t="s">
        <v>194</v>
      </c>
      <c r="AY48" s="846" t="s">
        <v>194</v>
      </c>
    </row>
    <row r="49" ht="15.75" hidden="1" customHeight="1" outlineLevel="5">
      <c r="A49" s="849">
        <v>1.0</v>
      </c>
      <c r="B49" s="15"/>
      <c r="C49" s="869" t="s">
        <v>268</v>
      </c>
      <c r="D49" s="870">
        <v>-460.0</v>
      </c>
      <c r="E49" s="870">
        <v>-956.5833333333334</v>
      </c>
      <c r="F49" s="870">
        <v>-8826.0</v>
      </c>
      <c r="G49" s="870">
        <v>3813.0</v>
      </c>
      <c r="H49" s="870">
        <v>-1633.75</v>
      </c>
      <c r="I49" s="870">
        <v>823.25</v>
      </c>
      <c r="J49" s="870">
        <v>3038.600349393341</v>
      </c>
      <c r="K49" s="871">
        <v>-3.1765139988431126</v>
      </c>
      <c r="L49" s="872" t="s">
        <v>194</v>
      </c>
      <c r="M49" s="873">
        <v>-2852.0</v>
      </c>
      <c r="N49" s="873">
        <v>-2143.0</v>
      </c>
      <c r="O49" s="873">
        <v>788.0</v>
      </c>
      <c r="P49" s="873">
        <v>-464.0</v>
      </c>
      <c r="Q49" s="873">
        <v>-456.0</v>
      </c>
      <c r="R49" s="873">
        <v>-1464.0</v>
      </c>
      <c r="S49" s="873">
        <v>-8826.0</v>
      </c>
      <c r="T49" s="872">
        <v>-1463.0</v>
      </c>
      <c r="U49" s="872">
        <v>1027.0</v>
      </c>
      <c r="V49" s="872">
        <v>-368.0</v>
      </c>
      <c r="W49" s="872">
        <v>3813.0</v>
      </c>
      <c r="X49" s="872">
        <v>929.0</v>
      </c>
      <c r="Y49" s="872" t="s">
        <v>194</v>
      </c>
      <c r="Z49" s="872" t="s">
        <v>194</v>
      </c>
      <c r="AA49" s="872" t="s">
        <v>194</v>
      </c>
      <c r="AB49" s="872" t="s">
        <v>194</v>
      </c>
      <c r="AC49" s="15"/>
      <c r="AD49" s="851" t="s">
        <v>194</v>
      </c>
      <c r="AE49" s="846" t="s">
        <v>194</v>
      </c>
      <c r="AF49" s="846" t="s">
        <v>194</v>
      </c>
      <c r="AG49" s="846" t="s">
        <v>194</v>
      </c>
      <c r="AH49" s="846" t="s">
        <v>194</v>
      </c>
      <c r="AI49" s="846" t="s">
        <v>194</v>
      </c>
      <c r="AJ49" s="846" t="s">
        <v>194</v>
      </c>
      <c r="AK49" s="846" t="s">
        <v>194</v>
      </c>
      <c r="AL49" s="846" t="s">
        <v>194</v>
      </c>
      <c r="AM49" s="846" t="s">
        <v>194</v>
      </c>
      <c r="AN49" s="846" t="s">
        <v>194</v>
      </c>
      <c r="AO49" s="846" t="s">
        <v>194</v>
      </c>
      <c r="AP49" s="846" t="s">
        <v>194</v>
      </c>
      <c r="AQ49" s="846" t="s">
        <v>194</v>
      </c>
      <c r="AR49" s="846" t="s">
        <v>194</v>
      </c>
      <c r="AS49" s="846" t="s">
        <v>194</v>
      </c>
      <c r="AT49" s="846" t="s">
        <v>194</v>
      </c>
      <c r="AU49" s="846" t="s">
        <v>194</v>
      </c>
      <c r="AV49" s="846" t="s">
        <v>194</v>
      </c>
      <c r="AW49" s="846" t="s">
        <v>194</v>
      </c>
      <c r="AX49" s="846" t="s">
        <v>194</v>
      </c>
      <c r="AY49" s="846" t="s">
        <v>194</v>
      </c>
    </row>
    <row r="50" ht="15.75" hidden="1" customHeight="1" outlineLevel="5">
      <c r="A50" s="849">
        <v>1.0</v>
      </c>
      <c r="B50" s="15"/>
      <c r="C50" s="881" t="s">
        <v>269</v>
      </c>
      <c r="D50" s="882">
        <v>226.0</v>
      </c>
      <c r="E50" s="882">
        <v>-1075.0374615384615</v>
      </c>
      <c r="F50" s="882">
        <v>-9784.0</v>
      </c>
      <c r="G50" s="882">
        <v>3679.0</v>
      </c>
      <c r="H50" s="882">
        <v>-4496.0</v>
      </c>
      <c r="I50" s="882">
        <v>2302.0</v>
      </c>
      <c r="J50" s="882">
        <v>4022.67482604263</v>
      </c>
      <c r="K50" s="883">
        <v>-3.7418926967306536</v>
      </c>
      <c r="L50" s="884" t="s">
        <v>194</v>
      </c>
      <c r="M50" s="879">
        <v>-2300.0</v>
      </c>
      <c r="N50" s="879">
        <v>226.0</v>
      </c>
      <c r="O50" s="879">
        <v>835.0</v>
      </c>
      <c r="P50" s="879">
        <v>-5163.0</v>
      </c>
      <c r="Q50" s="879">
        <v>2689.0</v>
      </c>
      <c r="R50" s="879">
        <v>-9784.0</v>
      </c>
      <c r="S50" s="879">
        <v>-5066.0</v>
      </c>
      <c r="T50" s="884">
        <v>-4496.0</v>
      </c>
      <c r="U50" s="884">
        <v>-155.0</v>
      </c>
      <c r="V50" s="884">
        <v>2954.0</v>
      </c>
      <c r="W50" s="884">
        <v>3679.0</v>
      </c>
      <c r="X50" s="884">
        <v>2302.0</v>
      </c>
      <c r="Y50" s="884">
        <v>303.513</v>
      </c>
      <c r="Z50" s="884" t="s">
        <v>194</v>
      </c>
      <c r="AA50" s="884" t="s">
        <v>194</v>
      </c>
      <c r="AB50" s="884" t="s">
        <v>194</v>
      </c>
      <c r="AC50" s="15"/>
      <c r="AD50" s="851" t="s">
        <v>194</v>
      </c>
      <c r="AE50" s="846" t="s">
        <v>194</v>
      </c>
      <c r="AF50" s="846" t="s">
        <v>194</v>
      </c>
      <c r="AG50" s="846" t="s">
        <v>194</v>
      </c>
      <c r="AH50" s="846" t="s">
        <v>194</v>
      </c>
      <c r="AI50" s="846" t="s">
        <v>194</v>
      </c>
      <c r="AJ50" s="846" t="s">
        <v>194</v>
      </c>
      <c r="AK50" s="846" t="s">
        <v>194</v>
      </c>
      <c r="AL50" s="846" t="s">
        <v>194</v>
      </c>
      <c r="AM50" s="846" t="s">
        <v>194</v>
      </c>
      <c r="AN50" s="846" t="s">
        <v>194</v>
      </c>
      <c r="AO50" s="846" t="s">
        <v>194</v>
      </c>
      <c r="AP50" s="846" t="s">
        <v>194</v>
      </c>
      <c r="AQ50" s="846" t="s">
        <v>194</v>
      </c>
      <c r="AR50" s="846" t="s">
        <v>194</v>
      </c>
      <c r="AS50" s="846" t="s">
        <v>194</v>
      </c>
      <c r="AT50" s="846" t="s">
        <v>194</v>
      </c>
      <c r="AU50" s="846" t="s">
        <v>194</v>
      </c>
      <c r="AV50" s="846" t="s">
        <v>194</v>
      </c>
      <c r="AW50" s="846" t="s">
        <v>194</v>
      </c>
      <c r="AX50" s="846" t="s">
        <v>194</v>
      </c>
      <c r="AY50" s="846" t="s">
        <v>194</v>
      </c>
    </row>
    <row r="51" ht="15.75" hidden="1" customHeight="1" outlineLevel="4">
      <c r="A51" s="849">
        <v>1.0</v>
      </c>
      <c r="B51" s="15"/>
      <c r="C51" s="869" t="s">
        <v>270</v>
      </c>
      <c r="D51" s="870">
        <v>2427.991</v>
      </c>
      <c r="E51" s="870">
        <v>2427.991</v>
      </c>
      <c r="F51" s="870">
        <v>2427.991</v>
      </c>
      <c r="G51" s="870">
        <v>2427.991</v>
      </c>
      <c r="H51" s="870">
        <v>2427.991</v>
      </c>
      <c r="I51" s="870">
        <v>2427.991</v>
      </c>
      <c r="J51" s="870" t="s">
        <v>194</v>
      </c>
      <c r="K51" s="871" t="s">
        <v>194</v>
      </c>
      <c r="L51" s="872" t="s">
        <v>194</v>
      </c>
      <c r="M51" s="873" t="s">
        <v>194</v>
      </c>
      <c r="N51" s="873" t="s">
        <v>194</v>
      </c>
      <c r="O51" s="873" t="s">
        <v>194</v>
      </c>
      <c r="P51" s="873" t="s">
        <v>194</v>
      </c>
      <c r="Q51" s="873" t="s">
        <v>194</v>
      </c>
      <c r="R51" s="873" t="s">
        <v>194</v>
      </c>
      <c r="S51" s="873" t="s">
        <v>194</v>
      </c>
      <c r="T51" s="872" t="s">
        <v>194</v>
      </c>
      <c r="U51" s="872" t="s">
        <v>194</v>
      </c>
      <c r="V51" s="872" t="s">
        <v>194</v>
      </c>
      <c r="W51" s="872" t="s">
        <v>194</v>
      </c>
      <c r="X51" s="872" t="s">
        <v>194</v>
      </c>
      <c r="Y51" s="872">
        <v>2427.991</v>
      </c>
      <c r="Z51" s="872" t="s">
        <v>194</v>
      </c>
      <c r="AA51" s="872" t="s">
        <v>194</v>
      </c>
      <c r="AB51" s="872" t="s">
        <v>194</v>
      </c>
      <c r="AC51" s="15"/>
      <c r="AD51" s="851" t="s">
        <v>194</v>
      </c>
      <c r="AE51" s="846" t="s">
        <v>194</v>
      </c>
      <c r="AF51" s="846" t="s">
        <v>194</v>
      </c>
      <c r="AG51" s="846" t="s">
        <v>194</v>
      </c>
      <c r="AH51" s="846" t="s">
        <v>194</v>
      </c>
      <c r="AI51" s="846" t="s">
        <v>194</v>
      </c>
      <c r="AJ51" s="846" t="s">
        <v>194</v>
      </c>
      <c r="AK51" s="846" t="s">
        <v>194</v>
      </c>
      <c r="AL51" s="846" t="s">
        <v>194</v>
      </c>
      <c r="AM51" s="846" t="s">
        <v>194</v>
      </c>
      <c r="AN51" s="846" t="s">
        <v>194</v>
      </c>
      <c r="AO51" s="846" t="s">
        <v>194</v>
      </c>
      <c r="AP51" s="846" t="s">
        <v>194</v>
      </c>
      <c r="AQ51" s="846" t="s">
        <v>194</v>
      </c>
      <c r="AR51" s="846" t="s">
        <v>194</v>
      </c>
      <c r="AS51" s="846" t="s">
        <v>194</v>
      </c>
      <c r="AT51" s="846" t="s">
        <v>194</v>
      </c>
      <c r="AU51" s="846" t="s">
        <v>194</v>
      </c>
      <c r="AV51" s="846" t="s">
        <v>194</v>
      </c>
      <c r="AW51" s="846" t="s">
        <v>194</v>
      </c>
      <c r="AX51" s="846" t="s">
        <v>194</v>
      </c>
      <c r="AY51" s="846" t="s">
        <v>194</v>
      </c>
    </row>
    <row r="52" ht="15.75" hidden="1" customHeight="1" outlineLevel="4">
      <c r="A52" s="849">
        <v>1.0</v>
      </c>
      <c r="B52" s="15"/>
      <c r="C52" s="869" t="s">
        <v>271</v>
      </c>
      <c r="D52" s="870">
        <v>-68.9</v>
      </c>
      <c r="E52" s="870">
        <v>-301.2714285714286</v>
      </c>
      <c r="F52" s="870">
        <v>-6400.0</v>
      </c>
      <c r="G52" s="870">
        <v>6400.0</v>
      </c>
      <c r="H52" s="870">
        <v>-2106.5</v>
      </c>
      <c r="I52" s="870">
        <v>1086.5</v>
      </c>
      <c r="J52" s="870">
        <v>3965.1862061002403</v>
      </c>
      <c r="K52" s="871">
        <v>-13.161507630851002</v>
      </c>
      <c r="L52" s="872" t="s">
        <v>194</v>
      </c>
      <c r="M52" s="873" t="s">
        <v>194</v>
      </c>
      <c r="N52" s="873" t="s">
        <v>194</v>
      </c>
      <c r="O52" s="873">
        <v>6400.0</v>
      </c>
      <c r="P52" s="873">
        <v>-6400.0</v>
      </c>
      <c r="Q52" s="873" t="s">
        <v>194</v>
      </c>
      <c r="R52" s="873" t="s">
        <v>194</v>
      </c>
      <c r="S52" s="873" t="s">
        <v>194</v>
      </c>
      <c r="T52" s="872" t="s">
        <v>194</v>
      </c>
      <c r="U52" s="872">
        <v>-2043.0</v>
      </c>
      <c r="V52" s="872">
        <v>137.0</v>
      </c>
      <c r="W52" s="872">
        <v>2036.0</v>
      </c>
      <c r="X52" s="872">
        <v>-2170.0</v>
      </c>
      <c r="Y52" s="872">
        <v>-68.9</v>
      </c>
      <c r="Z52" s="872" t="s">
        <v>194</v>
      </c>
      <c r="AA52" s="872" t="s">
        <v>194</v>
      </c>
      <c r="AB52" s="872" t="s">
        <v>194</v>
      </c>
      <c r="AC52" s="15"/>
      <c r="AD52" s="851" t="s">
        <v>194</v>
      </c>
      <c r="AE52" s="846" t="s">
        <v>194</v>
      </c>
      <c r="AF52" s="846" t="s">
        <v>194</v>
      </c>
      <c r="AG52" s="846" t="s">
        <v>194</v>
      </c>
      <c r="AH52" s="846" t="s">
        <v>194</v>
      </c>
      <c r="AI52" s="846" t="s">
        <v>194</v>
      </c>
      <c r="AJ52" s="846" t="s">
        <v>194</v>
      </c>
      <c r="AK52" s="846" t="s">
        <v>194</v>
      </c>
      <c r="AL52" s="846" t="s">
        <v>194</v>
      </c>
      <c r="AM52" s="846" t="s">
        <v>194</v>
      </c>
      <c r="AN52" s="846" t="s">
        <v>194</v>
      </c>
      <c r="AO52" s="846" t="s">
        <v>194</v>
      </c>
      <c r="AP52" s="846" t="s">
        <v>194</v>
      </c>
      <c r="AQ52" s="846" t="s">
        <v>194</v>
      </c>
      <c r="AR52" s="846" t="s">
        <v>194</v>
      </c>
      <c r="AS52" s="846" t="s">
        <v>194</v>
      </c>
      <c r="AT52" s="846" t="s">
        <v>194</v>
      </c>
      <c r="AU52" s="846" t="s">
        <v>194</v>
      </c>
      <c r="AV52" s="846" t="s">
        <v>194</v>
      </c>
      <c r="AW52" s="846" t="s">
        <v>194</v>
      </c>
      <c r="AX52" s="846" t="s">
        <v>194</v>
      </c>
      <c r="AY52" s="846" t="s">
        <v>194</v>
      </c>
    </row>
    <row r="53" ht="15.75" hidden="1" customHeight="1" outlineLevel="4">
      <c r="A53" s="849">
        <v>1.0</v>
      </c>
      <c r="B53" s="15"/>
      <c r="C53" s="881" t="s">
        <v>272</v>
      </c>
      <c r="D53" s="882">
        <v>-8036.0</v>
      </c>
      <c r="E53" s="882">
        <v>-14097.221307692309</v>
      </c>
      <c r="F53" s="882">
        <v>-39282.0</v>
      </c>
      <c r="G53" s="882">
        <v>-2893.877</v>
      </c>
      <c r="H53" s="882">
        <v>-20104.0</v>
      </c>
      <c r="I53" s="882">
        <v>-5389.0</v>
      </c>
      <c r="J53" s="882">
        <v>10959.462944249086</v>
      </c>
      <c r="K53" s="883">
        <v>-0.7774200819468536</v>
      </c>
      <c r="L53" s="884" t="s">
        <v>194</v>
      </c>
      <c r="M53" s="879">
        <v>-6129.0</v>
      </c>
      <c r="N53" s="879">
        <v>-4668.0</v>
      </c>
      <c r="O53" s="879">
        <v>-5389.0</v>
      </c>
      <c r="P53" s="879">
        <v>-19055.0</v>
      </c>
      <c r="Q53" s="879">
        <v>-7821.0</v>
      </c>
      <c r="R53" s="879">
        <v>-25268.0</v>
      </c>
      <c r="S53" s="879">
        <v>-39282.0</v>
      </c>
      <c r="T53" s="884">
        <v>-8036.0</v>
      </c>
      <c r="U53" s="884">
        <v>-5260.0</v>
      </c>
      <c r="V53" s="884">
        <v>-20104.0</v>
      </c>
      <c r="W53" s="884">
        <v>-24744.0</v>
      </c>
      <c r="X53" s="884">
        <v>-14614.0</v>
      </c>
      <c r="Y53" s="884">
        <v>-2893.877</v>
      </c>
      <c r="Z53" s="884" t="s">
        <v>194</v>
      </c>
      <c r="AA53" s="884" t="s">
        <v>194</v>
      </c>
      <c r="AB53" s="884" t="s">
        <v>194</v>
      </c>
      <c r="AC53" s="15"/>
      <c r="AD53" s="851" t="s">
        <v>194</v>
      </c>
      <c r="AE53" s="846" t="s">
        <v>194</v>
      </c>
      <c r="AF53" s="846" t="s">
        <v>194</v>
      </c>
      <c r="AG53" s="846" t="s">
        <v>194</v>
      </c>
      <c r="AH53" s="846" t="s">
        <v>194</v>
      </c>
      <c r="AI53" s="846" t="s">
        <v>194</v>
      </c>
      <c r="AJ53" s="846" t="s">
        <v>194</v>
      </c>
      <c r="AK53" s="846" t="s">
        <v>194</v>
      </c>
      <c r="AL53" s="846" t="s">
        <v>194</v>
      </c>
      <c r="AM53" s="846" t="s">
        <v>194</v>
      </c>
      <c r="AN53" s="846" t="s">
        <v>194</v>
      </c>
      <c r="AO53" s="846" t="s">
        <v>194</v>
      </c>
      <c r="AP53" s="846" t="s">
        <v>194</v>
      </c>
      <c r="AQ53" s="846" t="s">
        <v>194</v>
      </c>
      <c r="AR53" s="846" t="s">
        <v>194</v>
      </c>
      <c r="AS53" s="846" t="s">
        <v>194</v>
      </c>
      <c r="AT53" s="846" t="s">
        <v>194</v>
      </c>
      <c r="AU53" s="846" t="s">
        <v>194</v>
      </c>
      <c r="AV53" s="846" t="s">
        <v>194</v>
      </c>
      <c r="AW53" s="846" t="s">
        <v>194</v>
      </c>
      <c r="AX53" s="846" t="s">
        <v>194</v>
      </c>
      <c r="AY53" s="846" t="s">
        <v>194</v>
      </c>
    </row>
    <row r="54" ht="15.75" hidden="1" customHeight="1" outlineLevel="3">
      <c r="A54" s="849">
        <v>1.0</v>
      </c>
      <c r="B54" s="15"/>
      <c r="C54" s="881" t="s">
        <v>273</v>
      </c>
      <c r="D54" s="882">
        <v>10362.0</v>
      </c>
      <c r="E54" s="882">
        <v>15985.405461538463</v>
      </c>
      <c r="F54" s="882">
        <v>-2912.729</v>
      </c>
      <c r="G54" s="882">
        <v>72746.0</v>
      </c>
      <c r="H54" s="882">
        <v>5743.0</v>
      </c>
      <c r="I54" s="882">
        <v>14350.0</v>
      </c>
      <c r="J54" s="882">
        <v>20084.255467530307</v>
      </c>
      <c r="K54" s="883">
        <v>1.2564120138118389</v>
      </c>
      <c r="L54" s="884" t="s">
        <v>194</v>
      </c>
      <c r="M54" s="879">
        <v>5743.0</v>
      </c>
      <c r="N54" s="879">
        <v>11259.0</v>
      </c>
      <c r="O54" s="879">
        <v>11310.0</v>
      </c>
      <c r="P54" s="879">
        <v>14350.0</v>
      </c>
      <c r="Q54" s="879">
        <v>38851.0</v>
      </c>
      <c r="R54" s="879">
        <v>23782.0</v>
      </c>
      <c r="S54" s="879">
        <v>72746.0</v>
      </c>
      <c r="T54" s="884">
        <v>5030.0</v>
      </c>
      <c r="U54" s="884">
        <v>10362.0</v>
      </c>
      <c r="V54" s="884">
        <v>7372.0</v>
      </c>
      <c r="W54" s="884">
        <v>10308.0</v>
      </c>
      <c r="X54" s="884">
        <v>-390.0</v>
      </c>
      <c r="Y54" s="884">
        <v>-2912.729</v>
      </c>
      <c r="Z54" s="884" t="s">
        <v>194</v>
      </c>
      <c r="AA54" s="884" t="s">
        <v>194</v>
      </c>
      <c r="AB54" s="884" t="s">
        <v>194</v>
      </c>
      <c r="AC54" s="15"/>
      <c r="AD54" s="851" t="s">
        <v>194</v>
      </c>
      <c r="AE54" s="846" t="s">
        <v>194</v>
      </c>
      <c r="AF54" s="846" t="s">
        <v>194</v>
      </c>
      <c r="AG54" s="846" t="s">
        <v>194</v>
      </c>
      <c r="AH54" s="846" t="s">
        <v>194</v>
      </c>
      <c r="AI54" s="846" t="s">
        <v>194</v>
      </c>
      <c r="AJ54" s="846" t="s">
        <v>194</v>
      </c>
      <c r="AK54" s="846" t="s">
        <v>194</v>
      </c>
      <c r="AL54" s="846" t="s">
        <v>194</v>
      </c>
      <c r="AM54" s="846" t="s">
        <v>194</v>
      </c>
      <c r="AN54" s="846" t="s">
        <v>194</v>
      </c>
      <c r="AO54" s="846" t="s">
        <v>194</v>
      </c>
      <c r="AP54" s="846" t="s">
        <v>194</v>
      </c>
      <c r="AQ54" s="846" t="s">
        <v>194</v>
      </c>
      <c r="AR54" s="846" t="s">
        <v>194</v>
      </c>
      <c r="AS54" s="846" t="s">
        <v>194</v>
      </c>
      <c r="AT54" s="846" t="s">
        <v>194</v>
      </c>
      <c r="AU54" s="846" t="s">
        <v>194</v>
      </c>
      <c r="AV54" s="846" t="s">
        <v>194</v>
      </c>
      <c r="AW54" s="846" t="s">
        <v>194</v>
      </c>
      <c r="AX54" s="846" t="s">
        <v>194</v>
      </c>
      <c r="AY54" s="846" t="s">
        <v>194</v>
      </c>
    </row>
    <row r="55" ht="15.75" hidden="1" customHeight="1" outlineLevel="2">
      <c r="A55" s="849">
        <v>1.0</v>
      </c>
      <c r="B55" s="15"/>
      <c r="C55" s="869" t="s">
        <v>274</v>
      </c>
      <c r="D55" s="870">
        <v>-2499.0</v>
      </c>
      <c r="E55" s="870">
        <v>-2499.0</v>
      </c>
      <c r="F55" s="870">
        <v>-2499.0</v>
      </c>
      <c r="G55" s="870">
        <v>-2499.0</v>
      </c>
      <c r="H55" s="870">
        <v>-2499.0</v>
      </c>
      <c r="I55" s="870">
        <v>-2499.0</v>
      </c>
      <c r="J55" s="870" t="s">
        <v>194</v>
      </c>
      <c r="K55" s="871" t="s">
        <v>194</v>
      </c>
      <c r="L55" s="872" t="s">
        <v>194</v>
      </c>
      <c r="M55" s="873" t="s">
        <v>194</v>
      </c>
      <c r="N55" s="873" t="s">
        <v>194</v>
      </c>
      <c r="O55" s="873">
        <v>-2499.0</v>
      </c>
      <c r="P55" s="873" t="s">
        <v>194</v>
      </c>
      <c r="Q55" s="873" t="s">
        <v>194</v>
      </c>
      <c r="R55" s="873" t="s">
        <v>194</v>
      </c>
      <c r="S55" s="873" t="s">
        <v>194</v>
      </c>
      <c r="T55" s="872" t="s">
        <v>194</v>
      </c>
      <c r="U55" s="872" t="s">
        <v>194</v>
      </c>
      <c r="V55" s="872" t="s">
        <v>194</v>
      </c>
      <c r="W55" s="872" t="s">
        <v>194</v>
      </c>
      <c r="X55" s="872" t="s">
        <v>194</v>
      </c>
      <c r="Y55" s="872" t="s">
        <v>194</v>
      </c>
      <c r="Z55" s="872" t="s">
        <v>194</v>
      </c>
      <c r="AA55" s="872" t="s">
        <v>194</v>
      </c>
      <c r="AB55" s="872" t="s">
        <v>194</v>
      </c>
      <c r="AC55" s="15"/>
      <c r="AD55" s="851" t="s">
        <v>194</v>
      </c>
      <c r="AE55" s="846" t="s">
        <v>194</v>
      </c>
      <c r="AF55" s="846" t="s">
        <v>194</v>
      </c>
      <c r="AG55" s="846" t="s">
        <v>194</v>
      </c>
      <c r="AH55" s="846" t="s">
        <v>194</v>
      </c>
      <c r="AI55" s="846" t="s">
        <v>194</v>
      </c>
      <c r="AJ55" s="846" t="s">
        <v>194</v>
      </c>
      <c r="AK55" s="846" t="s">
        <v>194</v>
      </c>
      <c r="AL55" s="846" t="s">
        <v>194</v>
      </c>
      <c r="AM55" s="846" t="s">
        <v>194</v>
      </c>
      <c r="AN55" s="846" t="s">
        <v>194</v>
      </c>
      <c r="AO55" s="846" t="s">
        <v>194</v>
      </c>
      <c r="AP55" s="846" t="s">
        <v>194</v>
      </c>
      <c r="AQ55" s="846" t="s">
        <v>194</v>
      </c>
      <c r="AR55" s="846" t="s">
        <v>194</v>
      </c>
      <c r="AS55" s="846" t="s">
        <v>194</v>
      </c>
      <c r="AT55" s="846" t="s">
        <v>194</v>
      </c>
      <c r="AU55" s="846" t="s">
        <v>194</v>
      </c>
      <c r="AV55" s="846" t="s">
        <v>194</v>
      </c>
      <c r="AW55" s="846" t="s">
        <v>194</v>
      </c>
      <c r="AX55" s="846" t="s">
        <v>194</v>
      </c>
      <c r="AY55" s="846" t="s">
        <v>194</v>
      </c>
    </row>
    <row r="56" ht="15.75" hidden="1" customHeight="1" outlineLevel="2">
      <c r="A56" s="849">
        <v>1.0</v>
      </c>
      <c r="B56" s="15"/>
      <c r="C56" s="869" t="s">
        <v>275</v>
      </c>
      <c r="D56" s="870">
        <v>342.5</v>
      </c>
      <c r="E56" s="870">
        <v>342.5</v>
      </c>
      <c r="F56" s="870">
        <v>153.0</v>
      </c>
      <c r="G56" s="870">
        <v>532.0</v>
      </c>
      <c r="H56" s="870">
        <v>247.75</v>
      </c>
      <c r="I56" s="870">
        <v>437.25</v>
      </c>
      <c r="J56" s="870">
        <v>267.9934700697015</v>
      </c>
      <c r="K56" s="871">
        <v>0.7824626863348949</v>
      </c>
      <c r="L56" s="872" t="s">
        <v>194</v>
      </c>
      <c r="M56" s="873" t="s">
        <v>194</v>
      </c>
      <c r="N56" s="873" t="s">
        <v>194</v>
      </c>
      <c r="O56" s="873" t="s">
        <v>194</v>
      </c>
      <c r="P56" s="873" t="s">
        <v>194</v>
      </c>
      <c r="Q56" s="873" t="s">
        <v>194</v>
      </c>
      <c r="R56" s="873" t="s">
        <v>194</v>
      </c>
      <c r="S56" s="873" t="s">
        <v>194</v>
      </c>
      <c r="T56" s="872" t="s">
        <v>194</v>
      </c>
      <c r="U56" s="872" t="s">
        <v>194</v>
      </c>
      <c r="V56" s="872">
        <v>532.0</v>
      </c>
      <c r="W56" s="872" t="s">
        <v>194</v>
      </c>
      <c r="X56" s="872">
        <v>153.0</v>
      </c>
      <c r="Y56" s="872" t="s">
        <v>194</v>
      </c>
      <c r="Z56" s="872" t="s">
        <v>194</v>
      </c>
      <c r="AA56" s="872" t="s">
        <v>194</v>
      </c>
      <c r="AB56" s="872" t="s">
        <v>194</v>
      </c>
      <c r="AC56" s="15"/>
      <c r="AD56" s="851" t="s">
        <v>194</v>
      </c>
      <c r="AE56" s="846" t="s">
        <v>194</v>
      </c>
      <c r="AF56" s="846" t="s">
        <v>194</v>
      </c>
      <c r="AG56" s="846" t="s">
        <v>194</v>
      </c>
      <c r="AH56" s="846" t="s">
        <v>194</v>
      </c>
      <c r="AI56" s="846" t="s">
        <v>194</v>
      </c>
      <c r="AJ56" s="846" t="s">
        <v>194</v>
      </c>
      <c r="AK56" s="846" t="s">
        <v>194</v>
      </c>
      <c r="AL56" s="846" t="s">
        <v>194</v>
      </c>
      <c r="AM56" s="846" t="s">
        <v>194</v>
      </c>
      <c r="AN56" s="846" t="s">
        <v>194</v>
      </c>
      <c r="AO56" s="846" t="s">
        <v>194</v>
      </c>
      <c r="AP56" s="846" t="s">
        <v>194</v>
      </c>
      <c r="AQ56" s="846" t="s">
        <v>194</v>
      </c>
      <c r="AR56" s="846" t="s">
        <v>194</v>
      </c>
      <c r="AS56" s="846" t="s">
        <v>194</v>
      </c>
      <c r="AT56" s="846" t="s">
        <v>194</v>
      </c>
      <c r="AU56" s="846" t="s">
        <v>194</v>
      </c>
      <c r="AV56" s="846" t="s">
        <v>194</v>
      </c>
      <c r="AW56" s="846" t="s">
        <v>194</v>
      </c>
      <c r="AX56" s="846" t="s">
        <v>194</v>
      </c>
      <c r="AY56" s="846" t="s">
        <v>194</v>
      </c>
    </row>
    <row r="57" ht="15.75" hidden="1" customHeight="1" outlineLevel="2">
      <c r="A57" s="849">
        <v>1.0</v>
      </c>
      <c r="B57" s="15"/>
      <c r="C57" s="881" t="s">
        <v>276</v>
      </c>
      <c r="D57" s="882">
        <v>10308.0</v>
      </c>
      <c r="E57" s="882">
        <v>15845.867</v>
      </c>
      <c r="F57" s="882">
        <v>-2912.729</v>
      </c>
      <c r="G57" s="882">
        <v>72746.0</v>
      </c>
      <c r="H57" s="882">
        <v>5743.0</v>
      </c>
      <c r="I57" s="882">
        <v>14350.0</v>
      </c>
      <c r="J57" s="882">
        <v>20116.366186237272</v>
      </c>
      <c r="K57" s="883">
        <v>1.2695023999783206</v>
      </c>
      <c r="L57" s="884" t="s">
        <v>194</v>
      </c>
      <c r="M57" s="879">
        <v>5743.0</v>
      </c>
      <c r="N57" s="879">
        <v>11259.0</v>
      </c>
      <c r="O57" s="879">
        <v>8811.0</v>
      </c>
      <c r="P57" s="879">
        <v>14350.0</v>
      </c>
      <c r="Q57" s="879">
        <v>38851.0</v>
      </c>
      <c r="R57" s="879">
        <v>23782.0</v>
      </c>
      <c r="S57" s="879">
        <v>72746.0</v>
      </c>
      <c r="T57" s="884">
        <v>5030.0</v>
      </c>
      <c r="U57" s="884">
        <v>10362.0</v>
      </c>
      <c r="V57" s="884">
        <v>7904.0</v>
      </c>
      <c r="W57" s="884">
        <v>10308.0</v>
      </c>
      <c r="X57" s="884">
        <v>-237.0</v>
      </c>
      <c r="Y57" s="884">
        <v>-2912.729</v>
      </c>
      <c r="Z57" s="884" t="s">
        <v>194</v>
      </c>
      <c r="AA57" s="884" t="s">
        <v>194</v>
      </c>
      <c r="AB57" s="884" t="s">
        <v>194</v>
      </c>
      <c r="AC57" s="15"/>
      <c r="AD57" s="851" t="s">
        <v>194</v>
      </c>
      <c r="AE57" s="846" t="s">
        <v>194</v>
      </c>
      <c r="AF57" s="846" t="s">
        <v>194</v>
      </c>
      <c r="AG57" s="846" t="s">
        <v>194</v>
      </c>
      <c r="AH57" s="846" t="s">
        <v>194</v>
      </c>
      <c r="AI57" s="846" t="s">
        <v>194</v>
      </c>
      <c r="AJ57" s="846" t="s">
        <v>194</v>
      </c>
      <c r="AK57" s="846" t="s">
        <v>194</v>
      </c>
      <c r="AL57" s="846" t="s">
        <v>194</v>
      </c>
      <c r="AM57" s="846" t="s">
        <v>194</v>
      </c>
      <c r="AN57" s="846" t="s">
        <v>194</v>
      </c>
      <c r="AO57" s="846" t="s">
        <v>194</v>
      </c>
      <c r="AP57" s="846" t="s">
        <v>194</v>
      </c>
      <c r="AQ57" s="846" t="s">
        <v>194</v>
      </c>
      <c r="AR57" s="846" t="s">
        <v>194</v>
      </c>
      <c r="AS57" s="846" t="s">
        <v>194</v>
      </c>
      <c r="AT57" s="846" t="s">
        <v>194</v>
      </c>
      <c r="AU57" s="846" t="s">
        <v>194</v>
      </c>
      <c r="AV57" s="846" t="s">
        <v>194</v>
      </c>
      <c r="AW57" s="846" t="s">
        <v>194</v>
      </c>
      <c r="AX57" s="846" t="s">
        <v>194</v>
      </c>
      <c r="AY57" s="846" t="s">
        <v>194</v>
      </c>
    </row>
    <row r="58" ht="15.75" hidden="1" customHeight="1" outlineLevel="1">
      <c r="A58" s="849">
        <v>1.0</v>
      </c>
      <c r="B58" s="15"/>
      <c r="C58" s="855" t="s">
        <v>277</v>
      </c>
      <c r="D58" s="882">
        <v>10308.0</v>
      </c>
      <c r="E58" s="882">
        <v>15845.867</v>
      </c>
      <c r="F58" s="882">
        <v>-2912.729</v>
      </c>
      <c r="G58" s="882">
        <v>72746.0</v>
      </c>
      <c r="H58" s="882">
        <v>5743.0</v>
      </c>
      <c r="I58" s="882">
        <v>14350.0</v>
      </c>
      <c r="J58" s="882">
        <v>20116.366186237272</v>
      </c>
      <c r="K58" s="883">
        <v>1.2695023999783206</v>
      </c>
      <c r="L58" s="882" t="s">
        <v>194</v>
      </c>
      <c r="M58" s="879">
        <v>5743.0</v>
      </c>
      <c r="N58" s="879">
        <v>11259.0</v>
      </c>
      <c r="O58" s="879">
        <v>8811.0</v>
      </c>
      <c r="P58" s="879">
        <v>14350.0</v>
      </c>
      <c r="Q58" s="879">
        <v>38851.0</v>
      </c>
      <c r="R58" s="879">
        <v>23782.0</v>
      </c>
      <c r="S58" s="879">
        <v>72746.0</v>
      </c>
      <c r="T58" s="882">
        <v>5030.0</v>
      </c>
      <c r="U58" s="882">
        <v>10362.0</v>
      </c>
      <c r="V58" s="882">
        <v>7904.0</v>
      </c>
      <c r="W58" s="882">
        <v>10308.0</v>
      </c>
      <c r="X58" s="882">
        <v>-237.0</v>
      </c>
      <c r="Y58" s="882">
        <v>-2912.729</v>
      </c>
      <c r="Z58" s="882" t="s">
        <v>194</v>
      </c>
      <c r="AA58" s="882" t="s">
        <v>194</v>
      </c>
      <c r="AB58" s="882" t="s">
        <v>194</v>
      </c>
      <c r="AC58" s="15"/>
      <c r="AD58" s="851" t="s">
        <v>194</v>
      </c>
      <c r="AE58" s="846" t="s">
        <v>194</v>
      </c>
      <c r="AF58" s="846" t="s">
        <v>194</v>
      </c>
      <c r="AG58" s="846" t="s">
        <v>194</v>
      </c>
      <c r="AH58" s="846" t="s">
        <v>194</v>
      </c>
      <c r="AI58" s="846" t="s">
        <v>194</v>
      </c>
      <c r="AJ58" s="846" t="s">
        <v>194</v>
      </c>
      <c r="AK58" s="846" t="s">
        <v>194</v>
      </c>
      <c r="AL58" s="846" t="s">
        <v>194</v>
      </c>
      <c r="AM58" s="846" t="s">
        <v>194</v>
      </c>
      <c r="AN58" s="846" t="s">
        <v>194</v>
      </c>
      <c r="AO58" s="846" t="s">
        <v>194</v>
      </c>
      <c r="AP58" s="846" t="s">
        <v>194</v>
      </c>
      <c r="AQ58" s="846" t="s">
        <v>194</v>
      </c>
      <c r="AR58" s="846" t="s">
        <v>194</v>
      </c>
      <c r="AS58" s="846" t="s">
        <v>194</v>
      </c>
      <c r="AT58" s="846" t="s">
        <v>194</v>
      </c>
      <c r="AU58" s="846" t="s">
        <v>194</v>
      </c>
      <c r="AV58" s="846" t="s">
        <v>194</v>
      </c>
      <c r="AW58" s="846" t="s">
        <v>194</v>
      </c>
      <c r="AX58" s="846" t="s">
        <v>194</v>
      </c>
      <c r="AY58" s="846" t="s">
        <v>194</v>
      </c>
    </row>
    <row r="59" ht="15.75" customHeight="1" collapsed="1">
      <c r="A59" s="849">
        <v>1.0</v>
      </c>
      <c r="B59" s="15"/>
      <c r="C59" s="855" t="s">
        <v>278</v>
      </c>
      <c r="D59" s="866" t="s">
        <v>194</v>
      </c>
      <c r="E59" s="866" t="s">
        <v>194</v>
      </c>
      <c r="F59" s="866" t="s">
        <v>194</v>
      </c>
      <c r="G59" s="866" t="s">
        <v>194</v>
      </c>
      <c r="H59" s="866" t="s">
        <v>194</v>
      </c>
      <c r="I59" s="866" t="s">
        <v>194</v>
      </c>
      <c r="J59" s="866" t="s">
        <v>194</v>
      </c>
      <c r="K59" s="867" t="s">
        <v>194</v>
      </c>
      <c r="L59" s="866" t="s">
        <v>194</v>
      </c>
      <c r="M59" s="868" t="s">
        <v>194</v>
      </c>
      <c r="N59" s="868" t="s">
        <v>194</v>
      </c>
      <c r="O59" s="868" t="s">
        <v>194</v>
      </c>
      <c r="P59" s="868" t="s">
        <v>194</v>
      </c>
      <c r="Q59" s="868" t="s">
        <v>194</v>
      </c>
      <c r="R59" s="868" t="s">
        <v>194</v>
      </c>
      <c r="S59" s="868" t="s">
        <v>194</v>
      </c>
      <c r="T59" s="866" t="s">
        <v>194</v>
      </c>
      <c r="U59" s="866" t="s">
        <v>194</v>
      </c>
      <c r="V59" s="866" t="s">
        <v>194</v>
      </c>
      <c r="W59" s="866" t="s">
        <v>194</v>
      </c>
      <c r="X59" s="866" t="s">
        <v>194</v>
      </c>
      <c r="Y59" s="866" t="s">
        <v>194</v>
      </c>
      <c r="Z59" s="866" t="s">
        <v>194</v>
      </c>
      <c r="AA59" s="866" t="s">
        <v>194</v>
      </c>
      <c r="AB59" s="866" t="s">
        <v>194</v>
      </c>
      <c r="AC59" s="15"/>
      <c r="AD59" s="851" t="s">
        <v>194</v>
      </c>
      <c r="AE59" s="846" t="s">
        <v>194</v>
      </c>
      <c r="AF59" s="846" t="s">
        <v>194</v>
      </c>
      <c r="AG59" s="846" t="s">
        <v>194</v>
      </c>
      <c r="AH59" s="846" t="s">
        <v>194</v>
      </c>
      <c r="AI59" s="846" t="s">
        <v>194</v>
      </c>
      <c r="AJ59" s="846" t="s">
        <v>194</v>
      </c>
      <c r="AK59" s="846" t="s">
        <v>194</v>
      </c>
      <c r="AL59" s="846" t="s">
        <v>194</v>
      </c>
      <c r="AM59" s="846" t="s">
        <v>194</v>
      </c>
      <c r="AN59" s="846" t="s">
        <v>194</v>
      </c>
      <c r="AO59" s="846" t="s">
        <v>194</v>
      </c>
      <c r="AP59" s="846" t="s">
        <v>194</v>
      </c>
      <c r="AQ59" s="846" t="s">
        <v>194</v>
      </c>
      <c r="AR59" s="846" t="s">
        <v>194</v>
      </c>
      <c r="AS59" s="846" t="s">
        <v>194</v>
      </c>
      <c r="AT59" s="846" t="s">
        <v>194</v>
      </c>
      <c r="AU59" s="846" t="s">
        <v>194</v>
      </c>
      <c r="AV59" s="846" t="s">
        <v>194</v>
      </c>
      <c r="AW59" s="846" t="s">
        <v>194</v>
      </c>
      <c r="AX59" s="846" t="s">
        <v>194</v>
      </c>
      <c r="AY59" s="846" t="s">
        <v>194</v>
      </c>
    </row>
    <row r="60" ht="15.75" hidden="1" customHeight="1" outlineLevel="1">
      <c r="A60" s="849">
        <v>1.0</v>
      </c>
      <c r="B60" s="15"/>
      <c r="C60" s="869" t="s">
        <v>279</v>
      </c>
      <c r="D60" s="870" t="s">
        <v>194</v>
      </c>
      <c r="E60" s="870" t="s">
        <v>194</v>
      </c>
      <c r="F60" s="870" t="s">
        <v>194</v>
      </c>
      <c r="G60" s="870" t="s">
        <v>194</v>
      </c>
      <c r="H60" s="870" t="s">
        <v>194</v>
      </c>
      <c r="I60" s="870" t="s">
        <v>194</v>
      </c>
      <c r="J60" s="870" t="s">
        <v>194</v>
      </c>
      <c r="K60" s="871" t="s">
        <v>194</v>
      </c>
      <c r="L60" s="872" t="s">
        <v>194</v>
      </c>
      <c r="M60" s="873" t="s">
        <v>194</v>
      </c>
      <c r="N60" s="873" t="s">
        <v>194</v>
      </c>
      <c r="O60" s="873" t="s">
        <v>194</v>
      </c>
      <c r="P60" s="873" t="s">
        <v>194</v>
      </c>
      <c r="Q60" s="873" t="s">
        <v>194</v>
      </c>
      <c r="R60" s="873" t="s">
        <v>194</v>
      </c>
      <c r="S60" s="873" t="s">
        <v>194</v>
      </c>
      <c r="T60" s="872" t="s">
        <v>194</v>
      </c>
      <c r="U60" s="872" t="s">
        <v>194</v>
      </c>
      <c r="V60" s="872" t="s">
        <v>194</v>
      </c>
      <c r="W60" s="872" t="s">
        <v>194</v>
      </c>
      <c r="X60" s="872" t="s">
        <v>194</v>
      </c>
      <c r="Y60" s="872" t="s">
        <v>194</v>
      </c>
      <c r="Z60" s="872" t="s">
        <v>194</v>
      </c>
      <c r="AA60" s="872" t="s">
        <v>194</v>
      </c>
      <c r="AB60" s="872" t="s">
        <v>194</v>
      </c>
      <c r="AC60" s="15"/>
      <c r="AD60" s="851" t="s">
        <v>194</v>
      </c>
      <c r="AE60" s="846" t="s">
        <v>194</v>
      </c>
      <c r="AF60" s="846" t="s">
        <v>194</v>
      </c>
      <c r="AG60" s="846" t="s">
        <v>194</v>
      </c>
      <c r="AH60" s="846" t="s">
        <v>194</v>
      </c>
      <c r="AI60" s="846" t="s">
        <v>194</v>
      </c>
      <c r="AJ60" s="846" t="s">
        <v>194</v>
      </c>
      <c r="AK60" s="846" t="s">
        <v>194</v>
      </c>
      <c r="AL60" s="846" t="s">
        <v>194</v>
      </c>
      <c r="AM60" s="846" t="s">
        <v>194</v>
      </c>
      <c r="AN60" s="846" t="s">
        <v>194</v>
      </c>
      <c r="AO60" s="846" t="s">
        <v>194</v>
      </c>
      <c r="AP60" s="846" t="s">
        <v>194</v>
      </c>
      <c r="AQ60" s="846" t="s">
        <v>194</v>
      </c>
      <c r="AR60" s="846" t="s">
        <v>194</v>
      </c>
      <c r="AS60" s="846" t="s">
        <v>194</v>
      </c>
      <c r="AT60" s="846" t="s">
        <v>194</v>
      </c>
      <c r="AU60" s="846" t="s">
        <v>194</v>
      </c>
      <c r="AV60" s="846" t="s">
        <v>194</v>
      </c>
      <c r="AW60" s="846" t="s">
        <v>194</v>
      </c>
      <c r="AX60" s="846" t="s">
        <v>194</v>
      </c>
      <c r="AY60" s="846" t="s">
        <v>194</v>
      </c>
    </row>
    <row r="61" ht="15.75" hidden="1" customHeight="1" outlineLevel="2">
      <c r="A61" s="849">
        <v>1.0</v>
      </c>
      <c r="B61" s="15"/>
      <c r="C61" s="869" t="s">
        <v>280</v>
      </c>
      <c r="D61" s="870">
        <v>-11804.0</v>
      </c>
      <c r="E61" s="870">
        <v>-11127.128153846154</v>
      </c>
      <c r="F61" s="870">
        <v>-24637.0</v>
      </c>
      <c r="G61" s="870">
        <v>-913.666</v>
      </c>
      <c r="H61" s="870">
        <v>-13600.0</v>
      </c>
      <c r="I61" s="870">
        <v>-5962.0</v>
      </c>
      <c r="J61" s="870">
        <v>6490.9408934173525</v>
      </c>
      <c r="K61" s="871">
        <v>-0.5833437706182725</v>
      </c>
      <c r="L61" s="872" t="s">
        <v>194</v>
      </c>
      <c r="M61" s="873">
        <v>-5962.0</v>
      </c>
      <c r="N61" s="873">
        <v>-8169.0</v>
      </c>
      <c r="O61" s="873">
        <v>-12781.0</v>
      </c>
      <c r="P61" s="873">
        <v>-13600.0</v>
      </c>
      <c r="Q61" s="873">
        <v>-10899.0</v>
      </c>
      <c r="R61" s="873">
        <v>-13697.0</v>
      </c>
      <c r="S61" s="873">
        <v>-24637.0</v>
      </c>
      <c r="T61" s="872">
        <v>-3954.0</v>
      </c>
      <c r="U61" s="872">
        <v>-5247.0</v>
      </c>
      <c r="V61" s="872">
        <v>-19938.0</v>
      </c>
      <c r="W61" s="872">
        <v>-11804.0</v>
      </c>
      <c r="X61" s="872">
        <v>-13051.0</v>
      </c>
      <c r="Y61" s="872">
        <v>-913.666</v>
      </c>
      <c r="Z61" s="872" t="s">
        <v>194</v>
      </c>
      <c r="AA61" s="872" t="s">
        <v>194</v>
      </c>
      <c r="AB61" s="872" t="s">
        <v>194</v>
      </c>
      <c r="AC61" s="15"/>
      <c r="AD61" s="851" t="s">
        <v>194</v>
      </c>
      <c r="AE61" s="846" t="s">
        <v>194</v>
      </c>
      <c r="AF61" s="846" t="s">
        <v>194</v>
      </c>
      <c r="AG61" s="846" t="s">
        <v>194</v>
      </c>
      <c r="AH61" s="846" t="s">
        <v>194</v>
      </c>
      <c r="AI61" s="846" t="s">
        <v>194</v>
      </c>
      <c r="AJ61" s="846" t="s">
        <v>194</v>
      </c>
      <c r="AK61" s="846" t="s">
        <v>194</v>
      </c>
      <c r="AL61" s="846" t="s">
        <v>194</v>
      </c>
      <c r="AM61" s="846" t="s">
        <v>194</v>
      </c>
      <c r="AN61" s="846" t="s">
        <v>194</v>
      </c>
      <c r="AO61" s="846" t="s">
        <v>194</v>
      </c>
      <c r="AP61" s="846" t="s">
        <v>194</v>
      </c>
      <c r="AQ61" s="846" t="s">
        <v>194</v>
      </c>
      <c r="AR61" s="846" t="s">
        <v>194</v>
      </c>
      <c r="AS61" s="846" t="s">
        <v>194</v>
      </c>
      <c r="AT61" s="846" t="s">
        <v>194</v>
      </c>
      <c r="AU61" s="846" t="s">
        <v>194</v>
      </c>
      <c r="AV61" s="846" t="s">
        <v>194</v>
      </c>
      <c r="AW61" s="846" t="s">
        <v>194</v>
      </c>
      <c r="AX61" s="846" t="s">
        <v>194</v>
      </c>
      <c r="AY61" s="846" t="s">
        <v>194</v>
      </c>
    </row>
    <row r="62" ht="15.75" hidden="1" customHeight="1" outlineLevel="3">
      <c r="A62" s="849">
        <v>1.0</v>
      </c>
      <c r="B62" s="15"/>
      <c r="C62" s="869" t="s">
        <v>281</v>
      </c>
      <c r="D62" s="870">
        <v>-11804.0</v>
      </c>
      <c r="E62" s="870">
        <v>-11127.128153846154</v>
      </c>
      <c r="F62" s="870">
        <v>-24637.0</v>
      </c>
      <c r="G62" s="870">
        <v>-913.666</v>
      </c>
      <c r="H62" s="870">
        <v>-13600.0</v>
      </c>
      <c r="I62" s="870">
        <v>-5962.0</v>
      </c>
      <c r="J62" s="870">
        <v>6490.9408934173525</v>
      </c>
      <c r="K62" s="871">
        <v>-0.5833437706182725</v>
      </c>
      <c r="L62" s="872" t="s">
        <v>194</v>
      </c>
      <c r="M62" s="873">
        <v>-5962.0</v>
      </c>
      <c r="N62" s="873">
        <v>-8169.0</v>
      </c>
      <c r="O62" s="873">
        <v>-12781.0</v>
      </c>
      <c r="P62" s="873">
        <v>-13600.0</v>
      </c>
      <c r="Q62" s="873">
        <v>-10899.0</v>
      </c>
      <c r="R62" s="873">
        <v>-13697.0</v>
      </c>
      <c r="S62" s="873">
        <v>-24637.0</v>
      </c>
      <c r="T62" s="872">
        <v>-3954.0</v>
      </c>
      <c r="U62" s="872">
        <v>-5247.0</v>
      </c>
      <c r="V62" s="872">
        <v>-19938.0</v>
      </c>
      <c r="W62" s="872">
        <v>-11804.0</v>
      </c>
      <c r="X62" s="872">
        <v>-13051.0</v>
      </c>
      <c r="Y62" s="872">
        <v>-913.666</v>
      </c>
      <c r="Z62" s="872" t="s">
        <v>194</v>
      </c>
      <c r="AA62" s="872" t="s">
        <v>194</v>
      </c>
      <c r="AB62" s="872" t="s">
        <v>194</v>
      </c>
      <c r="AC62" s="15"/>
      <c r="AD62" s="851" t="s">
        <v>194</v>
      </c>
      <c r="AE62" s="846" t="s">
        <v>194</v>
      </c>
      <c r="AF62" s="846" t="s">
        <v>194</v>
      </c>
      <c r="AG62" s="846" t="s">
        <v>194</v>
      </c>
      <c r="AH62" s="846" t="s">
        <v>194</v>
      </c>
      <c r="AI62" s="846" t="s">
        <v>194</v>
      </c>
      <c r="AJ62" s="846" t="s">
        <v>194</v>
      </c>
      <c r="AK62" s="846" t="s">
        <v>194</v>
      </c>
      <c r="AL62" s="846" t="s">
        <v>194</v>
      </c>
      <c r="AM62" s="846" t="s">
        <v>194</v>
      </c>
      <c r="AN62" s="846" t="s">
        <v>194</v>
      </c>
      <c r="AO62" s="846" t="s">
        <v>194</v>
      </c>
      <c r="AP62" s="846" t="s">
        <v>194</v>
      </c>
      <c r="AQ62" s="846" t="s">
        <v>194</v>
      </c>
      <c r="AR62" s="846" t="s">
        <v>194</v>
      </c>
      <c r="AS62" s="846" t="s">
        <v>194</v>
      </c>
      <c r="AT62" s="846" t="s">
        <v>194</v>
      </c>
      <c r="AU62" s="846" t="s">
        <v>194</v>
      </c>
      <c r="AV62" s="846" t="s">
        <v>194</v>
      </c>
      <c r="AW62" s="846" t="s">
        <v>194</v>
      </c>
      <c r="AX62" s="846" t="s">
        <v>194</v>
      </c>
      <c r="AY62" s="846" t="s">
        <v>194</v>
      </c>
    </row>
    <row r="63" ht="15.75" hidden="1" customHeight="1" outlineLevel="3">
      <c r="A63" s="849">
        <v>1.0</v>
      </c>
      <c r="B63" s="15"/>
      <c r="C63" s="881" t="s">
        <v>282</v>
      </c>
      <c r="D63" s="882">
        <v>-11804.0</v>
      </c>
      <c r="E63" s="882">
        <v>-11127.128153846154</v>
      </c>
      <c r="F63" s="882">
        <v>-24637.0</v>
      </c>
      <c r="G63" s="882">
        <v>-913.666</v>
      </c>
      <c r="H63" s="882">
        <v>-13600.0</v>
      </c>
      <c r="I63" s="882">
        <v>-5962.0</v>
      </c>
      <c r="J63" s="882">
        <v>6490.9408934173525</v>
      </c>
      <c r="K63" s="883">
        <v>-0.5833437706182725</v>
      </c>
      <c r="L63" s="884" t="s">
        <v>194</v>
      </c>
      <c r="M63" s="879">
        <v>-5962.0</v>
      </c>
      <c r="N63" s="879">
        <v>-8169.0</v>
      </c>
      <c r="O63" s="879">
        <v>-12781.0</v>
      </c>
      <c r="P63" s="879">
        <v>-13600.0</v>
      </c>
      <c r="Q63" s="879">
        <v>-10899.0</v>
      </c>
      <c r="R63" s="879">
        <v>-13697.0</v>
      </c>
      <c r="S63" s="879">
        <v>-24637.0</v>
      </c>
      <c r="T63" s="884">
        <v>-3954.0</v>
      </c>
      <c r="U63" s="884">
        <v>-5247.0</v>
      </c>
      <c r="V63" s="884">
        <v>-19938.0</v>
      </c>
      <c r="W63" s="884">
        <v>-11804.0</v>
      </c>
      <c r="X63" s="884">
        <v>-13051.0</v>
      </c>
      <c r="Y63" s="884">
        <v>-913.666</v>
      </c>
      <c r="Z63" s="884" t="s">
        <v>194</v>
      </c>
      <c r="AA63" s="884" t="s">
        <v>194</v>
      </c>
      <c r="AB63" s="884" t="s">
        <v>194</v>
      </c>
      <c r="AC63" s="15"/>
      <c r="AD63" s="851" t="s">
        <v>194</v>
      </c>
      <c r="AE63" s="846" t="s">
        <v>194</v>
      </c>
      <c r="AF63" s="846" t="s">
        <v>194</v>
      </c>
      <c r="AG63" s="846" t="s">
        <v>194</v>
      </c>
      <c r="AH63" s="846" t="s">
        <v>194</v>
      </c>
      <c r="AI63" s="846" t="s">
        <v>194</v>
      </c>
      <c r="AJ63" s="846" t="s">
        <v>194</v>
      </c>
      <c r="AK63" s="846" t="s">
        <v>194</v>
      </c>
      <c r="AL63" s="846" t="s">
        <v>194</v>
      </c>
      <c r="AM63" s="846" t="s">
        <v>194</v>
      </c>
      <c r="AN63" s="846" t="s">
        <v>194</v>
      </c>
      <c r="AO63" s="846" t="s">
        <v>194</v>
      </c>
      <c r="AP63" s="846" t="s">
        <v>194</v>
      </c>
      <c r="AQ63" s="846" t="s">
        <v>194</v>
      </c>
      <c r="AR63" s="846" t="s">
        <v>194</v>
      </c>
      <c r="AS63" s="846" t="s">
        <v>194</v>
      </c>
      <c r="AT63" s="846" t="s">
        <v>194</v>
      </c>
      <c r="AU63" s="846" t="s">
        <v>194</v>
      </c>
      <c r="AV63" s="846" t="s">
        <v>194</v>
      </c>
      <c r="AW63" s="846" t="s">
        <v>194</v>
      </c>
      <c r="AX63" s="846" t="s">
        <v>194</v>
      </c>
      <c r="AY63" s="846" t="s">
        <v>194</v>
      </c>
    </row>
    <row r="64" ht="15.75" hidden="1" customHeight="1" outlineLevel="2">
      <c r="A64" s="849">
        <v>1.0</v>
      </c>
      <c r="B64" s="15"/>
      <c r="C64" s="869" t="s">
        <v>283</v>
      </c>
      <c r="D64" s="870">
        <v>-11976.0</v>
      </c>
      <c r="E64" s="870">
        <v>-29304.9</v>
      </c>
      <c r="F64" s="870">
        <v>-161479.0</v>
      </c>
      <c r="G64" s="870">
        <v>0.0</v>
      </c>
      <c r="H64" s="870">
        <v>-27358.75</v>
      </c>
      <c r="I64" s="870">
        <v>-4021.5</v>
      </c>
      <c r="J64" s="870">
        <v>48699.38931273505</v>
      </c>
      <c r="K64" s="871">
        <v>-1.661817283551046</v>
      </c>
      <c r="L64" s="872" t="s">
        <v>194</v>
      </c>
      <c r="M64" s="873">
        <v>-28155.0</v>
      </c>
      <c r="N64" s="873" t="s">
        <v>194</v>
      </c>
      <c r="O64" s="873">
        <v>-14100.0</v>
      </c>
      <c r="P64" s="873" t="s">
        <v>194</v>
      </c>
      <c r="Q64" s="873">
        <v>-24970.0</v>
      </c>
      <c r="R64" s="873">
        <v>-161479.0</v>
      </c>
      <c r="S64" s="873">
        <v>-3750.0</v>
      </c>
      <c r="T64" s="872">
        <v>0.0</v>
      </c>
      <c r="U64" s="872">
        <v>-9852.0</v>
      </c>
      <c r="V64" s="872">
        <v>0.0</v>
      </c>
      <c r="W64" s="872">
        <v>-4836.0</v>
      </c>
      <c r="X64" s="872">
        <v>-45907.0</v>
      </c>
      <c r="Y64" s="872" t="s">
        <v>194</v>
      </c>
      <c r="Z64" s="872" t="s">
        <v>194</v>
      </c>
      <c r="AA64" s="872" t="s">
        <v>194</v>
      </c>
      <c r="AB64" s="872" t="s">
        <v>194</v>
      </c>
      <c r="AC64" s="15"/>
      <c r="AD64" s="851" t="s">
        <v>194</v>
      </c>
      <c r="AE64" s="846" t="s">
        <v>194</v>
      </c>
      <c r="AF64" s="846" t="s">
        <v>194</v>
      </c>
      <c r="AG64" s="846" t="s">
        <v>194</v>
      </c>
      <c r="AH64" s="846" t="s">
        <v>194</v>
      </c>
      <c r="AI64" s="846" t="s">
        <v>194</v>
      </c>
      <c r="AJ64" s="846" t="s">
        <v>194</v>
      </c>
      <c r="AK64" s="846" t="s">
        <v>194</v>
      </c>
      <c r="AL64" s="846" t="s">
        <v>194</v>
      </c>
      <c r="AM64" s="846" t="s">
        <v>194</v>
      </c>
      <c r="AN64" s="846" t="s">
        <v>194</v>
      </c>
      <c r="AO64" s="846" t="s">
        <v>194</v>
      </c>
      <c r="AP64" s="846" t="s">
        <v>194</v>
      </c>
      <c r="AQ64" s="846" t="s">
        <v>194</v>
      </c>
      <c r="AR64" s="846" t="s">
        <v>194</v>
      </c>
      <c r="AS64" s="846" t="s">
        <v>194</v>
      </c>
      <c r="AT64" s="846" t="s">
        <v>194</v>
      </c>
      <c r="AU64" s="846" t="s">
        <v>194</v>
      </c>
      <c r="AV64" s="846" t="s">
        <v>194</v>
      </c>
      <c r="AW64" s="846" t="s">
        <v>194</v>
      </c>
      <c r="AX64" s="846" t="s">
        <v>194</v>
      </c>
      <c r="AY64" s="846" t="s">
        <v>194</v>
      </c>
    </row>
    <row r="65" ht="15.75" hidden="1" customHeight="1" outlineLevel="3">
      <c r="A65" s="849">
        <v>1.0</v>
      </c>
      <c r="B65" s="15"/>
      <c r="C65" s="869" t="s">
        <v>284</v>
      </c>
      <c r="D65" s="870">
        <v>-11976.0</v>
      </c>
      <c r="E65" s="870">
        <v>-29304.9</v>
      </c>
      <c r="F65" s="870">
        <v>-161479.0</v>
      </c>
      <c r="G65" s="870">
        <v>0.0</v>
      </c>
      <c r="H65" s="870">
        <v>-27358.75</v>
      </c>
      <c r="I65" s="870">
        <v>-4021.5</v>
      </c>
      <c r="J65" s="870">
        <v>48699.38931273505</v>
      </c>
      <c r="K65" s="871">
        <v>-1.661817283551046</v>
      </c>
      <c r="L65" s="872" t="s">
        <v>194</v>
      </c>
      <c r="M65" s="873">
        <v>-28155.0</v>
      </c>
      <c r="N65" s="873" t="s">
        <v>194</v>
      </c>
      <c r="O65" s="873">
        <v>-14100.0</v>
      </c>
      <c r="P65" s="873" t="s">
        <v>194</v>
      </c>
      <c r="Q65" s="873">
        <v>-24970.0</v>
      </c>
      <c r="R65" s="873">
        <v>-161479.0</v>
      </c>
      <c r="S65" s="873">
        <v>-3750.0</v>
      </c>
      <c r="T65" s="872">
        <v>0.0</v>
      </c>
      <c r="U65" s="872">
        <v>-9852.0</v>
      </c>
      <c r="V65" s="872">
        <v>0.0</v>
      </c>
      <c r="W65" s="872">
        <v>-4836.0</v>
      </c>
      <c r="X65" s="872">
        <v>-45907.0</v>
      </c>
      <c r="Y65" s="872" t="s">
        <v>194</v>
      </c>
      <c r="Z65" s="872" t="s">
        <v>194</v>
      </c>
      <c r="AA65" s="872" t="s">
        <v>194</v>
      </c>
      <c r="AB65" s="872" t="s">
        <v>194</v>
      </c>
      <c r="AC65" s="15"/>
      <c r="AD65" s="851" t="s">
        <v>194</v>
      </c>
      <c r="AE65" s="846" t="s">
        <v>194</v>
      </c>
      <c r="AF65" s="846" t="s">
        <v>194</v>
      </c>
      <c r="AG65" s="846" t="s">
        <v>194</v>
      </c>
      <c r="AH65" s="846" t="s">
        <v>194</v>
      </c>
      <c r="AI65" s="846" t="s">
        <v>194</v>
      </c>
      <c r="AJ65" s="846" t="s">
        <v>194</v>
      </c>
      <c r="AK65" s="846" t="s">
        <v>194</v>
      </c>
      <c r="AL65" s="846" t="s">
        <v>194</v>
      </c>
      <c r="AM65" s="846" t="s">
        <v>194</v>
      </c>
      <c r="AN65" s="846" t="s">
        <v>194</v>
      </c>
      <c r="AO65" s="846" t="s">
        <v>194</v>
      </c>
      <c r="AP65" s="846" t="s">
        <v>194</v>
      </c>
      <c r="AQ65" s="846" t="s">
        <v>194</v>
      </c>
      <c r="AR65" s="846" t="s">
        <v>194</v>
      </c>
      <c r="AS65" s="846" t="s">
        <v>194</v>
      </c>
      <c r="AT65" s="846" t="s">
        <v>194</v>
      </c>
      <c r="AU65" s="846" t="s">
        <v>194</v>
      </c>
      <c r="AV65" s="846" t="s">
        <v>194</v>
      </c>
      <c r="AW65" s="846" t="s">
        <v>194</v>
      </c>
      <c r="AX65" s="846" t="s">
        <v>194</v>
      </c>
      <c r="AY65" s="846" t="s">
        <v>194</v>
      </c>
    </row>
    <row r="66" ht="15.75" hidden="1" customHeight="1" outlineLevel="3">
      <c r="A66" s="849">
        <v>1.0</v>
      </c>
      <c r="B66" s="15"/>
      <c r="C66" s="881" t="s">
        <v>285</v>
      </c>
      <c r="D66" s="882">
        <v>-11976.0</v>
      </c>
      <c r="E66" s="882">
        <v>-29304.9</v>
      </c>
      <c r="F66" s="882">
        <v>-161479.0</v>
      </c>
      <c r="G66" s="882">
        <v>0.0</v>
      </c>
      <c r="H66" s="882">
        <v>-27358.75</v>
      </c>
      <c r="I66" s="882">
        <v>-4021.5</v>
      </c>
      <c r="J66" s="882">
        <v>48699.38931273505</v>
      </c>
      <c r="K66" s="883">
        <v>-1.661817283551046</v>
      </c>
      <c r="L66" s="884" t="s">
        <v>194</v>
      </c>
      <c r="M66" s="879">
        <v>-28155.0</v>
      </c>
      <c r="N66" s="879" t="s">
        <v>194</v>
      </c>
      <c r="O66" s="879">
        <v>-14100.0</v>
      </c>
      <c r="P66" s="879" t="s">
        <v>194</v>
      </c>
      <c r="Q66" s="879">
        <v>-24970.0</v>
      </c>
      <c r="R66" s="879">
        <v>-161479.0</v>
      </c>
      <c r="S66" s="879">
        <v>-3750.0</v>
      </c>
      <c r="T66" s="884">
        <v>0.0</v>
      </c>
      <c r="U66" s="884">
        <v>-9852.0</v>
      </c>
      <c r="V66" s="884">
        <v>0.0</v>
      </c>
      <c r="W66" s="884">
        <v>-4836.0</v>
      </c>
      <c r="X66" s="884">
        <v>-45907.0</v>
      </c>
      <c r="Y66" s="884" t="s">
        <v>194</v>
      </c>
      <c r="Z66" s="884" t="s">
        <v>194</v>
      </c>
      <c r="AA66" s="884" t="s">
        <v>194</v>
      </c>
      <c r="AB66" s="884" t="s">
        <v>194</v>
      </c>
      <c r="AC66" s="15"/>
      <c r="AD66" s="851" t="s">
        <v>194</v>
      </c>
      <c r="AE66" s="846" t="s">
        <v>194</v>
      </c>
      <c r="AF66" s="846" t="s">
        <v>194</v>
      </c>
      <c r="AG66" s="846" t="s">
        <v>194</v>
      </c>
      <c r="AH66" s="846" t="s">
        <v>194</v>
      </c>
      <c r="AI66" s="846" t="s">
        <v>194</v>
      </c>
      <c r="AJ66" s="846" t="s">
        <v>194</v>
      </c>
      <c r="AK66" s="846" t="s">
        <v>194</v>
      </c>
      <c r="AL66" s="846" t="s">
        <v>194</v>
      </c>
      <c r="AM66" s="846" t="s">
        <v>194</v>
      </c>
      <c r="AN66" s="846" t="s">
        <v>194</v>
      </c>
      <c r="AO66" s="846" t="s">
        <v>194</v>
      </c>
      <c r="AP66" s="846" t="s">
        <v>194</v>
      </c>
      <c r="AQ66" s="846" t="s">
        <v>194</v>
      </c>
      <c r="AR66" s="846" t="s">
        <v>194</v>
      </c>
      <c r="AS66" s="846" t="s">
        <v>194</v>
      </c>
      <c r="AT66" s="846" t="s">
        <v>194</v>
      </c>
      <c r="AU66" s="846" t="s">
        <v>194</v>
      </c>
      <c r="AV66" s="846" t="s">
        <v>194</v>
      </c>
      <c r="AW66" s="846" t="s">
        <v>194</v>
      </c>
      <c r="AX66" s="846" t="s">
        <v>194</v>
      </c>
      <c r="AY66" s="846" t="s">
        <v>194</v>
      </c>
    </row>
    <row r="67" ht="15.75" hidden="1" customHeight="1" outlineLevel="2">
      <c r="A67" s="849">
        <v>1.0</v>
      </c>
      <c r="B67" s="15"/>
      <c r="C67" s="869" t="s">
        <v>286</v>
      </c>
      <c r="D67" s="870">
        <v>-464.0</v>
      </c>
      <c r="E67" s="870">
        <v>-488.6666666666667</v>
      </c>
      <c r="F67" s="870">
        <v>-690.0</v>
      </c>
      <c r="G67" s="870">
        <v>-312.0</v>
      </c>
      <c r="H67" s="870">
        <v>-577.0</v>
      </c>
      <c r="I67" s="870">
        <v>-388.0</v>
      </c>
      <c r="J67" s="870">
        <v>190.20339989951103</v>
      </c>
      <c r="K67" s="871">
        <v>-0.3892293313086856</v>
      </c>
      <c r="L67" s="872" t="s">
        <v>194</v>
      </c>
      <c r="M67" s="873" t="s">
        <v>194</v>
      </c>
      <c r="N67" s="873" t="s">
        <v>194</v>
      </c>
      <c r="O67" s="873" t="s">
        <v>194</v>
      </c>
      <c r="P67" s="873" t="s">
        <v>194</v>
      </c>
      <c r="Q67" s="873">
        <v>-312.0</v>
      </c>
      <c r="R67" s="873">
        <v>-690.0</v>
      </c>
      <c r="S67" s="873">
        <v>-464.0</v>
      </c>
      <c r="T67" s="872" t="s">
        <v>194</v>
      </c>
      <c r="U67" s="872" t="s">
        <v>194</v>
      </c>
      <c r="V67" s="872" t="s">
        <v>194</v>
      </c>
      <c r="W67" s="872" t="s">
        <v>194</v>
      </c>
      <c r="X67" s="872" t="s">
        <v>194</v>
      </c>
      <c r="Y67" s="872" t="s">
        <v>194</v>
      </c>
      <c r="Z67" s="872" t="s">
        <v>194</v>
      </c>
      <c r="AA67" s="872" t="s">
        <v>194</v>
      </c>
      <c r="AB67" s="872" t="s">
        <v>194</v>
      </c>
      <c r="AC67" s="15"/>
      <c r="AD67" s="851" t="s">
        <v>194</v>
      </c>
      <c r="AE67" s="846" t="s">
        <v>194</v>
      </c>
      <c r="AF67" s="846" t="s">
        <v>194</v>
      </c>
      <c r="AG67" s="846" t="s">
        <v>194</v>
      </c>
      <c r="AH67" s="846" t="s">
        <v>194</v>
      </c>
      <c r="AI67" s="846" t="s">
        <v>194</v>
      </c>
      <c r="AJ67" s="846" t="s">
        <v>194</v>
      </c>
      <c r="AK67" s="846" t="s">
        <v>194</v>
      </c>
      <c r="AL67" s="846" t="s">
        <v>194</v>
      </c>
      <c r="AM67" s="846" t="s">
        <v>194</v>
      </c>
      <c r="AN67" s="846" t="s">
        <v>194</v>
      </c>
      <c r="AO67" s="846" t="s">
        <v>194</v>
      </c>
      <c r="AP67" s="846" t="s">
        <v>194</v>
      </c>
      <c r="AQ67" s="846" t="s">
        <v>194</v>
      </c>
      <c r="AR67" s="846" t="s">
        <v>194</v>
      </c>
      <c r="AS67" s="846" t="s">
        <v>194</v>
      </c>
      <c r="AT67" s="846" t="s">
        <v>194</v>
      </c>
      <c r="AU67" s="846" t="s">
        <v>194</v>
      </c>
      <c r="AV67" s="846" t="s">
        <v>194</v>
      </c>
      <c r="AW67" s="846" t="s">
        <v>194</v>
      </c>
      <c r="AX67" s="846" t="s">
        <v>194</v>
      </c>
      <c r="AY67" s="846" t="s">
        <v>194</v>
      </c>
    </row>
    <row r="68" ht="15.75" hidden="1" customHeight="1" outlineLevel="3">
      <c r="A68" s="849">
        <v>1.0</v>
      </c>
      <c r="B68" s="15"/>
      <c r="C68" s="869" t="s">
        <v>287</v>
      </c>
      <c r="D68" s="870">
        <v>-464.0</v>
      </c>
      <c r="E68" s="870">
        <v>-488.6666666666667</v>
      </c>
      <c r="F68" s="870">
        <v>-690.0</v>
      </c>
      <c r="G68" s="870">
        <v>-312.0</v>
      </c>
      <c r="H68" s="870">
        <v>-577.0</v>
      </c>
      <c r="I68" s="870">
        <v>-388.0</v>
      </c>
      <c r="J68" s="870">
        <v>190.20339989951103</v>
      </c>
      <c r="K68" s="871">
        <v>-0.3892293313086856</v>
      </c>
      <c r="L68" s="872" t="s">
        <v>194</v>
      </c>
      <c r="M68" s="873" t="s">
        <v>194</v>
      </c>
      <c r="N68" s="873" t="s">
        <v>194</v>
      </c>
      <c r="O68" s="873" t="s">
        <v>194</v>
      </c>
      <c r="P68" s="873" t="s">
        <v>194</v>
      </c>
      <c r="Q68" s="873">
        <v>-312.0</v>
      </c>
      <c r="R68" s="873">
        <v>-690.0</v>
      </c>
      <c r="S68" s="873">
        <v>-464.0</v>
      </c>
      <c r="T68" s="872" t="s">
        <v>194</v>
      </c>
      <c r="U68" s="872" t="s">
        <v>194</v>
      </c>
      <c r="V68" s="872" t="s">
        <v>194</v>
      </c>
      <c r="W68" s="872" t="s">
        <v>194</v>
      </c>
      <c r="X68" s="872" t="s">
        <v>194</v>
      </c>
      <c r="Y68" s="872" t="s">
        <v>194</v>
      </c>
      <c r="Z68" s="872" t="s">
        <v>194</v>
      </c>
      <c r="AA68" s="872" t="s">
        <v>194</v>
      </c>
      <c r="AB68" s="872" t="s">
        <v>194</v>
      </c>
      <c r="AC68" s="15"/>
      <c r="AD68" s="851" t="s">
        <v>194</v>
      </c>
      <c r="AE68" s="846" t="s">
        <v>194</v>
      </c>
      <c r="AF68" s="846" t="s">
        <v>194</v>
      </c>
      <c r="AG68" s="846" t="s">
        <v>194</v>
      </c>
      <c r="AH68" s="846" t="s">
        <v>194</v>
      </c>
      <c r="AI68" s="846" t="s">
        <v>194</v>
      </c>
      <c r="AJ68" s="846" t="s">
        <v>194</v>
      </c>
      <c r="AK68" s="846" t="s">
        <v>194</v>
      </c>
      <c r="AL68" s="846" t="s">
        <v>194</v>
      </c>
      <c r="AM68" s="846" t="s">
        <v>194</v>
      </c>
      <c r="AN68" s="846" t="s">
        <v>194</v>
      </c>
      <c r="AO68" s="846" t="s">
        <v>194</v>
      </c>
      <c r="AP68" s="846" t="s">
        <v>194</v>
      </c>
      <c r="AQ68" s="846" t="s">
        <v>194</v>
      </c>
      <c r="AR68" s="846" t="s">
        <v>194</v>
      </c>
      <c r="AS68" s="846" t="s">
        <v>194</v>
      </c>
      <c r="AT68" s="846" t="s">
        <v>194</v>
      </c>
      <c r="AU68" s="846" t="s">
        <v>194</v>
      </c>
      <c r="AV68" s="846" t="s">
        <v>194</v>
      </c>
      <c r="AW68" s="846" t="s">
        <v>194</v>
      </c>
      <c r="AX68" s="846" t="s">
        <v>194</v>
      </c>
      <c r="AY68" s="846" t="s">
        <v>194</v>
      </c>
    </row>
    <row r="69" ht="15.75" hidden="1" customHeight="1" outlineLevel="3">
      <c r="A69" s="849">
        <v>1.0</v>
      </c>
      <c r="B69" s="15"/>
      <c r="C69" s="881" t="s">
        <v>288</v>
      </c>
      <c r="D69" s="882">
        <v>-464.0</v>
      </c>
      <c r="E69" s="882">
        <v>-488.6666666666667</v>
      </c>
      <c r="F69" s="882">
        <v>-690.0</v>
      </c>
      <c r="G69" s="882">
        <v>-312.0</v>
      </c>
      <c r="H69" s="882">
        <v>-577.0</v>
      </c>
      <c r="I69" s="882">
        <v>-388.0</v>
      </c>
      <c r="J69" s="882">
        <v>190.20339989951103</v>
      </c>
      <c r="K69" s="883">
        <v>-0.3892293313086856</v>
      </c>
      <c r="L69" s="884" t="s">
        <v>194</v>
      </c>
      <c r="M69" s="879" t="s">
        <v>194</v>
      </c>
      <c r="N69" s="879" t="s">
        <v>194</v>
      </c>
      <c r="O69" s="879" t="s">
        <v>194</v>
      </c>
      <c r="P69" s="879" t="s">
        <v>194</v>
      </c>
      <c r="Q69" s="879">
        <v>-312.0</v>
      </c>
      <c r="R69" s="879">
        <v>-690.0</v>
      </c>
      <c r="S69" s="879">
        <v>-464.0</v>
      </c>
      <c r="T69" s="884" t="s">
        <v>194</v>
      </c>
      <c r="U69" s="884" t="s">
        <v>194</v>
      </c>
      <c r="V69" s="884" t="s">
        <v>194</v>
      </c>
      <c r="W69" s="884" t="s">
        <v>194</v>
      </c>
      <c r="X69" s="884" t="s">
        <v>194</v>
      </c>
      <c r="Y69" s="884" t="s">
        <v>194</v>
      </c>
      <c r="Z69" s="884" t="s">
        <v>194</v>
      </c>
      <c r="AA69" s="884" t="s">
        <v>194</v>
      </c>
      <c r="AB69" s="884" t="s">
        <v>194</v>
      </c>
      <c r="AC69" s="15"/>
      <c r="AD69" s="851" t="s">
        <v>194</v>
      </c>
      <c r="AE69" s="846" t="s">
        <v>194</v>
      </c>
      <c r="AF69" s="846" t="s">
        <v>194</v>
      </c>
      <c r="AG69" s="846" t="s">
        <v>194</v>
      </c>
      <c r="AH69" s="846" t="s">
        <v>194</v>
      </c>
      <c r="AI69" s="846" t="s">
        <v>194</v>
      </c>
      <c r="AJ69" s="846" t="s">
        <v>194</v>
      </c>
      <c r="AK69" s="846" t="s">
        <v>194</v>
      </c>
      <c r="AL69" s="846" t="s">
        <v>194</v>
      </c>
      <c r="AM69" s="846" t="s">
        <v>194</v>
      </c>
      <c r="AN69" s="846" t="s">
        <v>194</v>
      </c>
      <c r="AO69" s="846" t="s">
        <v>194</v>
      </c>
      <c r="AP69" s="846" t="s">
        <v>194</v>
      </c>
      <c r="AQ69" s="846" t="s">
        <v>194</v>
      </c>
      <c r="AR69" s="846" t="s">
        <v>194</v>
      </c>
      <c r="AS69" s="846" t="s">
        <v>194</v>
      </c>
      <c r="AT69" s="846" t="s">
        <v>194</v>
      </c>
      <c r="AU69" s="846" t="s">
        <v>194</v>
      </c>
      <c r="AV69" s="846" t="s">
        <v>194</v>
      </c>
      <c r="AW69" s="846" t="s">
        <v>194</v>
      </c>
      <c r="AX69" s="846" t="s">
        <v>194</v>
      </c>
      <c r="AY69" s="846" t="s">
        <v>194</v>
      </c>
    </row>
    <row r="70" ht="15.75" hidden="1" customHeight="1" outlineLevel="2">
      <c r="A70" s="849">
        <v>1.0</v>
      </c>
      <c r="B70" s="15"/>
      <c r="C70" s="869" t="s">
        <v>289</v>
      </c>
      <c r="D70" s="870">
        <v>0.0</v>
      </c>
      <c r="E70" s="870">
        <v>-367.42857142857144</v>
      </c>
      <c r="F70" s="870">
        <v>-27192.0</v>
      </c>
      <c r="G70" s="870">
        <v>27701.0</v>
      </c>
      <c r="H70" s="870">
        <v>-1540.5</v>
      </c>
      <c r="I70" s="870">
        <v>0.0</v>
      </c>
      <c r="J70" s="870">
        <v>15867.403713873533</v>
      </c>
      <c r="K70" s="871">
        <v>-43.18500233169313</v>
      </c>
      <c r="L70" s="872" t="s">
        <v>194</v>
      </c>
      <c r="M70" s="873">
        <v>27701.0</v>
      </c>
      <c r="N70" s="873" t="s">
        <v>194</v>
      </c>
      <c r="O70" s="873">
        <v>0.0</v>
      </c>
      <c r="P70" s="873" t="s">
        <v>194</v>
      </c>
      <c r="Q70" s="873">
        <v>0.0</v>
      </c>
      <c r="R70" s="873">
        <v>-1322.0</v>
      </c>
      <c r="S70" s="873">
        <v>0.0</v>
      </c>
      <c r="T70" s="872">
        <v>-1759.0</v>
      </c>
      <c r="U70" s="872">
        <v>-27192.0</v>
      </c>
      <c r="V70" s="872" t="s">
        <v>194</v>
      </c>
      <c r="W70" s="872" t="s">
        <v>194</v>
      </c>
      <c r="X70" s="872" t="s">
        <v>194</v>
      </c>
      <c r="Y70" s="872" t="s">
        <v>194</v>
      </c>
      <c r="Z70" s="872" t="s">
        <v>194</v>
      </c>
      <c r="AA70" s="872" t="s">
        <v>194</v>
      </c>
      <c r="AB70" s="872" t="s">
        <v>194</v>
      </c>
      <c r="AC70" s="15"/>
      <c r="AD70" s="851" t="s">
        <v>194</v>
      </c>
      <c r="AE70" s="846" t="s">
        <v>194</v>
      </c>
      <c r="AF70" s="846" t="s">
        <v>194</v>
      </c>
      <c r="AG70" s="846" t="s">
        <v>194</v>
      </c>
      <c r="AH70" s="846" t="s">
        <v>194</v>
      </c>
      <c r="AI70" s="846" t="s">
        <v>194</v>
      </c>
      <c r="AJ70" s="846" t="s">
        <v>194</v>
      </c>
      <c r="AK70" s="846" t="s">
        <v>194</v>
      </c>
      <c r="AL70" s="846" t="s">
        <v>194</v>
      </c>
      <c r="AM70" s="846" t="s">
        <v>194</v>
      </c>
      <c r="AN70" s="846" t="s">
        <v>194</v>
      </c>
      <c r="AO70" s="846" t="s">
        <v>194</v>
      </c>
      <c r="AP70" s="846" t="s">
        <v>194</v>
      </c>
      <c r="AQ70" s="846" t="s">
        <v>194</v>
      </c>
      <c r="AR70" s="846" t="s">
        <v>194</v>
      </c>
      <c r="AS70" s="846" t="s">
        <v>194</v>
      </c>
      <c r="AT70" s="846" t="s">
        <v>194</v>
      </c>
      <c r="AU70" s="846" t="s">
        <v>194</v>
      </c>
      <c r="AV70" s="846" t="s">
        <v>194</v>
      </c>
      <c r="AW70" s="846" t="s">
        <v>194</v>
      </c>
      <c r="AX70" s="846" t="s">
        <v>194</v>
      </c>
      <c r="AY70" s="846" t="s">
        <v>194</v>
      </c>
    </row>
    <row r="71" ht="15.75" hidden="1" customHeight="1" outlineLevel="3">
      <c r="A71" s="849">
        <v>1.0</v>
      </c>
      <c r="B71" s="15"/>
      <c r="C71" s="869" t="s">
        <v>290</v>
      </c>
      <c r="D71" s="870">
        <v>-1322.0</v>
      </c>
      <c r="E71" s="870">
        <v>-14265.142857142857</v>
      </c>
      <c r="F71" s="870">
        <v>-49657.0</v>
      </c>
      <c r="G71" s="870">
        <v>0.0</v>
      </c>
      <c r="H71" s="870">
        <v>-24438.5</v>
      </c>
      <c r="I71" s="870">
        <v>0.0</v>
      </c>
      <c r="J71" s="870">
        <v>20616.582390788986</v>
      </c>
      <c r="K71" s="871">
        <v>-1.445241915713857</v>
      </c>
      <c r="L71" s="872" t="s">
        <v>194</v>
      </c>
      <c r="M71" s="873">
        <v>-11935.0</v>
      </c>
      <c r="N71" s="873" t="s">
        <v>194</v>
      </c>
      <c r="O71" s="873">
        <v>0.0</v>
      </c>
      <c r="P71" s="873" t="s">
        <v>194</v>
      </c>
      <c r="Q71" s="873">
        <v>0.0</v>
      </c>
      <c r="R71" s="873">
        <v>-1322.0</v>
      </c>
      <c r="S71" s="873">
        <v>0.0</v>
      </c>
      <c r="T71" s="872">
        <v>-49657.0</v>
      </c>
      <c r="U71" s="872">
        <v>-36942.0</v>
      </c>
      <c r="V71" s="872" t="s">
        <v>194</v>
      </c>
      <c r="W71" s="872" t="s">
        <v>194</v>
      </c>
      <c r="X71" s="872" t="s">
        <v>194</v>
      </c>
      <c r="Y71" s="872" t="s">
        <v>194</v>
      </c>
      <c r="Z71" s="872" t="s">
        <v>194</v>
      </c>
      <c r="AA71" s="872" t="s">
        <v>194</v>
      </c>
      <c r="AB71" s="872" t="s">
        <v>194</v>
      </c>
      <c r="AC71" s="15"/>
      <c r="AD71" s="851" t="s">
        <v>194</v>
      </c>
      <c r="AE71" s="846" t="s">
        <v>194</v>
      </c>
      <c r="AF71" s="846" t="s">
        <v>194</v>
      </c>
      <c r="AG71" s="846" t="s">
        <v>194</v>
      </c>
      <c r="AH71" s="846" t="s">
        <v>194</v>
      </c>
      <c r="AI71" s="846" t="s">
        <v>194</v>
      </c>
      <c r="AJ71" s="846" t="s">
        <v>194</v>
      </c>
      <c r="AK71" s="846" t="s">
        <v>194</v>
      </c>
      <c r="AL71" s="846" t="s">
        <v>194</v>
      </c>
      <c r="AM71" s="846" t="s">
        <v>194</v>
      </c>
      <c r="AN71" s="846" t="s">
        <v>194</v>
      </c>
      <c r="AO71" s="846" t="s">
        <v>194</v>
      </c>
      <c r="AP71" s="846" t="s">
        <v>194</v>
      </c>
      <c r="AQ71" s="846" t="s">
        <v>194</v>
      </c>
      <c r="AR71" s="846" t="s">
        <v>194</v>
      </c>
      <c r="AS71" s="846" t="s">
        <v>194</v>
      </c>
      <c r="AT71" s="846" t="s">
        <v>194</v>
      </c>
      <c r="AU71" s="846" t="s">
        <v>194</v>
      </c>
      <c r="AV71" s="846" t="s">
        <v>194</v>
      </c>
      <c r="AW71" s="846" t="s">
        <v>194</v>
      </c>
      <c r="AX71" s="846" t="s">
        <v>194</v>
      </c>
      <c r="AY71" s="846" t="s">
        <v>194</v>
      </c>
    </row>
    <row r="72" ht="15.75" hidden="1" customHeight="1" outlineLevel="3">
      <c r="A72" s="849">
        <v>1.0</v>
      </c>
      <c r="B72" s="15"/>
      <c r="C72" s="869" t="s">
        <v>291</v>
      </c>
      <c r="D72" s="870">
        <v>39636.0</v>
      </c>
      <c r="E72" s="870">
        <v>32428.0</v>
      </c>
      <c r="F72" s="870">
        <v>9750.0</v>
      </c>
      <c r="G72" s="870">
        <v>47898.0</v>
      </c>
      <c r="H72" s="870">
        <v>24693.0</v>
      </c>
      <c r="I72" s="870">
        <v>43767.0</v>
      </c>
      <c r="J72" s="870">
        <v>20069.477422195127</v>
      </c>
      <c r="K72" s="871">
        <v>0.6188934692918197</v>
      </c>
      <c r="L72" s="872" t="s">
        <v>194</v>
      </c>
      <c r="M72" s="873">
        <v>39636.0</v>
      </c>
      <c r="N72" s="873" t="s">
        <v>194</v>
      </c>
      <c r="O72" s="873" t="s">
        <v>194</v>
      </c>
      <c r="P72" s="873" t="s">
        <v>194</v>
      </c>
      <c r="Q72" s="873" t="s">
        <v>194</v>
      </c>
      <c r="R72" s="873" t="s">
        <v>194</v>
      </c>
      <c r="S72" s="873" t="s">
        <v>194</v>
      </c>
      <c r="T72" s="872">
        <v>47898.0</v>
      </c>
      <c r="U72" s="872">
        <v>9750.0</v>
      </c>
      <c r="V72" s="872" t="s">
        <v>194</v>
      </c>
      <c r="W72" s="872" t="s">
        <v>194</v>
      </c>
      <c r="X72" s="872" t="s">
        <v>194</v>
      </c>
      <c r="Y72" s="872" t="s">
        <v>194</v>
      </c>
      <c r="Z72" s="872" t="s">
        <v>194</v>
      </c>
      <c r="AA72" s="872" t="s">
        <v>194</v>
      </c>
      <c r="AB72" s="872" t="s">
        <v>194</v>
      </c>
      <c r="AC72" s="15"/>
      <c r="AD72" s="851" t="s">
        <v>194</v>
      </c>
      <c r="AE72" s="846" t="s">
        <v>194</v>
      </c>
      <c r="AF72" s="846" t="s">
        <v>194</v>
      </c>
      <c r="AG72" s="846" t="s">
        <v>194</v>
      </c>
      <c r="AH72" s="846" t="s">
        <v>194</v>
      </c>
      <c r="AI72" s="846" t="s">
        <v>194</v>
      </c>
      <c r="AJ72" s="846" t="s">
        <v>194</v>
      </c>
      <c r="AK72" s="846" t="s">
        <v>194</v>
      </c>
      <c r="AL72" s="846" t="s">
        <v>194</v>
      </c>
      <c r="AM72" s="846" t="s">
        <v>194</v>
      </c>
      <c r="AN72" s="846" t="s">
        <v>194</v>
      </c>
      <c r="AO72" s="846" t="s">
        <v>194</v>
      </c>
      <c r="AP72" s="846" t="s">
        <v>194</v>
      </c>
      <c r="AQ72" s="846" t="s">
        <v>194</v>
      </c>
      <c r="AR72" s="846" t="s">
        <v>194</v>
      </c>
      <c r="AS72" s="846" t="s">
        <v>194</v>
      </c>
      <c r="AT72" s="846" t="s">
        <v>194</v>
      </c>
      <c r="AU72" s="846" t="s">
        <v>194</v>
      </c>
      <c r="AV72" s="846" t="s">
        <v>194</v>
      </c>
      <c r="AW72" s="846" t="s">
        <v>194</v>
      </c>
      <c r="AX72" s="846" t="s">
        <v>194</v>
      </c>
      <c r="AY72" s="846" t="s">
        <v>194</v>
      </c>
    </row>
    <row r="73" ht="15.75" hidden="1" customHeight="1" outlineLevel="3">
      <c r="A73" s="849">
        <v>1.0</v>
      </c>
      <c r="B73" s="15"/>
      <c r="C73" s="881" t="s">
        <v>292</v>
      </c>
      <c r="D73" s="882">
        <v>0.0</v>
      </c>
      <c r="E73" s="882">
        <v>-367.42857142857144</v>
      </c>
      <c r="F73" s="882">
        <v>-27192.0</v>
      </c>
      <c r="G73" s="882">
        <v>27701.0</v>
      </c>
      <c r="H73" s="882">
        <v>-1540.5</v>
      </c>
      <c r="I73" s="882">
        <v>0.0</v>
      </c>
      <c r="J73" s="882">
        <v>15867.403713873533</v>
      </c>
      <c r="K73" s="883">
        <v>-43.18500233169313</v>
      </c>
      <c r="L73" s="884" t="s">
        <v>194</v>
      </c>
      <c r="M73" s="879">
        <v>27701.0</v>
      </c>
      <c r="N73" s="879" t="s">
        <v>194</v>
      </c>
      <c r="O73" s="879">
        <v>0.0</v>
      </c>
      <c r="P73" s="879" t="s">
        <v>194</v>
      </c>
      <c r="Q73" s="879">
        <v>0.0</v>
      </c>
      <c r="R73" s="879">
        <v>-1322.0</v>
      </c>
      <c r="S73" s="879">
        <v>0.0</v>
      </c>
      <c r="T73" s="884">
        <v>-1759.0</v>
      </c>
      <c r="U73" s="884">
        <v>-27192.0</v>
      </c>
      <c r="V73" s="884" t="s">
        <v>194</v>
      </c>
      <c r="W73" s="884" t="s">
        <v>194</v>
      </c>
      <c r="X73" s="884" t="s">
        <v>194</v>
      </c>
      <c r="Y73" s="884" t="s">
        <v>194</v>
      </c>
      <c r="Z73" s="884" t="s">
        <v>194</v>
      </c>
      <c r="AA73" s="884" t="s">
        <v>194</v>
      </c>
      <c r="AB73" s="884" t="s">
        <v>194</v>
      </c>
      <c r="AC73" s="15"/>
      <c r="AD73" s="851" t="s">
        <v>194</v>
      </c>
      <c r="AE73" s="846" t="s">
        <v>194</v>
      </c>
      <c r="AF73" s="846" t="s">
        <v>194</v>
      </c>
      <c r="AG73" s="846" t="s">
        <v>194</v>
      </c>
      <c r="AH73" s="846" t="s">
        <v>194</v>
      </c>
      <c r="AI73" s="846" t="s">
        <v>194</v>
      </c>
      <c r="AJ73" s="846" t="s">
        <v>194</v>
      </c>
      <c r="AK73" s="846" t="s">
        <v>194</v>
      </c>
      <c r="AL73" s="846" t="s">
        <v>194</v>
      </c>
      <c r="AM73" s="846" t="s">
        <v>194</v>
      </c>
      <c r="AN73" s="846" t="s">
        <v>194</v>
      </c>
      <c r="AO73" s="846" t="s">
        <v>194</v>
      </c>
      <c r="AP73" s="846" t="s">
        <v>194</v>
      </c>
      <c r="AQ73" s="846" t="s">
        <v>194</v>
      </c>
      <c r="AR73" s="846" t="s">
        <v>194</v>
      </c>
      <c r="AS73" s="846" t="s">
        <v>194</v>
      </c>
      <c r="AT73" s="846" t="s">
        <v>194</v>
      </c>
      <c r="AU73" s="846" t="s">
        <v>194</v>
      </c>
      <c r="AV73" s="846" t="s">
        <v>194</v>
      </c>
      <c r="AW73" s="846" t="s">
        <v>194</v>
      </c>
      <c r="AX73" s="846" t="s">
        <v>194</v>
      </c>
      <c r="AY73" s="846" t="s">
        <v>194</v>
      </c>
    </row>
    <row r="74" ht="15.75" hidden="1" customHeight="1" outlineLevel="2">
      <c r="A74" s="849">
        <v>1.0</v>
      </c>
      <c r="B74" s="15"/>
      <c r="C74" s="881" t="s">
        <v>293</v>
      </c>
      <c r="D74" s="882">
        <v>-19938.0</v>
      </c>
      <c r="E74" s="882">
        <v>-33979.97430769231</v>
      </c>
      <c r="F74" s="882">
        <v>-177188.0</v>
      </c>
      <c r="G74" s="882">
        <v>-913.666</v>
      </c>
      <c r="H74" s="882">
        <v>-36181.0</v>
      </c>
      <c r="I74" s="882">
        <v>-8169.0</v>
      </c>
      <c r="J74" s="882">
        <v>46110.950097013265</v>
      </c>
      <c r="K74" s="883">
        <v>-1.3570036775035104</v>
      </c>
      <c r="L74" s="884" t="s">
        <v>194</v>
      </c>
      <c r="M74" s="879">
        <v>-6416.0</v>
      </c>
      <c r="N74" s="879">
        <v>-8169.0</v>
      </c>
      <c r="O74" s="879">
        <v>-26881.0</v>
      </c>
      <c r="P74" s="879">
        <v>-13600.0</v>
      </c>
      <c r="Q74" s="879">
        <v>-36181.0</v>
      </c>
      <c r="R74" s="879">
        <v>-177188.0</v>
      </c>
      <c r="S74" s="879">
        <v>-28851.0</v>
      </c>
      <c r="T74" s="884">
        <v>-5713.0</v>
      </c>
      <c r="U74" s="884">
        <v>-42291.0</v>
      </c>
      <c r="V74" s="884">
        <v>-19938.0</v>
      </c>
      <c r="W74" s="884">
        <v>-16640.0</v>
      </c>
      <c r="X74" s="884">
        <v>-58958.0</v>
      </c>
      <c r="Y74" s="884">
        <v>-913.666</v>
      </c>
      <c r="Z74" s="884" t="s">
        <v>194</v>
      </c>
      <c r="AA74" s="884" t="s">
        <v>194</v>
      </c>
      <c r="AB74" s="884" t="s">
        <v>194</v>
      </c>
      <c r="AC74" s="15"/>
      <c r="AD74" s="851" t="s">
        <v>194</v>
      </c>
      <c r="AE74" s="846" t="s">
        <v>194</v>
      </c>
      <c r="AF74" s="846" t="s">
        <v>194</v>
      </c>
      <c r="AG74" s="846" t="s">
        <v>194</v>
      </c>
      <c r="AH74" s="846" t="s">
        <v>194</v>
      </c>
      <c r="AI74" s="846" t="s">
        <v>194</v>
      </c>
      <c r="AJ74" s="846" t="s">
        <v>194</v>
      </c>
      <c r="AK74" s="846" t="s">
        <v>194</v>
      </c>
      <c r="AL74" s="846" t="s">
        <v>194</v>
      </c>
      <c r="AM74" s="846" t="s">
        <v>194</v>
      </c>
      <c r="AN74" s="846" t="s">
        <v>194</v>
      </c>
      <c r="AO74" s="846" t="s">
        <v>194</v>
      </c>
      <c r="AP74" s="846" t="s">
        <v>194</v>
      </c>
      <c r="AQ74" s="846" t="s">
        <v>194</v>
      </c>
      <c r="AR74" s="846" t="s">
        <v>194</v>
      </c>
      <c r="AS74" s="846" t="s">
        <v>194</v>
      </c>
      <c r="AT74" s="846" t="s">
        <v>194</v>
      </c>
      <c r="AU74" s="846" t="s">
        <v>194</v>
      </c>
      <c r="AV74" s="846" t="s">
        <v>194</v>
      </c>
      <c r="AW74" s="846" t="s">
        <v>194</v>
      </c>
      <c r="AX74" s="846" t="s">
        <v>194</v>
      </c>
      <c r="AY74" s="846" t="s">
        <v>194</v>
      </c>
    </row>
    <row r="75" ht="15.75" hidden="1" customHeight="1" outlineLevel="1">
      <c r="A75" s="849">
        <v>1.0</v>
      </c>
      <c r="B75" s="15"/>
      <c r="C75" s="855" t="s">
        <v>294</v>
      </c>
      <c r="D75" s="882">
        <v>-19938.0</v>
      </c>
      <c r="E75" s="882">
        <v>-33979.97430769231</v>
      </c>
      <c r="F75" s="882">
        <v>-177188.0</v>
      </c>
      <c r="G75" s="882">
        <v>-913.666</v>
      </c>
      <c r="H75" s="882">
        <v>-36181.0</v>
      </c>
      <c r="I75" s="882">
        <v>-8169.0</v>
      </c>
      <c r="J75" s="882">
        <v>46110.950097013265</v>
      </c>
      <c r="K75" s="883">
        <v>-1.3570036775035104</v>
      </c>
      <c r="L75" s="882" t="s">
        <v>194</v>
      </c>
      <c r="M75" s="879">
        <v>-6416.0</v>
      </c>
      <c r="N75" s="879">
        <v>-8169.0</v>
      </c>
      <c r="O75" s="879">
        <v>-26881.0</v>
      </c>
      <c r="P75" s="879">
        <v>-13600.0</v>
      </c>
      <c r="Q75" s="879">
        <v>-36181.0</v>
      </c>
      <c r="R75" s="879">
        <v>-177188.0</v>
      </c>
      <c r="S75" s="879">
        <v>-28851.0</v>
      </c>
      <c r="T75" s="882">
        <v>-5713.0</v>
      </c>
      <c r="U75" s="882">
        <v>-42291.0</v>
      </c>
      <c r="V75" s="882">
        <v>-19938.0</v>
      </c>
      <c r="W75" s="882">
        <v>-16640.0</v>
      </c>
      <c r="X75" s="882">
        <v>-58958.0</v>
      </c>
      <c r="Y75" s="882">
        <v>-913.666</v>
      </c>
      <c r="Z75" s="882" t="s">
        <v>194</v>
      </c>
      <c r="AA75" s="882" t="s">
        <v>194</v>
      </c>
      <c r="AB75" s="882" t="s">
        <v>194</v>
      </c>
      <c r="AC75" s="15"/>
      <c r="AD75" s="851" t="s">
        <v>194</v>
      </c>
      <c r="AE75" s="846" t="s">
        <v>194</v>
      </c>
      <c r="AF75" s="846" t="s">
        <v>194</v>
      </c>
      <c r="AG75" s="846" t="s">
        <v>194</v>
      </c>
      <c r="AH75" s="846" t="s">
        <v>194</v>
      </c>
      <c r="AI75" s="846" t="s">
        <v>194</v>
      </c>
      <c r="AJ75" s="846" t="s">
        <v>194</v>
      </c>
      <c r="AK75" s="846" t="s">
        <v>194</v>
      </c>
      <c r="AL75" s="846" t="s">
        <v>194</v>
      </c>
      <c r="AM75" s="846" t="s">
        <v>194</v>
      </c>
      <c r="AN75" s="846" t="s">
        <v>194</v>
      </c>
      <c r="AO75" s="846" t="s">
        <v>194</v>
      </c>
      <c r="AP75" s="846" t="s">
        <v>194</v>
      </c>
      <c r="AQ75" s="846" t="s">
        <v>194</v>
      </c>
      <c r="AR75" s="846" t="s">
        <v>194</v>
      </c>
      <c r="AS75" s="846" t="s">
        <v>194</v>
      </c>
      <c r="AT75" s="846" t="s">
        <v>194</v>
      </c>
      <c r="AU75" s="846" t="s">
        <v>194</v>
      </c>
      <c r="AV75" s="846" t="s">
        <v>194</v>
      </c>
      <c r="AW75" s="846" t="s">
        <v>194</v>
      </c>
      <c r="AX75" s="846" t="s">
        <v>194</v>
      </c>
      <c r="AY75" s="846" t="s">
        <v>194</v>
      </c>
    </row>
    <row r="76" ht="15.75" customHeight="1" collapsed="1">
      <c r="A76" s="849">
        <v>1.0</v>
      </c>
      <c r="B76" s="15"/>
      <c r="C76" s="855" t="s">
        <v>295</v>
      </c>
      <c r="D76" s="866" t="s">
        <v>194</v>
      </c>
      <c r="E76" s="866" t="s">
        <v>194</v>
      </c>
      <c r="F76" s="866" t="s">
        <v>194</v>
      </c>
      <c r="G76" s="866" t="s">
        <v>194</v>
      </c>
      <c r="H76" s="866" t="s">
        <v>194</v>
      </c>
      <c r="I76" s="866" t="s">
        <v>194</v>
      </c>
      <c r="J76" s="866" t="s">
        <v>194</v>
      </c>
      <c r="K76" s="867" t="s">
        <v>194</v>
      </c>
      <c r="L76" s="866" t="s">
        <v>194</v>
      </c>
      <c r="M76" s="868" t="s">
        <v>194</v>
      </c>
      <c r="N76" s="868" t="s">
        <v>194</v>
      </c>
      <c r="O76" s="868" t="s">
        <v>194</v>
      </c>
      <c r="P76" s="868" t="s">
        <v>194</v>
      </c>
      <c r="Q76" s="868" t="s">
        <v>194</v>
      </c>
      <c r="R76" s="868" t="s">
        <v>194</v>
      </c>
      <c r="S76" s="868" t="s">
        <v>194</v>
      </c>
      <c r="T76" s="866" t="s">
        <v>194</v>
      </c>
      <c r="U76" s="866" t="s">
        <v>194</v>
      </c>
      <c r="V76" s="866" t="s">
        <v>194</v>
      </c>
      <c r="W76" s="866" t="s">
        <v>194</v>
      </c>
      <c r="X76" s="866" t="s">
        <v>194</v>
      </c>
      <c r="Y76" s="866" t="s">
        <v>194</v>
      </c>
      <c r="Z76" s="866" t="s">
        <v>194</v>
      </c>
      <c r="AA76" s="866" t="s">
        <v>194</v>
      </c>
      <c r="AB76" s="866" t="s">
        <v>194</v>
      </c>
      <c r="AC76" s="15"/>
      <c r="AD76" s="851" t="s">
        <v>194</v>
      </c>
      <c r="AE76" s="846" t="s">
        <v>194</v>
      </c>
      <c r="AF76" s="846" t="s">
        <v>194</v>
      </c>
      <c r="AG76" s="846" t="s">
        <v>194</v>
      </c>
      <c r="AH76" s="846" t="s">
        <v>194</v>
      </c>
      <c r="AI76" s="846" t="s">
        <v>194</v>
      </c>
      <c r="AJ76" s="846" t="s">
        <v>194</v>
      </c>
      <c r="AK76" s="846" t="s">
        <v>194</v>
      </c>
      <c r="AL76" s="846" t="s">
        <v>194</v>
      </c>
      <c r="AM76" s="846" t="s">
        <v>194</v>
      </c>
      <c r="AN76" s="846" t="s">
        <v>194</v>
      </c>
      <c r="AO76" s="846" t="s">
        <v>194</v>
      </c>
      <c r="AP76" s="846" t="s">
        <v>194</v>
      </c>
      <c r="AQ76" s="846" t="s">
        <v>194</v>
      </c>
      <c r="AR76" s="846" t="s">
        <v>194</v>
      </c>
      <c r="AS76" s="846" t="s">
        <v>194</v>
      </c>
      <c r="AT76" s="846" t="s">
        <v>194</v>
      </c>
      <c r="AU76" s="846" t="s">
        <v>194</v>
      </c>
      <c r="AV76" s="846" t="s">
        <v>194</v>
      </c>
      <c r="AW76" s="846" t="s">
        <v>194</v>
      </c>
      <c r="AX76" s="846" t="s">
        <v>194</v>
      </c>
      <c r="AY76" s="846" t="s">
        <v>194</v>
      </c>
    </row>
    <row r="77" ht="15.75" hidden="1" customHeight="1" outlineLevel="1">
      <c r="A77" s="849">
        <v>1.0</v>
      </c>
      <c r="B77" s="15"/>
      <c r="C77" s="869" t="s">
        <v>296</v>
      </c>
      <c r="D77" s="870" t="s">
        <v>194</v>
      </c>
      <c r="E77" s="870" t="s">
        <v>194</v>
      </c>
      <c r="F77" s="870" t="s">
        <v>194</v>
      </c>
      <c r="G77" s="870" t="s">
        <v>194</v>
      </c>
      <c r="H77" s="870" t="s">
        <v>194</v>
      </c>
      <c r="I77" s="870" t="s">
        <v>194</v>
      </c>
      <c r="J77" s="870" t="s">
        <v>194</v>
      </c>
      <c r="K77" s="871" t="s">
        <v>194</v>
      </c>
      <c r="L77" s="872" t="s">
        <v>194</v>
      </c>
      <c r="M77" s="873" t="s">
        <v>194</v>
      </c>
      <c r="N77" s="873" t="s">
        <v>194</v>
      </c>
      <c r="O77" s="873" t="s">
        <v>194</v>
      </c>
      <c r="P77" s="873" t="s">
        <v>194</v>
      </c>
      <c r="Q77" s="873" t="s">
        <v>194</v>
      </c>
      <c r="R77" s="873" t="s">
        <v>194</v>
      </c>
      <c r="S77" s="873" t="s">
        <v>194</v>
      </c>
      <c r="T77" s="872" t="s">
        <v>194</v>
      </c>
      <c r="U77" s="872" t="s">
        <v>194</v>
      </c>
      <c r="V77" s="872" t="s">
        <v>194</v>
      </c>
      <c r="W77" s="872" t="s">
        <v>194</v>
      </c>
      <c r="X77" s="872" t="s">
        <v>194</v>
      </c>
      <c r="Y77" s="872" t="s">
        <v>194</v>
      </c>
      <c r="Z77" s="872" t="s">
        <v>194</v>
      </c>
      <c r="AA77" s="872" t="s">
        <v>194</v>
      </c>
      <c r="AB77" s="872" t="s">
        <v>194</v>
      </c>
      <c r="AC77" s="15"/>
      <c r="AD77" s="851" t="s">
        <v>194</v>
      </c>
      <c r="AE77" s="846" t="s">
        <v>194</v>
      </c>
      <c r="AF77" s="846" t="s">
        <v>194</v>
      </c>
      <c r="AG77" s="846" t="s">
        <v>194</v>
      </c>
      <c r="AH77" s="846" t="s">
        <v>194</v>
      </c>
      <c r="AI77" s="846" t="s">
        <v>194</v>
      </c>
      <c r="AJ77" s="846" t="s">
        <v>194</v>
      </c>
      <c r="AK77" s="846" t="s">
        <v>194</v>
      </c>
      <c r="AL77" s="846" t="s">
        <v>194</v>
      </c>
      <c r="AM77" s="846" t="s">
        <v>194</v>
      </c>
      <c r="AN77" s="846" t="s">
        <v>194</v>
      </c>
      <c r="AO77" s="846" t="s">
        <v>194</v>
      </c>
      <c r="AP77" s="846" t="s">
        <v>194</v>
      </c>
      <c r="AQ77" s="846" t="s">
        <v>194</v>
      </c>
      <c r="AR77" s="846" t="s">
        <v>194</v>
      </c>
      <c r="AS77" s="846" t="s">
        <v>194</v>
      </c>
      <c r="AT77" s="846" t="s">
        <v>194</v>
      </c>
      <c r="AU77" s="846" t="s">
        <v>194</v>
      </c>
      <c r="AV77" s="846" t="s">
        <v>194</v>
      </c>
      <c r="AW77" s="846" t="s">
        <v>194</v>
      </c>
      <c r="AX77" s="846" t="s">
        <v>194</v>
      </c>
      <c r="AY77" s="846" t="s">
        <v>194</v>
      </c>
    </row>
    <row r="78" ht="15.75" hidden="1" customHeight="1" outlineLevel="2">
      <c r="A78" s="849">
        <v>1.0</v>
      </c>
      <c r="B78" s="15"/>
      <c r="C78" s="869" t="s">
        <v>297</v>
      </c>
      <c r="D78" s="870">
        <v>68.0</v>
      </c>
      <c r="E78" s="870">
        <v>9351.356</v>
      </c>
      <c r="F78" s="870">
        <v>10.0</v>
      </c>
      <c r="G78" s="870">
        <v>46475.0</v>
      </c>
      <c r="H78" s="870">
        <v>36.0</v>
      </c>
      <c r="I78" s="870">
        <v>167.78</v>
      </c>
      <c r="J78" s="870">
        <v>20752.834143405085</v>
      </c>
      <c r="K78" s="871">
        <v>2.2192326057745086</v>
      </c>
      <c r="L78" s="872" t="s">
        <v>194</v>
      </c>
      <c r="M78" s="873" t="s">
        <v>194</v>
      </c>
      <c r="N78" s="873" t="s">
        <v>194</v>
      </c>
      <c r="O78" s="873" t="s">
        <v>194</v>
      </c>
      <c r="P78" s="873" t="s">
        <v>194</v>
      </c>
      <c r="Q78" s="873" t="s">
        <v>194</v>
      </c>
      <c r="R78" s="873" t="s">
        <v>194</v>
      </c>
      <c r="S78" s="873" t="s">
        <v>194</v>
      </c>
      <c r="T78" s="872" t="s">
        <v>194</v>
      </c>
      <c r="U78" s="872">
        <v>10.0</v>
      </c>
      <c r="V78" s="872">
        <v>36.0</v>
      </c>
      <c r="W78" s="872">
        <v>46475.0</v>
      </c>
      <c r="X78" s="872">
        <v>68.0</v>
      </c>
      <c r="Y78" s="872">
        <v>167.78</v>
      </c>
      <c r="Z78" s="872" t="s">
        <v>194</v>
      </c>
      <c r="AA78" s="872" t="s">
        <v>194</v>
      </c>
      <c r="AB78" s="872" t="s">
        <v>194</v>
      </c>
      <c r="AC78" s="15"/>
      <c r="AD78" s="851" t="s">
        <v>194</v>
      </c>
      <c r="AE78" s="846" t="s">
        <v>194</v>
      </c>
      <c r="AF78" s="846" t="s">
        <v>194</v>
      </c>
      <c r="AG78" s="846" t="s">
        <v>194</v>
      </c>
      <c r="AH78" s="846" t="s">
        <v>194</v>
      </c>
      <c r="AI78" s="846" t="s">
        <v>194</v>
      </c>
      <c r="AJ78" s="846" t="s">
        <v>194</v>
      </c>
      <c r="AK78" s="846" t="s">
        <v>194</v>
      </c>
      <c r="AL78" s="846" t="s">
        <v>194</v>
      </c>
      <c r="AM78" s="846" t="s">
        <v>194</v>
      </c>
      <c r="AN78" s="846" t="s">
        <v>194</v>
      </c>
      <c r="AO78" s="846" t="s">
        <v>194</v>
      </c>
      <c r="AP78" s="846" t="s">
        <v>194</v>
      </c>
      <c r="AQ78" s="846" t="s">
        <v>194</v>
      </c>
      <c r="AR78" s="846" t="s">
        <v>194</v>
      </c>
      <c r="AS78" s="846" t="s">
        <v>194</v>
      </c>
      <c r="AT78" s="846" t="s">
        <v>194</v>
      </c>
      <c r="AU78" s="846" t="s">
        <v>194</v>
      </c>
      <c r="AV78" s="846" t="s">
        <v>194</v>
      </c>
      <c r="AW78" s="846" t="s">
        <v>194</v>
      </c>
      <c r="AX78" s="846" t="s">
        <v>194</v>
      </c>
      <c r="AY78" s="846" t="s">
        <v>194</v>
      </c>
    </row>
    <row r="79" ht="15.75" hidden="1" customHeight="1" outlineLevel="3">
      <c r="A79" s="849">
        <v>1.0</v>
      </c>
      <c r="B79" s="15"/>
      <c r="C79" s="869" t="s">
        <v>298</v>
      </c>
      <c r="D79" s="870">
        <v>68.0</v>
      </c>
      <c r="E79" s="870">
        <v>9351.392</v>
      </c>
      <c r="F79" s="870">
        <v>10.0</v>
      </c>
      <c r="G79" s="870">
        <v>46475.0</v>
      </c>
      <c r="H79" s="870">
        <v>36.0</v>
      </c>
      <c r="I79" s="870">
        <v>167.96</v>
      </c>
      <c r="J79" s="870">
        <v>20752.81423008263</v>
      </c>
      <c r="K79" s="871">
        <v>2.2192219329574283</v>
      </c>
      <c r="L79" s="872" t="s">
        <v>194</v>
      </c>
      <c r="M79" s="873" t="s">
        <v>194</v>
      </c>
      <c r="N79" s="873" t="s">
        <v>194</v>
      </c>
      <c r="O79" s="873" t="s">
        <v>194</v>
      </c>
      <c r="P79" s="873" t="s">
        <v>194</v>
      </c>
      <c r="Q79" s="873" t="s">
        <v>194</v>
      </c>
      <c r="R79" s="873" t="s">
        <v>194</v>
      </c>
      <c r="S79" s="873" t="s">
        <v>194</v>
      </c>
      <c r="T79" s="872" t="s">
        <v>194</v>
      </c>
      <c r="U79" s="872">
        <v>10.0</v>
      </c>
      <c r="V79" s="872">
        <v>36.0</v>
      </c>
      <c r="W79" s="872">
        <v>46475.0</v>
      </c>
      <c r="X79" s="872">
        <v>68.0</v>
      </c>
      <c r="Y79" s="872">
        <v>167.96</v>
      </c>
      <c r="Z79" s="872" t="s">
        <v>194</v>
      </c>
      <c r="AA79" s="872" t="s">
        <v>194</v>
      </c>
      <c r="AB79" s="872" t="s">
        <v>194</v>
      </c>
      <c r="AC79" s="15"/>
      <c r="AD79" s="851" t="s">
        <v>194</v>
      </c>
      <c r="AE79" s="846" t="s">
        <v>194</v>
      </c>
      <c r="AF79" s="846" t="s">
        <v>194</v>
      </c>
      <c r="AG79" s="846" t="s">
        <v>194</v>
      </c>
      <c r="AH79" s="846" t="s">
        <v>194</v>
      </c>
      <c r="AI79" s="846" t="s">
        <v>194</v>
      </c>
      <c r="AJ79" s="846" t="s">
        <v>194</v>
      </c>
      <c r="AK79" s="846" t="s">
        <v>194</v>
      </c>
      <c r="AL79" s="846" t="s">
        <v>194</v>
      </c>
      <c r="AM79" s="846" t="s">
        <v>194</v>
      </c>
      <c r="AN79" s="846" t="s">
        <v>194</v>
      </c>
      <c r="AO79" s="846" t="s">
        <v>194</v>
      </c>
      <c r="AP79" s="846" t="s">
        <v>194</v>
      </c>
      <c r="AQ79" s="846" t="s">
        <v>194</v>
      </c>
      <c r="AR79" s="846" t="s">
        <v>194</v>
      </c>
      <c r="AS79" s="846" t="s">
        <v>194</v>
      </c>
      <c r="AT79" s="846" t="s">
        <v>194</v>
      </c>
      <c r="AU79" s="846" t="s">
        <v>194</v>
      </c>
      <c r="AV79" s="846" t="s">
        <v>194</v>
      </c>
      <c r="AW79" s="846" t="s">
        <v>194</v>
      </c>
      <c r="AX79" s="846" t="s">
        <v>194</v>
      </c>
      <c r="AY79" s="846" t="s">
        <v>194</v>
      </c>
    </row>
    <row r="80" ht="15.75" hidden="1" customHeight="1" outlineLevel="3">
      <c r="A80" s="849">
        <v>1.0</v>
      </c>
      <c r="B80" s="15"/>
      <c r="C80" s="869" t="s">
        <v>299</v>
      </c>
      <c r="D80" s="870">
        <v>-1.0</v>
      </c>
      <c r="E80" s="870">
        <v>-1.0</v>
      </c>
      <c r="F80" s="870">
        <v>-1.0</v>
      </c>
      <c r="G80" s="870">
        <v>-1.0</v>
      </c>
      <c r="H80" s="870">
        <v>-1.0</v>
      </c>
      <c r="I80" s="870">
        <v>-1.0</v>
      </c>
      <c r="J80" s="870" t="s">
        <v>194</v>
      </c>
      <c r="K80" s="871" t="s">
        <v>194</v>
      </c>
      <c r="L80" s="872" t="s">
        <v>194</v>
      </c>
      <c r="M80" s="873" t="s">
        <v>194</v>
      </c>
      <c r="N80" s="873" t="s">
        <v>194</v>
      </c>
      <c r="O80" s="873" t="s">
        <v>194</v>
      </c>
      <c r="P80" s="873" t="s">
        <v>194</v>
      </c>
      <c r="Q80" s="873" t="s">
        <v>194</v>
      </c>
      <c r="R80" s="873" t="s">
        <v>194</v>
      </c>
      <c r="S80" s="873" t="s">
        <v>194</v>
      </c>
      <c r="T80" s="872" t="s">
        <v>194</v>
      </c>
      <c r="U80" s="872" t="s">
        <v>194</v>
      </c>
      <c r="V80" s="872" t="s">
        <v>194</v>
      </c>
      <c r="W80" s="872" t="s">
        <v>194</v>
      </c>
      <c r="X80" s="872" t="s">
        <v>194</v>
      </c>
      <c r="Y80" s="872">
        <v>-1.0</v>
      </c>
      <c r="Z80" s="872" t="s">
        <v>194</v>
      </c>
      <c r="AA80" s="872" t="s">
        <v>194</v>
      </c>
      <c r="AB80" s="872" t="s">
        <v>194</v>
      </c>
      <c r="AC80" s="15"/>
      <c r="AD80" s="851" t="s">
        <v>194</v>
      </c>
      <c r="AE80" s="846" t="s">
        <v>194</v>
      </c>
      <c r="AF80" s="846" t="s">
        <v>194</v>
      </c>
      <c r="AG80" s="846" t="s">
        <v>194</v>
      </c>
      <c r="AH80" s="846" t="s">
        <v>194</v>
      </c>
      <c r="AI80" s="846" t="s">
        <v>194</v>
      </c>
      <c r="AJ80" s="846" t="s">
        <v>194</v>
      </c>
      <c r="AK80" s="846" t="s">
        <v>194</v>
      </c>
      <c r="AL80" s="846" t="s">
        <v>194</v>
      </c>
      <c r="AM80" s="846" t="s">
        <v>194</v>
      </c>
      <c r="AN80" s="846" t="s">
        <v>194</v>
      </c>
      <c r="AO80" s="846" t="s">
        <v>194</v>
      </c>
      <c r="AP80" s="846" t="s">
        <v>194</v>
      </c>
      <c r="AQ80" s="846" t="s">
        <v>194</v>
      </c>
      <c r="AR80" s="846" t="s">
        <v>194</v>
      </c>
      <c r="AS80" s="846" t="s">
        <v>194</v>
      </c>
      <c r="AT80" s="846" t="s">
        <v>194</v>
      </c>
      <c r="AU80" s="846" t="s">
        <v>194</v>
      </c>
      <c r="AV80" s="846" t="s">
        <v>194</v>
      </c>
      <c r="AW80" s="846" t="s">
        <v>194</v>
      </c>
      <c r="AX80" s="846" t="s">
        <v>194</v>
      </c>
      <c r="AY80" s="846" t="s">
        <v>194</v>
      </c>
    </row>
    <row r="81" ht="15.75" hidden="1" customHeight="1" outlineLevel="3">
      <c r="A81" s="849">
        <v>1.0</v>
      </c>
      <c r="B81" s="15"/>
      <c r="C81" s="881" t="s">
        <v>300</v>
      </c>
      <c r="D81" s="882">
        <v>68.0</v>
      </c>
      <c r="E81" s="882">
        <v>9351.356</v>
      </c>
      <c r="F81" s="882">
        <v>10.0</v>
      </c>
      <c r="G81" s="882">
        <v>46475.0</v>
      </c>
      <c r="H81" s="882">
        <v>36.0</v>
      </c>
      <c r="I81" s="882">
        <v>167.78</v>
      </c>
      <c r="J81" s="882">
        <v>20752.834143405085</v>
      </c>
      <c r="K81" s="883">
        <v>2.2192326057745086</v>
      </c>
      <c r="L81" s="884" t="s">
        <v>194</v>
      </c>
      <c r="M81" s="879" t="s">
        <v>194</v>
      </c>
      <c r="N81" s="879" t="s">
        <v>194</v>
      </c>
      <c r="O81" s="879" t="s">
        <v>194</v>
      </c>
      <c r="P81" s="879" t="s">
        <v>194</v>
      </c>
      <c r="Q81" s="879" t="s">
        <v>194</v>
      </c>
      <c r="R81" s="879" t="s">
        <v>194</v>
      </c>
      <c r="S81" s="879" t="s">
        <v>194</v>
      </c>
      <c r="T81" s="884" t="s">
        <v>194</v>
      </c>
      <c r="U81" s="884">
        <v>10.0</v>
      </c>
      <c r="V81" s="884">
        <v>36.0</v>
      </c>
      <c r="W81" s="884">
        <v>46475.0</v>
      </c>
      <c r="X81" s="884">
        <v>68.0</v>
      </c>
      <c r="Y81" s="884">
        <v>167.78</v>
      </c>
      <c r="Z81" s="884" t="s">
        <v>194</v>
      </c>
      <c r="AA81" s="884" t="s">
        <v>194</v>
      </c>
      <c r="AB81" s="884" t="s">
        <v>194</v>
      </c>
      <c r="AC81" s="15"/>
      <c r="AD81" s="851" t="s">
        <v>194</v>
      </c>
      <c r="AE81" s="846" t="s">
        <v>194</v>
      </c>
      <c r="AF81" s="846" t="s">
        <v>194</v>
      </c>
      <c r="AG81" s="846" t="s">
        <v>194</v>
      </c>
      <c r="AH81" s="846" t="s">
        <v>194</v>
      </c>
      <c r="AI81" s="846" t="s">
        <v>194</v>
      </c>
      <c r="AJ81" s="846" t="s">
        <v>194</v>
      </c>
      <c r="AK81" s="846" t="s">
        <v>194</v>
      </c>
      <c r="AL81" s="846" t="s">
        <v>194</v>
      </c>
      <c r="AM81" s="846" t="s">
        <v>194</v>
      </c>
      <c r="AN81" s="846" t="s">
        <v>194</v>
      </c>
      <c r="AO81" s="846" t="s">
        <v>194</v>
      </c>
      <c r="AP81" s="846" t="s">
        <v>194</v>
      </c>
      <c r="AQ81" s="846" t="s">
        <v>194</v>
      </c>
      <c r="AR81" s="846" t="s">
        <v>194</v>
      </c>
      <c r="AS81" s="846" t="s">
        <v>194</v>
      </c>
      <c r="AT81" s="846" t="s">
        <v>194</v>
      </c>
      <c r="AU81" s="846" t="s">
        <v>194</v>
      </c>
      <c r="AV81" s="846" t="s">
        <v>194</v>
      </c>
      <c r="AW81" s="846" t="s">
        <v>194</v>
      </c>
      <c r="AX81" s="846" t="s">
        <v>194</v>
      </c>
      <c r="AY81" s="846" t="s">
        <v>194</v>
      </c>
    </row>
    <row r="82" ht="15.75" hidden="1" customHeight="1" outlineLevel="2">
      <c r="A82" s="849">
        <v>1.0</v>
      </c>
      <c r="B82" s="15"/>
      <c r="C82" s="869" t="s">
        <v>301</v>
      </c>
      <c r="D82" s="870">
        <v>0.0</v>
      </c>
      <c r="E82" s="870">
        <v>34039.0</v>
      </c>
      <c r="F82" s="870">
        <v>0.0</v>
      </c>
      <c r="G82" s="870">
        <v>102117.0</v>
      </c>
      <c r="H82" s="870">
        <v>0.0</v>
      </c>
      <c r="I82" s="870">
        <v>51058.5</v>
      </c>
      <c r="J82" s="870">
        <v>58957.277438837016</v>
      </c>
      <c r="K82" s="871">
        <v>1.7320508075688774</v>
      </c>
      <c r="L82" s="872" t="s">
        <v>194</v>
      </c>
      <c r="M82" s="873" t="s">
        <v>194</v>
      </c>
      <c r="N82" s="873" t="s">
        <v>194</v>
      </c>
      <c r="O82" s="873" t="s">
        <v>194</v>
      </c>
      <c r="P82" s="873" t="s">
        <v>194</v>
      </c>
      <c r="Q82" s="873" t="s">
        <v>194</v>
      </c>
      <c r="R82" s="873" t="s">
        <v>194</v>
      </c>
      <c r="S82" s="873" t="s">
        <v>194</v>
      </c>
      <c r="T82" s="872" t="s">
        <v>194</v>
      </c>
      <c r="U82" s="872" t="s">
        <v>194</v>
      </c>
      <c r="V82" s="872">
        <v>0.0</v>
      </c>
      <c r="W82" s="872">
        <v>0.0</v>
      </c>
      <c r="X82" s="872">
        <v>102117.0</v>
      </c>
      <c r="Y82" s="872" t="s">
        <v>194</v>
      </c>
      <c r="Z82" s="872" t="s">
        <v>194</v>
      </c>
      <c r="AA82" s="872" t="s">
        <v>194</v>
      </c>
      <c r="AB82" s="872" t="s">
        <v>194</v>
      </c>
      <c r="AC82" s="15"/>
      <c r="AD82" s="851" t="s">
        <v>194</v>
      </c>
      <c r="AE82" s="846" t="s">
        <v>194</v>
      </c>
      <c r="AF82" s="846" t="s">
        <v>194</v>
      </c>
      <c r="AG82" s="846" t="s">
        <v>194</v>
      </c>
      <c r="AH82" s="846" t="s">
        <v>194</v>
      </c>
      <c r="AI82" s="846" t="s">
        <v>194</v>
      </c>
      <c r="AJ82" s="846" t="s">
        <v>194</v>
      </c>
      <c r="AK82" s="846" t="s">
        <v>194</v>
      </c>
      <c r="AL82" s="846" t="s">
        <v>194</v>
      </c>
      <c r="AM82" s="846" t="s">
        <v>194</v>
      </c>
      <c r="AN82" s="846" t="s">
        <v>194</v>
      </c>
      <c r="AO82" s="846" t="s">
        <v>194</v>
      </c>
      <c r="AP82" s="846" t="s">
        <v>194</v>
      </c>
      <c r="AQ82" s="846" t="s">
        <v>194</v>
      </c>
      <c r="AR82" s="846" t="s">
        <v>194</v>
      </c>
      <c r="AS82" s="846" t="s">
        <v>194</v>
      </c>
      <c r="AT82" s="846" t="s">
        <v>194</v>
      </c>
      <c r="AU82" s="846" t="s">
        <v>194</v>
      </c>
      <c r="AV82" s="846" t="s">
        <v>194</v>
      </c>
      <c r="AW82" s="846" t="s">
        <v>194</v>
      </c>
      <c r="AX82" s="846" t="s">
        <v>194</v>
      </c>
      <c r="AY82" s="846" t="s">
        <v>194</v>
      </c>
    </row>
    <row r="83" ht="15.75" hidden="1" customHeight="1" outlineLevel="3">
      <c r="A83" s="849">
        <v>1.0</v>
      </c>
      <c r="B83" s="15"/>
      <c r="C83" s="869" t="s">
        <v>302</v>
      </c>
      <c r="D83" s="870">
        <v>0.0</v>
      </c>
      <c r="E83" s="870">
        <v>34039.0</v>
      </c>
      <c r="F83" s="870">
        <v>0.0</v>
      </c>
      <c r="G83" s="870">
        <v>102117.0</v>
      </c>
      <c r="H83" s="870">
        <v>0.0</v>
      </c>
      <c r="I83" s="870">
        <v>51058.5</v>
      </c>
      <c r="J83" s="870">
        <v>58957.277438837016</v>
      </c>
      <c r="K83" s="871">
        <v>1.7320508075688774</v>
      </c>
      <c r="L83" s="872" t="s">
        <v>194</v>
      </c>
      <c r="M83" s="873" t="s">
        <v>194</v>
      </c>
      <c r="N83" s="873" t="s">
        <v>194</v>
      </c>
      <c r="O83" s="873" t="s">
        <v>194</v>
      </c>
      <c r="P83" s="873" t="s">
        <v>194</v>
      </c>
      <c r="Q83" s="873" t="s">
        <v>194</v>
      </c>
      <c r="R83" s="873" t="s">
        <v>194</v>
      </c>
      <c r="S83" s="873" t="s">
        <v>194</v>
      </c>
      <c r="T83" s="872" t="s">
        <v>194</v>
      </c>
      <c r="U83" s="872" t="s">
        <v>194</v>
      </c>
      <c r="V83" s="872">
        <v>0.0</v>
      </c>
      <c r="W83" s="872">
        <v>0.0</v>
      </c>
      <c r="X83" s="872">
        <v>102117.0</v>
      </c>
      <c r="Y83" s="872" t="s">
        <v>194</v>
      </c>
      <c r="Z83" s="872" t="s">
        <v>194</v>
      </c>
      <c r="AA83" s="872" t="s">
        <v>194</v>
      </c>
      <c r="AB83" s="872" t="s">
        <v>194</v>
      </c>
      <c r="AC83" s="15"/>
      <c r="AD83" s="851" t="s">
        <v>194</v>
      </c>
      <c r="AE83" s="846" t="s">
        <v>194</v>
      </c>
      <c r="AF83" s="846" t="s">
        <v>194</v>
      </c>
      <c r="AG83" s="846" t="s">
        <v>194</v>
      </c>
      <c r="AH83" s="846" t="s">
        <v>194</v>
      </c>
      <c r="AI83" s="846" t="s">
        <v>194</v>
      </c>
      <c r="AJ83" s="846" t="s">
        <v>194</v>
      </c>
      <c r="AK83" s="846" t="s">
        <v>194</v>
      </c>
      <c r="AL83" s="846" t="s">
        <v>194</v>
      </c>
      <c r="AM83" s="846" t="s">
        <v>194</v>
      </c>
      <c r="AN83" s="846" t="s">
        <v>194</v>
      </c>
      <c r="AO83" s="846" t="s">
        <v>194</v>
      </c>
      <c r="AP83" s="846" t="s">
        <v>194</v>
      </c>
      <c r="AQ83" s="846" t="s">
        <v>194</v>
      </c>
      <c r="AR83" s="846" t="s">
        <v>194</v>
      </c>
      <c r="AS83" s="846" t="s">
        <v>194</v>
      </c>
      <c r="AT83" s="846" t="s">
        <v>194</v>
      </c>
      <c r="AU83" s="846" t="s">
        <v>194</v>
      </c>
      <c r="AV83" s="846" t="s">
        <v>194</v>
      </c>
      <c r="AW83" s="846" t="s">
        <v>194</v>
      </c>
      <c r="AX83" s="846" t="s">
        <v>194</v>
      </c>
      <c r="AY83" s="846" t="s">
        <v>194</v>
      </c>
    </row>
    <row r="84" ht="15.75" hidden="1" customHeight="1" outlineLevel="3">
      <c r="A84" s="849">
        <v>1.0</v>
      </c>
      <c r="B84" s="15"/>
      <c r="C84" s="881" t="s">
        <v>303</v>
      </c>
      <c r="D84" s="882">
        <v>0.0</v>
      </c>
      <c r="E84" s="882">
        <v>34039.0</v>
      </c>
      <c r="F84" s="882">
        <v>0.0</v>
      </c>
      <c r="G84" s="882">
        <v>102117.0</v>
      </c>
      <c r="H84" s="882">
        <v>0.0</v>
      </c>
      <c r="I84" s="882">
        <v>51058.5</v>
      </c>
      <c r="J84" s="882">
        <v>58957.277438837016</v>
      </c>
      <c r="K84" s="883">
        <v>1.7320508075688774</v>
      </c>
      <c r="L84" s="884" t="s">
        <v>194</v>
      </c>
      <c r="M84" s="879" t="s">
        <v>194</v>
      </c>
      <c r="N84" s="879" t="s">
        <v>194</v>
      </c>
      <c r="O84" s="879" t="s">
        <v>194</v>
      </c>
      <c r="P84" s="879" t="s">
        <v>194</v>
      </c>
      <c r="Q84" s="879" t="s">
        <v>194</v>
      </c>
      <c r="R84" s="879" t="s">
        <v>194</v>
      </c>
      <c r="S84" s="879" t="s">
        <v>194</v>
      </c>
      <c r="T84" s="884" t="s">
        <v>194</v>
      </c>
      <c r="U84" s="884" t="s">
        <v>194</v>
      </c>
      <c r="V84" s="884">
        <v>0.0</v>
      </c>
      <c r="W84" s="884">
        <v>0.0</v>
      </c>
      <c r="X84" s="884">
        <v>102117.0</v>
      </c>
      <c r="Y84" s="884" t="s">
        <v>194</v>
      </c>
      <c r="Z84" s="884" t="s">
        <v>194</v>
      </c>
      <c r="AA84" s="884" t="s">
        <v>194</v>
      </c>
      <c r="AB84" s="884" t="s">
        <v>194</v>
      </c>
      <c r="AC84" s="15"/>
      <c r="AD84" s="851" t="s">
        <v>194</v>
      </c>
      <c r="AE84" s="846" t="s">
        <v>194</v>
      </c>
      <c r="AF84" s="846" t="s">
        <v>194</v>
      </c>
      <c r="AG84" s="846" t="s">
        <v>194</v>
      </c>
      <c r="AH84" s="846" t="s">
        <v>194</v>
      </c>
      <c r="AI84" s="846" t="s">
        <v>194</v>
      </c>
      <c r="AJ84" s="846" t="s">
        <v>194</v>
      </c>
      <c r="AK84" s="846" t="s">
        <v>194</v>
      </c>
      <c r="AL84" s="846" t="s">
        <v>194</v>
      </c>
      <c r="AM84" s="846" t="s">
        <v>194</v>
      </c>
      <c r="AN84" s="846" t="s">
        <v>194</v>
      </c>
      <c r="AO84" s="846" t="s">
        <v>194</v>
      </c>
      <c r="AP84" s="846" t="s">
        <v>194</v>
      </c>
      <c r="AQ84" s="846" t="s">
        <v>194</v>
      </c>
      <c r="AR84" s="846" t="s">
        <v>194</v>
      </c>
      <c r="AS84" s="846" t="s">
        <v>194</v>
      </c>
      <c r="AT84" s="846" t="s">
        <v>194</v>
      </c>
      <c r="AU84" s="846" t="s">
        <v>194</v>
      </c>
      <c r="AV84" s="846" t="s">
        <v>194</v>
      </c>
      <c r="AW84" s="846" t="s">
        <v>194</v>
      </c>
      <c r="AX84" s="846" t="s">
        <v>194</v>
      </c>
      <c r="AY84" s="846" t="s">
        <v>194</v>
      </c>
    </row>
    <row r="85" ht="15.75" hidden="1" customHeight="1" outlineLevel="2">
      <c r="A85" s="849">
        <v>1.0</v>
      </c>
      <c r="B85" s="15"/>
      <c r="C85" s="869" t="s">
        <v>304</v>
      </c>
      <c r="D85" s="870">
        <v>-36.0</v>
      </c>
      <c r="E85" s="870">
        <v>16299.8334</v>
      </c>
      <c r="F85" s="870">
        <v>-29178.0</v>
      </c>
      <c r="G85" s="870">
        <v>176160.0</v>
      </c>
      <c r="H85" s="870">
        <v>-1772.0</v>
      </c>
      <c r="I85" s="870">
        <v>3976.5005</v>
      </c>
      <c r="J85" s="870">
        <v>57253.49244965275</v>
      </c>
      <c r="K85" s="871">
        <v>3.5125201003375137</v>
      </c>
      <c r="L85" s="872" t="s">
        <v>194</v>
      </c>
      <c r="M85" s="873">
        <v>0.0</v>
      </c>
      <c r="N85" s="873" t="s">
        <v>194</v>
      </c>
      <c r="O85" s="873">
        <v>15404.0</v>
      </c>
      <c r="P85" s="873">
        <v>-938.0</v>
      </c>
      <c r="Q85" s="873">
        <v>1562.0</v>
      </c>
      <c r="R85" s="873">
        <v>176160.0</v>
      </c>
      <c r="S85" s="873">
        <v>-2050.0</v>
      </c>
      <c r="T85" s="872" t="s">
        <v>194</v>
      </c>
      <c r="U85" s="872" t="s">
        <v>194</v>
      </c>
      <c r="V85" s="872">
        <v>-72.0</v>
      </c>
      <c r="W85" s="872">
        <v>-2671.0</v>
      </c>
      <c r="X85" s="872">
        <v>-29178.0</v>
      </c>
      <c r="Y85" s="872">
        <v>4781.334</v>
      </c>
      <c r="Z85" s="872" t="s">
        <v>194</v>
      </c>
      <c r="AA85" s="872" t="s">
        <v>194</v>
      </c>
      <c r="AB85" s="872" t="s">
        <v>194</v>
      </c>
      <c r="AC85" s="15"/>
      <c r="AD85" s="851" t="s">
        <v>194</v>
      </c>
      <c r="AE85" s="846" t="s">
        <v>194</v>
      </c>
      <c r="AF85" s="846" t="s">
        <v>194</v>
      </c>
      <c r="AG85" s="846" t="s">
        <v>194</v>
      </c>
      <c r="AH85" s="846" t="s">
        <v>194</v>
      </c>
      <c r="AI85" s="846" t="s">
        <v>194</v>
      </c>
      <c r="AJ85" s="846" t="s">
        <v>194</v>
      </c>
      <c r="AK85" s="846" t="s">
        <v>194</v>
      </c>
      <c r="AL85" s="846" t="s">
        <v>194</v>
      </c>
      <c r="AM85" s="846" t="s">
        <v>194</v>
      </c>
      <c r="AN85" s="846" t="s">
        <v>194</v>
      </c>
      <c r="AO85" s="846" t="s">
        <v>194</v>
      </c>
      <c r="AP85" s="846" t="s">
        <v>194</v>
      </c>
      <c r="AQ85" s="846" t="s">
        <v>194</v>
      </c>
      <c r="AR85" s="846" t="s">
        <v>194</v>
      </c>
      <c r="AS85" s="846" t="s">
        <v>194</v>
      </c>
      <c r="AT85" s="846" t="s">
        <v>194</v>
      </c>
      <c r="AU85" s="846" t="s">
        <v>194</v>
      </c>
      <c r="AV85" s="846" t="s">
        <v>194</v>
      </c>
      <c r="AW85" s="846" t="s">
        <v>194</v>
      </c>
      <c r="AX85" s="846" t="s">
        <v>194</v>
      </c>
      <c r="AY85" s="846" t="s">
        <v>194</v>
      </c>
    </row>
    <row r="86" ht="15.75" hidden="1" customHeight="1" outlineLevel="3">
      <c r="A86" s="849">
        <v>1.0</v>
      </c>
      <c r="B86" s="15"/>
      <c r="C86" s="869" t="s">
        <v>305</v>
      </c>
      <c r="D86" s="870">
        <v>-72.0</v>
      </c>
      <c r="E86" s="870">
        <v>17579.666666666668</v>
      </c>
      <c r="F86" s="870">
        <v>-29178.0</v>
      </c>
      <c r="G86" s="870">
        <v>176160.0</v>
      </c>
      <c r="H86" s="870">
        <v>-2050.0</v>
      </c>
      <c r="I86" s="870">
        <v>1562.0</v>
      </c>
      <c r="J86" s="870">
        <v>60574.586247039275</v>
      </c>
      <c r="K86" s="871">
        <v>3.4457187042059543</v>
      </c>
      <c r="L86" s="872" t="s">
        <v>194</v>
      </c>
      <c r="M86" s="873">
        <v>0.0</v>
      </c>
      <c r="N86" s="873" t="s">
        <v>194</v>
      </c>
      <c r="O86" s="873">
        <v>15404.0</v>
      </c>
      <c r="P86" s="873">
        <v>-938.0</v>
      </c>
      <c r="Q86" s="873">
        <v>1562.0</v>
      </c>
      <c r="R86" s="873">
        <v>176160.0</v>
      </c>
      <c r="S86" s="873">
        <v>-2050.0</v>
      </c>
      <c r="T86" s="872" t="s">
        <v>194</v>
      </c>
      <c r="U86" s="872" t="s">
        <v>194</v>
      </c>
      <c r="V86" s="872">
        <v>-72.0</v>
      </c>
      <c r="W86" s="872">
        <v>-2671.0</v>
      </c>
      <c r="X86" s="872">
        <v>-29178.0</v>
      </c>
      <c r="Y86" s="872" t="s">
        <v>194</v>
      </c>
      <c r="Z86" s="872" t="s">
        <v>194</v>
      </c>
      <c r="AA86" s="872" t="s">
        <v>194</v>
      </c>
      <c r="AB86" s="872" t="s">
        <v>194</v>
      </c>
      <c r="AC86" s="15"/>
      <c r="AD86" s="851" t="s">
        <v>194</v>
      </c>
      <c r="AE86" s="846" t="s">
        <v>194</v>
      </c>
      <c r="AF86" s="846" t="s">
        <v>194</v>
      </c>
      <c r="AG86" s="846" t="s">
        <v>194</v>
      </c>
      <c r="AH86" s="846" t="s">
        <v>194</v>
      </c>
      <c r="AI86" s="846" t="s">
        <v>194</v>
      </c>
      <c r="AJ86" s="846" t="s">
        <v>194</v>
      </c>
      <c r="AK86" s="846" t="s">
        <v>194</v>
      </c>
      <c r="AL86" s="846" t="s">
        <v>194</v>
      </c>
      <c r="AM86" s="846" t="s">
        <v>194</v>
      </c>
      <c r="AN86" s="846" t="s">
        <v>194</v>
      </c>
      <c r="AO86" s="846" t="s">
        <v>194</v>
      </c>
      <c r="AP86" s="846" t="s">
        <v>194</v>
      </c>
      <c r="AQ86" s="846" t="s">
        <v>194</v>
      </c>
      <c r="AR86" s="846" t="s">
        <v>194</v>
      </c>
      <c r="AS86" s="846" t="s">
        <v>194</v>
      </c>
      <c r="AT86" s="846" t="s">
        <v>194</v>
      </c>
      <c r="AU86" s="846" t="s">
        <v>194</v>
      </c>
      <c r="AV86" s="846" t="s">
        <v>194</v>
      </c>
      <c r="AW86" s="846" t="s">
        <v>194</v>
      </c>
      <c r="AX86" s="846" t="s">
        <v>194</v>
      </c>
      <c r="AY86" s="846" t="s">
        <v>194</v>
      </c>
    </row>
    <row r="87" ht="15.75" hidden="1" customHeight="1" outlineLevel="4">
      <c r="A87" s="849">
        <v>1.0</v>
      </c>
      <c r="B87" s="15"/>
      <c r="C87" s="869" t="s">
        <v>306</v>
      </c>
      <c r="D87" s="870">
        <v>436.5</v>
      </c>
      <c r="E87" s="870">
        <v>32776.375</v>
      </c>
      <c r="F87" s="870">
        <v>0.0</v>
      </c>
      <c r="G87" s="870">
        <v>205000.0</v>
      </c>
      <c r="H87" s="870">
        <v>0.0</v>
      </c>
      <c r="I87" s="870">
        <v>21334.5</v>
      </c>
      <c r="J87" s="870">
        <v>71105.28542528125</v>
      </c>
      <c r="K87" s="871">
        <v>2.169406635885794</v>
      </c>
      <c r="L87" s="872" t="s">
        <v>194</v>
      </c>
      <c r="M87" s="873">
        <v>0.0</v>
      </c>
      <c r="N87" s="873" t="s">
        <v>194</v>
      </c>
      <c r="O87" s="873">
        <v>41838.0</v>
      </c>
      <c r="P87" s="873" t="s">
        <v>194</v>
      </c>
      <c r="Q87" s="873">
        <v>14500.0</v>
      </c>
      <c r="R87" s="873">
        <v>205000.0</v>
      </c>
      <c r="S87" s="873">
        <v>0.0</v>
      </c>
      <c r="T87" s="872" t="s">
        <v>194</v>
      </c>
      <c r="U87" s="872" t="s">
        <v>194</v>
      </c>
      <c r="V87" s="872">
        <v>0.0</v>
      </c>
      <c r="W87" s="872">
        <v>500.0</v>
      </c>
      <c r="X87" s="872">
        <v>373.0</v>
      </c>
      <c r="Y87" s="872" t="s">
        <v>194</v>
      </c>
      <c r="Z87" s="872" t="s">
        <v>194</v>
      </c>
      <c r="AA87" s="872" t="s">
        <v>194</v>
      </c>
      <c r="AB87" s="872" t="s">
        <v>194</v>
      </c>
      <c r="AC87" s="15"/>
      <c r="AD87" s="851" t="s">
        <v>194</v>
      </c>
      <c r="AE87" s="846" t="s">
        <v>194</v>
      </c>
      <c r="AF87" s="846" t="s">
        <v>194</v>
      </c>
      <c r="AG87" s="846" t="s">
        <v>194</v>
      </c>
      <c r="AH87" s="846" t="s">
        <v>194</v>
      </c>
      <c r="AI87" s="846" t="s">
        <v>194</v>
      </c>
      <c r="AJ87" s="846" t="s">
        <v>194</v>
      </c>
      <c r="AK87" s="846" t="s">
        <v>194</v>
      </c>
      <c r="AL87" s="846" t="s">
        <v>194</v>
      </c>
      <c r="AM87" s="846" t="s">
        <v>194</v>
      </c>
      <c r="AN87" s="846" t="s">
        <v>194</v>
      </c>
      <c r="AO87" s="846" t="s">
        <v>194</v>
      </c>
      <c r="AP87" s="846" t="s">
        <v>194</v>
      </c>
      <c r="AQ87" s="846" t="s">
        <v>194</v>
      </c>
      <c r="AR87" s="846" t="s">
        <v>194</v>
      </c>
      <c r="AS87" s="846" t="s">
        <v>194</v>
      </c>
      <c r="AT87" s="846" t="s">
        <v>194</v>
      </c>
      <c r="AU87" s="846" t="s">
        <v>194</v>
      </c>
      <c r="AV87" s="846" t="s">
        <v>194</v>
      </c>
      <c r="AW87" s="846" t="s">
        <v>194</v>
      </c>
      <c r="AX87" s="846" t="s">
        <v>194</v>
      </c>
      <c r="AY87" s="846" t="s">
        <v>194</v>
      </c>
    </row>
    <row r="88" ht="15.75" hidden="1" customHeight="1" outlineLevel="4">
      <c r="A88" s="849">
        <v>1.0</v>
      </c>
      <c r="B88" s="15"/>
      <c r="C88" s="869" t="s">
        <v>307</v>
      </c>
      <c r="D88" s="870">
        <v>-3171.0</v>
      </c>
      <c r="E88" s="870">
        <v>-11554.888888888889</v>
      </c>
      <c r="F88" s="870">
        <v>-29551.0</v>
      </c>
      <c r="G88" s="870">
        <v>0.0</v>
      </c>
      <c r="H88" s="870">
        <v>-26434.0</v>
      </c>
      <c r="I88" s="870">
        <v>-938.0</v>
      </c>
      <c r="J88" s="870">
        <v>13156.077753689018</v>
      </c>
      <c r="K88" s="871">
        <v>-1.1385724155547547</v>
      </c>
      <c r="L88" s="872" t="s">
        <v>194</v>
      </c>
      <c r="M88" s="873">
        <v>0.0</v>
      </c>
      <c r="N88" s="873" t="s">
        <v>194</v>
      </c>
      <c r="O88" s="873">
        <v>-26434.0</v>
      </c>
      <c r="P88" s="873">
        <v>-938.0</v>
      </c>
      <c r="Q88" s="873">
        <v>-12938.0</v>
      </c>
      <c r="R88" s="873">
        <v>-28840.0</v>
      </c>
      <c r="S88" s="873">
        <v>-2050.0</v>
      </c>
      <c r="T88" s="872" t="s">
        <v>194</v>
      </c>
      <c r="U88" s="872" t="s">
        <v>194</v>
      </c>
      <c r="V88" s="872">
        <v>-72.0</v>
      </c>
      <c r="W88" s="872">
        <v>-3171.0</v>
      </c>
      <c r="X88" s="872">
        <v>-29551.0</v>
      </c>
      <c r="Y88" s="872" t="s">
        <v>194</v>
      </c>
      <c r="Z88" s="872" t="s">
        <v>194</v>
      </c>
      <c r="AA88" s="872" t="s">
        <v>194</v>
      </c>
      <c r="AB88" s="872" t="s">
        <v>194</v>
      </c>
      <c r="AC88" s="15"/>
      <c r="AD88" s="851" t="s">
        <v>194</v>
      </c>
      <c r="AE88" s="846" t="s">
        <v>194</v>
      </c>
      <c r="AF88" s="846" t="s">
        <v>194</v>
      </c>
      <c r="AG88" s="846" t="s">
        <v>194</v>
      </c>
      <c r="AH88" s="846" t="s">
        <v>194</v>
      </c>
      <c r="AI88" s="846" t="s">
        <v>194</v>
      </c>
      <c r="AJ88" s="846" t="s">
        <v>194</v>
      </c>
      <c r="AK88" s="846" t="s">
        <v>194</v>
      </c>
      <c r="AL88" s="846" t="s">
        <v>194</v>
      </c>
      <c r="AM88" s="846" t="s">
        <v>194</v>
      </c>
      <c r="AN88" s="846" t="s">
        <v>194</v>
      </c>
      <c r="AO88" s="846" t="s">
        <v>194</v>
      </c>
      <c r="AP88" s="846" t="s">
        <v>194</v>
      </c>
      <c r="AQ88" s="846" t="s">
        <v>194</v>
      </c>
      <c r="AR88" s="846" t="s">
        <v>194</v>
      </c>
      <c r="AS88" s="846" t="s">
        <v>194</v>
      </c>
      <c r="AT88" s="846" t="s">
        <v>194</v>
      </c>
      <c r="AU88" s="846" t="s">
        <v>194</v>
      </c>
      <c r="AV88" s="846" t="s">
        <v>194</v>
      </c>
      <c r="AW88" s="846" t="s">
        <v>194</v>
      </c>
      <c r="AX88" s="846" t="s">
        <v>194</v>
      </c>
      <c r="AY88" s="846" t="s">
        <v>194</v>
      </c>
    </row>
    <row r="89" ht="15.75" hidden="1" customHeight="1" outlineLevel="4">
      <c r="A89" s="849">
        <v>1.0</v>
      </c>
      <c r="B89" s="15"/>
      <c r="C89" s="881" t="s">
        <v>308</v>
      </c>
      <c r="D89" s="882">
        <v>-72.0</v>
      </c>
      <c r="E89" s="882">
        <v>17579.666666666668</v>
      </c>
      <c r="F89" s="882">
        <v>-29178.0</v>
      </c>
      <c r="G89" s="882">
        <v>176160.0</v>
      </c>
      <c r="H89" s="882">
        <v>-2050.0</v>
      </c>
      <c r="I89" s="882">
        <v>1562.0</v>
      </c>
      <c r="J89" s="882">
        <v>60574.586247039275</v>
      </c>
      <c r="K89" s="883">
        <v>3.4457187042059543</v>
      </c>
      <c r="L89" s="884" t="s">
        <v>194</v>
      </c>
      <c r="M89" s="879">
        <v>0.0</v>
      </c>
      <c r="N89" s="879" t="s">
        <v>194</v>
      </c>
      <c r="O89" s="879">
        <v>15404.0</v>
      </c>
      <c r="P89" s="879">
        <v>-938.0</v>
      </c>
      <c r="Q89" s="879">
        <v>1562.0</v>
      </c>
      <c r="R89" s="879">
        <v>176160.0</v>
      </c>
      <c r="S89" s="879">
        <v>-2050.0</v>
      </c>
      <c r="T89" s="884" t="s">
        <v>194</v>
      </c>
      <c r="U89" s="884" t="s">
        <v>194</v>
      </c>
      <c r="V89" s="884">
        <v>-72.0</v>
      </c>
      <c r="W89" s="884">
        <v>-2671.0</v>
      </c>
      <c r="X89" s="884">
        <v>-29178.0</v>
      </c>
      <c r="Y89" s="884" t="s">
        <v>194</v>
      </c>
      <c r="Z89" s="884" t="s">
        <v>194</v>
      </c>
      <c r="AA89" s="884" t="s">
        <v>194</v>
      </c>
      <c r="AB89" s="884" t="s">
        <v>194</v>
      </c>
      <c r="AC89" s="15"/>
      <c r="AD89" s="851" t="s">
        <v>194</v>
      </c>
      <c r="AE89" s="846" t="s">
        <v>194</v>
      </c>
      <c r="AF89" s="846" t="s">
        <v>194</v>
      </c>
      <c r="AG89" s="846" t="s">
        <v>194</v>
      </c>
      <c r="AH89" s="846" t="s">
        <v>194</v>
      </c>
      <c r="AI89" s="846" t="s">
        <v>194</v>
      </c>
      <c r="AJ89" s="846" t="s">
        <v>194</v>
      </c>
      <c r="AK89" s="846" t="s">
        <v>194</v>
      </c>
      <c r="AL89" s="846" t="s">
        <v>194</v>
      </c>
      <c r="AM89" s="846" t="s">
        <v>194</v>
      </c>
      <c r="AN89" s="846" t="s">
        <v>194</v>
      </c>
      <c r="AO89" s="846" t="s">
        <v>194</v>
      </c>
      <c r="AP89" s="846" t="s">
        <v>194</v>
      </c>
      <c r="AQ89" s="846" t="s">
        <v>194</v>
      </c>
      <c r="AR89" s="846" t="s">
        <v>194</v>
      </c>
      <c r="AS89" s="846" t="s">
        <v>194</v>
      </c>
      <c r="AT89" s="846" t="s">
        <v>194</v>
      </c>
      <c r="AU89" s="846" t="s">
        <v>194</v>
      </c>
      <c r="AV89" s="846" t="s">
        <v>194</v>
      </c>
      <c r="AW89" s="846" t="s">
        <v>194</v>
      </c>
      <c r="AX89" s="846" t="s">
        <v>194</v>
      </c>
      <c r="AY89" s="846" t="s">
        <v>194</v>
      </c>
    </row>
    <row r="90" ht="15.75" hidden="1" customHeight="1" outlineLevel="3">
      <c r="A90" s="849">
        <v>1.0</v>
      </c>
      <c r="B90" s="15"/>
      <c r="C90" s="881" t="s">
        <v>309</v>
      </c>
      <c r="D90" s="882">
        <v>-36.0</v>
      </c>
      <c r="E90" s="882">
        <v>16299.8334</v>
      </c>
      <c r="F90" s="882">
        <v>-29178.0</v>
      </c>
      <c r="G90" s="882">
        <v>176160.0</v>
      </c>
      <c r="H90" s="882">
        <v>-1772.0</v>
      </c>
      <c r="I90" s="882">
        <v>3976.5005</v>
      </c>
      <c r="J90" s="882">
        <v>57253.49244965275</v>
      </c>
      <c r="K90" s="883">
        <v>3.5125201003375137</v>
      </c>
      <c r="L90" s="884" t="s">
        <v>194</v>
      </c>
      <c r="M90" s="879">
        <v>0.0</v>
      </c>
      <c r="N90" s="879" t="s">
        <v>194</v>
      </c>
      <c r="O90" s="879">
        <v>15404.0</v>
      </c>
      <c r="P90" s="879">
        <v>-938.0</v>
      </c>
      <c r="Q90" s="879">
        <v>1562.0</v>
      </c>
      <c r="R90" s="879">
        <v>176160.0</v>
      </c>
      <c r="S90" s="879">
        <v>-2050.0</v>
      </c>
      <c r="T90" s="884" t="s">
        <v>194</v>
      </c>
      <c r="U90" s="884" t="s">
        <v>194</v>
      </c>
      <c r="V90" s="884">
        <v>-72.0</v>
      </c>
      <c r="W90" s="884">
        <v>-2671.0</v>
      </c>
      <c r="X90" s="884">
        <v>-29178.0</v>
      </c>
      <c r="Y90" s="884">
        <v>4781.334</v>
      </c>
      <c r="Z90" s="884" t="s">
        <v>194</v>
      </c>
      <c r="AA90" s="884" t="s">
        <v>194</v>
      </c>
      <c r="AB90" s="884" t="s">
        <v>194</v>
      </c>
      <c r="AC90" s="15"/>
      <c r="AD90" s="851" t="s">
        <v>194</v>
      </c>
      <c r="AE90" s="846" t="s">
        <v>194</v>
      </c>
      <c r="AF90" s="846" t="s">
        <v>194</v>
      </c>
      <c r="AG90" s="846" t="s">
        <v>194</v>
      </c>
      <c r="AH90" s="846" t="s">
        <v>194</v>
      </c>
      <c r="AI90" s="846" t="s">
        <v>194</v>
      </c>
      <c r="AJ90" s="846" t="s">
        <v>194</v>
      </c>
      <c r="AK90" s="846" t="s">
        <v>194</v>
      </c>
      <c r="AL90" s="846" t="s">
        <v>194</v>
      </c>
      <c r="AM90" s="846" t="s">
        <v>194</v>
      </c>
      <c r="AN90" s="846" t="s">
        <v>194</v>
      </c>
      <c r="AO90" s="846" t="s">
        <v>194</v>
      </c>
      <c r="AP90" s="846" t="s">
        <v>194</v>
      </c>
      <c r="AQ90" s="846" t="s">
        <v>194</v>
      </c>
      <c r="AR90" s="846" t="s">
        <v>194</v>
      </c>
      <c r="AS90" s="846" t="s">
        <v>194</v>
      </c>
      <c r="AT90" s="846" t="s">
        <v>194</v>
      </c>
      <c r="AU90" s="846" t="s">
        <v>194</v>
      </c>
      <c r="AV90" s="846" t="s">
        <v>194</v>
      </c>
      <c r="AW90" s="846" t="s">
        <v>194</v>
      </c>
      <c r="AX90" s="846" t="s">
        <v>194</v>
      </c>
      <c r="AY90" s="846" t="s">
        <v>194</v>
      </c>
    </row>
    <row r="91" ht="15.75" hidden="1" customHeight="1" outlineLevel="2">
      <c r="A91" s="849">
        <v>1.0</v>
      </c>
      <c r="B91" s="15"/>
      <c r="C91" s="869" t="s">
        <v>310</v>
      </c>
      <c r="D91" s="870">
        <v>-400.5</v>
      </c>
      <c r="E91" s="870">
        <v>-1002.125</v>
      </c>
      <c r="F91" s="870">
        <v>-3740.0</v>
      </c>
      <c r="G91" s="870">
        <v>0.0</v>
      </c>
      <c r="H91" s="870">
        <v>-1112.5</v>
      </c>
      <c r="I91" s="870">
        <v>-63.0</v>
      </c>
      <c r="J91" s="870">
        <v>1452.6168935014193</v>
      </c>
      <c r="K91" s="871">
        <v>-1.4495366281665654</v>
      </c>
      <c r="L91" s="872" t="s">
        <v>194</v>
      </c>
      <c r="M91" s="873">
        <v>0.0</v>
      </c>
      <c r="N91" s="873">
        <v>-84.0</v>
      </c>
      <c r="O91" s="873">
        <v>-529.0</v>
      </c>
      <c r="P91" s="873">
        <v>-480.0</v>
      </c>
      <c r="Q91" s="873">
        <v>-321.0</v>
      </c>
      <c r="R91" s="873">
        <v>-2863.0</v>
      </c>
      <c r="S91" s="873">
        <v>-3740.0</v>
      </c>
      <c r="T91" s="872">
        <v>0.0</v>
      </c>
      <c r="U91" s="872" t="s">
        <v>194</v>
      </c>
      <c r="V91" s="872" t="s">
        <v>194</v>
      </c>
      <c r="W91" s="872" t="s">
        <v>194</v>
      </c>
      <c r="X91" s="872" t="s">
        <v>194</v>
      </c>
      <c r="Y91" s="872" t="s">
        <v>194</v>
      </c>
      <c r="Z91" s="872" t="s">
        <v>194</v>
      </c>
      <c r="AA91" s="872" t="s">
        <v>194</v>
      </c>
      <c r="AB91" s="872" t="s">
        <v>194</v>
      </c>
      <c r="AC91" s="15"/>
      <c r="AD91" s="851" t="s">
        <v>194</v>
      </c>
      <c r="AE91" s="846" t="s">
        <v>194</v>
      </c>
      <c r="AF91" s="846" t="s">
        <v>194</v>
      </c>
      <c r="AG91" s="846" t="s">
        <v>194</v>
      </c>
      <c r="AH91" s="846" t="s">
        <v>194</v>
      </c>
      <c r="AI91" s="846" t="s">
        <v>194</v>
      </c>
      <c r="AJ91" s="846" t="s">
        <v>194</v>
      </c>
      <c r="AK91" s="846" t="s">
        <v>194</v>
      </c>
      <c r="AL91" s="846" t="s">
        <v>194</v>
      </c>
      <c r="AM91" s="846" t="s">
        <v>194</v>
      </c>
      <c r="AN91" s="846" t="s">
        <v>194</v>
      </c>
      <c r="AO91" s="846" t="s">
        <v>194</v>
      </c>
      <c r="AP91" s="846" t="s">
        <v>194</v>
      </c>
      <c r="AQ91" s="846" t="s">
        <v>194</v>
      </c>
      <c r="AR91" s="846" t="s">
        <v>194</v>
      </c>
      <c r="AS91" s="846" t="s">
        <v>194</v>
      </c>
      <c r="AT91" s="846" t="s">
        <v>194</v>
      </c>
      <c r="AU91" s="846" t="s">
        <v>194</v>
      </c>
      <c r="AV91" s="846" t="s">
        <v>194</v>
      </c>
      <c r="AW91" s="846" t="s">
        <v>194</v>
      </c>
      <c r="AX91" s="846" t="s">
        <v>194</v>
      </c>
      <c r="AY91" s="846" t="s">
        <v>194</v>
      </c>
    </row>
    <row r="92" ht="15.75" hidden="1" customHeight="1" outlineLevel="3">
      <c r="A92" s="849">
        <v>1.0</v>
      </c>
      <c r="B92" s="15"/>
      <c r="C92" s="869" t="s">
        <v>311</v>
      </c>
      <c r="D92" s="870">
        <v>-400.5</v>
      </c>
      <c r="E92" s="870">
        <v>-1002.125</v>
      </c>
      <c r="F92" s="870">
        <v>-3740.0</v>
      </c>
      <c r="G92" s="870">
        <v>0.0</v>
      </c>
      <c r="H92" s="870">
        <v>-1112.5</v>
      </c>
      <c r="I92" s="870">
        <v>-63.0</v>
      </c>
      <c r="J92" s="870">
        <v>1452.6168935014193</v>
      </c>
      <c r="K92" s="871">
        <v>-1.4495366281665654</v>
      </c>
      <c r="L92" s="872" t="s">
        <v>194</v>
      </c>
      <c r="M92" s="873">
        <v>0.0</v>
      </c>
      <c r="N92" s="873">
        <v>-84.0</v>
      </c>
      <c r="O92" s="873">
        <v>-529.0</v>
      </c>
      <c r="P92" s="873">
        <v>-480.0</v>
      </c>
      <c r="Q92" s="873">
        <v>-321.0</v>
      </c>
      <c r="R92" s="873">
        <v>-2863.0</v>
      </c>
      <c r="S92" s="873">
        <v>-3740.0</v>
      </c>
      <c r="T92" s="872">
        <v>0.0</v>
      </c>
      <c r="U92" s="872" t="s">
        <v>194</v>
      </c>
      <c r="V92" s="872" t="s">
        <v>194</v>
      </c>
      <c r="W92" s="872" t="s">
        <v>194</v>
      </c>
      <c r="X92" s="872" t="s">
        <v>194</v>
      </c>
      <c r="Y92" s="872" t="s">
        <v>194</v>
      </c>
      <c r="Z92" s="872" t="s">
        <v>194</v>
      </c>
      <c r="AA92" s="872" t="s">
        <v>194</v>
      </c>
      <c r="AB92" s="872" t="s">
        <v>194</v>
      </c>
      <c r="AC92" s="15"/>
      <c r="AD92" s="851" t="s">
        <v>194</v>
      </c>
      <c r="AE92" s="846" t="s">
        <v>194</v>
      </c>
      <c r="AF92" s="846" t="s">
        <v>194</v>
      </c>
      <c r="AG92" s="846" t="s">
        <v>194</v>
      </c>
      <c r="AH92" s="846" t="s">
        <v>194</v>
      </c>
      <c r="AI92" s="846" t="s">
        <v>194</v>
      </c>
      <c r="AJ92" s="846" t="s">
        <v>194</v>
      </c>
      <c r="AK92" s="846" t="s">
        <v>194</v>
      </c>
      <c r="AL92" s="846" t="s">
        <v>194</v>
      </c>
      <c r="AM92" s="846" t="s">
        <v>194</v>
      </c>
      <c r="AN92" s="846" t="s">
        <v>194</v>
      </c>
      <c r="AO92" s="846" t="s">
        <v>194</v>
      </c>
      <c r="AP92" s="846" t="s">
        <v>194</v>
      </c>
      <c r="AQ92" s="846" t="s">
        <v>194</v>
      </c>
      <c r="AR92" s="846" t="s">
        <v>194</v>
      </c>
      <c r="AS92" s="846" t="s">
        <v>194</v>
      </c>
      <c r="AT92" s="846" t="s">
        <v>194</v>
      </c>
      <c r="AU92" s="846" t="s">
        <v>194</v>
      </c>
      <c r="AV92" s="846" t="s">
        <v>194</v>
      </c>
      <c r="AW92" s="846" t="s">
        <v>194</v>
      </c>
      <c r="AX92" s="846" t="s">
        <v>194</v>
      </c>
      <c r="AY92" s="846" t="s">
        <v>194</v>
      </c>
    </row>
    <row r="93" ht="15.75" hidden="1" customHeight="1" outlineLevel="3">
      <c r="A93" s="849">
        <v>1.0</v>
      </c>
      <c r="B93" s="15"/>
      <c r="C93" s="881" t="s">
        <v>312</v>
      </c>
      <c r="D93" s="882">
        <v>-400.5</v>
      </c>
      <c r="E93" s="882">
        <v>-1002.125</v>
      </c>
      <c r="F93" s="882">
        <v>-3740.0</v>
      </c>
      <c r="G93" s="882">
        <v>0.0</v>
      </c>
      <c r="H93" s="882">
        <v>-1112.5</v>
      </c>
      <c r="I93" s="882">
        <v>-63.0</v>
      </c>
      <c r="J93" s="882">
        <v>1452.6168935014193</v>
      </c>
      <c r="K93" s="883">
        <v>-1.4495366281665654</v>
      </c>
      <c r="L93" s="884" t="s">
        <v>194</v>
      </c>
      <c r="M93" s="879">
        <v>0.0</v>
      </c>
      <c r="N93" s="879">
        <v>-84.0</v>
      </c>
      <c r="O93" s="879">
        <v>-529.0</v>
      </c>
      <c r="P93" s="879">
        <v>-480.0</v>
      </c>
      <c r="Q93" s="879">
        <v>-321.0</v>
      </c>
      <c r="R93" s="879">
        <v>-2863.0</v>
      </c>
      <c r="S93" s="879">
        <v>-3740.0</v>
      </c>
      <c r="T93" s="884">
        <v>0.0</v>
      </c>
      <c r="U93" s="884" t="s">
        <v>194</v>
      </c>
      <c r="V93" s="884" t="s">
        <v>194</v>
      </c>
      <c r="W93" s="884" t="s">
        <v>194</v>
      </c>
      <c r="X93" s="884" t="s">
        <v>194</v>
      </c>
      <c r="Y93" s="884" t="s">
        <v>194</v>
      </c>
      <c r="Z93" s="884" t="s">
        <v>194</v>
      </c>
      <c r="AA93" s="884" t="s">
        <v>194</v>
      </c>
      <c r="AB93" s="884" t="s">
        <v>194</v>
      </c>
      <c r="AC93" s="15"/>
      <c r="AD93" s="851" t="s">
        <v>194</v>
      </c>
      <c r="AE93" s="846" t="s">
        <v>194</v>
      </c>
      <c r="AF93" s="846" t="s">
        <v>194</v>
      </c>
      <c r="AG93" s="846" t="s">
        <v>194</v>
      </c>
      <c r="AH93" s="846" t="s">
        <v>194</v>
      </c>
      <c r="AI93" s="846" t="s">
        <v>194</v>
      </c>
      <c r="AJ93" s="846" t="s">
        <v>194</v>
      </c>
      <c r="AK93" s="846" t="s">
        <v>194</v>
      </c>
      <c r="AL93" s="846" t="s">
        <v>194</v>
      </c>
      <c r="AM93" s="846" t="s">
        <v>194</v>
      </c>
      <c r="AN93" s="846" t="s">
        <v>194</v>
      </c>
      <c r="AO93" s="846" t="s">
        <v>194</v>
      </c>
      <c r="AP93" s="846" t="s">
        <v>194</v>
      </c>
      <c r="AQ93" s="846" t="s">
        <v>194</v>
      </c>
      <c r="AR93" s="846" t="s">
        <v>194</v>
      </c>
      <c r="AS93" s="846" t="s">
        <v>194</v>
      </c>
      <c r="AT93" s="846" t="s">
        <v>194</v>
      </c>
      <c r="AU93" s="846" t="s">
        <v>194</v>
      </c>
      <c r="AV93" s="846" t="s">
        <v>194</v>
      </c>
      <c r="AW93" s="846" t="s">
        <v>194</v>
      </c>
      <c r="AX93" s="846" t="s">
        <v>194</v>
      </c>
      <c r="AY93" s="846" t="s">
        <v>194</v>
      </c>
    </row>
    <row r="94" ht="15.75" hidden="1" customHeight="1" outlineLevel="2">
      <c r="A94" s="849">
        <v>1.0</v>
      </c>
      <c r="B94" s="15"/>
      <c r="C94" s="869" t="s">
        <v>313</v>
      </c>
      <c r="D94" s="870">
        <v>-2885.0</v>
      </c>
      <c r="E94" s="870">
        <v>-2550.0</v>
      </c>
      <c r="F94" s="870">
        <v>-4765.0</v>
      </c>
      <c r="G94" s="870">
        <v>0.0</v>
      </c>
      <c r="H94" s="870">
        <v>-3825.0</v>
      </c>
      <c r="I94" s="870">
        <v>-1442.5</v>
      </c>
      <c r="J94" s="870">
        <v>2400.098956293261</v>
      </c>
      <c r="K94" s="871">
        <v>-0.9412152769777494</v>
      </c>
      <c r="L94" s="872" t="s">
        <v>194</v>
      </c>
      <c r="M94" s="873" t="s">
        <v>194</v>
      </c>
      <c r="N94" s="873" t="s">
        <v>194</v>
      </c>
      <c r="O94" s="873" t="s">
        <v>194</v>
      </c>
      <c r="P94" s="873" t="s">
        <v>194</v>
      </c>
      <c r="Q94" s="873">
        <v>0.0</v>
      </c>
      <c r="R94" s="873">
        <v>-4765.0</v>
      </c>
      <c r="S94" s="873">
        <v>-2885.0</v>
      </c>
      <c r="T94" s="872" t="s">
        <v>194</v>
      </c>
      <c r="U94" s="872" t="s">
        <v>194</v>
      </c>
      <c r="V94" s="872" t="s">
        <v>194</v>
      </c>
      <c r="W94" s="872" t="s">
        <v>194</v>
      </c>
      <c r="X94" s="872" t="s">
        <v>194</v>
      </c>
      <c r="Y94" s="872" t="s">
        <v>194</v>
      </c>
      <c r="Z94" s="872" t="s">
        <v>194</v>
      </c>
      <c r="AA94" s="872" t="s">
        <v>194</v>
      </c>
      <c r="AB94" s="872" t="s">
        <v>194</v>
      </c>
      <c r="AC94" s="15"/>
      <c r="AD94" s="851" t="s">
        <v>194</v>
      </c>
      <c r="AE94" s="846" t="s">
        <v>194</v>
      </c>
      <c r="AF94" s="846" t="s">
        <v>194</v>
      </c>
      <c r="AG94" s="846" t="s">
        <v>194</v>
      </c>
      <c r="AH94" s="846" t="s">
        <v>194</v>
      </c>
      <c r="AI94" s="846" t="s">
        <v>194</v>
      </c>
      <c r="AJ94" s="846" t="s">
        <v>194</v>
      </c>
      <c r="AK94" s="846" t="s">
        <v>194</v>
      </c>
      <c r="AL94" s="846" t="s">
        <v>194</v>
      </c>
      <c r="AM94" s="846" t="s">
        <v>194</v>
      </c>
      <c r="AN94" s="846" t="s">
        <v>194</v>
      </c>
      <c r="AO94" s="846" t="s">
        <v>194</v>
      </c>
      <c r="AP94" s="846" t="s">
        <v>194</v>
      </c>
      <c r="AQ94" s="846" t="s">
        <v>194</v>
      </c>
      <c r="AR94" s="846" t="s">
        <v>194</v>
      </c>
      <c r="AS94" s="846" t="s">
        <v>194</v>
      </c>
      <c r="AT94" s="846" t="s">
        <v>194</v>
      </c>
      <c r="AU94" s="846" t="s">
        <v>194</v>
      </c>
      <c r="AV94" s="846" t="s">
        <v>194</v>
      </c>
      <c r="AW94" s="846" t="s">
        <v>194</v>
      </c>
      <c r="AX94" s="846" t="s">
        <v>194</v>
      </c>
      <c r="AY94" s="846" t="s">
        <v>194</v>
      </c>
    </row>
    <row r="95" ht="15.75" hidden="1" customHeight="1" outlineLevel="2">
      <c r="A95" s="849">
        <v>1.0</v>
      </c>
      <c r="B95" s="15"/>
      <c r="C95" s="869" t="s">
        <v>314</v>
      </c>
      <c r="D95" s="870">
        <v>0.0</v>
      </c>
      <c r="E95" s="870">
        <v>-2071.0</v>
      </c>
      <c r="F95" s="870">
        <v>-6213.0</v>
      </c>
      <c r="G95" s="870">
        <v>0.0</v>
      </c>
      <c r="H95" s="870">
        <v>-3106.5</v>
      </c>
      <c r="I95" s="870">
        <v>0.0</v>
      </c>
      <c r="J95" s="870">
        <v>3587.077222475145</v>
      </c>
      <c r="K95" s="871">
        <v>-1.7320508075688774</v>
      </c>
      <c r="L95" s="872" t="s">
        <v>194</v>
      </c>
      <c r="M95" s="873" t="s">
        <v>194</v>
      </c>
      <c r="N95" s="873" t="s">
        <v>194</v>
      </c>
      <c r="O95" s="873" t="s">
        <v>194</v>
      </c>
      <c r="P95" s="873" t="s">
        <v>194</v>
      </c>
      <c r="Q95" s="873">
        <v>0.0</v>
      </c>
      <c r="R95" s="873">
        <v>-6213.0</v>
      </c>
      <c r="S95" s="873">
        <v>0.0</v>
      </c>
      <c r="T95" s="872" t="s">
        <v>194</v>
      </c>
      <c r="U95" s="872" t="s">
        <v>194</v>
      </c>
      <c r="V95" s="872" t="s">
        <v>194</v>
      </c>
      <c r="W95" s="872" t="s">
        <v>194</v>
      </c>
      <c r="X95" s="872" t="s">
        <v>194</v>
      </c>
      <c r="Y95" s="872" t="s">
        <v>194</v>
      </c>
      <c r="Z95" s="872" t="s">
        <v>194</v>
      </c>
      <c r="AA95" s="872" t="s">
        <v>194</v>
      </c>
      <c r="AB95" s="872" t="s">
        <v>194</v>
      </c>
      <c r="AC95" s="15"/>
      <c r="AD95" s="851" t="s">
        <v>194</v>
      </c>
      <c r="AE95" s="846" t="s">
        <v>194</v>
      </c>
      <c r="AF95" s="846" t="s">
        <v>194</v>
      </c>
      <c r="AG95" s="846" t="s">
        <v>194</v>
      </c>
      <c r="AH95" s="846" t="s">
        <v>194</v>
      </c>
      <c r="AI95" s="846" t="s">
        <v>194</v>
      </c>
      <c r="AJ95" s="846" t="s">
        <v>194</v>
      </c>
      <c r="AK95" s="846" t="s">
        <v>194</v>
      </c>
      <c r="AL95" s="846" t="s">
        <v>194</v>
      </c>
      <c r="AM95" s="846" t="s">
        <v>194</v>
      </c>
      <c r="AN95" s="846" t="s">
        <v>194</v>
      </c>
      <c r="AO95" s="846" t="s">
        <v>194</v>
      </c>
      <c r="AP95" s="846" t="s">
        <v>194</v>
      </c>
      <c r="AQ95" s="846" t="s">
        <v>194</v>
      </c>
      <c r="AR95" s="846" t="s">
        <v>194</v>
      </c>
      <c r="AS95" s="846" t="s">
        <v>194</v>
      </c>
      <c r="AT95" s="846" t="s">
        <v>194</v>
      </c>
      <c r="AU95" s="846" t="s">
        <v>194</v>
      </c>
      <c r="AV95" s="846" t="s">
        <v>194</v>
      </c>
      <c r="AW95" s="846" t="s">
        <v>194</v>
      </c>
      <c r="AX95" s="846" t="s">
        <v>194</v>
      </c>
      <c r="AY95" s="846" t="s">
        <v>194</v>
      </c>
    </row>
    <row r="96" ht="15.75" hidden="1" customHeight="1" outlineLevel="3">
      <c r="A96" s="849">
        <v>1.0</v>
      </c>
      <c r="B96" s="15"/>
      <c r="C96" s="869" t="s">
        <v>315</v>
      </c>
      <c r="D96" s="870">
        <v>0.0</v>
      </c>
      <c r="E96" s="870">
        <v>-2071.0</v>
      </c>
      <c r="F96" s="870">
        <v>-6213.0</v>
      </c>
      <c r="G96" s="870">
        <v>0.0</v>
      </c>
      <c r="H96" s="870">
        <v>-3106.5</v>
      </c>
      <c r="I96" s="870">
        <v>0.0</v>
      </c>
      <c r="J96" s="870">
        <v>3587.077222475145</v>
      </c>
      <c r="K96" s="871">
        <v>-1.7320508075688774</v>
      </c>
      <c r="L96" s="872" t="s">
        <v>194</v>
      </c>
      <c r="M96" s="873" t="s">
        <v>194</v>
      </c>
      <c r="N96" s="873" t="s">
        <v>194</v>
      </c>
      <c r="O96" s="873" t="s">
        <v>194</v>
      </c>
      <c r="P96" s="873" t="s">
        <v>194</v>
      </c>
      <c r="Q96" s="873">
        <v>0.0</v>
      </c>
      <c r="R96" s="873">
        <v>-6213.0</v>
      </c>
      <c r="S96" s="873">
        <v>0.0</v>
      </c>
      <c r="T96" s="872" t="s">
        <v>194</v>
      </c>
      <c r="U96" s="872" t="s">
        <v>194</v>
      </c>
      <c r="V96" s="872" t="s">
        <v>194</v>
      </c>
      <c r="W96" s="872" t="s">
        <v>194</v>
      </c>
      <c r="X96" s="872" t="s">
        <v>194</v>
      </c>
      <c r="Y96" s="872" t="s">
        <v>194</v>
      </c>
      <c r="Z96" s="872" t="s">
        <v>194</v>
      </c>
      <c r="AA96" s="872" t="s">
        <v>194</v>
      </c>
      <c r="AB96" s="872" t="s">
        <v>194</v>
      </c>
      <c r="AC96" s="15"/>
      <c r="AD96" s="851" t="s">
        <v>194</v>
      </c>
      <c r="AE96" s="846" t="s">
        <v>194</v>
      </c>
      <c r="AF96" s="846" t="s">
        <v>194</v>
      </c>
      <c r="AG96" s="846" t="s">
        <v>194</v>
      </c>
      <c r="AH96" s="846" t="s">
        <v>194</v>
      </c>
      <c r="AI96" s="846" t="s">
        <v>194</v>
      </c>
      <c r="AJ96" s="846" t="s">
        <v>194</v>
      </c>
      <c r="AK96" s="846" t="s">
        <v>194</v>
      </c>
      <c r="AL96" s="846" t="s">
        <v>194</v>
      </c>
      <c r="AM96" s="846" t="s">
        <v>194</v>
      </c>
      <c r="AN96" s="846" t="s">
        <v>194</v>
      </c>
      <c r="AO96" s="846" t="s">
        <v>194</v>
      </c>
      <c r="AP96" s="846" t="s">
        <v>194</v>
      </c>
      <c r="AQ96" s="846" t="s">
        <v>194</v>
      </c>
      <c r="AR96" s="846" t="s">
        <v>194</v>
      </c>
      <c r="AS96" s="846" t="s">
        <v>194</v>
      </c>
      <c r="AT96" s="846" t="s">
        <v>194</v>
      </c>
      <c r="AU96" s="846" t="s">
        <v>194</v>
      </c>
      <c r="AV96" s="846" t="s">
        <v>194</v>
      </c>
      <c r="AW96" s="846" t="s">
        <v>194</v>
      </c>
      <c r="AX96" s="846" t="s">
        <v>194</v>
      </c>
      <c r="AY96" s="846" t="s">
        <v>194</v>
      </c>
    </row>
    <row r="97" ht="15.75" hidden="1" customHeight="1" outlineLevel="3">
      <c r="A97" s="849">
        <v>1.0</v>
      </c>
      <c r="B97" s="15"/>
      <c r="C97" s="881" t="s">
        <v>316</v>
      </c>
      <c r="D97" s="882">
        <v>0.0</v>
      </c>
      <c r="E97" s="882">
        <v>-2071.0</v>
      </c>
      <c r="F97" s="882">
        <v>-6213.0</v>
      </c>
      <c r="G97" s="882">
        <v>0.0</v>
      </c>
      <c r="H97" s="882">
        <v>-3106.5</v>
      </c>
      <c r="I97" s="882">
        <v>0.0</v>
      </c>
      <c r="J97" s="882">
        <v>3587.077222475145</v>
      </c>
      <c r="K97" s="883">
        <v>-1.7320508075688774</v>
      </c>
      <c r="L97" s="884" t="s">
        <v>194</v>
      </c>
      <c r="M97" s="879" t="s">
        <v>194</v>
      </c>
      <c r="N97" s="879" t="s">
        <v>194</v>
      </c>
      <c r="O97" s="879" t="s">
        <v>194</v>
      </c>
      <c r="P97" s="879" t="s">
        <v>194</v>
      </c>
      <c r="Q97" s="879">
        <v>0.0</v>
      </c>
      <c r="R97" s="879">
        <v>-6213.0</v>
      </c>
      <c r="S97" s="879">
        <v>0.0</v>
      </c>
      <c r="T97" s="884" t="s">
        <v>194</v>
      </c>
      <c r="U97" s="884" t="s">
        <v>194</v>
      </c>
      <c r="V97" s="884" t="s">
        <v>194</v>
      </c>
      <c r="W97" s="884" t="s">
        <v>194</v>
      </c>
      <c r="X97" s="884" t="s">
        <v>194</v>
      </c>
      <c r="Y97" s="884" t="s">
        <v>194</v>
      </c>
      <c r="Z97" s="884" t="s">
        <v>194</v>
      </c>
      <c r="AA97" s="884" t="s">
        <v>194</v>
      </c>
      <c r="AB97" s="884" t="s">
        <v>194</v>
      </c>
      <c r="AC97" s="15"/>
      <c r="AD97" s="851" t="s">
        <v>194</v>
      </c>
      <c r="AE97" s="846" t="s">
        <v>194</v>
      </c>
      <c r="AF97" s="846" t="s">
        <v>194</v>
      </c>
      <c r="AG97" s="846" t="s">
        <v>194</v>
      </c>
      <c r="AH97" s="846" t="s">
        <v>194</v>
      </c>
      <c r="AI97" s="846" t="s">
        <v>194</v>
      </c>
      <c r="AJ97" s="846" t="s">
        <v>194</v>
      </c>
      <c r="AK97" s="846" t="s">
        <v>194</v>
      </c>
      <c r="AL97" s="846" t="s">
        <v>194</v>
      </c>
      <c r="AM97" s="846" t="s">
        <v>194</v>
      </c>
      <c r="AN97" s="846" t="s">
        <v>194</v>
      </c>
      <c r="AO97" s="846" t="s">
        <v>194</v>
      </c>
      <c r="AP97" s="846" t="s">
        <v>194</v>
      </c>
      <c r="AQ97" s="846" t="s">
        <v>194</v>
      </c>
      <c r="AR97" s="846" t="s">
        <v>194</v>
      </c>
      <c r="AS97" s="846" t="s">
        <v>194</v>
      </c>
      <c r="AT97" s="846" t="s">
        <v>194</v>
      </c>
      <c r="AU97" s="846" t="s">
        <v>194</v>
      </c>
      <c r="AV97" s="846" t="s">
        <v>194</v>
      </c>
      <c r="AW97" s="846" t="s">
        <v>194</v>
      </c>
      <c r="AX97" s="846" t="s">
        <v>194</v>
      </c>
      <c r="AY97" s="846" t="s">
        <v>194</v>
      </c>
    </row>
    <row r="98" ht="15.75" hidden="1" customHeight="1" outlineLevel="2">
      <c r="A98" s="849">
        <v>1.0</v>
      </c>
      <c r="B98" s="15"/>
      <c r="C98" s="869" t="s">
        <v>317</v>
      </c>
      <c r="D98" s="870">
        <v>1472.0</v>
      </c>
      <c r="E98" s="870">
        <v>2855.3636363636365</v>
      </c>
      <c r="F98" s="870">
        <v>0.0</v>
      </c>
      <c r="G98" s="870">
        <v>12186.0</v>
      </c>
      <c r="H98" s="870">
        <v>865.5</v>
      </c>
      <c r="I98" s="870">
        <v>2795.0</v>
      </c>
      <c r="J98" s="870">
        <v>3519.158316209354</v>
      </c>
      <c r="K98" s="871">
        <v>1.232472905164217</v>
      </c>
      <c r="L98" s="872" t="s">
        <v>194</v>
      </c>
      <c r="M98" s="873">
        <v>440.0</v>
      </c>
      <c r="N98" s="873" t="s">
        <v>194</v>
      </c>
      <c r="O98" s="873">
        <v>1400.0</v>
      </c>
      <c r="P98" s="873">
        <v>1222.0</v>
      </c>
      <c r="Q98" s="873">
        <v>2519.0</v>
      </c>
      <c r="R98" s="873">
        <v>6071.0</v>
      </c>
      <c r="S98" s="873">
        <v>12186.0</v>
      </c>
      <c r="T98" s="872">
        <v>509.0</v>
      </c>
      <c r="U98" s="872">
        <v>1472.0</v>
      </c>
      <c r="V98" s="872">
        <v>3051.0</v>
      </c>
      <c r="W98" s="872">
        <v>2539.0</v>
      </c>
      <c r="X98" s="872">
        <v>0.0</v>
      </c>
      <c r="Y98" s="872" t="s">
        <v>194</v>
      </c>
      <c r="Z98" s="872" t="s">
        <v>194</v>
      </c>
      <c r="AA98" s="872" t="s">
        <v>194</v>
      </c>
      <c r="AB98" s="872" t="s">
        <v>194</v>
      </c>
      <c r="AC98" s="15"/>
      <c r="AD98" s="851" t="s">
        <v>194</v>
      </c>
      <c r="AE98" s="846" t="s">
        <v>194</v>
      </c>
      <c r="AF98" s="846" t="s">
        <v>194</v>
      </c>
      <c r="AG98" s="846" t="s">
        <v>194</v>
      </c>
      <c r="AH98" s="846" t="s">
        <v>194</v>
      </c>
      <c r="AI98" s="846" t="s">
        <v>194</v>
      </c>
      <c r="AJ98" s="846" t="s">
        <v>194</v>
      </c>
      <c r="AK98" s="846" t="s">
        <v>194</v>
      </c>
      <c r="AL98" s="846" t="s">
        <v>194</v>
      </c>
      <c r="AM98" s="846" t="s">
        <v>194</v>
      </c>
      <c r="AN98" s="846" t="s">
        <v>194</v>
      </c>
      <c r="AO98" s="846" t="s">
        <v>194</v>
      </c>
      <c r="AP98" s="846" t="s">
        <v>194</v>
      </c>
      <c r="AQ98" s="846" t="s">
        <v>194</v>
      </c>
      <c r="AR98" s="846" t="s">
        <v>194</v>
      </c>
      <c r="AS98" s="846" t="s">
        <v>194</v>
      </c>
      <c r="AT98" s="846" t="s">
        <v>194</v>
      </c>
      <c r="AU98" s="846" t="s">
        <v>194</v>
      </c>
      <c r="AV98" s="846" t="s">
        <v>194</v>
      </c>
      <c r="AW98" s="846" t="s">
        <v>194</v>
      </c>
      <c r="AX98" s="846" t="s">
        <v>194</v>
      </c>
      <c r="AY98" s="846" t="s">
        <v>194</v>
      </c>
    </row>
    <row r="99" ht="15.75" hidden="1" customHeight="1" outlineLevel="2">
      <c r="A99" s="849">
        <v>1.0</v>
      </c>
      <c r="B99" s="15"/>
      <c r="C99" s="869" t="s">
        <v>318</v>
      </c>
      <c r="D99" s="870">
        <v>-349.0</v>
      </c>
      <c r="E99" s="870">
        <v>-865.0138888888889</v>
      </c>
      <c r="F99" s="870">
        <v>-2910.0</v>
      </c>
      <c r="G99" s="870">
        <v>847.0</v>
      </c>
      <c r="H99" s="870">
        <v>-1933.0</v>
      </c>
      <c r="I99" s="870">
        <v>69.0</v>
      </c>
      <c r="J99" s="870">
        <v>1340.5020754314821</v>
      </c>
      <c r="K99" s="871">
        <v>-1.5496884993989613</v>
      </c>
      <c r="L99" s="872" t="s">
        <v>194</v>
      </c>
      <c r="M99" s="873" t="s">
        <v>194</v>
      </c>
      <c r="N99" s="873">
        <v>847.0</v>
      </c>
      <c r="O99" s="873">
        <v>-349.0</v>
      </c>
      <c r="P99" s="873">
        <v>-1575.0</v>
      </c>
      <c r="Q99" s="873">
        <v>-2333.0</v>
      </c>
      <c r="R99" s="873">
        <v>-1933.0</v>
      </c>
      <c r="S99" s="873">
        <v>-2910.0</v>
      </c>
      <c r="T99" s="872" t="s">
        <v>194</v>
      </c>
      <c r="U99" s="872" t="s">
        <v>194</v>
      </c>
      <c r="V99" s="872" t="s">
        <v>194</v>
      </c>
      <c r="W99" s="872">
        <v>69.0</v>
      </c>
      <c r="X99" s="872">
        <v>370.0</v>
      </c>
      <c r="Y99" s="872">
        <v>28.875</v>
      </c>
      <c r="Z99" s="872" t="s">
        <v>194</v>
      </c>
      <c r="AA99" s="872" t="s">
        <v>194</v>
      </c>
      <c r="AB99" s="872" t="s">
        <v>194</v>
      </c>
      <c r="AC99" s="15"/>
      <c r="AD99" s="851" t="s">
        <v>194</v>
      </c>
      <c r="AE99" s="846" t="s">
        <v>194</v>
      </c>
      <c r="AF99" s="846" t="s">
        <v>194</v>
      </c>
      <c r="AG99" s="846" t="s">
        <v>194</v>
      </c>
      <c r="AH99" s="846" t="s">
        <v>194</v>
      </c>
      <c r="AI99" s="846" t="s">
        <v>194</v>
      </c>
      <c r="AJ99" s="846" t="s">
        <v>194</v>
      </c>
      <c r="AK99" s="846" t="s">
        <v>194</v>
      </c>
      <c r="AL99" s="846" t="s">
        <v>194</v>
      </c>
      <c r="AM99" s="846" t="s">
        <v>194</v>
      </c>
      <c r="AN99" s="846" t="s">
        <v>194</v>
      </c>
      <c r="AO99" s="846" t="s">
        <v>194</v>
      </c>
      <c r="AP99" s="846" t="s">
        <v>194</v>
      </c>
      <c r="AQ99" s="846" t="s">
        <v>194</v>
      </c>
      <c r="AR99" s="846" t="s">
        <v>194</v>
      </c>
      <c r="AS99" s="846" t="s">
        <v>194</v>
      </c>
      <c r="AT99" s="846" t="s">
        <v>194</v>
      </c>
      <c r="AU99" s="846" t="s">
        <v>194</v>
      </c>
      <c r="AV99" s="846" t="s">
        <v>194</v>
      </c>
      <c r="AW99" s="846" t="s">
        <v>194</v>
      </c>
      <c r="AX99" s="846" t="s">
        <v>194</v>
      </c>
      <c r="AY99" s="846" t="s">
        <v>194</v>
      </c>
    </row>
    <row r="100" ht="15.75" hidden="1" customHeight="1" outlineLevel="2">
      <c r="A100" s="849">
        <v>1.0</v>
      </c>
      <c r="B100" s="15"/>
      <c r="C100" s="881" t="s">
        <v>319</v>
      </c>
      <c r="D100" s="882">
        <v>1482.0</v>
      </c>
      <c r="E100" s="882">
        <v>24124.306846153846</v>
      </c>
      <c r="F100" s="882">
        <v>-1771.0</v>
      </c>
      <c r="G100" s="882">
        <v>166457.0</v>
      </c>
      <c r="H100" s="882">
        <v>601.0</v>
      </c>
      <c r="I100" s="882">
        <v>15926.0</v>
      </c>
      <c r="J100" s="882">
        <v>48284.4830078188</v>
      </c>
      <c r="K100" s="883">
        <v>2.0014868537255746</v>
      </c>
      <c r="L100" s="884" t="s">
        <v>194</v>
      </c>
      <c r="M100" s="879">
        <v>440.0</v>
      </c>
      <c r="N100" s="879">
        <v>763.0</v>
      </c>
      <c r="O100" s="879">
        <v>15926.0</v>
      </c>
      <c r="P100" s="879">
        <v>-1771.0</v>
      </c>
      <c r="Q100" s="879">
        <v>1427.0</v>
      </c>
      <c r="R100" s="879">
        <v>166457.0</v>
      </c>
      <c r="S100" s="879">
        <v>601.0</v>
      </c>
      <c r="T100" s="884">
        <v>509.0</v>
      </c>
      <c r="U100" s="884">
        <v>1482.0</v>
      </c>
      <c r="V100" s="884">
        <v>3015.0</v>
      </c>
      <c r="W100" s="884">
        <v>46412.0</v>
      </c>
      <c r="X100" s="884">
        <v>73377.0</v>
      </c>
      <c r="Y100" s="884">
        <v>4977.989</v>
      </c>
      <c r="Z100" s="884" t="s">
        <v>194</v>
      </c>
      <c r="AA100" s="884" t="s">
        <v>194</v>
      </c>
      <c r="AB100" s="884" t="s">
        <v>194</v>
      </c>
      <c r="AC100" s="15"/>
      <c r="AD100" s="851" t="s">
        <v>194</v>
      </c>
      <c r="AE100" s="846" t="s">
        <v>194</v>
      </c>
      <c r="AF100" s="846" t="s">
        <v>194</v>
      </c>
      <c r="AG100" s="846" t="s">
        <v>194</v>
      </c>
      <c r="AH100" s="846" t="s">
        <v>194</v>
      </c>
      <c r="AI100" s="846" t="s">
        <v>194</v>
      </c>
      <c r="AJ100" s="846" t="s">
        <v>194</v>
      </c>
      <c r="AK100" s="846" t="s">
        <v>194</v>
      </c>
      <c r="AL100" s="846" t="s">
        <v>194</v>
      </c>
      <c r="AM100" s="846" t="s">
        <v>194</v>
      </c>
      <c r="AN100" s="846" t="s">
        <v>194</v>
      </c>
      <c r="AO100" s="846" t="s">
        <v>194</v>
      </c>
      <c r="AP100" s="846" t="s">
        <v>194</v>
      </c>
      <c r="AQ100" s="846" t="s">
        <v>194</v>
      </c>
      <c r="AR100" s="846" t="s">
        <v>194</v>
      </c>
      <c r="AS100" s="846" t="s">
        <v>194</v>
      </c>
      <c r="AT100" s="846" t="s">
        <v>194</v>
      </c>
      <c r="AU100" s="846" t="s">
        <v>194</v>
      </c>
      <c r="AV100" s="846" t="s">
        <v>194</v>
      </c>
      <c r="AW100" s="846" t="s">
        <v>194</v>
      </c>
      <c r="AX100" s="846" t="s">
        <v>194</v>
      </c>
      <c r="AY100" s="846" t="s">
        <v>194</v>
      </c>
    </row>
    <row r="101" ht="15.75" hidden="1" customHeight="1" outlineLevel="1">
      <c r="A101" s="849">
        <v>1.0</v>
      </c>
      <c r="B101" s="15"/>
      <c r="C101" s="855" t="s">
        <v>320</v>
      </c>
      <c r="D101" s="882">
        <v>1482.0</v>
      </c>
      <c r="E101" s="882">
        <v>24124.306846153846</v>
      </c>
      <c r="F101" s="882">
        <v>-1771.0</v>
      </c>
      <c r="G101" s="882">
        <v>166457.0</v>
      </c>
      <c r="H101" s="882">
        <v>601.0</v>
      </c>
      <c r="I101" s="882">
        <v>15926.0</v>
      </c>
      <c r="J101" s="882">
        <v>48284.4830078188</v>
      </c>
      <c r="K101" s="883">
        <v>2.0014868537255746</v>
      </c>
      <c r="L101" s="882" t="s">
        <v>194</v>
      </c>
      <c r="M101" s="879">
        <v>440.0</v>
      </c>
      <c r="N101" s="879">
        <v>763.0</v>
      </c>
      <c r="O101" s="879">
        <v>15926.0</v>
      </c>
      <c r="P101" s="879">
        <v>-1771.0</v>
      </c>
      <c r="Q101" s="879">
        <v>1427.0</v>
      </c>
      <c r="R101" s="879">
        <v>166457.0</v>
      </c>
      <c r="S101" s="879">
        <v>601.0</v>
      </c>
      <c r="T101" s="882">
        <v>509.0</v>
      </c>
      <c r="U101" s="882">
        <v>1482.0</v>
      </c>
      <c r="V101" s="882">
        <v>3015.0</v>
      </c>
      <c r="W101" s="882">
        <v>46412.0</v>
      </c>
      <c r="X101" s="882">
        <v>73377.0</v>
      </c>
      <c r="Y101" s="882">
        <v>4977.989</v>
      </c>
      <c r="Z101" s="882" t="s">
        <v>194</v>
      </c>
      <c r="AA101" s="882" t="s">
        <v>194</v>
      </c>
      <c r="AB101" s="882" t="s">
        <v>194</v>
      </c>
      <c r="AC101" s="15"/>
      <c r="AD101" s="851" t="s">
        <v>194</v>
      </c>
      <c r="AE101" s="846" t="s">
        <v>194</v>
      </c>
      <c r="AF101" s="846" t="s">
        <v>194</v>
      </c>
      <c r="AG101" s="846" t="s">
        <v>194</v>
      </c>
      <c r="AH101" s="846" t="s">
        <v>194</v>
      </c>
      <c r="AI101" s="846" t="s">
        <v>194</v>
      </c>
      <c r="AJ101" s="846" t="s">
        <v>194</v>
      </c>
      <c r="AK101" s="846" t="s">
        <v>194</v>
      </c>
      <c r="AL101" s="846" t="s">
        <v>194</v>
      </c>
      <c r="AM101" s="846" t="s">
        <v>194</v>
      </c>
      <c r="AN101" s="846" t="s">
        <v>194</v>
      </c>
      <c r="AO101" s="846" t="s">
        <v>194</v>
      </c>
      <c r="AP101" s="846" t="s">
        <v>194</v>
      </c>
      <c r="AQ101" s="846" t="s">
        <v>194</v>
      </c>
      <c r="AR101" s="846" t="s">
        <v>194</v>
      </c>
      <c r="AS101" s="846" t="s">
        <v>194</v>
      </c>
      <c r="AT101" s="846" t="s">
        <v>194</v>
      </c>
      <c r="AU101" s="846" t="s">
        <v>194</v>
      </c>
      <c r="AV101" s="846" t="s">
        <v>194</v>
      </c>
      <c r="AW101" s="846" t="s">
        <v>194</v>
      </c>
      <c r="AX101" s="846" t="s">
        <v>194</v>
      </c>
      <c r="AY101" s="846" t="s">
        <v>194</v>
      </c>
    </row>
    <row r="102" ht="15.75" customHeight="1">
      <c r="A102" s="849">
        <v>1.0</v>
      </c>
      <c r="B102" s="15"/>
      <c r="C102" s="855" t="s">
        <v>321</v>
      </c>
      <c r="D102" s="866" t="s">
        <v>194</v>
      </c>
      <c r="E102" s="866" t="s">
        <v>194</v>
      </c>
      <c r="F102" s="866" t="s">
        <v>194</v>
      </c>
      <c r="G102" s="866" t="s">
        <v>194</v>
      </c>
      <c r="H102" s="866" t="s">
        <v>194</v>
      </c>
      <c r="I102" s="866" t="s">
        <v>194</v>
      </c>
      <c r="J102" s="866" t="s">
        <v>194</v>
      </c>
      <c r="K102" s="867" t="s">
        <v>194</v>
      </c>
      <c r="L102" s="866" t="s">
        <v>194</v>
      </c>
      <c r="M102" s="868" t="s">
        <v>194</v>
      </c>
      <c r="N102" s="868" t="s">
        <v>194</v>
      </c>
      <c r="O102" s="868" t="s">
        <v>194</v>
      </c>
      <c r="P102" s="868" t="s">
        <v>194</v>
      </c>
      <c r="Q102" s="868" t="s">
        <v>194</v>
      </c>
      <c r="R102" s="868" t="s">
        <v>194</v>
      </c>
      <c r="S102" s="868" t="s">
        <v>194</v>
      </c>
      <c r="T102" s="866" t="s">
        <v>194</v>
      </c>
      <c r="U102" s="866" t="s">
        <v>194</v>
      </c>
      <c r="V102" s="866" t="s">
        <v>194</v>
      </c>
      <c r="W102" s="866" t="s">
        <v>194</v>
      </c>
      <c r="X102" s="866" t="s">
        <v>194</v>
      </c>
      <c r="Y102" s="866" t="s">
        <v>194</v>
      </c>
      <c r="Z102" s="866" t="s">
        <v>194</v>
      </c>
      <c r="AA102" s="866" t="s">
        <v>194</v>
      </c>
      <c r="AB102" s="866" t="s">
        <v>194</v>
      </c>
      <c r="AC102" s="15"/>
      <c r="AD102" s="851" t="s">
        <v>194</v>
      </c>
      <c r="AE102" s="846" t="s">
        <v>194</v>
      </c>
      <c r="AF102" s="846" t="s">
        <v>194</v>
      </c>
      <c r="AG102" s="846" t="s">
        <v>194</v>
      </c>
      <c r="AH102" s="846" t="s">
        <v>194</v>
      </c>
      <c r="AI102" s="846" t="s">
        <v>194</v>
      </c>
      <c r="AJ102" s="846" t="s">
        <v>194</v>
      </c>
      <c r="AK102" s="846" t="s">
        <v>194</v>
      </c>
      <c r="AL102" s="846" t="s">
        <v>194</v>
      </c>
      <c r="AM102" s="846" t="s">
        <v>194</v>
      </c>
      <c r="AN102" s="846" t="s">
        <v>194</v>
      </c>
      <c r="AO102" s="846" t="s">
        <v>194</v>
      </c>
      <c r="AP102" s="846" t="s">
        <v>194</v>
      </c>
      <c r="AQ102" s="846" t="s">
        <v>194</v>
      </c>
      <c r="AR102" s="846" t="s">
        <v>194</v>
      </c>
      <c r="AS102" s="846" t="s">
        <v>194</v>
      </c>
      <c r="AT102" s="846" t="s">
        <v>194</v>
      </c>
      <c r="AU102" s="846" t="s">
        <v>194</v>
      </c>
      <c r="AV102" s="846" t="s">
        <v>194</v>
      </c>
      <c r="AW102" s="846" t="s">
        <v>194</v>
      </c>
      <c r="AX102" s="846" t="s">
        <v>194</v>
      </c>
      <c r="AY102" s="846" t="s">
        <v>194</v>
      </c>
    </row>
    <row r="103" ht="15.75" customHeight="1" outlineLevel="1">
      <c r="A103" s="849">
        <v>1.0</v>
      </c>
      <c r="B103" s="15"/>
      <c r="C103" s="869" t="s">
        <v>322</v>
      </c>
      <c r="D103" s="870">
        <v>1151.594</v>
      </c>
      <c r="E103" s="870">
        <v>5990.199538461538</v>
      </c>
      <c r="F103" s="870">
        <v>-30447.0</v>
      </c>
      <c r="G103" s="870">
        <v>44496.0</v>
      </c>
      <c r="H103" s="870">
        <v>-1021.0</v>
      </c>
      <c r="I103" s="870">
        <v>13051.0</v>
      </c>
      <c r="J103" s="870">
        <v>19447.21244613915</v>
      </c>
      <c r="K103" s="871">
        <v>3.2465049488374427</v>
      </c>
      <c r="L103" s="872" t="s">
        <v>194</v>
      </c>
      <c r="M103" s="873">
        <v>-233.0</v>
      </c>
      <c r="N103" s="873">
        <v>3853.0</v>
      </c>
      <c r="O103" s="873">
        <v>-2144.0</v>
      </c>
      <c r="P103" s="873">
        <v>-1021.0</v>
      </c>
      <c r="Q103" s="873">
        <v>4097.0</v>
      </c>
      <c r="R103" s="873">
        <v>13051.0</v>
      </c>
      <c r="S103" s="873">
        <v>44496.0</v>
      </c>
      <c r="T103" s="872">
        <v>-174.0</v>
      </c>
      <c r="U103" s="872">
        <v>-30447.0</v>
      </c>
      <c r="V103" s="872">
        <v>-9019.0</v>
      </c>
      <c r="W103" s="872">
        <v>40080.0</v>
      </c>
      <c r="X103" s="872">
        <v>14182.0</v>
      </c>
      <c r="Y103" s="872">
        <v>1151.594</v>
      </c>
      <c r="Z103" s="872" t="s">
        <v>194</v>
      </c>
      <c r="AA103" s="872" t="s">
        <v>194</v>
      </c>
      <c r="AB103" s="872" t="s">
        <v>194</v>
      </c>
      <c r="AC103" s="15"/>
      <c r="AD103" s="851" t="s">
        <v>194</v>
      </c>
      <c r="AE103" s="846" t="s">
        <v>194</v>
      </c>
      <c r="AF103" s="846" t="s">
        <v>194</v>
      </c>
      <c r="AG103" s="846" t="s">
        <v>194</v>
      </c>
      <c r="AH103" s="846" t="s">
        <v>194</v>
      </c>
      <c r="AI103" s="846" t="s">
        <v>194</v>
      </c>
      <c r="AJ103" s="846" t="s">
        <v>194</v>
      </c>
      <c r="AK103" s="846" t="s">
        <v>194</v>
      </c>
      <c r="AL103" s="846" t="s">
        <v>194</v>
      </c>
      <c r="AM103" s="846" t="s">
        <v>194</v>
      </c>
      <c r="AN103" s="846" t="s">
        <v>194</v>
      </c>
      <c r="AO103" s="846" t="s">
        <v>194</v>
      </c>
      <c r="AP103" s="846" t="s">
        <v>194</v>
      </c>
      <c r="AQ103" s="846" t="s">
        <v>194</v>
      </c>
      <c r="AR103" s="846" t="s">
        <v>194</v>
      </c>
      <c r="AS103" s="846" t="s">
        <v>194</v>
      </c>
      <c r="AT103" s="846" t="s">
        <v>194</v>
      </c>
      <c r="AU103" s="846" t="s">
        <v>194</v>
      </c>
      <c r="AV103" s="846" t="s">
        <v>194</v>
      </c>
      <c r="AW103" s="846" t="s">
        <v>194</v>
      </c>
      <c r="AX103" s="846" t="s">
        <v>194</v>
      </c>
      <c r="AY103" s="846" t="s">
        <v>194</v>
      </c>
    </row>
    <row r="104" ht="15.75" customHeight="1" outlineLevel="1">
      <c r="A104" s="849">
        <v>1.0</v>
      </c>
      <c r="B104" s="15"/>
      <c r="C104" s="869" t="s">
        <v>323</v>
      </c>
      <c r="D104" s="870">
        <v>-15.5</v>
      </c>
      <c r="E104" s="870">
        <v>64.75</v>
      </c>
      <c r="F104" s="870">
        <v>-81.0</v>
      </c>
      <c r="G104" s="870">
        <v>371.0</v>
      </c>
      <c r="H104" s="870">
        <v>-43.5</v>
      </c>
      <c r="I104" s="870">
        <v>92.75</v>
      </c>
      <c r="J104" s="870">
        <v>206.8757678737008</v>
      </c>
      <c r="K104" s="871">
        <v>3.194992554033989</v>
      </c>
      <c r="L104" s="872" t="s">
        <v>194</v>
      </c>
      <c r="M104" s="873" t="s">
        <v>194</v>
      </c>
      <c r="N104" s="873" t="s">
        <v>194</v>
      </c>
      <c r="O104" s="873">
        <v>0.0</v>
      </c>
      <c r="P104" s="873" t="s">
        <v>194</v>
      </c>
      <c r="Q104" s="873">
        <v>-31.0</v>
      </c>
      <c r="R104" s="873">
        <v>-81.0</v>
      </c>
      <c r="S104" s="873">
        <v>371.0</v>
      </c>
      <c r="T104" s="872" t="s">
        <v>194</v>
      </c>
      <c r="U104" s="872" t="s">
        <v>194</v>
      </c>
      <c r="V104" s="872" t="s">
        <v>194</v>
      </c>
      <c r="W104" s="872" t="s">
        <v>194</v>
      </c>
      <c r="X104" s="872" t="s">
        <v>194</v>
      </c>
      <c r="Y104" s="872" t="s">
        <v>194</v>
      </c>
      <c r="Z104" s="872" t="s">
        <v>194</v>
      </c>
      <c r="AA104" s="872" t="s">
        <v>194</v>
      </c>
      <c r="AB104" s="872" t="s">
        <v>194</v>
      </c>
      <c r="AC104" s="15"/>
      <c r="AD104" s="851" t="s">
        <v>194</v>
      </c>
      <c r="AE104" s="846" t="s">
        <v>194</v>
      </c>
      <c r="AF104" s="846" t="s">
        <v>194</v>
      </c>
      <c r="AG104" s="846" t="s">
        <v>194</v>
      </c>
      <c r="AH104" s="846" t="s">
        <v>194</v>
      </c>
      <c r="AI104" s="846" t="s">
        <v>194</v>
      </c>
      <c r="AJ104" s="846" t="s">
        <v>194</v>
      </c>
      <c r="AK104" s="846" t="s">
        <v>194</v>
      </c>
      <c r="AL104" s="846" t="s">
        <v>194</v>
      </c>
      <c r="AM104" s="846" t="s">
        <v>194</v>
      </c>
      <c r="AN104" s="846" t="s">
        <v>194</v>
      </c>
      <c r="AO104" s="846" t="s">
        <v>194</v>
      </c>
      <c r="AP104" s="846" t="s">
        <v>194</v>
      </c>
      <c r="AQ104" s="846" t="s">
        <v>194</v>
      </c>
      <c r="AR104" s="846" t="s">
        <v>194</v>
      </c>
      <c r="AS104" s="846" t="s">
        <v>194</v>
      </c>
      <c r="AT104" s="846" t="s">
        <v>194</v>
      </c>
      <c r="AU104" s="846" t="s">
        <v>194</v>
      </c>
      <c r="AV104" s="846" t="s">
        <v>194</v>
      </c>
      <c r="AW104" s="846" t="s">
        <v>194</v>
      </c>
      <c r="AX104" s="846" t="s">
        <v>194</v>
      </c>
      <c r="AY104" s="846" t="s">
        <v>194</v>
      </c>
    </row>
    <row r="105" ht="15.75" customHeight="1" outlineLevel="1">
      <c r="A105" s="849">
        <v>1.0</v>
      </c>
      <c r="B105" s="15"/>
      <c r="C105" s="869" t="s">
        <v>324</v>
      </c>
      <c r="D105" s="870">
        <v>18986.0</v>
      </c>
      <c r="E105" s="870">
        <v>23679.427384615385</v>
      </c>
      <c r="F105" s="870">
        <v>2757.556</v>
      </c>
      <c r="G105" s="870">
        <v>58171.0</v>
      </c>
      <c r="H105" s="870">
        <v>18298.0</v>
      </c>
      <c r="I105" s="870">
        <v>23052.0</v>
      </c>
      <c r="J105" s="870">
        <v>15729.855873652574</v>
      </c>
      <c r="K105" s="871">
        <v>0.6642836255353168</v>
      </c>
      <c r="L105" s="872" t="s">
        <v>194</v>
      </c>
      <c r="M105" s="873">
        <v>18531.0</v>
      </c>
      <c r="N105" s="873">
        <v>18298.0</v>
      </c>
      <c r="O105" s="873">
        <v>22151.0</v>
      </c>
      <c r="P105" s="873">
        <v>20007.0</v>
      </c>
      <c r="Q105" s="873">
        <v>18986.0</v>
      </c>
      <c r="R105" s="873">
        <v>23052.0</v>
      </c>
      <c r="S105" s="873">
        <v>36022.0</v>
      </c>
      <c r="T105" s="872">
        <v>18705.0</v>
      </c>
      <c r="U105" s="872">
        <v>49152.0</v>
      </c>
      <c r="V105" s="872">
        <v>58171.0</v>
      </c>
      <c r="W105" s="872">
        <v>18091.0</v>
      </c>
      <c r="X105" s="872">
        <v>3909.0</v>
      </c>
      <c r="Y105" s="872">
        <v>2757.556</v>
      </c>
      <c r="Z105" s="872" t="s">
        <v>194</v>
      </c>
      <c r="AA105" s="872" t="s">
        <v>194</v>
      </c>
      <c r="AB105" s="872" t="s">
        <v>194</v>
      </c>
      <c r="AC105" s="15"/>
      <c r="AD105" s="851" t="s">
        <v>194</v>
      </c>
      <c r="AE105" s="846" t="s">
        <v>194</v>
      </c>
      <c r="AF105" s="846" t="s">
        <v>194</v>
      </c>
      <c r="AG105" s="846" t="s">
        <v>194</v>
      </c>
      <c r="AH105" s="846" t="s">
        <v>194</v>
      </c>
      <c r="AI105" s="846" t="s">
        <v>194</v>
      </c>
      <c r="AJ105" s="846" t="s">
        <v>194</v>
      </c>
      <c r="AK105" s="846" t="s">
        <v>194</v>
      </c>
      <c r="AL105" s="846" t="s">
        <v>194</v>
      </c>
      <c r="AM105" s="846" t="s">
        <v>194</v>
      </c>
      <c r="AN105" s="846" t="s">
        <v>194</v>
      </c>
      <c r="AO105" s="846" t="s">
        <v>194</v>
      </c>
      <c r="AP105" s="846" t="s">
        <v>194</v>
      </c>
      <c r="AQ105" s="846" t="s">
        <v>194</v>
      </c>
      <c r="AR105" s="846" t="s">
        <v>194</v>
      </c>
      <c r="AS105" s="846" t="s">
        <v>194</v>
      </c>
      <c r="AT105" s="846" t="s">
        <v>194</v>
      </c>
      <c r="AU105" s="846" t="s">
        <v>194</v>
      </c>
      <c r="AV105" s="846" t="s">
        <v>194</v>
      </c>
      <c r="AW105" s="846" t="s">
        <v>194</v>
      </c>
      <c r="AX105" s="846" t="s">
        <v>194</v>
      </c>
      <c r="AY105" s="846" t="s">
        <v>194</v>
      </c>
    </row>
    <row r="106" ht="15.75" customHeight="1" outlineLevel="1">
      <c r="A106" s="849">
        <v>1.0</v>
      </c>
      <c r="B106" s="15"/>
      <c r="C106" s="855" t="s">
        <v>325</v>
      </c>
      <c r="D106" s="882">
        <v>20007.0</v>
      </c>
      <c r="E106" s="882">
        <v>29689.550000000003</v>
      </c>
      <c r="F106" s="882">
        <v>3909.15</v>
      </c>
      <c r="G106" s="882">
        <v>80889.0</v>
      </c>
      <c r="H106" s="882">
        <v>18531.0</v>
      </c>
      <c r="I106" s="882">
        <v>36022.0</v>
      </c>
      <c r="J106" s="882">
        <v>21084.679459839237</v>
      </c>
      <c r="K106" s="883">
        <v>0.7101717425774131</v>
      </c>
      <c r="L106" s="882" t="s">
        <v>194</v>
      </c>
      <c r="M106" s="879">
        <v>18298.0</v>
      </c>
      <c r="N106" s="879">
        <v>22151.0</v>
      </c>
      <c r="O106" s="879">
        <v>20007.0</v>
      </c>
      <c r="P106" s="879">
        <v>18986.0</v>
      </c>
      <c r="Q106" s="879">
        <v>23052.0</v>
      </c>
      <c r="R106" s="879">
        <v>36022.0</v>
      </c>
      <c r="S106" s="879">
        <v>80889.0</v>
      </c>
      <c r="T106" s="882">
        <v>18531.0</v>
      </c>
      <c r="U106" s="882">
        <v>18705.0</v>
      </c>
      <c r="V106" s="882">
        <v>49152.0</v>
      </c>
      <c r="W106" s="882">
        <v>58171.0</v>
      </c>
      <c r="X106" s="882">
        <v>18091.0</v>
      </c>
      <c r="Y106" s="882">
        <v>3909.15</v>
      </c>
      <c r="Z106" s="882" t="s">
        <v>194</v>
      </c>
      <c r="AA106" s="882" t="s">
        <v>194</v>
      </c>
      <c r="AB106" s="882" t="s">
        <v>194</v>
      </c>
      <c r="AC106" s="15"/>
      <c r="AD106" s="851" t="s">
        <v>194</v>
      </c>
      <c r="AE106" s="846" t="s">
        <v>194</v>
      </c>
      <c r="AF106" s="846" t="s">
        <v>194</v>
      </c>
      <c r="AG106" s="846" t="s">
        <v>194</v>
      </c>
      <c r="AH106" s="846" t="s">
        <v>194</v>
      </c>
      <c r="AI106" s="846" t="s">
        <v>194</v>
      </c>
      <c r="AJ106" s="846" t="s">
        <v>194</v>
      </c>
      <c r="AK106" s="846" t="s">
        <v>194</v>
      </c>
      <c r="AL106" s="846" t="s">
        <v>194</v>
      </c>
      <c r="AM106" s="846" t="s">
        <v>194</v>
      </c>
      <c r="AN106" s="846" t="s">
        <v>194</v>
      </c>
      <c r="AO106" s="846" t="s">
        <v>194</v>
      </c>
      <c r="AP106" s="846" t="s">
        <v>194</v>
      </c>
      <c r="AQ106" s="846" t="s">
        <v>194</v>
      </c>
      <c r="AR106" s="846" t="s">
        <v>194</v>
      </c>
      <c r="AS106" s="846" t="s">
        <v>194</v>
      </c>
      <c r="AT106" s="846" t="s">
        <v>194</v>
      </c>
      <c r="AU106" s="846" t="s">
        <v>194</v>
      </c>
      <c r="AV106" s="846" t="s">
        <v>194</v>
      </c>
      <c r="AW106" s="846" t="s">
        <v>194</v>
      </c>
      <c r="AX106" s="846" t="s">
        <v>194</v>
      </c>
      <c r="AY106" s="846" t="s">
        <v>194</v>
      </c>
    </row>
    <row r="107" ht="15.75" customHeight="1">
      <c r="A107" s="849">
        <v>1.0</v>
      </c>
      <c r="B107" s="15"/>
      <c r="C107" s="855" t="s">
        <v>326</v>
      </c>
      <c r="D107" s="867" t="s">
        <v>194</v>
      </c>
      <c r="E107" s="867" t="s">
        <v>194</v>
      </c>
      <c r="F107" s="867" t="s">
        <v>194</v>
      </c>
      <c r="G107" s="867" t="s">
        <v>194</v>
      </c>
      <c r="H107" s="867" t="s">
        <v>194</v>
      </c>
      <c r="I107" s="867" t="s">
        <v>194</v>
      </c>
      <c r="J107" s="867" t="s">
        <v>194</v>
      </c>
      <c r="K107" s="867" t="s">
        <v>194</v>
      </c>
      <c r="L107" s="867" t="s">
        <v>194</v>
      </c>
      <c r="M107" s="885" t="s">
        <v>194</v>
      </c>
      <c r="N107" s="885" t="s">
        <v>194</v>
      </c>
      <c r="O107" s="885" t="s">
        <v>194</v>
      </c>
      <c r="P107" s="885" t="s">
        <v>194</v>
      </c>
      <c r="Q107" s="885" t="s">
        <v>194</v>
      </c>
      <c r="R107" s="885" t="s">
        <v>194</v>
      </c>
      <c r="S107" s="885" t="s">
        <v>194</v>
      </c>
      <c r="T107" s="867" t="s">
        <v>194</v>
      </c>
      <c r="U107" s="867" t="s">
        <v>194</v>
      </c>
      <c r="V107" s="867" t="s">
        <v>194</v>
      </c>
      <c r="W107" s="867" t="s">
        <v>194</v>
      </c>
      <c r="X107" s="867" t="s">
        <v>194</v>
      </c>
      <c r="Y107" s="867" t="s">
        <v>194</v>
      </c>
      <c r="Z107" s="867" t="s">
        <v>194</v>
      </c>
      <c r="AA107" s="867" t="s">
        <v>194</v>
      </c>
      <c r="AB107" s="867" t="s">
        <v>194</v>
      </c>
      <c r="AC107" s="15"/>
      <c r="AD107" s="851" t="s">
        <v>194</v>
      </c>
      <c r="AE107" s="846" t="s">
        <v>194</v>
      </c>
      <c r="AF107" s="846" t="s">
        <v>194</v>
      </c>
      <c r="AG107" s="846" t="s">
        <v>194</v>
      </c>
      <c r="AH107" s="846" t="s">
        <v>194</v>
      </c>
      <c r="AI107" s="846" t="s">
        <v>194</v>
      </c>
      <c r="AJ107" s="846" t="s">
        <v>194</v>
      </c>
      <c r="AK107" s="846" t="s">
        <v>194</v>
      </c>
      <c r="AL107" s="846" t="s">
        <v>194</v>
      </c>
      <c r="AM107" s="846" t="s">
        <v>194</v>
      </c>
      <c r="AN107" s="846" t="s">
        <v>194</v>
      </c>
      <c r="AO107" s="846" t="s">
        <v>194</v>
      </c>
      <c r="AP107" s="846" t="s">
        <v>194</v>
      </c>
      <c r="AQ107" s="846" t="s">
        <v>194</v>
      </c>
      <c r="AR107" s="846" t="s">
        <v>194</v>
      </c>
      <c r="AS107" s="846" t="s">
        <v>194</v>
      </c>
      <c r="AT107" s="846" t="s">
        <v>194</v>
      </c>
      <c r="AU107" s="846" t="s">
        <v>194</v>
      </c>
      <c r="AV107" s="846" t="s">
        <v>194</v>
      </c>
      <c r="AW107" s="846" t="s">
        <v>194</v>
      </c>
      <c r="AX107" s="846" t="s">
        <v>194</v>
      </c>
      <c r="AY107" s="846" t="s">
        <v>194</v>
      </c>
    </row>
    <row r="108" ht="15.75" customHeight="1" outlineLevel="1">
      <c r="A108" s="849">
        <v>1.0</v>
      </c>
      <c r="B108" s="15"/>
      <c r="C108" s="869" t="s">
        <v>327</v>
      </c>
      <c r="D108" s="870">
        <v>1151.594</v>
      </c>
      <c r="E108" s="870">
        <v>6010.1226153846155</v>
      </c>
      <c r="F108" s="870">
        <v>-30447.0</v>
      </c>
      <c r="G108" s="870">
        <v>44867.0</v>
      </c>
      <c r="H108" s="870">
        <v>-1021.0</v>
      </c>
      <c r="I108" s="870">
        <v>12970.0</v>
      </c>
      <c r="J108" s="870">
        <v>19506.438464144318</v>
      </c>
      <c r="K108" s="871">
        <v>3.2455974216253174</v>
      </c>
      <c r="L108" s="872" t="s">
        <v>194</v>
      </c>
      <c r="M108" s="873">
        <v>-233.0</v>
      </c>
      <c r="N108" s="873">
        <v>3853.0</v>
      </c>
      <c r="O108" s="873">
        <v>-2144.0</v>
      </c>
      <c r="P108" s="873">
        <v>-1021.0</v>
      </c>
      <c r="Q108" s="873">
        <v>4066.0</v>
      </c>
      <c r="R108" s="873">
        <v>12970.0</v>
      </c>
      <c r="S108" s="873">
        <v>44867.0</v>
      </c>
      <c r="T108" s="872">
        <v>-174.0</v>
      </c>
      <c r="U108" s="872">
        <v>-30447.0</v>
      </c>
      <c r="V108" s="872">
        <v>-9019.0</v>
      </c>
      <c r="W108" s="872">
        <v>40080.0</v>
      </c>
      <c r="X108" s="872">
        <v>14182.0</v>
      </c>
      <c r="Y108" s="872">
        <v>1151.594</v>
      </c>
      <c r="Z108" s="872" t="s">
        <v>194</v>
      </c>
      <c r="AA108" s="872" t="s">
        <v>194</v>
      </c>
      <c r="AB108" s="872" t="s">
        <v>194</v>
      </c>
      <c r="AC108" s="15"/>
      <c r="AD108" s="851" t="s">
        <v>194</v>
      </c>
      <c r="AE108" s="846" t="s">
        <v>194</v>
      </c>
      <c r="AF108" s="846" t="s">
        <v>194</v>
      </c>
      <c r="AG108" s="846" t="s">
        <v>194</v>
      </c>
      <c r="AH108" s="846" t="s">
        <v>194</v>
      </c>
      <c r="AI108" s="846" t="s">
        <v>194</v>
      </c>
      <c r="AJ108" s="846" t="s">
        <v>194</v>
      </c>
      <c r="AK108" s="846" t="s">
        <v>194</v>
      </c>
      <c r="AL108" s="846" t="s">
        <v>194</v>
      </c>
      <c r="AM108" s="846" t="s">
        <v>194</v>
      </c>
      <c r="AN108" s="846" t="s">
        <v>194</v>
      </c>
      <c r="AO108" s="846" t="s">
        <v>194</v>
      </c>
      <c r="AP108" s="846" t="s">
        <v>194</v>
      </c>
      <c r="AQ108" s="846" t="s">
        <v>194</v>
      </c>
      <c r="AR108" s="846" t="s">
        <v>194</v>
      </c>
      <c r="AS108" s="846" t="s">
        <v>194</v>
      </c>
      <c r="AT108" s="846" t="s">
        <v>194</v>
      </c>
      <c r="AU108" s="846" t="s">
        <v>194</v>
      </c>
      <c r="AV108" s="846" t="s">
        <v>194</v>
      </c>
      <c r="AW108" s="846" t="s">
        <v>194</v>
      </c>
      <c r="AX108" s="846" t="s">
        <v>194</v>
      </c>
      <c r="AY108" s="846" t="s">
        <v>194</v>
      </c>
    </row>
    <row r="109" ht="15.75" customHeight="1" outlineLevel="1">
      <c r="A109" s="849">
        <v>1.0</v>
      </c>
      <c r="B109" s="15"/>
      <c r="C109" s="869" t="s">
        <v>328</v>
      </c>
      <c r="D109" s="870">
        <v>-371.5</v>
      </c>
      <c r="E109" s="870">
        <v>-1063.0</v>
      </c>
      <c r="F109" s="870">
        <v>-6218.0</v>
      </c>
      <c r="G109" s="870">
        <v>-112.0</v>
      </c>
      <c r="H109" s="870">
        <v>-745.25</v>
      </c>
      <c r="I109" s="870">
        <v>-153.75</v>
      </c>
      <c r="J109" s="870">
        <v>1870.799650773255</v>
      </c>
      <c r="K109" s="871">
        <v>-1.7599244127688194</v>
      </c>
      <c r="L109" s="872" t="s">
        <v>194</v>
      </c>
      <c r="M109" s="873">
        <v>-135.0</v>
      </c>
      <c r="N109" s="873">
        <v>-112.0</v>
      </c>
      <c r="O109" s="873">
        <v>-148.0</v>
      </c>
      <c r="P109" s="873">
        <v>-384.0</v>
      </c>
      <c r="Q109" s="873">
        <v>-359.0</v>
      </c>
      <c r="R109" s="873">
        <v>-1648.0</v>
      </c>
      <c r="S109" s="873">
        <v>-763.0</v>
      </c>
      <c r="T109" s="872">
        <v>-171.0</v>
      </c>
      <c r="U109" s="872">
        <v>-692.0</v>
      </c>
      <c r="V109" s="872">
        <v>-6218.0</v>
      </c>
      <c r="W109" s="872" t="s">
        <v>194</v>
      </c>
      <c r="X109" s="872" t="s">
        <v>194</v>
      </c>
      <c r="Y109" s="872" t="s">
        <v>194</v>
      </c>
      <c r="Z109" s="872" t="s">
        <v>194</v>
      </c>
      <c r="AA109" s="872" t="s">
        <v>194</v>
      </c>
      <c r="AB109" s="872" t="s">
        <v>194</v>
      </c>
      <c r="AC109" s="15"/>
      <c r="AD109" s="851" t="s">
        <v>194</v>
      </c>
      <c r="AE109" s="846" t="s">
        <v>194</v>
      </c>
      <c r="AF109" s="846" t="s">
        <v>194</v>
      </c>
      <c r="AG109" s="846" t="s">
        <v>194</v>
      </c>
      <c r="AH109" s="846" t="s">
        <v>194</v>
      </c>
      <c r="AI109" s="846" t="s">
        <v>194</v>
      </c>
      <c r="AJ109" s="846" t="s">
        <v>194</v>
      </c>
      <c r="AK109" s="846" t="s">
        <v>194</v>
      </c>
      <c r="AL109" s="846" t="s">
        <v>194</v>
      </c>
      <c r="AM109" s="846" t="s">
        <v>194</v>
      </c>
      <c r="AN109" s="846" t="s">
        <v>194</v>
      </c>
      <c r="AO109" s="846" t="s">
        <v>194</v>
      </c>
      <c r="AP109" s="846" t="s">
        <v>194</v>
      </c>
      <c r="AQ109" s="846" t="s">
        <v>194</v>
      </c>
      <c r="AR109" s="846" t="s">
        <v>194</v>
      </c>
      <c r="AS109" s="846" t="s">
        <v>194</v>
      </c>
      <c r="AT109" s="846" t="s">
        <v>194</v>
      </c>
      <c r="AU109" s="846" t="s">
        <v>194</v>
      </c>
      <c r="AV109" s="846" t="s">
        <v>194</v>
      </c>
      <c r="AW109" s="846" t="s">
        <v>194</v>
      </c>
      <c r="AX109" s="846" t="s">
        <v>194</v>
      </c>
      <c r="AY109" s="846" t="s">
        <v>194</v>
      </c>
    </row>
    <row r="110" ht="15.75" customHeight="1" outlineLevel="1">
      <c r="A110" s="849">
        <v>1.0</v>
      </c>
      <c r="B110" s="15"/>
      <c r="C110" s="869" t="s">
        <v>329</v>
      </c>
      <c r="D110" s="870">
        <v>-621.0</v>
      </c>
      <c r="E110" s="870">
        <v>-1604.25</v>
      </c>
      <c r="F110" s="870">
        <v>-7836.0</v>
      </c>
      <c r="G110" s="870">
        <v>0.0</v>
      </c>
      <c r="H110" s="870">
        <v>-1836.25</v>
      </c>
      <c r="I110" s="870">
        <v>-102.0</v>
      </c>
      <c r="J110" s="870">
        <v>2369.6086798149913</v>
      </c>
      <c r="K110" s="871">
        <v>-1.4770819260183832</v>
      </c>
      <c r="L110" s="872" t="s">
        <v>194</v>
      </c>
      <c r="M110" s="873">
        <v>-295.0</v>
      </c>
      <c r="N110" s="873">
        <v>-132.0</v>
      </c>
      <c r="O110" s="873">
        <v>-856.0</v>
      </c>
      <c r="P110" s="873">
        <v>-1044.0</v>
      </c>
      <c r="Q110" s="873">
        <v>-1273.0</v>
      </c>
      <c r="R110" s="873">
        <v>-3888.0</v>
      </c>
      <c r="S110" s="873">
        <v>-7836.0</v>
      </c>
      <c r="T110" s="872">
        <v>0.0</v>
      </c>
      <c r="U110" s="872">
        <v>-3.0</v>
      </c>
      <c r="V110" s="872">
        <v>-12.0</v>
      </c>
      <c r="W110" s="872">
        <v>-386.0</v>
      </c>
      <c r="X110" s="872">
        <v>-3526.0</v>
      </c>
      <c r="Y110" s="872" t="s">
        <v>194</v>
      </c>
      <c r="Z110" s="872" t="s">
        <v>194</v>
      </c>
      <c r="AA110" s="872" t="s">
        <v>194</v>
      </c>
      <c r="AB110" s="872" t="s">
        <v>194</v>
      </c>
      <c r="AC110" s="15"/>
      <c r="AD110" s="851" t="s">
        <v>194</v>
      </c>
      <c r="AE110" s="846" t="s">
        <v>194</v>
      </c>
      <c r="AF110" s="846" t="s">
        <v>194</v>
      </c>
      <c r="AG110" s="846" t="s">
        <v>194</v>
      </c>
      <c r="AH110" s="846" t="s">
        <v>194</v>
      </c>
      <c r="AI110" s="846" t="s">
        <v>194</v>
      </c>
      <c r="AJ110" s="846" t="s">
        <v>194</v>
      </c>
      <c r="AK110" s="846" t="s">
        <v>194</v>
      </c>
      <c r="AL110" s="846" t="s">
        <v>194</v>
      </c>
      <c r="AM110" s="846" t="s">
        <v>194</v>
      </c>
      <c r="AN110" s="846" t="s">
        <v>194</v>
      </c>
      <c r="AO110" s="846" t="s">
        <v>194</v>
      </c>
      <c r="AP110" s="846" t="s">
        <v>194</v>
      </c>
      <c r="AQ110" s="846" t="s">
        <v>194</v>
      </c>
      <c r="AR110" s="846" t="s">
        <v>194</v>
      </c>
      <c r="AS110" s="846" t="s">
        <v>194</v>
      </c>
      <c r="AT110" s="846" t="s">
        <v>194</v>
      </c>
      <c r="AU110" s="846" t="s">
        <v>194</v>
      </c>
      <c r="AV110" s="846" t="s">
        <v>194</v>
      </c>
      <c r="AW110" s="846" t="s">
        <v>194</v>
      </c>
      <c r="AX110" s="846" t="s">
        <v>194</v>
      </c>
      <c r="AY110" s="846" t="s">
        <v>194</v>
      </c>
    </row>
    <row r="111" ht="15.75" customHeight="1" outlineLevel="1">
      <c r="A111" s="849">
        <v>1.0</v>
      </c>
      <c r="B111" s="15"/>
      <c r="C111" s="869" t="s">
        <v>330</v>
      </c>
      <c r="D111" s="870">
        <v>-627.0</v>
      </c>
      <c r="E111" s="870">
        <v>-5027.666666666667</v>
      </c>
      <c r="F111" s="870">
        <v>-30447.0</v>
      </c>
      <c r="G111" s="870">
        <v>3853.0</v>
      </c>
      <c r="H111" s="870">
        <v>-1863.25</v>
      </c>
      <c r="I111" s="870">
        <v>-188.75</v>
      </c>
      <c r="J111" s="870">
        <v>12616.850378230958</v>
      </c>
      <c r="K111" s="871">
        <v>-2.5094842627257754</v>
      </c>
      <c r="L111" s="872" t="s">
        <v>194</v>
      </c>
      <c r="M111" s="873">
        <v>-233.0</v>
      </c>
      <c r="N111" s="873">
        <v>3853.0</v>
      </c>
      <c r="O111" s="873">
        <v>-2144.0</v>
      </c>
      <c r="P111" s="873">
        <v>-1021.0</v>
      </c>
      <c r="Q111" s="873" t="s">
        <v>194</v>
      </c>
      <c r="R111" s="873" t="s">
        <v>194</v>
      </c>
      <c r="S111" s="873" t="s">
        <v>194</v>
      </c>
      <c r="T111" s="872">
        <v>-174.0</v>
      </c>
      <c r="U111" s="872">
        <v>-30447.0</v>
      </c>
      <c r="V111" s="872" t="s">
        <v>194</v>
      </c>
      <c r="W111" s="872" t="s">
        <v>194</v>
      </c>
      <c r="X111" s="872" t="s">
        <v>194</v>
      </c>
      <c r="Y111" s="872" t="s">
        <v>194</v>
      </c>
      <c r="Z111" s="872" t="s">
        <v>194</v>
      </c>
      <c r="AA111" s="872" t="s">
        <v>194</v>
      </c>
      <c r="AB111" s="872" t="s">
        <v>194</v>
      </c>
      <c r="AC111" s="15"/>
      <c r="AD111" s="851" t="s">
        <v>194</v>
      </c>
      <c r="AE111" s="846" t="s">
        <v>194</v>
      </c>
      <c r="AF111" s="846" t="s">
        <v>194</v>
      </c>
      <c r="AG111" s="846" t="s">
        <v>194</v>
      </c>
      <c r="AH111" s="846" t="s">
        <v>194</v>
      </c>
      <c r="AI111" s="846" t="s">
        <v>194</v>
      </c>
      <c r="AJ111" s="846" t="s">
        <v>194</v>
      </c>
      <c r="AK111" s="846" t="s">
        <v>194</v>
      </c>
      <c r="AL111" s="846" t="s">
        <v>194</v>
      </c>
      <c r="AM111" s="846" t="s">
        <v>194</v>
      </c>
      <c r="AN111" s="846" t="s">
        <v>194</v>
      </c>
      <c r="AO111" s="846" t="s">
        <v>194</v>
      </c>
      <c r="AP111" s="846" t="s">
        <v>194</v>
      </c>
      <c r="AQ111" s="846" t="s">
        <v>194</v>
      </c>
      <c r="AR111" s="846" t="s">
        <v>194</v>
      </c>
      <c r="AS111" s="846" t="s">
        <v>194</v>
      </c>
      <c r="AT111" s="846" t="s">
        <v>194</v>
      </c>
      <c r="AU111" s="846" t="s">
        <v>194</v>
      </c>
      <c r="AV111" s="846" t="s">
        <v>194</v>
      </c>
      <c r="AW111" s="846" t="s">
        <v>194</v>
      </c>
      <c r="AX111" s="846" t="s">
        <v>194</v>
      </c>
      <c r="AY111" s="846" t="s">
        <v>194</v>
      </c>
    </row>
    <row r="112" ht="15.75" customHeight="1">
      <c r="A112" s="849">
        <v>1.0</v>
      </c>
      <c r="B112" s="15"/>
      <c r="C112" s="855" t="s">
        <v>331</v>
      </c>
      <c r="D112" s="867" t="s">
        <v>194</v>
      </c>
      <c r="E112" s="867" t="s">
        <v>194</v>
      </c>
      <c r="F112" s="867" t="s">
        <v>194</v>
      </c>
      <c r="G112" s="867" t="s">
        <v>194</v>
      </c>
      <c r="H112" s="867" t="s">
        <v>194</v>
      </c>
      <c r="I112" s="867" t="s">
        <v>194</v>
      </c>
      <c r="J112" s="867" t="s">
        <v>194</v>
      </c>
      <c r="K112" s="867" t="s">
        <v>194</v>
      </c>
      <c r="L112" s="867" t="s">
        <v>194</v>
      </c>
      <c r="M112" s="885" t="s">
        <v>194</v>
      </c>
      <c r="N112" s="885" t="s">
        <v>194</v>
      </c>
      <c r="O112" s="885" t="s">
        <v>194</v>
      </c>
      <c r="P112" s="885" t="s">
        <v>194</v>
      </c>
      <c r="Q112" s="885" t="s">
        <v>194</v>
      </c>
      <c r="R112" s="885" t="s">
        <v>194</v>
      </c>
      <c r="S112" s="885" t="s">
        <v>194</v>
      </c>
      <c r="T112" s="867" t="s">
        <v>194</v>
      </c>
      <c r="U112" s="867" t="s">
        <v>194</v>
      </c>
      <c r="V112" s="867" t="s">
        <v>194</v>
      </c>
      <c r="W112" s="867" t="s">
        <v>194</v>
      </c>
      <c r="X112" s="867" t="s">
        <v>194</v>
      </c>
      <c r="Y112" s="867" t="s">
        <v>194</v>
      </c>
      <c r="Z112" s="867" t="s">
        <v>194</v>
      </c>
      <c r="AA112" s="867" t="s">
        <v>194</v>
      </c>
      <c r="AB112" s="867" t="s">
        <v>194</v>
      </c>
      <c r="AC112" s="15"/>
      <c r="AD112" s="851" t="s">
        <v>194</v>
      </c>
      <c r="AE112" s="846" t="s">
        <v>194</v>
      </c>
      <c r="AF112" s="846" t="s">
        <v>194</v>
      </c>
      <c r="AG112" s="846" t="s">
        <v>194</v>
      </c>
      <c r="AH112" s="846" t="s">
        <v>194</v>
      </c>
      <c r="AI112" s="846" t="s">
        <v>194</v>
      </c>
      <c r="AJ112" s="846" t="s">
        <v>194</v>
      </c>
      <c r="AK112" s="846" t="s">
        <v>194</v>
      </c>
      <c r="AL112" s="846" t="s">
        <v>194</v>
      </c>
      <c r="AM112" s="846" t="s">
        <v>194</v>
      </c>
      <c r="AN112" s="846" t="s">
        <v>194</v>
      </c>
      <c r="AO112" s="846" t="s">
        <v>194</v>
      </c>
      <c r="AP112" s="846" t="s">
        <v>194</v>
      </c>
      <c r="AQ112" s="846" t="s">
        <v>194</v>
      </c>
      <c r="AR112" s="846" t="s">
        <v>194</v>
      </c>
      <c r="AS112" s="846" t="s">
        <v>194</v>
      </c>
      <c r="AT112" s="846" t="s">
        <v>194</v>
      </c>
      <c r="AU112" s="846" t="s">
        <v>194</v>
      </c>
      <c r="AV112" s="846" t="s">
        <v>194</v>
      </c>
      <c r="AW112" s="846" t="s">
        <v>194</v>
      </c>
      <c r="AX112" s="846" t="s">
        <v>194</v>
      </c>
      <c r="AY112" s="846" t="s">
        <v>194</v>
      </c>
    </row>
    <row r="113" ht="15.75" customHeight="1" outlineLevel="1">
      <c r="A113" s="849">
        <v>1.0</v>
      </c>
      <c r="B113" s="15"/>
      <c r="C113" s="869" t="s">
        <v>332</v>
      </c>
      <c r="D113" s="870">
        <v>9112.0</v>
      </c>
      <c r="E113" s="870">
        <v>18815.960153846154</v>
      </c>
      <c r="F113" s="870">
        <v>-932.518</v>
      </c>
      <c r="G113" s="870">
        <v>87391.0</v>
      </c>
      <c r="H113" s="870">
        <v>5910.0</v>
      </c>
      <c r="I113" s="870">
        <v>23248.0</v>
      </c>
      <c r="J113" s="870">
        <v>23896.411992137517</v>
      </c>
      <c r="K113" s="871">
        <v>1.2700075784999403</v>
      </c>
      <c r="L113" s="872" t="s">
        <v>194</v>
      </c>
      <c r="M113" s="873">
        <v>5910.0</v>
      </c>
      <c r="N113" s="873">
        <v>7758.0</v>
      </c>
      <c r="O113" s="873">
        <v>1419.0</v>
      </c>
      <c r="P113" s="873">
        <v>19805.0</v>
      </c>
      <c r="Q113" s="873">
        <v>35773.0</v>
      </c>
      <c r="R113" s="873">
        <v>35353.0</v>
      </c>
      <c r="S113" s="873">
        <v>87391.0</v>
      </c>
      <c r="T113" s="872">
        <v>9112.0</v>
      </c>
      <c r="U113" s="872">
        <v>10375.0</v>
      </c>
      <c r="V113" s="872">
        <v>8070.0</v>
      </c>
      <c r="W113" s="872">
        <v>23248.0</v>
      </c>
      <c r="X113" s="872">
        <v>1326.0</v>
      </c>
      <c r="Y113" s="872">
        <v>-932.518</v>
      </c>
      <c r="Z113" s="872" t="s">
        <v>194</v>
      </c>
      <c r="AA113" s="872" t="s">
        <v>194</v>
      </c>
      <c r="AB113" s="872" t="s">
        <v>194</v>
      </c>
      <c r="AC113" s="15"/>
      <c r="AD113" s="851" t="s">
        <v>194</v>
      </c>
      <c r="AE113" s="846" t="s">
        <v>194</v>
      </c>
      <c r="AF113" s="846" t="s">
        <v>194</v>
      </c>
      <c r="AG113" s="846" t="s">
        <v>194</v>
      </c>
      <c r="AH113" s="846" t="s">
        <v>194</v>
      </c>
      <c r="AI113" s="846" t="s">
        <v>194</v>
      </c>
      <c r="AJ113" s="846" t="s">
        <v>194</v>
      </c>
      <c r="AK113" s="846" t="s">
        <v>194</v>
      </c>
      <c r="AL113" s="846" t="s">
        <v>194</v>
      </c>
      <c r="AM113" s="846" t="s">
        <v>194</v>
      </c>
      <c r="AN113" s="846" t="s">
        <v>194</v>
      </c>
      <c r="AO113" s="846" t="s">
        <v>194</v>
      </c>
      <c r="AP113" s="846" t="s">
        <v>194</v>
      </c>
      <c r="AQ113" s="846" t="s">
        <v>194</v>
      </c>
      <c r="AR113" s="846" t="s">
        <v>194</v>
      </c>
      <c r="AS113" s="846" t="s">
        <v>194</v>
      </c>
      <c r="AT113" s="846" t="s">
        <v>194</v>
      </c>
      <c r="AU113" s="846" t="s">
        <v>194</v>
      </c>
      <c r="AV113" s="846" t="s">
        <v>194</v>
      </c>
      <c r="AW113" s="846" t="s">
        <v>194</v>
      </c>
      <c r="AX113" s="846" t="s">
        <v>194</v>
      </c>
      <c r="AY113" s="846" t="s">
        <v>194</v>
      </c>
    </row>
    <row r="114" ht="15.75" customHeight="1" outlineLevel="1">
      <c r="A114" s="849">
        <v>1.0</v>
      </c>
      <c r="B114" s="15"/>
      <c r="C114" s="869" t="s">
        <v>333</v>
      </c>
      <c r="D114" s="870">
        <v>46475.0</v>
      </c>
      <c r="E114" s="870">
        <v>49565.333333333336</v>
      </c>
      <c r="F114" s="870">
        <v>36.0</v>
      </c>
      <c r="G114" s="870">
        <v>102185.0</v>
      </c>
      <c r="H114" s="870">
        <v>23255.5</v>
      </c>
      <c r="I114" s="870">
        <v>74330.0</v>
      </c>
      <c r="J114" s="870">
        <v>51144.571269425396</v>
      </c>
      <c r="K114" s="871">
        <v>1.0318617434784807</v>
      </c>
      <c r="L114" s="872" t="s">
        <v>194</v>
      </c>
      <c r="M114" s="873" t="s">
        <v>194</v>
      </c>
      <c r="N114" s="873" t="s">
        <v>194</v>
      </c>
      <c r="O114" s="873" t="s">
        <v>194</v>
      </c>
      <c r="P114" s="873" t="s">
        <v>194</v>
      </c>
      <c r="Q114" s="873" t="s">
        <v>194</v>
      </c>
      <c r="R114" s="873" t="s">
        <v>194</v>
      </c>
      <c r="S114" s="873" t="s">
        <v>194</v>
      </c>
      <c r="T114" s="872" t="s">
        <v>194</v>
      </c>
      <c r="U114" s="872" t="s">
        <v>194</v>
      </c>
      <c r="V114" s="872">
        <v>36.0</v>
      </c>
      <c r="W114" s="872">
        <v>46475.0</v>
      </c>
      <c r="X114" s="872">
        <v>102185.0</v>
      </c>
      <c r="Y114" s="872" t="s">
        <v>194</v>
      </c>
      <c r="Z114" s="872" t="s">
        <v>194</v>
      </c>
      <c r="AA114" s="872" t="s">
        <v>194</v>
      </c>
      <c r="AB114" s="872" t="s">
        <v>194</v>
      </c>
      <c r="AC114" s="15"/>
      <c r="AD114" s="851" t="s">
        <v>194</v>
      </c>
      <c r="AE114" s="846" t="s">
        <v>194</v>
      </c>
      <c r="AF114" s="846" t="s">
        <v>194</v>
      </c>
      <c r="AG114" s="846" t="s">
        <v>194</v>
      </c>
      <c r="AH114" s="846" t="s">
        <v>194</v>
      </c>
      <c r="AI114" s="846" t="s">
        <v>194</v>
      </c>
      <c r="AJ114" s="846" t="s">
        <v>194</v>
      </c>
      <c r="AK114" s="846" t="s">
        <v>194</v>
      </c>
      <c r="AL114" s="846" t="s">
        <v>194</v>
      </c>
      <c r="AM114" s="846" t="s">
        <v>194</v>
      </c>
      <c r="AN114" s="846" t="s">
        <v>194</v>
      </c>
      <c r="AO114" s="846" t="s">
        <v>194</v>
      </c>
      <c r="AP114" s="846" t="s">
        <v>194</v>
      </c>
      <c r="AQ114" s="846" t="s">
        <v>194</v>
      </c>
      <c r="AR114" s="846" t="s">
        <v>194</v>
      </c>
      <c r="AS114" s="846" t="s">
        <v>194</v>
      </c>
      <c r="AT114" s="846" t="s">
        <v>194</v>
      </c>
      <c r="AU114" s="846" t="s">
        <v>194</v>
      </c>
      <c r="AV114" s="846" t="s">
        <v>194</v>
      </c>
      <c r="AW114" s="846" t="s">
        <v>194</v>
      </c>
      <c r="AX114" s="846" t="s">
        <v>194</v>
      </c>
      <c r="AY114" s="846" t="s">
        <v>194</v>
      </c>
    </row>
    <row r="115" ht="15.75" customHeight="1" outlineLevel="1">
      <c r="A115" s="849">
        <v>1.0</v>
      </c>
      <c r="B115" s="15"/>
      <c r="C115" s="869" t="s">
        <v>334</v>
      </c>
      <c r="D115" s="870">
        <v>186.5</v>
      </c>
      <c r="E115" s="870">
        <v>22249.361166666666</v>
      </c>
      <c r="F115" s="870">
        <v>0.0</v>
      </c>
      <c r="G115" s="870">
        <v>205000.0</v>
      </c>
      <c r="H115" s="870">
        <v>0.0</v>
      </c>
      <c r="I115" s="870">
        <v>7211.0005</v>
      </c>
      <c r="J115" s="870">
        <v>58828.34015546826</v>
      </c>
      <c r="K115" s="871">
        <v>2.644046258892284</v>
      </c>
      <c r="L115" s="872" t="s">
        <v>194</v>
      </c>
      <c r="M115" s="873">
        <v>0.0</v>
      </c>
      <c r="N115" s="873">
        <v>0.0</v>
      </c>
      <c r="O115" s="873">
        <v>41838.0</v>
      </c>
      <c r="P115" s="873">
        <v>0.0</v>
      </c>
      <c r="Q115" s="873">
        <v>14500.0</v>
      </c>
      <c r="R115" s="873">
        <v>205000.0</v>
      </c>
      <c r="S115" s="873">
        <v>0.0</v>
      </c>
      <c r="T115" s="872">
        <v>0.0</v>
      </c>
      <c r="U115" s="872" t="s">
        <v>194</v>
      </c>
      <c r="V115" s="872">
        <v>0.0</v>
      </c>
      <c r="W115" s="872">
        <v>500.0</v>
      </c>
      <c r="X115" s="872">
        <v>373.0</v>
      </c>
      <c r="Y115" s="872">
        <v>4781.334</v>
      </c>
      <c r="Z115" s="872" t="s">
        <v>194</v>
      </c>
      <c r="AA115" s="872" t="s">
        <v>194</v>
      </c>
      <c r="AB115" s="872" t="s">
        <v>194</v>
      </c>
      <c r="AC115" s="15"/>
      <c r="AD115" s="851" t="s">
        <v>194</v>
      </c>
      <c r="AE115" s="846" t="s">
        <v>194</v>
      </c>
      <c r="AF115" s="846" t="s">
        <v>194</v>
      </c>
      <c r="AG115" s="846" t="s">
        <v>194</v>
      </c>
      <c r="AH115" s="846" t="s">
        <v>194</v>
      </c>
      <c r="AI115" s="846" t="s">
        <v>194</v>
      </c>
      <c r="AJ115" s="846" t="s">
        <v>194</v>
      </c>
      <c r="AK115" s="846" t="s">
        <v>194</v>
      </c>
      <c r="AL115" s="846" t="s">
        <v>194</v>
      </c>
      <c r="AM115" s="846" t="s">
        <v>194</v>
      </c>
      <c r="AN115" s="846" t="s">
        <v>194</v>
      </c>
      <c r="AO115" s="846" t="s">
        <v>194</v>
      </c>
      <c r="AP115" s="846" t="s">
        <v>194</v>
      </c>
      <c r="AQ115" s="846" t="s">
        <v>194</v>
      </c>
      <c r="AR115" s="846" t="s">
        <v>194</v>
      </c>
      <c r="AS115" s="846" t="s">
        <v>194</v>
      </c>
      <c r="AT115" s="846" t="s">
        <v>194</v>
      </c>
      <c r="AU115" s="846" t="s">
        <v>194</v>
      </c>
      <c r="AV115" s="846" t="s">
        <v>194</v>
      </c>
      <c r="AW115" s="846" t="s">
        <v>194</v>
      </c>
      <c r="AX115" s="846" t="s">
        <v>194</v>
      </c>
      <c r="AY115" s="846" t="s">
        <v>194</v>
      </c>
    </row>
    <row r="116" ht="15.75" customHeight="1" outlineLevel="1">
      <c r="A116" s="849">
        <v>1.0</v>
      </c>
      <c r="B116" s="15"/>
      <c r="C116" s="869" t="s">
        <v>335</v>
      </c>
      <c r="D116" s="870">
        <v>-2294.5</v>
      </c>
      <c r="E116" s="870">
        <v>-9334.25</v>
      </c>
      <c r="F116" s="870">
        <v>-31703.0</v>
      </c>
      <c r="G116" s="870">
        <v>0.0</v>
      </c>
      <c r="H116" s="870">
        <v>-16685.0</v>
      </c>
      <c r="I116" s="870">
        <v>-54.0</v>
      </c>
      <c r="J116" s="870">
        <v>12725.100064796776</v>
      </c>
      <c r="K116" s="871">
        <v>-1.3632696858126552</v>
      </c>
      <c r="L116" s="872" t="s">
        <v>194</v>
      </c>
      <c r="M116" s="873">
        <v>0.0</v>
      </c>
      <c r="N116" s="873">
        <v>-84.0</v>
      </c>
      <c r="O116" s="873">
        <v>-26963.0</v>
      </c>
      <c r="P116" s="873">
        <v>-1418.0</v>
      </c>
      <c r="Q116" s="873">
        <v>-13259.0</v>
      </c>
      <c r="R116" s="873">
        <v>-31703.0</v>
      </c>
      <c r="S116" s="873">
        <v>-5790.0</v>
      </c>
      <c r="T116" s="872">
        <v>0.0</v>
      </c>
      <c r="U116" s="872" t="s">
        <v>194</v>
      </c>
      <c r="V116" s="872">
        <v>-72.0</v>
      </c>
      <c r="W116" s="872">
        <v>-3171.0</v>
      </c>
      <c r="X116" s="872">
        <v>-29551.0</v>
      </c>
      <c r="Y116" s="872">
        <v>0.0</v>
      </c>
      <c r="Z116" s="872" t="s">
        <v>194</v>
      </c>
      <c r="AA116" s="872" t="s">
        <v>194</v>
      </c>
      <c r="AB116" s="872" t="s">
        <v>194</v>
      </c>
      <c r="AC116" s="15"/>
      <c r="AD116" s="851" t="s">
        <v>194</v>
      </c>
      <c r="AE116" s="846" t="s">
        <v>194</v>
      </c>
      <c r="AF116" s="846" t="s">
        <v>194</v>
      </c>
      <c r="AG116" s="846" t="s">
        <v>194</v>
      </c>
      <c r="AH116" s="846" t="s">
        <v>194</v>
      </c>
      <c r="AI116" s="846" t="s">
        <v>194</v>
      </c>
      <c r="AJ116" s="846" t="s">
        <v>194</v>
      </c>
      <c r="AK116" s="846" t="s">
        <v>194</v>
      </c>
      <c r="AL116" s="846" t="s">
        <v>194</v>
      </c>
      <c r="AM116" s="846" t="s">
        <v>194</v>
      </c>
      <c r="AN116" s="846" t="s">
        <v>194</v>
      </c>
      <c r="AO116" s="846" t="s">
        <v>194</v>
      </c>
      <c r="AP116" s="846" t="s">
        <v>194</v>
      </c>
      <c r="AQ116" s="846" t="s">
        <v>194</v>
      </c>
      <c r="AR116" s="846" t="s">
        <v>194</v>
      </c>
      <c r="AS116" s="846" t="s">
        <v>194</v>
      </c>
      <c r="AT116" s="846" t="s">
        <v>194</v>
      </c>
      <c r="AU116" s="846" t="s">
        <v>194</v>
      </c>
      <c r="AV116" s="846" t="s">
        <v>194</v>
      </c>
      <c r="AW116" s="846" t="s">
        <v>194</v>
      </c>
      <c r="AX116" s="846" t="s">
        <v>194</v>
      </c>
      <c r="AY116" s="846" t="s">
        <v>194</v>
      </c>
    </row>
    <row r="117" ht="15.75" customHeight="1" outlineLevel="1">
      <c r="A117" s="849">
        <v>1.0</v>
      </c>
      <c r="B117" s="15"/>
      <c r="C117" s="869" t="s">
        <v>336</v>
      </c>
      <c r="D117" s="870">
        <v>0.0</v>
      </c>
      <c r="E117" s="870">
        <v>-0.2</v>
      </c>
      <c r="F117" s="870">
        <v>-1.0</v>
      </c>
      <c r="G117" s="870">
        <v>0.0</v>
      </c>
      <c r="H117" s="870">
        <v>0.0</v>
      </c>
      <c r="I117" s="870">
        <v>0.0</v>
      </c>
      <c r="J117" s="870">
        <v>0.4472135954999579</v>
      </c>
      <c r="K117" s="871">
        <v>-2.2360679774997894</v>
      </c>
      <c r="L117" s="872" t="s">
        <v>194</v>
      </c>
      <c r="M117" s="873" t="s">
        <v>194</v>
      </c>
      <c r="N117" s="873" t="s">
        <v>194</v>
      </c>
      <c r="O117" s="873" t="s">
        <v>194</v>
      </c>
      <c r="P117" s="873" t="s">
        <v>194</v>
      </c>
      <c r="Q117" s="873" t="s">
        <v>194</v>
      </c>
      <c r="R117" s="873" t="s">
        <v>194</v>
      </c>
      <c r="S117" s="873" t="s">
        <v>194</v>
      </c>
      <c r="T117" s="872" t="s">
        <v>194</v>
      </c>
      <c r="U117" s="872">
        <v>0.0</v>
      </c>
      <c r="V117" s="872">
        <v>0.0</v>
      </c>
      <c r="W117" s="872">
        <v>0.0</v>
      </c>
      <c r="X117" s="872">
        <v>0.0</v>
      </c>
      <c r="Y117" s="872">
        <v>-1.0</v>
      </c>
      <c r="Z117" s="872" t="s">
        <v>194</v>
      </c>
      <c r="AA117" s="872" t="s">
        <v>194</v>
      </c>
      <c r="AB117" s="872" t="s">
        <v>194</v>
      </c>
      <c r="AC117" s="15"/>
      <c r="AD117" s="851" t="s">
        <v>194</v>
      </c>
      <c r="AE117" s="846" t="s">
        <v>194</v>
      </c>
      <c r="AF117" s="846" t="s">
        <v>194</v>
      </c>
      <c r="AG117" s="846" t="s">
        <v>194</v>
      </c>
      <c r="AH117" s="846" t="s">
        <v>194</v>
      </c>
      <c r="AI117" s="846" t="s">
        <v>194</v>
      </c>
      <c r="AJ117" s="846" t="s">
        <v>194</v>
      </c>
      <c r="AK117" s="846" t="s">
        <v>194</v>
      </c>
      <c r="AL117" s="846" t="s">
        <v>194</v>
      </c>
      <c r="AM117" s="846" t="s">
        <v>194</v>
      </c>
      <c r="AN117" s="846" t="s">
        <v>194</v>
      </c>
      <c r="AO117" s="846" t="s">
        <v>194</v>
      </c>
      <c r="AP117" s="846" t="s">
        <v>194</v>
      </c>
      <c r="AQ117" s="846" t="s">
        <v>194</v>
      </c>
      <c r="AR117" s="846" t="s">
        <v>194</v>
      </c>
      <c r="AS117" s="846" t="s">
        <v>194</v>
      </c>
      <c r="AT117" s="846" t="s">
        <v>194</v>
      </c>
      <c r="AU117" s="846" t="s">
        <v>194</v>
      </c>
      <c r="AV117" s="846" t="s">
        <v>194</v>
      </c>
      <c r="AW117" s="846" t="s">
        <v>194</v>
      </c>
      <c r="AX117" s="846" t="s">
        <v>194</v>
      </c>
      <c r="AY117" s="846" t="s">
        <v>194</v>
      </c>
    </row>
    <row r="118" ht="15.75" customHeight="1" outlineLevel="1">
      <c r="A118" s="849">
        <v>1.0</v>
      </c>
      <c r="B118" s="15"/>
      <c r="C118" s="869" t="s">
        <v>337</v>
      </c>
      <c r="D118" s="886">
        <v>0.6280592498124924</v>
      </c>
      <c r="E118" s="886">
        <v>0.5298317195613232</v>
      </c>
      <c r="F118" s="886">
        <v>0.1</v>
      </c>
      <c r="G118" s="886">
        <v>0.7800817652729675</v>
      </c>
      <c r="H118" s="886">
        <v>0.43735602692748393</v>
      </c>
      <c r="I118" s="886">
        <v>0.7032254727157177</v>
      </c>
      <c r="J118" s="886">
        <v>0.2437845765852664</v>
      </c>
      <c r="K118" s="871">
        <v>0.46011699108371434</v>
      </c>
      <c r="L118" s="887" t="s">
        <v>194</v>
      </c>
      <c r="M118" s="888">
        <v>0.4978099730458221</v>
      </c>
      <c r="N118" s="888">
        <v>0.487097381804483</v>
      </c>
      <c r="O118" s="888">
        <v>0.1</v>
      </c>
      <c r="P118" s="888">
        <v>0.5928753180661578</v>
      </c>
      <c r="Q118" s="888">
        <v>0.766476688378471</v>
      </c>
      <c r="R118" s="888">
        <v>0.7207543323139654</v>
      </c>
      <c r="S118" s="888">
        <v>0.7800817652729675</v>
      </c>
      <c r="T118" s="887">
        <v>0.6973825195163018</v>
      </c>
      <c r="U118" s="887">
        <v>0.6641275124823967</v>
      </c>
      <c r="V118" s="887">
        <v>0.28813196229648674</v>
      </c>
      <c r="W118" s="887">
        <v>0.6632431815588269</v>
      </c>
      <c r="X118" s="887">
        <v>0.1</v>
      </c>
      <c r="Y118" s="887" t="s">
        <v>194</v>
      </c>
      <c r="Z118" s="887" t="s">
        <v>194</v>
      </c>
      <c r="AA118" s="887" t="s">
        <v>194</v>
      </c>
      <c r="AB118" s="887" t="s">
        <v>194</v>
      </c>
      <c r="AC118" s="15"/>
      <c r="AD118" s="851" t="s">
        <v>194</v>
      </c>
      <c r="AE118" s="846" t="s">
        <v>194</v>
      </c>
      <c r="AF118" s="846" t="s">
        <v>194</v>
      </c>
      <c r="AG118" s="846" t="s">
        <v>194</v>
      </c>
      <c r="AH118" s="846" t="s">
        <v>194</v>
      </c>
      <c r="AI118" s="846" t="s">
        <v>194</v>
      </c>
      <c r="AJ118" s="846" t="s">
        <v>194</v>
      </c>
      <c r="AK118" s="846" t="s">
        <v>194</v>
      </c>
      <c r="AL118" s="846" t="s">
        <v>194</v>
      </c>
      <c r="AM118" s="846" t="s">
        <v>194</v>
      </c>
      <c r="AN118" s="846" t="s">
        <v>194</v>
      </c>
      <c r="AO118" s="846" t="s">
        <v>194</v>
      </c>
      <c r="AP118" s="846" t="s">
        <v>194</v>
      </c>
      <c r="AQ118" s="846" t="s">
        <v>194</v>
      </c>
      <c r="AR118" s="846" t="s">
        <v>194</v>
      </c>
      <c r="AS118" s="846" t="s">
        <v>194</v>
      </c>
      <c r="AT118" s="846" t="s">
        <v>194</v>
      </c>
      <c r="AU118" s="846" t="s">
        <v>194</v>
      </c>
      <c r="AV118" s="846" t="s">
        <v>194</v>
      </c>
      <c r="AW118" s="846" t="s">
        <v>194</v>
      </c>
      <c r="AX118" s="846" t="s">
        <v>194</v>
      </c>
      <c r="AY118" s="846" t="s">
        <v>194</v>
      </c>
    </row>
    <row r="119" ht="15.75" customHeight="1">
      <c r="A119" s="849">
        <v>1.0</v>
      </c>
      <c r="B119" s="15"/>
      <c r="C119" s="855" t="s">
        <v>338</v>
      </c>
      <c r="D119" s="867" t="s">
        <v>194</v>
      </c>
      <c r="E119" s="867" t="s">
        <v>194</v>
      </c>
      <c r="F119" s="867" t="s">
        <v>194</v>
      </c>
      <c r="G119" s="867" t="s">
        <v>194</v>
      </c>
      <c r="H119" s="867" t="s">
        <v>194</v>
      </c>
      <c r="I119" s="867" t="s">
        <v>194</v>
      </c>
      <c r="J119" s="867" t="s">
        <v>194</v>
      </c>
      <c r="K119" s="867" t="s">
        <v>194</v>
      </c>
      <c r="L119" s="867" t="s">
        <v>194</v>
      </c>
      <c r="M119" s="885" t="s">
        <v>194</v>
      </c>
      <c r="N119" s="885" t="s">
        <v>194</v>
      </c>
      <c r="O119" s="885" t="s">
        <v>194</v>
      </c>
      <c r="P119" s="885" t="s">
        <v>194</v>
      </c>
      <c r="Q119" s="885" t="s">
        <v>194</v>
      </c>
      <c r="R119" s="885" t="s">
        <v>194</v>
      </c>
      <c r="S119" s="885" t="s">
        <v>194</v>
      </c>
      <c r="T119" s="867" t="s">
        <v>194</v>
      </c>
      <c r="U119" s="867" t="s">
        <v>194</v>
      </c>
      <c r="V119" s="867" t="s">
        <v>194</v>
      </c>
      <c r="W119" s="867" t="s">
        <v>194</v>
      </c>
      <c r="X119" s="867" t="s">
        <v>194</v>
      </c>
      <c r="Y119" s="867" t="s">
        <v>194</v>
      </c>
      <c r="Z119" s="867" t="s">
        <v>194</v>
      </c>
      <c r="AA119" s="867" t="s">
        <v>194</v>
      </c>
      <c r="AB119" s="867" t="s">
        <v>194</v>
      </c>
      <c r="AC119" s="15"/>
      <c r="AD119" s="851" t="s">
        <v>194</v>
      </c>
      <c r="AE119" s="846" t="s">
        <v>194</v>
      </c>
      <c r="AF119" s="846" t="s">
        <v>194</v>
      </c>
      <c r="AG119" s="846" t="s">
        <v>194</v>
      </c>
      <c r="AH119" s="846" t="s">
        <v>194</v>
      </c>
      <c r="AI119" s="846" t="s">
        <v>194</v>
      </c>
      <c r="AJ119" s="846" t="s">
        <v>194</v>
      </c>
      <c r="AK119" s="846" t="s">
        <v>194</v>
      </c>
      <c r="AL119" s="846" t="s">
        <v>194</v>
      </c>
      <c r="AM119" s="846" t="s">
        <v>194</v>
      </c>
      <c r="AN119" s="846" t="s">
        <v>194</v>
      </c>
      <c r="AO119" s="846" t="s">
        <v>194</v>
      </c>
      <c r="AP119" s="846" t="s">
        <v>194</v>
      </c>
      <c r="AQ119" s="846" t="s">
        <v>194</v>
      </c>
      <c r="AR119" s="846" t="s">
        <v>194</v>
      </c>
      <c r="AS119" s="846" t="s">
        <v>194</v>
      </c>
      <c r="AT119" s="846" t="s">
        <v>194</v>
      </c>
      <c r="AU119" s="846" t="s">
        <v>194</v>
      </c>
      <c r="AV119" s="846" t="s">
        <v>194</v>
      </c>
      <c r="AW119" s="846" t="s">
        <v>194</v>
      </c>
      <c r="AX119" s="846" t="s">
        <v>194</v>
      </c>
      <c r="AY119" s="846" t="s">
        <v>194</v>
      </c>
    </row>
    <row r="120" ht="15.75" customHeight="1">
      <c r="A120" s="849">
        <v>1.0</v>
      </c>
      <c r="B120" s="15"/>
      <c r="C120" s="869" t="s">
        <v>339</v>
      </c>
      <c r="D120" s="889" t="s">
        <v>194</v>
      </c>
      <c r="E120" s="889" t="s">
        <v>194</v>
      </c>
      <c r="F120" s="889" t="s">
        <v>194</v>
      </c>
      <c r="G120" s="889" t="s">
        <v>194</v>
      </c>
      <c r="H120" s="889" t="s">
        <v>194</v>
      </c>
      <c r="I120" s="889" t="s">
        <v>194</v>
      </c>
      <c r="J120" s="889" t="s">
        <v>194</v>
      </c>
      <c r="K120" s="889" t="s">
        <v>194</v>
      </c>
      <c r="L120" s="890" t="s">
        <v>194</v>
      </c>
      <c r="M120" s="891" t="s">
        <v>340</v>
      </c>
      <c r="N120" s="891" t="s">
        <v>340</v>
      </c>
      <c r="O120" s="891" t="s">
        <v>340</v>
      </c>
      <c r="P120" s="891" t="s">
        <v>340</v>
      </c>
      <c r="Q120" s="891" t="s">
        <v>340</v>
      </c>
      <c r="R120" s="891" t="s">
        <v>340</v>
      </c>
      <c r="S120" s="891" t="s">
        <v>340</v>
      </c>
      <c r="T120" s="890" t="s">
        <v>340</v>
      </c>
      <c r="U120" s="890" t="s">
        <v>340</v>
      </c>
      <c r="V120" s="890" t="s">
        <v>340</v>
      </c>
      <c r="W120" s="890" t="s">
        <v>340</v>
      </c>
      <c r="X120" s="890" t="s">
        <v>340</v>
      </c>
      <c r="Y120" s="890" t="s">
        <v>340</v>
      </c>
      <c r="Z120" s="890" t="s">
        <v>340</v>
      </c>
      <c r="AA120" s="890" t="s">
        <v>340</v>
      </c>
      <c r="AB120" s="890" t="s">
        <v>340</v>
      </c>
      <c r="AC120" s="15"/>
      <c r="AD120" s="851" t="s">
        <v>194</v>
      </c>
      <c r="AE120" s="846" t="s">
        <v>194</v>
      </c>
      <c r="AF120" s="846" t="s">
        <v>194</v>
      </c>
      <c r="AG120" s="846" t="s">
        <v>194</v>
      </c>
      <c r="AH120" s="846" t="s">
        <v>194</v>
      </c>
      <c r="AI120" s="846" t="s">
        <v>194</v>
      </c>
      <c r="AJ120" s="846" t="s">
        <v>194</v>
      </c>
      <c r="AK120" s="846" t="s">
        <v>194</v>
      </c>
      <c r="AL120" s="846" t="s">
        <v>194</v>
      </c>
      <c r="AM120" s="846" t="s">
        <v>194</v>
      </c>
      <c r="AN120" s="846" t="s">
        <v>194</v>
      </c>
      <c r="AO120" s="846" t="s">
        <v>194</v>
      </c>
      <c r="AP120" s="846" t="s">
        <v>194</v>
      </c>
      <c r="AQ120" s="846" t="s">
        <v>194</v>
      </c>
      <c r="AR120" s="846" t="s">
        <v>194</v>
      </c>
      <c r="AS120" s="846" t="s">
        <v>194</v>
      </c>
      <c r="AT120" s="846" t="s">
        <v>194</v>
      </c>
      <c r="AU120" s="846" t="s">
        <v>194</v>
      </c>
      <c r="AV120" s="846" t="s">
        <v>194</v>
      </c>
      <c r="AW120" s="846" t="s">
        <v>194</v>
      </c>
      <c r="AX120" s="846" t="s">
        <v>194</v>
      </c>
      <c r="AY120" s="846" t="s">
        <v>194</v>
      </c>
    </row>
    <row r="121" ht="15.75" customHeight="1">
      <c r="A121" s="849">
        <v>1.0</v>
      </c>
      <c r="B121" s="15"/>
      <c r="C121" s="869" t="s">
        <v>341</v>
      </c>
      <c r="D121" s="889" t="s">
        <v>194</v>
      </c>
      <c r="E121" s="889" t="s">
        <v>194</v>
      </c>
      <c r="F121" s="889" t="s">
        <v>194</v>
      </c>
      <c r="G121" s="889" t="s">
        <v>194</v>
      </c>
      <c r="H121" s="889" t="s">
        <v>194</v>
      </c>
      <c r="I121" s="889" t="s">
        <v>194</v>
      </c>
      <c r="J121" s="889" t="s">
        <v>194</v>
      </c>
      <c r="K121" s="889" t="s">
        <v>194</v>
      </c>
      <c r="L121" s="890" t="s">
        <v>194</v>
      </c>
      <c r="M121" s="891" t="s">
        <v>340</v>
      </c>
      <c r="N121" s="891" t="s">
        <v>340</v>
      </c>
      <c r="O121" s="891" t="s">
        <v>340</v>
      </c>
      <c r="P121" s="891" t="s">
        <v>340</v>
      </c>
      <c r="Q121" s="891" t="s">
        <v>340</v>
      </c>
      <c r="R121" s="891" t="s">
        <v>340</v>
      </c>
      <c r="S121" s="891" t="s">
        <v>340</v>
      </c>
      <c r="T121" s="890" t="s">
        <v>340</v>
      </c>
      <c r="U121" s="890" t="s">
        <v>340</v>
      </c>
      <c r="V121" s="890" t="s">
        <v>340</v>
      </c>
      <c r="W121" s="890" t="s">
        <v>340</v>
      </c>
      <c r="X121" s="890" t="s">
        <v>340</v>
      </c>
      <c r="Y121" s="890" t="s">
        <v>340</v>
      </c>
      <c r="Z121" s="890" t="s">
        <v>340</v>
      </c>
      <c r="AA121" s="890" t="s">
        <v>340</v>
      </c>
      <c r="AB121" s="890" t="s">
        <v>340</v>
      </c>
      <c r="AC121" s="15"/>
      <c r="AD121" s="851" t="s">
        <v>194</v>
      </c>
      <c r="AE121" s="846" t="s">
        <v>194</v>
      </c>
      <c r="AF121" s="846" t="s">
        <v>194</v>
      </c>
      <c r="AG121" s="846" t="s">
        <v>194</v>
      </c>
      <c r="AH121" s="846" t="s">
        <v>194</v>
      </c>
      <c r="AI121" s="846" t="s">
        <v>194</v>
      </c>
      <c r="AJ121" s="846" t="s">
        <v>194</v>
      </c>
      <c r="AK121" s="846" t="s">
        <v>194</v>
      </c>
      <c r="AL121" s="846" t="s">
        <v>194</v>
      </c>
      <c r="AM121" s="846" t="s">
        <v>194</v>
      </c>
      <c r="AN121" s="846" t="s">
        <v>194</v>
      </c>
      <c r="AO121" s="846" t="s">
        <v>194</v>
      </c>
      <c r="AP121" s="846" t="s">
        <v>194</v>
      </c>
      <c r="AQ121" s="846" t="s">
        <v>194</v>
      </c>
      <c r="AR121" s="846" t="s">
        <v>194</v>
      </c>
      <c r="AS121" s="846" t="s">
        <v>194</v>
      </c>
      <c r="AT121" s="846" t="s">
        <v>194</v>
      </c>
      <c r="AU121" s="846" t="s">
        <v>194</v>
      </c>
      <c r="AV121" s="846" t="s">
        <v>194</v>
      </c>
      <c r="AW121" s="846" t="s">
        <v>194</v>
      </c>
      <c r="AX121" s="846" t="s">
        <v>194</v>
      </c>
      <c r="AY121" s="846" t="s">
        <v>194</v>
      </c>
    </row>
    <row r="122" ht="15.75" customHeight="1">
      <c r="A122" s="849">
        <v>1.0</v>
      </c>
      <c r="B122" s="15"/>
      <c r="C122" s="869" t="s">
        <v>342</v>
      </c>
      <c r="D122" s="889" t="s">
        <v>194</v>
      </c>
      <c r="E122" s="889" t="s">
        <v>194</v>
      </c>
      <c r="F122" s="889" t="s">
        <v>194</v>
      </c>
      <c r="G122" s="889" t="s">
        <v>194</v>
      </c>
      <c r="H122" s="889" t="s">
        <v>194</v>
      </c>
      <c r="I122" s="889" t="s">
        <v>194</v>
      </c>
      <c r="J122" s="889" t="s">
        <v>194</v>
      </c>
      <c r="K122" s="889" t="s">
        <v>194</v>
      </c>
      <c r="L122" s="890" t="s">
        <v>194</v>
      </c>
      <c r="M122" s="891" t="s">
        <v>340</v>
      </c>
      <c r="N122" s="891" t="s">
        <v>340</v>
      </c>
      <c r="O122" s="891" t="s">
        <v>340</v>
      </c>
      <c r="P122" s="891" t="s">
        <v>340</v>
      </c>
      <c r="Q122" s="891" t="s">
        <v>340</v>
      </c>
      <c r="R122" s="891" t="s">
        <v>340</v>
      </c>
      <c r="S122" s="891" t="s">
        <v>340</v>
      </c>
      <c r="T122" s="890" t="s">
        <v>340</v>
      </c>
      <c r="U122" s="890" t="s">
        <v>340</v>
      </c>
      <c r="V122" s="890" t="s">
        <v>340</v>
      </c>
      <c r="W122" s="890" t="s">
        <v>340</v>
      </c>
      <c r="X122" s="890" t="s">
        <v>340</v>
      </c>
      <c r="Y122" s="890" t="s">
        <v>340</v>
      </c>
      <c r="Z122" s="890" t="s">
        <v>340</v>
      </c>
      <c r="AA122" s="890" t="s">
        <v>340</v>
      </c>
      <c r="AB122" s="890" t="s">
        <v>340</v>
      </c>
      <c r="AC122" s="15"/>
      <c r="AD122" s="851" t="s">
        <v>194</v>
      </c>
      <c r="AE122" s="846" t="s">
        <v>194</v>
      </c>
      <c r="AF122" s="846" t="s">
        <v>194</v>
      </c>
      <c r="AG122" s="846" t="s">
        <v>194</v>
      </c>
      <c r="AH122" s="846" t="s">
        <v>194</v>
      </c>
      <c r="AI122" s="846" t="s">
        <v>194</v>
      </c>
      <c r="AJ122" s="846" t="s">
        <v>194</v>
      </c>
      <c r="AK122" s="846" t="s">
        <v>194</v>
      </c>
      <c r="AL122" s="846" t="s">
        <v>194</v>
      </c>
      <c r="AM122" s="846" t="s">
        <v>194</v>
      </c>
      <c r="AN122" s="846" t="s">
        <v>194</v>
      </c>
      <c r="AO122" s="846" t="s">
        <v>194</v>
      </c>
      <c r="AP122" s="846" t="s">
        <v>194</v>
      </c>
      <c r="AQ122" s="846" t="s">
        <v>194</v>
      </c>
      <c r="AR122" s="846" t="s">
        <v>194</v>
      </c>
      <c r="AS122" s="846" t="s">
        <v>194</v>
      </c>
      <c r="AT122" s="846" t="s">
        <v>194</v>
      </c>
      <c r="AU122" s="846" t="s">
        <v>194</v>
      </c>
      <c r="AV122" s="846" t="s">
        <v>194</v>
      </c>
      <c r="AW122" s="846" t="s">
        <v>194</v>
      </c>
      <c r="AX122" s="846" t="s">
        <v>194</v>
      </c>
      <c r="AY122" s="846" t="s">
        <v>194</v>
      </c>
    </row>
    <row r="123" ht="15.75" customHeight="1">
      <c r="A123" s="849">
        <v>1.0</v>
      </c>
      <c r="B123" s="15"/>
      <c r="C123" s="869" t="s">
        <v>343</v>
      </c>
      <c r="D123" s="889" t="s">
        <v>194</v>
      </c>
      <c r="E123" s="889" t="s">
        <v>194</v>
      </c>
      <c r="F123" s="889" t="s">
        <v>194</v>
      </c>
      <c r="G123" s="889" t="s">
        <v>194</v>
      </c>
      <c r="H123" s="889" t="s">
        <v>194</v>
      </c>
      <c r="I123" s="889" t="s">
        <v>194</v>
      </c>
      <c r="J123" s="889" t="s">
        <v>194</v>
      </c>
      <c r="K123" s="889" t="s">
        <v>194</v>
      </c>
      <c r="L123" s="890" t="s">
        <v>194</v>
      </c>
      <c r="M123" s="891" t="s">
        <v>340</v>
      </c>
      <c r="N123" s="891" t="s">
        <v>340</v>
      </c>
      <c r="O123" s="891" t="s">
        <v>340</v>
      </c>
      <c r="P123" s="891" t="s">
        <v>340</v>
      </c>
      <c r="Q123" s="891" t="s">
        <v>340</v>
      </c>
      <c r="R123" s="891" t="s">
        <v>340</v>
      </c>
      <c r="S123" s="891" t="s">
        <v>340</v>
      </c>
      <c r="T123" s="890" t="s">
        <v>340</v>
      </c>
      <c r="U123" s="890" t="s">
        <v>340</v>
      </c>
      <c r="V123" s="890" t="s">
        <v>340</v>
      </c>
      <c r="W123" s="890" t="s">
        <v>340</v>
      </c>
      <c r="X123" s="890" t="s">
        <v>340</v>
      </c>
      <c r="Y123" s="890" t="s">
        <v>340</v>
      </c>
      <c r="Z123" s="890" t="s">
        <v>340</v>
      </c>
      <c r="AA123" s="890" t="s">
        <v>340</v>
      </c>
      <c r="AB123" s="890" t="s">
        <v>340</v>
      </c>
      <c r="AC123" s="15"/>
      <c r="AD123" s="851" t="s">
        <v>194</v>
      </c>
      <c r="AE123" s="846" t="s">
        <v>194</v>
      </c>
      <c r="AF123" s="846" t="s">
        <v>194</v>
      </c>
      <c r="AG123" s="846" t="s">
        <v>194</v>
      </c>
      <c r="AH123" s="846" t="s">
        <v>194</v>
      </c>
      <c r="AI123" s="846" t="s">
        <v>194</v>
      </c>
      <c r="AJ123" s="846" t="s">
        <v>194</v>
      </c>
      <c r="AK123" s="846" t="s">
        <v>194</v>
      </c>
      <c r="AL123" s="846" t="s">
        <v>194</v>
      </c>
      <c r="AM123" s="846" t="s">
        <v>194</v>
      </c>
      <c r="AN123" s="846" t="s">
        <v>194</v>
      </c>
      <c r="AO123" s="846" t="s">
        <v>194</v>
      </c>
      <c r="AP123" s="846" t="s">
        <v>194</v>
      </c>
      <c r="AQ123" s="846" t="s">
        <v>194</v>
      </c>
      <c r="AR123" s="846" t="s">
        <v>194</v>
      </c>
      <c r="AS123" s="846" t="s">
        <v>194</v>
      </c>
      <c r="AT123" s="846" t="s">
        <v>194</v>
      </c>
      <c r="AU123" s="846" t="s">
        <v>194</v>
      </c>
      <c r="AV123" s="846" t="s">
        <v>194</v>
      </c>
      <c r="AW123" s="846" t="s">
        <v>194</v>
      </c>
      <c r="AX123" s="846" t="s">
        <v>194</v>
      </c>
      <c r="AY123" s="846" t="s">
        <v>194</v>
      </c>
    </row>
    <row r="124" ht="15.75" customHeight="1">
      <c r="A124" s="849" t="s">
        <v>194</v>
      </c>
      <c r="B124" s="15"/>
      <c r="C124" s="15"/>
      <c r="D124" s="15"/>
      <c r="E124" s="15"/>
      <c r="F124" s="15"/>
      <c r="G124" s="15"/>
      <c r="H124" s="15"/>
      <c r="I124" s="15"/>
      <c r="J124" s="15"/>
      <c r="K124" s="15"/>
      <c r="L124" s="15"/>
      <c r="M124" s="850"/>
      <c r="N124" s="850"/>
      <c r="O124" s="850"/>
      <c r="P124" s="850"/>
      <c r="Q124" s="850"/>
      <c r="R124" s="850"/>
      <c r="S124" s="850"/>
      <c r="T124" s="15"/>
      <c r="U124" s="15"/>
      <c r="V124" s="15"/>
      <c r="W124" s="15"/>
      <c r="X124" s="15"/>
      <c r="Y124" s="15"/>
      <c r="Z124" s="15"/>
      <c r="AA124" s="15"/>
      <c r="AB124" s="15"/>
      <c r="AC124" s="15"/>
      <c r="AD124" s="851" t="s">
        <v>194</v>
      </c>
      <c r="AE124" s="846" t="s">
        <v>194</v>
      </c>
      <c r="AF124" s="846" t="s">
        <v>194</v>
      </c>
      <c r="AG124" s="846" t="s">
        <v>194</v>
      </c>
      <c r="AH124" s="846" t="s">
        <v>194</v>
      </c>
      <c r="AI124" s="846" t="s">
        <v>194</v>
      </c>
      <c r="AJ124" s="846" t="s">
        <v>194</v>
      </c>
      <c r="AK124" s="846" t="s">
        <v>194</v>
      </c>
      <c r="AL124" s="846" t="s">
        <v>194</v>
      </c>
      <c r="AM124" s="846" t="s">
        <v>194</v>
      </c>
      <c r="AN124" s="846" t="s">
        <v>194</v>
      </c>
      <c r="AO124" s="846" t="s">
        <v>194</v>
      </c>
      <c r="AP124" s="846" t="s">
        <v>194</v>
      </c>
      <c r="AQ124" s="846" t="s">
        <v>194</v>
      </c>
      <c r="AR124" s="846" t="s">
        <v>194</v>
      </c>
      <c r="AS124" s="846" t="s">
        <v>194</v>
      </c>
      <c r="AT124" s="846" t="s">
        <v>194</v>
      </c>
      <c r="AU124" s="846" t="s">
        <v>194</v>
      </c>
      <c r="AV124" s="846" t="s">
        <v>194</v>
      </c>
      <c r="AW124" s="846" t="s">
        <v>194</v>
      </c>
      <c r="AX124" s="846" t="s">
        <v>194</v>
      </c>
      <c r="AY124" s="846" t="s">
        <v>194</v>
      </c>
    </row>
    <row r="125" ht="15.75" customHeight="1">
      <c r="A125" s="849" t="s">
        <v>194</v>
      </c>
      <c r="B125" s="15"/>
      <c r="C125" s="15"/>
      <c r="D125" s="15"/>
      <c r="E125" s="15"/>
      <c r="F125" s="15"/>
      <c r="G125" s="15"/>
      <c r="H125" s="15"/>
      <c r="I125" s="15"/>
      <c r="J125" s="15"/>
      <c r="K125" s="15"/>
      <c r="L125" s="15"/>
      <c r="M125" s="850"/>
      <c r="N125" s="850"/>
      <c r="O125" s="850"/>
      <c r="P125" s="850"/>
      <c r="Q125" s="850"/>
      <c r="R125" s="850"/>
      <c r="S125" s="850"/>
      <c r="T125" s="15"/>
      <c r="U125" s="15"/>
      <c r="V125" s="15"/>
      <c r="W125" s="15"/>
      <c r="X125" s="15"/>
      <c r="Y125" s="15"/>
      <c r="Z125" s="15"/>
      <c r="AA125" s="15"/>
      <c r="AB125" s="15"/>
      <c r="AC125" s="15"/>
      <c r="AD125" s="851" t="s">
        <v>194</v>
      </c>
      <c r="AE125" s="846" t="s">
        <v>194</v>
      </c>
      <c r="AF125" s="846" t="s">
        <v>194</v>
      </c>
      <c r="AG125" s="846" t="s">
        <v>194</v>
      </c>
      <c r="AH125" s="846" t="s">
        <v>194</v>
      </c>
      <c r="AI125" s="846" t="s">
        <v>194</v>
      </c>
      <c r="AJ125" s="846" t="s">
        <v>194</v>
      </c>
      <c r="AK125" s="846" t="s">
        <v>194</v>
      </c>
      <c r="AL125" s="846" t="s">
        <v>194</v>
      </c>
      <c r="AM125" s="846" t="s">
        <v>194</v>
      </c>
      <c r="AN125" s="846" t="s">
        <v>194</v>
      </c>
      <c r="AO125" s="846" t="s">
        <v>194</v>
      </c>
      <c r="AP125" s="846" t="s">
        <v>194</v>
      </c>
      <c r="AQ125" s="846" t="s">
        <v>194</v>
      </c>
      <c r="AR125" s="846" t="s">
        <v>194</v>
      </c>
      <c r="AS125" s="846" t="s">
        <v>194</v>
      </c>
      <c r="AT125" s="846" t="s">
        <v>194</v>
      </c>
      <c r="AU125" s="846" t="s">
        <v>194</v>
      </c>
      <c r="AV125" s="846" t="s">
        <v>194</v>
      </c>
      <c r="AW125" s="846" t="s">
        <v>194</v>
      </c>
      <c r="AX125" s="846" t="s">
        <v>194</v>
      </c>
      <c r="AY125" s="846" t="s">
        <v>194</v>
      </c>
    </row>
    <row r="126" ht="15.75" customHeight="1">
      <c r="A126" s="849" t="s">
        <v>194</v>
      </c>
      <c r="B126" s="15"/>
      <c r="C126" s="892" t="s">
        <v>344</v>
      </c>
      <c r="D126" s="15"/>
      <c r="E126" s="15"/>
      <c r="F126" s="15"/>
      <c r="G126" s="15"/>
      <c r="H126" s="15"/>
      <c r="I126" s="15"/>
      <c r="J126" s="15"/>
      <c r="K126" s="15"/>
      <c r="L126" s="15"/>
      <c r="M126" s="850"/>
      <c r="N126" s="850"/>
      <c r="O126" s="850"/>
      <c r="P126" s="850"/>
      <c r="Q126" s="850"/>
      <c r="R126" s="850"/>
      <c r="S126" s="850"/>
      <c r="T126" s="15"/>
      <c r="U126" s="15"/>
      <c r="V126" s="15"/>
      <c r="W126" s="15"/>
      <c r="X126" s="15"/>
      <c r="Y126" s="15"/>
      <c r="Z126" s="15"/>
      <c r="AA126" s="15"/>
      <c r="AB126" s="15"/>
      <c r="AC126" s="15"/>
      <c r="AD126" s="851" t="s">
        <v>194</v>
      </c>
      <c r="AE126" s="846" t="s">
        <v>194</v>
      </c>
      <c r="AF126" s="846" t="s">
        <v>194</v>
      </c>
      <c r="AG126" s="846" t="s">
        <v>194</v>
      </c>
      <c r="AH126" s="846" t="s">
        <v>194</v>
      </c>
      <c r="AI126" s="846" t="s">
        <v>194</v>
      </c>
      <c r="AJ126" s="846" t="s">
        <v>194</v>
      </c>
      <c r="AK126" s="846" t="s">
        <v>194</v>
      </c>
      <c r="AL126" s="846" t="s">
        <v>194</v>
      </c>
      <c r="AM126" s="846" t="s">
        <v>194</v>
      </c>
      <c r="AN126" s="846" t="s">
        <v>194</v>
      </c>
      <c r="AO126" s="846" t="s">
        <v>194</v>
      </c>
      <c r="AP126" s="846" t="s">
        <v>194</v>
      </c>
      <c r="AQ126" s="846" t="s">
        <v>194</v>
      </c>
      <c r="AR126" s="846" t="s">
        <v>194</v>
      </c>
      <c r="AS126" s="846" t="s">
        <v>194</v>
      </c>
      <c r="AT126" s="846" t="s">
        <v>194</v>
      </c>
      <c r="AU126" s="846" t="s">
        <v>194</v>
      </c>
      <c r="AV126" s="846" t="s">
        <v>194</v>
      </c>
      <c r="AW126" s="846" t="s">
        <v>194</v>
      </c>
      <c r="AX126" s="846" t="s">
        <v>194</v>
      </c>
      <c r="AY126" s="846" t="s">
        <v>194</v>
      </c>
    </row>
    <row r="127" ht="15.75" customHeight="1">
      <c r="A127" s="849" t="s">
        <v>194</v>
      </c>
      <c r="B127" s="15"/>
      <c r="C127" s="892" t="s">
        <v>345</v>
      </c>
      <c r="D127" s="15"/>
      <c r="E127" s="15"/>
      <c r="F127" s="15"/>
      <c r="G127" s="15"/>
      <c r="H127" s="15"/>
      <c r="I127" s="15"/>
      <c r="J127" s="15"/>
      <c r="K127" s="15"/>
      <c r="L127" s="15"/>
      <c r="M127" s="850"/>
      <c r="N127" s="850"/>
      <c r="O127" s="850"/>
      <c r="P127" s="850"/>
      <c r="Q127" s="850"/>
      <c r="R127" s="850"/>
      <c r="S127" s="850"/>
      <c r="T127" s="15"/>
      <c r="U127" s="15"/>
      <c r="V127" s="15"/>
      <c r="W127" s="15"/>
      <c r="X127" s="15"/>
      <c r="Y127" s="15"/>
      <c r="Z127" s="15"/>
      <c r="AA127" s="15"/>
      <c r="AB127" s="15"/>
      <c r="AC127" s="15"/>
      <c r="AD127" s="851" t="s">
        <v>194</v>
      </c>
      <c r="AE127" s="846" t="s">
        <v>194</v>
      </c>
      <c r="AF127" s="846" t="s">
        <v>194</v>
      </c>
      <c r="AG127" s="846" t="s">
        <v>194</v>
      </c>
      <c r="AH127" s="846" t="s">
        <v>194</v>
      </c>
      <c r="AI127" s="846" t="s">
        <v>194</v>
      </c>
      <c r="AJ127" s="846" t="s">
        <v>194</v>
      </c>
      <c r="AK127" s="846" t="s">
        <v>194</v>
      </c>
      <c r="AL127" s="846" t="s">
        <v>194</v>
      </c>
      <c r="AM127" s="846" t="s">
        <v>194</v>
      </c>
      <c r="AN127" s="846" t="s">
        <v>194</v>
      </c>
      <c r="AO127" s="846" t="s">
        <v>194</v>
      </c>
      <c r="AP127" s="846" t="s">
        <v>194</v>
      </c>
      <c r="AQ127" s="846" t="s">
        <v>194</v>
      </c>
      <c r="AR127" s="846" t="s">
        <v>194</v>
      </c>
      <c r="AS127" s="846" t="s">
        <v>194</v>
      </c>
      <c r="AT127" s="846" t="s">
        <v>194</v>
      </c>
      <c r="AU127" s="846" t="s">
        <v>194</v>
      </c>
      <c r="AV127" s="846" t="s">
        <v>194</v>
      </c>
      <c r="AW127" s="846" t="s">
        <v>194</v>
      </c>
      <c r="AX127" s="846" t="s">
        <v>194</v>
      </c>
      <c r="AY127" s="846" t="s">
        <v>194</v>
      </c>
    </row>
    <row r="128" ht="15.75" customHeight="1">
      <c r="A128" s="849" t="s">
        <v>194</v>
      </c>
      <c r="B128" s="15"/>
      <c r="C128" s="15"/>
      <c r="D128" s="15"/>
      <c r="E128" s="15"/>
      <c r="F128" s="15"/>
      <c r="G128" s="15"/>
      <c r="H128" s="15"/>
      <c r="I128" s="15"/>
      <c r="J128" s="15"/>
      <c r="K128" s="15"/>
      <c r="L128" s="15"/>
      <c r="M128" s="850"/>
      <c r="N128" s="850"/>
      <c r="O128" s="850"/>
      <c r="P128" s="850"/>
      <c r="Q128" s="850"/>
      <c r="R128" s="850"/>
      <c r="S128" s="850"/>
      <c r="T128" s="15"/>
      <c r="U128" s="15"/>
      <c r="V128" s="15"/>
      <c r="W128" s="15"/>
      <c r="X128" s="15"/>
      <c r="Y128" s="15"/>
      <c r="Z128" s="15"/>
      <c r="AA128" s="15"/>
      <c r="AB128" s="15"/>
      <c r="AC128" s="15"/>
      <c r="AD128" s="851" t="s">
        <v>194</v>
      </c>
      <c r="AE128" s="846" t="s">
        <v>194</v>
      </c>
      <c r="AF128" s="846" t="s">
        <v>194</v>
      </c>
      <c r="AG128" s="846" t="s">
        <v>194</v>
      </c>
      <c r="AH128" s="846" t="s">
        <v>194</v>
      </c>
      <c r="AI128" s="846" t="s">
        <v>194</v>
      </c>
      <c r="AJ128" s="846" t="s">
        <v>194</v>
      </c>
      <c r="AK128" s="846" t="s">
        <v>194</v>
      </c>
      <c r="AL128" s="846" t="s">
        <v>194</v>
      </c>
      <c r="AM128" s="846" t="s">
        <v>194</v>
      </c>
      <c r="AN128" s="846" t="s">
        <v>194</v>
      </c>
      <c r="AO128" s="846" t="s">
        <v>194</v>
      </c>
      <c r="AP128" s="846" t="s">
        <v>194</v>
      </c>
      <c r="AQ128" s="846" t="s">
        <v>194</v>
      </c>
      <c r="AR128" s="846" t="s">
        <v>194</v>
      </c>
      <c r="AS128" s="846" t="s">
        <v>194</v>
      </c>
      <c r="AT128" s="846" t="s">
        <v>194</v>
      </c>
      <c r="AU128" s="846" t="s">
        <v>194</v>
      </c>
      <c r="AV128" s="846" t="s">
        <v>194</v>
      </c>
      <c r="AW128" s="846" t="s">
        <v>194</v>
      </c>
      <c r="AX128" s="846" t="s">
        <v>194</v>
      </c>
      <c r="AY128" s="846" t="s">
        <v>194</v>
      </c>
    </row>
    <row r="129" ht="15.75" customHeight="1">
      <c r="A129" s="846" t="s">
        <v>194</v>
      </c>
      <c r="B129" s="893" t="s">
        <v>194</v>
      </c>
      <c r="C129" s="893" t="s">
        <v>194</v>
      </c>
      <c r="D129" s="893" t="s">
        <v>194</v>
      </c>
      <c r="E129" s="893" t="s">
        <v>194</v>
      </c>
      <c r="F129" s="893" t="s">
        <v>194</v>
      </c>
      <c r="G129" s="893" t="s">
        <v>194</v>
      </c>
      <c r="H129" s="893" t="s">
        <v>194</v>
      </c>
      <c r="I129" s="893" t="s">
        <v>194</v>
      </c>
      <c r="J129" s="893" t="s">
        <v>194</v>
      </c>
      <c r="K129" s="893" t="s">
        <v>194</v>
      </c>
      <c r="L129" s="893" t="s">
        <v>194</v>
      </c>
      <c r="M129" s="894" t="s">
        <v>194</v>
      </c>
      <c r="N129" s="894" t="s">
        <v>194</v>
      </c>
      <c r="O129" s="894" t="s">
        <v>194</v>
      </c>
      <c r="P129" s="894" t="s">
        <v>194</v>
      </c>
      <c r="Q129" s="894" t="s">
        <v>194</v>
      </c>
      <c r="R129" s="894" t="s">
        <v>194</v>
      </c>
      <c r="S129" s="894" t="s">
        <v>194</v>
      </c>
      <c r="T129" s="893" t="s">
        <v>194</v>
      </c>
      <c r="U129" s="893" t="s">
        <v>194</v>
      </c>
      <c r="V129" s="893" t="s">
        <v>194</v>
      </c>
      <c r="W129" s="893" t="s">
        <v>194</v>
      </c>
      <c r="X129" s="893" t="s">
        <v>194</v>
      </c>
      <c r="Y129" s="893" t="s">
        <v>194</v>
      </c>
      <c r="Z129" s="893" t="s">
        <v>194</v>
      </c>
      <c r="AA129" s="893" t="s">
        <v>194</v>
      </c>
      <c r="AB129" s="893" t="s">
        <v>194</v>
      </c>
      <c r="AC129" s="893" t="s">
        <v>194</v>
      </c>
      <c r="AD129" s="846" t="s">
        <v>194</v>
      </c>
      <c r="AE129" s="846" t="s">
        <v>194</v>
      </c>
      <c r="AF129" s="846" t="s">
        <v>194</v>
      </c>
      <c r="AG129" s="846" t="s">
        <v>194</v>
      </c>
      <c r="AH129" s="846" t="s">
        <v>194</v>
      </c>
      <c r="AI129" s="846" t="s">
        <v>194</v>
      </c>
      <c r="AJ129" s="846" t="s">
        <v>194</v>
      </c>
      <c r="AK129" s="846" t="s">
        <v>194</v>
      </c>
      <c r="AL129" s="846" t="s">
        <v>194</v>
      </c>
      <c r="AM129" s="846" t="s">
        <v>194</v>
      </c>
      <c r="AN129" s="846" t="s">
        <v>194</v>
      </c>
      <c r="AO129" s="846" t="s">
        <v>194</v>
      </c>
      <c r="AP129" s="846" t="s">
        <v>194</v>
      </c>
      <c r="AQ129" s="846" t="s">
        <v>194</v>
      </c>
      <c r="AR129" s="846" t="s">
        <v>194</v>
      </c>
      <c r="AS129" s="846" t="s">
        <v>194</v>
      </c>
      <c r="AT129" s="846" t="s">
        <v>194</v>
      </c>
      <c r="AU129" s="846" t="s">
        <v>194</v>
      </c>
      <c r="AV129" s="846" t="s">
        <v>194</v>
      </c>
      <c r="AW129" s="846" t="s">
        <v>194</v>
      </c>
      <c r="AX129" s="846" t="s">
        <v>194</v>
      </c>
      <c r="AY129" s="846" t="s">
        <v>194</v>
      </c>
    </row>
    <row r="130" ht="15.75" customHeight="1">
      <c r="A130" s="846" t="s">
        <v>194</v>
      </c>
      <c r="B130" s="846" t="s">
        <v>194</v>
      </c>
      <c r="C130" s="846" t="s">
        <v>194</v>
      </c>
      <c r="D130" s="846" t="s">
        <v>194</v>
      </c>
      <c r="E130" s="846" t="s">
        <v>194</v>
      </c>
      <c r="F130" s="846" t="s">
        <v>194</v>
      </c>
      <c r="G130" s="846" t="s">
        <v>194</v>
      </c>
      <c r="H130" s="846" t="s">
        <v>194</v>
      </c>
      <c r="I130" s="846" t="s">
        <v>194</v>
      </c>
      <c r="J130" s="846" t="s">
        <v>194</v>
      </c>
      <c r="K130" s="846" t="s">
        <v>194</v>
      </c>
      <c r="L130" s="846" t="s">
        <v>194</v>
      </c>
      <c r="M130" s="850" t="s">
        <v>194</v>
      </c>
      <c r="N130" s="850" t="s">
        <v>194</v>
      </c>
      <c r="O130" s="850" t="s">
        <v>194</v>
      </c>
      <c r="P130" s="850" t="s">
        <v>194</v>
      </c>
      <c r="Q130" s="850" t="s">
        <v>194</v>
      </c>
      <c r="R130" s="850" t="s">
        <v>194</v>
      </c>
      <c r="S130" s="850" t="s">
        <v>194</v>
      </c>
      <c r="T130" s="846" t="s">
        <v>194</v>
      </c>
      <c r="U130" s="846" t="s">
        <v>194</v>
      </c>
      <c r="V130" s="846" t="s">
        <v>194</v>
      </c>
      <c r="W130" s="846" t="s">
        <v>194</v>
      </c>
      <c r="X130" s="846" t="s">
        <v>194</v>
      </c>
      <c r="Y130" s="846" t="s">
        <v>194</v>
      </c>
      <c r="Z130" s="846" t="s">
        <v>194</v>
      </c>
      <c r="AA130" s="846" t="s">
        <v>194</v>
      </c>
      <c r="AB130" s="846" t="s">
        <v>194</v>
      </c>
      <c r="AC130" s="846" t="s">
        <v>194</v>
      </c>
      <c r="AD130" s="846" t="s">
        <v>194</v>
      </c>
      <c r="AE130" s="846" t="s">
        <v>194</v>
      </c>
      <c r="AF130" s="846" t="s">
        <v>194</v>
      </c>
      <c r="AG130" s="846" t="s">
        <v>194</v>
      </c>
      <c r="AH130" s="846" t="s">
        <v>194</v>
      </c>
      <c r="AI130" s="846" t="s">
        <v>194</v>
      </c>
      <c r="AJ130" s="846" t="s">
        <v>194</v>
      </c>
      <c r="AK130" s="846" t="s">
        <v>194</v>
      </c>
      <c r="AL130" s="846" t="s">
        <v>194</v>
      </c>
      <c r="AM130" s="846" t="s">
        <v>194</v>
      </c>
      <c r="AN130" s="846" t="s">
        <v>194</v>
      </c>
      <c r="AO130" s="846" t="s">
        <v>194</v>
      </c>
      <c r="AP130" s="846" t="s">
        <v>194</v>
      </c>
      <c r="AQ130" s="846" t="s">
        <v>194</v>
      </c>
      <c r="AR130" s="846" t="s">
        <v>194</v>
      </c>
      <c r="AS130" s="846" t="s">
        <v>194</v>
      </c>
      <c r="AT130" s="846" t="s">
        <v>194</v>
      </c>
      <c r="AU130" s="846" t="s">
        <v>194</v>
      </c>
      <c r="AV130" s="846" t="s">
        <v>194</v>
      </c>
      <c r="AW130" s="846" t="s">
        <v>194</v>
      </c>
      <c r="AX130" s="846" t="s">
        <v>194</v>
      </c>
      <c r="AY130" s="846" t="s">
        <v>194</v>
      </c>
    </row>
    <row r="131" ht="15.75" customHeight="1">
      <c r="A131" s="846" t="s">
        <v>194</v>
      </c>
      <c r="B131" s="846" t="s">
        <v>194</v>
      </c>
      <c r="C131" s="846" t="s">
        <v>194</v>
      </c>
      <c r="D131" s="846" t="s">
        <v>194</v>
      </c>
      <c r="E131" s="846" t="s">
        <v>194</v>
      </c>
      <c r="F131" s="846" t="s">
        <v>194</v>
      </c>
      <c r="G131" s="846" t="s">
        <v>194</v>
      </c>
      <c r="H131" s="846" t="s">
        <v>194</v>
      </c>
      <c r="I131" s="846" t="s">
        <v>194</v>
      </c>
      <c r="J131" s="846" t="s">
        <v>194</v>
      </c>
      <c r="K131" s="846" t="s">
        <v>194</v>
      </c>
      <c r="L131" s="846" t="s">
        <v>194</v>
      </c>
      <c r="M131" s="850" t="s">
        <v>194</v>
      </c>
      <c r="N131" s="850" t="s">
        <v>194</v>
      </c>
      <c r="O131" s="850" t="s">
        <v>194</v>
      </c>
      <c r="P131" s="850" t="s">
        <v>194</v>
      </c>
      <c r="Q131" s="850" t="s">
        <v>194</v>
      </c>
      <c r="R131" s="850" t="s">
        <v>194</v>
      </c>
      <c r="S131" s="850" t="s">
        <v>194</v>
      </c>
      <c r="T131" s="846" t="s">
        <v>194</v>
      </c>
      <c r="U131" s="846" t="s">
        <v>194</v>
      </c>
      <c r="V131" s="846" t="s">
        <v>194</v>
      </c>
      <c r="W131" s="846" t="s">
        <v>194</v>
      </c>
      <c r="X131" s="846" t="s">
        <v>194</v>
      </c>
      <c r="Y131" s="846" t="s">
        <v>194</v>
      </c>
      <c r="Z131" s="846" t="s">
        <v>194</v>
      </c>
      <c r="AA131" s="846" t="s">
        <v>194</v>
      </c>
      <c r="AB131" s="846" t="s">
        <v>194</v>
      </c>
      <c r="AC131" s="846" t="s">
        <v>194</v>
      </c>
      <c r="AD131" s="846" t="s">
        <v>194</v>
      </c>
      <c r="AE131" s="846" t="s">
        <v>194</v>
      </c>
      <c r="AF131" s="846" t="s">
        <v>194</v>
      </c>
      <c r="AG131" s="846" t="s">
        <v>194</v>
      </c>
      <c r="AH131" s="846" t="s">
        <v>194</v>
      </c>
      <c r="AI131" s="846" t="s">
        <v>194</v>
      </c>
      <c r="AJ131" s="846" t="s">
        <v>194</v>
      </c>
      <c r="AK131" s="846" t="s">
        <v>194</v>
      </c>
      <c r="AL131" s="846" t="s">
        <v>194</v>
      </c>
      <c r="AM131" s="846" t="s">
        <v>194</v>
      </c>
      <c r="AN131" s="846" t="s">
        <v>194</v>
      </c>
      <c r="AO131" s="846" t="s">
        <v>194</v>
      </c>
      <c r="AP131" s="846" t="s">
        <v>194</v>
      </c>
      <c r="AQ131" s="846" t="s">
        <v>194</v>
      </c>
      <c r="AR131" s="846" t="s">
        <v>194</v>
      </c>
      <c r="AS131" s="846" t="s">
        <v>194</v>
      </c>
      <c r="AT131" s="846" t="s">
        <v>194</v>
      </c>
      <c r="AU131" s="846" t="s">
        <v>194</v>
      </c>
      <c r="AV131" s="846" t="s">
        <v>194</v>
      </c>
      <c r="AW131" s="846" t="s">
        <v>194</v>
      </c>
      <c r="AX131" s="846" t="s">
        <v>194</v>
      </c>
      <c r="AY131" s="846" t="s">
        <v>194</v>
      </c>
    </row>
    <row r="132" ht="15.75" customHeight="1">
      <c r="A132" s="846" t="s">
        <v>194</v>
      </c>
      <c r="B132" s="846" t="s">
        <v>194</v>
      </c>
      <c r="C132" s="846" t="s">
        <v>194</v>
      </c>
      <c r="D132" s="846" t="s">
        <v>194</v>
      </c>
      <c r="E132" s="846" t="s">
        <v>194</v>
      </c>
      <c r="F132" s="846" t="s">
        <v>194</v>
      </c>
      <c r="G132" s="846" t="s">
        <v>194</v>
      </c>
      <c r="H132" s="846" t="s">
        <v>194</v>
      </c>
      <c r="I132" s="846" t="s">
        <v>194</v>
      </c>
      <c r="J132" s="846" t="s">
        <v>194</v>
      </c>
      <c r="K132" s="846" t="s">
        <v>194</v>
      </c>
      <c r="L132" s="846" t="s">
        <v>194</v>
      </c>
      <c r="M132" s="850" t="s">
        <v>194</v>
      </c>
      <c r="N132" s="850" t="s">
        <v>194</v>
      </c>
      <c r="O132" s="850" t="s">
        <v>194</v>
      </c>
      <c r="P132" s="850" t="s">
        <v>194</v>
      </c>
      <c r="Q132" s="850" t="s">
        <v>194</v>
      </c>
      <c r="R132" s="850" t="s">
        <v>194</v>
      </c>
      <c r="S132" s="850" t="s">
        <v>194</v>
      </c>
      <c r="T132" s="846" t="s">
        <v>194</v>
      </c>
      <c r="U132" s="846" t="s">
        <v>194</v>
      </c>
      <c r="V132" s="846" t="s">
        <v>194</v>
      </c>
      <c r="W132" s="846" t="s">
        <v>194</v>
      </c>
      <c r="X132" s="846" t="s">
        <v>194</v>
      </c>
      <c r="Y132" s="846" t="s">
        <v>194</v>
      </c>
      <c r="Z132" s="846" t="s">
        <v>194</v>
      </c>
      <c r="AA132" s="846" t="s">
        <v>194</v>
      </c>
      <c r="AB132" s="846" t="s">
        <v>194</v>
      </c>
      <c r="AC132" s="846" t="s">
        <v>194</v>
      </c>
      <c r="AD132" s="846" t="s">
        <v>194</v>
      </c>
      <c r="AE132" s="846" t="s">
        <v>194</v>
      </c>
      <c r="AF132" s="846" t="s">
        <v>194</v>
      </c>
      <c r="AG132" s="846" t="s">
        <v>194</v>
      </c>
      <c r="AH132" s="846" t="s">
        <v>194</v>
      </c>
      <c r="AI132" s="846" t="s">
        <v>194</v>
      </c>
      <c r="AJ132" s="846" t="s">
        <v>194</v>
      </c>
      <c r="AK132" s="846" t="s">
        <v>194</v>
      </c>
      <c r="AL132" s="846" t="s">
        <v>194</v>
      </c>
      <c r="AM132" s="846" t="s">
        <v>194</v>
      </c>
      <c r="AN132" s="846" t="s">
        <v>194</v>
      </c>
      <c r="AO132" s="846" t="s">
        <v>194</v>
      </c>
      <c r="AP132" s="846" t="s">
        <v>194</v>
      </c>
      <c r="AQ132" s="846" t="s">
        <v>194</v>
      </c>
      <c r="AR132" s="846" t="s">
        <v>194</v>
      </c>
      <c r="AS132" s="846" t="s">
        <v>194</v>
      </c>
      <c r="AT132" s="846" t="s">
        <v>194</v>
      </c>
      <c r="AU132" s="846" t="s">
        <v>194</v>
      </c>
      <c r="AV132" s="846" t="s">
        <v>194</v>
      </c>
      <c r="AW132" s="846" t="s">
        <v>194</v>
      </c>
      <c r="AX132" s="846" t="s">
        <v>194</v>
      </c>
      <c r="AY132" s="846" t="s">
        <v>194</v>
      </c>
    </row>
    <row r="133" ht="15.75" customHeight="1">
      <c r="A133" s="846" t="s">
        <v>194</v>
      </c>
      <c r="B133" s="846" t="s">
        <v>194</v>
      </c>
      <c r="C133" s="846" t="s">
        <v>194</v>
      </c>
      <c r="D133" s="846" t="s">
        <v>194</v>
      </c>
      <c r="E133" s="846" t="s">
        <v>194</v>
      </c>
      <c r="F133" s="846" t="s">
        <v>194</v>
      </c>
      <c r="G133" s="846" t="s">
        <v>194</v>
      </c>
      <c r="H133" s="846" t="s">
        <v>194</v>
      </c>
      <c r="I133" s="846" t="s">
        <v>194</v>
      </c>
      <c r="J133" s="846" t="s">
        <v>194</v>
      </c>
      <c r="K133" s="846" t="s">
        <v>194</v>
      </c>
      <c r="L133" s="846" t="s">
        <v>194</v>
      </c>
      <c r="M133" s="850" t="s">
        <v>194</v>
      </c>
      <c r="N133" s="850" t="s">
        <v>194</v>
      </c>
      <c r="O133" s="850" t="s">
        <v>194</v>
      </c>
      <c r="P133" s="850" t="s">
        <v>194</v>
      </c>
      <c r="Q133" s="850" t="s">
        <v>194</v>
      </c>
      <c r="R133" s="850" t="s">
        <v>194</v>
      </c>
      <c r="S133" s="850" t="s">
        <v>194</v>
      </c>
      <c r="T133" s="846" t="s">
        <v>194</v>
      </c>
      <c r="U133" s="846" t="s">
        <v>194</v>
      </c>
      <c r="V133" s="846" t="s">
        <v>194</v>
      </c>
      <c r="W133" s="846" t="s">
        <v>194</v>
      </c>
      <c r="X133" s="846" t="s">
        <v>194</v>
      </c>
      <c r="Y133" s="846" t="s">
        <v>194</v>
      </c>
      <c r="Z133" s="846" t="s">
        <v>194</v>
      </c>
      <c r="AA133" s="846" t="s">
        <v>194</v>
      </c>
      <c r="AB133" s="846" t="s">
        <v>194</v>
      </c>
      <c r="AC133" s="846" t="s">
        <v>194</v>
      </c>
      <c r="AD133" s="846" t="s">
        <v>194</v>
      </c>
      <c r="AE133" s="846" t="s">
        <v>194</v>
      </c>
      <c r="AF133" s="846" t="s">
        <v>194</v>
      </c>
      <c r="AG133" s="846" t="s">
        <v>194</v>
      </c>
      <c r="AH133" s="846" t="s">
        <v>194</v>
      </c>
      <c r="AI133" s="846" t="s">
        <v>194</v>
      </c>
      <c r="AJ133" s="846" t="s">
        <v>194</v>
      </c>
      <c r="AK133" s="846" t="s">
        <v>194</v>
      </c>
      <c r="AL133" s="846" t="s">
        <v>194</v>
      </c>
      <c r="AM133" s="846" t="s">
        <v>194</v>
      </c>
      <c r="AN133" s="846" t="s">
        <v>194</v>
      </c>
      <c r="AO133" s="846" t="s">
        <v>194</v>
      </c>
      <c r="AP133" s="846" t="s">
        <v>194</v>
      </c>
      <c r="AQ133" s="846" t="s">
        <v>194</v>
      </c>
      <c r="AR133" s="846" t="s">
        <v>194</v>
      </c>
      <c r="AS133" s="846" t="s">
        <v>194</v>
      </c>
      <c r="AT133" s="846" t="s">
        <v>194</v>
      </c>
      <c r="AU133" s="846" t="s">
        <v>194</v>
      </c>
      <c r="AV133" s="846" t="s">
        <v>194</v>
      </c>
      <c r="AW133" s="846" t="s">
        <v>194</v>
      </c>
      <c r="AX133" s="846" t="s">
        <v>194</v>
      </c>
      <c r="AY133" s="846" t="s">
        <v>194</v>
      </c>
    </row>
    <row r="134" ht="15.75" customHeight="1">
      <c r="A134" s="846" t="s">
        <v>194</v>
      </c>
      <c r="B134" s="846" t="s">
        <v>194</v>
      </c>
      <c r="C134" s="846" t="s">
        <v>194</v>
      </c>
      <c r="D134" s="846" t="s">
        <v>194</v>
      </c>
      <c r="E134" s="846" t="s">
        <v>194</v>
      </c>
      <c r="F134" s="846" t="s">
        <v>194</v>
      </c>
      <c r="G134" s="846" t="s">
        <v>194</v>
      </c>
      <c r="H134" s="846" t="s">
        <v>194</v>
      </c>
      <c r="I134" s="846" t="s">
        <v>194</v>
      </c>
      <c r="J134" s="846" t="s">
        <v>194</v>
      </c>
      <c r="K134" s="846" t="s">
        <v>194</v>
      </c>
      <c r="L134" s="846" t="s">
        <v>194</v>
      </c>
      <c r="M134" s="850" t="s">
        <v>194</v>
      </c>
      <c r="N134" s="850" t="s">
        <v>194</v>
      </c>
      <c r="O134" s="850" t="s">
        <v>194</v>
      </c>
      <c r="P134" s="850" t="s">
        <v>194</v>
      </c>
      <c r="Q134" s="850" t="s">
        <v>194</v>
      </c>
      <c r="R134" s="850" t="s">
        <v>194</v>
      </c>
      <c r="S134" s="850" t="s">
        <v>194</v>
      </c>
      <c r="T134" s="846" t="s">
        <v>194</v>
      </c>
      <c r="U134" s="846" t="s">
        <v>194</v>
      </c>
      <c r="V134" s="846" t="s">
        <v>194</v>
      </c>
      <c r="W134" s="846" t="s">
        <v>194</v>
      </c>
      <c r="X134" s="846" t="s">
        <v>194</v>
      </c>
      <c r="Y134" s="846" t="s">
        <v>194</v>
      </c>
      <c r="Z134" s="846" t="s">
        <v>194</v>
      </c>
      <c r="AA134" s="846" t="s">
        <v>194</v>
      </c>
      <c r="AB134" s="846" t="s">
        <v>194</v>
      </c>
      <c r="AC134" s="846" t="s">
        <v>194</v>
      </c>
      <c r="AD134" s="846" t="s">
        <v>194</v>
      </c>
      <c r="AE134" s="846" t="s">
        <v>194</v>
      </c>
      <c r="AF134" s="846" t="s">
        <v>194</v>
      </c>
      <c r="AG134" s="846" t="s">
        <v>194</v>
      </c>
      <c r="AH134" s="846" t="s">
        <v>194</v>
      </c>
      <c r="AI134" s="846" t="s">
        <v>194</v>
      </c>
      <c r="AJ134" s="846" t="s">
        <v>194</v>
      </c>
      <c r="AK134" s="846" t="s">
        <v>194</v>
      </c>
      <c r="AL134" s="846" t="s">
        <v>194</v>
      </c>
      <c r="AM134" s="846" t="s">
        <v>194</v>
      </c>
      <c r="AN134" s="846" t="s">
        <v>194</v>
      </c>
      <c r="AO134" s="846" t="s">
        <v>194</v>
      </c>
      <c r="AP134" s="846" t="s">
        <v>194</v>
      </c>
      <c r="AQ134" s="846" t="s">
        <v>194</v>
      </c>
      <c r="AR134" s="846" t="s">
        <v>194</v>
      </c>
      <c r="AS134" s="846" t="s">
        <v>194</v>
      </c>
      <c r="AT134" s="846" t="s">
        <v>194</v>
      </c>
      <c r="AU134" s="846" t="s">
        <v>194</v>
      </c>
      <c r="AV134" s="846" t="s">
        <v>194</v>
      </c>
      <c r="AW134" s="846" t="s">
        <v>194</v>
      </c>
      <c r="AX134" s="846" t="s">
        <v>194</v>
      </c>
      <c r="AY134" s="846" t="s">
        <v>194</v>
      </c>
    </row>
    <row r="135" ht="15.75" customHeight="1">
      <c r="A135" s="846" t="s">
        <v>194</v>
      </c>
      <c r="B135" s="846" t="s">
        <v>194</v>
      </c>
      <c r="C135" s="846" t="s">
        <v>194</v>
      </c>
      <c r="D135" s="846" t="s">
        <v>194</v>
      </c>
      <c r="E135" s="846" t="s">
        <v>194</v>
      </c>
      <c r="F135" s="846" t="s">
        <v>194</v>
      </c>
      <c r="G135" s="846" t="s">
        <v>194</v>
      </c>
      <c r="H135" s="846" t="s">
        <v>194</v>
      </c>
      <c r="I135" s="846" t="s">
        <v>194</v>
      </c>
      <c r="J135" s="846" t="s">
        <v>194</v>
      </c>
      <c r="K135" s="846" t="s">
        <v>194</v>
      </c>
      <c r="L135" s="846" t="s">
        <v>194</v>
      </c>
      <c r="M135" s="850" t="s">
        <v>194</v>
      </c>
      <c r="N135" s="850" t="s">
        <v>194</v>
      </c>
      <c r="O135" s="850" t="s">
        <v>194</v>
      </c>
      <c r="P135" s="850" t="s">
        <v>194</v>
      </c>
      <c r="Q135" s="850" t="s">
        <v>194</v>
      </c>
      <c r="R135" s="850" t="s">
        <v>194</v>
      </c>
      <c r="S135" s="850" t="s">
        <v>194</v>
      </c>
      <c r="T135" s="846" t="s">
        <v>194</v>
      </c>
      <c r="U135" s="846" t="s">
        <v>194</v>
      </c>
      <c r="V135" s="846" t="s">
        <v>194</v>
      </c>
      <c r="W135" s="846" t="s">
        <v>194</v>
      </c>
      <c r="X135" s="846" t="s">
        <v>194</v>
      </c>
      <c r="Y135" s="846" t="s">
        <v>194</v>
      </c>
      <c r="Z135" s="846" t="s">
        <v>194</v>
      </c>
      <c r="AA135" s="846" t="s">
        <v>194</v>
      </c>
      <c r="AB135" s="846" t="s">
        <v>194</v>
      </c>
      <c r="AC135" s="846" t="s">
        <v>194</v>
      </c>
      <c r="AD135" s="846" t="s">
        <v>194</v>
      </c>
      <c r="AE135" s="846" t="s">
        <v>194</v>
      </c>
      <c r="AF135" s="846" t="s">
        <v>194</v>
      </c>
      <c r="AG135" s="846" t="s">
        <v>194</v>
      </c>
      <c r="AH135" s="846" t="s">
        <v>194</v>
      </c>
      <c r="AI135" s="846" t="s">
        <v>194</v>
      </c>
      <c r="AJ135" s="846" t="s">
        <v>194</v>
      </c>
      <c r="AK135" s="846" t="s">
        <v>194</v>
      </c>
      <c r="AL135" s="846" t="s">
        <v>194</v>
      </c>
      <c r="AM135" s="846" t="s">
        <v>194</v>
      </c>
      <c r="AN135" s="846" t="s">
        <v>194</v>
      </c>
      <c r="AO135" s="846" t="s">
        <v>194</v>
      </c>
      <c r="AP135" s="846" t="s">
        <v>194</v>
      </c>
      <c r="AQ135" s="846" t="s">
        <v>194</v>
      </c>
      <c r="AR135" s="846" t="s">
        <v>194</v>
      </c>
      <c r="AS135" s="846" t="s">
        <v>194</v>
      </c>
      <c r="AT135" s="846" t="s">
        <v>194</v>
      </c>
      <c r="AU135" s="846" t="s">
        <v>194</v>
      </c>
      <c r="AV135" s="846" t="s">
        <v>194</v>
      </c>
      <c r="AW135" s="846" t="s">
        <v>194</v>
      </c>
      <c r="AX135" s="846" t="s">
        <v>194</v>
      </c>
      <c r="AY135" s="846" t="s">
        <v>194</v>
      </c>
    </row>
    <row r="136" ht="15.75" customHeight="1">
      <c r="A136" s="846" t="s">
        <v>194</v>
      </c>
      <c r="B136" s="846" t="s">
        <v>194</v>
      </c>
      <c r="C136" s="846" t="s">
        <v>194</v>
      </c>
      <c r="D136" s="846" t="s">
        <v>194</v>
      </c>
      <c r="E136" s="846" t="s">
        <v>194</v>
      </c>
      <c r="F136" s="846" t="s">
        <v>194</v>
      </c>
      <c r="G136" s="846" t="s">
        <v>194</v>
      </c>
      <c r="H136" s="846" t="s">
        <v>194</v>
      </c>
      <c r="I136" s="846" t="s">
        <v>194</v>
      </c>
      <c r="J136" s="846" t="s">
        <v>194</v>
      </c>
      <c r="K136" s="846" t="s">
        <v>194</v>
      </c>
      <c r="L136" s="846" t="s">
        <v>194</v>
      </c>
      <c r="M136" s="850" t="s">
        <v>194</v>
      </c>
      <c r="N136" s="850" t="s">
        <v>194</v>
      </c>
      <c r="O136" s="850" t="s">
        <v>194</v>
      </c>
      <c r="P136" s="850" t="s">
        <v>194</v>
      </c>
      <c r="Q136" s="850" t="s">
        <v>194</v>
      </c>
      <c r="R136" s="850" t="s">
        <v>194</v>
      </c>
      <c r="S136" s="850" t="s">
        <v>194</v>
      </c>
      <c r="T136" s="846" t="s">
        <v>194</v>
      </c>
      <c r="U136" s="846" t="s">
        <v>194</v>
      </c>
      <c r="V136" s="846" t="s">
        <v>194</v>
      </c>
      <c r="W136" s="846" t="s">
        <v>194</v>
      </c>
      <c r="X136" s="846" t="s">
        <v>194</v>
      </c>
      <c r="Y136" s="846" t="s">
        <v>194</v>
      </c>
      <c r="Z136" s="846" t="s">
        <v>194</v>
      </c>
      <c r="AA136" s="846" t="s">
        <v>194</v>
      </c>
      <c r="AB136" s="846" t="s">
        <v>194</v>
      </c>
      <c r="AC136" s="846" t="s">
        <v>194</v>
      </c>
      <c r="AD136" s="846" t="s">
        <v>194</v>
      </c>
      <c r="AE136" s="846" t="s">
        <v>194</v>
      </c>
      <c r="AF136" s="846" t="s">
        <v>194</v>
      </c>
      <c r="AG136" s="846" t="s">
        <v>194</v>
      </c>
      <c r="AH136" s="846" t="s">
        <v>194</v>
      </c>
      <c r="AI136" s="846" t="s">
        <v>194</v>
      </c>
      <c r="AJ136" s="846" t="s">
        <v>194</v>
      </c>
      <c r="AK136" s="846" t="s">
        <v>194</v>
      </c>
      <c r="AL136" s="846" t="s">
        <v>194</v>
      </c>
      <c r="AM136" s="846" t="s">
        <v>194</v>
      </c>
      <c r="AN136" s="846" t="s">
        <v>194</v>
      </c>
      <c r="AO136" s="846" t="s">
        <v>194</v>
      </c>
      <c r="AP136" s="846" t="s">
        <v>194</v>
      </c>
      <c r="AQ136" s="846" t="s">
        <v>194</v>
      </c>
      <c r="AR136" s="846" t="s">
        <v>194</v>
      </c>
      <c r="AS136" s="846" t="s">
        <v>194</v>
      </c>
      <c r="AT136" s="846" t="s">
        <v>194</v>
      </c>
      <c r="AU136" s="846" t="s">
        <v>194</v>
      </c>
      <c r="AV136" s="846" t="s">
        <v>194</v>
      </c>
      <c r="AW136" s="846" t="s">
        <v>194</v>
      </c>
      <c r="AX136" s="846" t="s">
        <v>194</v>
      </c>
      <c r="AY136" s="846" t="s">
        <v>194</v>
      </c>
    </row>
    <row r="137" ht="15.75" customHeight="1">
      <c r="A137" s="846" t="s">
        <v>194</v>
      </c>
      <c r="B137" s="846" t="s">
        <v>194</v>
      </c>
      <c r="C137" s="846" t="s">
        <v>194</v>
      </c>
      <c r="D137" s="846" t="s">
        <v>194</v>
      </c>
      <c r="E137" s="846" t="s">
        <v>194</v>
      </c>
      <c r="F137" s="846" t="s">
        <v>194</v>
      </c>
      <c r="G137" s="846" t="s">
        <v>194</v>
      </c>
      <c r="H137" s="846" t="s">
        <v>194</v>
      </c>
      <c r="I137" s="846" t="s">
        <v>194</v>
      </c>
      <c r="J137" s="846" t="s">
        <v>194</v>
      </c>
      <c r="K137" s="846" t="s">
        <v>194</v>
      </c>
      <c r="L137" s="846" t="s">
        <v>194</v>
      </c>
      <c r="M137" s="850" t="s">
        <v>194</v>
      </c>
      <c r="N137" s="850" t="s">
        <v>194</v>
      </c>
      <c r="O137" s="850" t="s">
        <v>194</v>
      </c>
      <c r="P137" s="850" t="s">
        <v>194</v>
      </c>
      <c r="Q137" s="850" t="s">
        <v>194</v>
      </c>
      <c r="R137" s="850" t="s">
        <v>194</v>
      </c>
      <c r="S137" s="850" t="s">
        <v>194</v>
      </c>
      <c r="T137" s="846" t="s">
        <v>194</v>
      </c>
      <c r="U137" s="846" t="s">
        <v>194</v>
      </c>
      <c r="V137" s="846" t="s">
        <v>194</v>
      </c>
      <c r="W137" s="846" t="s">
        <v>194</v>
      </c>
      <c r="X137" s="846" t="s">
        <v>194</v>
      </c>
      <c r="Y137" s="846" t="s">
        <v>194</v>
      </c>
      <c r="Z137" s="846" t="s">
        <v>194</v>
      </c>
      <c r="AA137" s="846" t="s">
        <v>194</v>
      </c>
      <c r="AB137" s="846" t="s">
        <v>194</v>
      </c>
      <c r="AC137" s="846" t="s">
        <v>194</v>
      </c>
      <c r="AD137" s="846" t="s">
        <v>194</v>
      </c>
      <c r="AE137" s="846" t="s">
        <v>194</v>
      </c>
      <c r="AF137" s="846" t="s">
        <v>194</v>
      </c>
      <c r="AG137" s="846" t="s">
        <v>194</v>
      </c>
      <c r="AH137" s="846" t="s">
        <v>194</v>
      </c>
      <c r="AI137" s="846" t="s">
        <v>194</v>
      </c>
      <c r="AJ137" s="846" t="s">
        <v>194</v>
      </c>
      <c r="AK137" s="846" t="s">
        <v>194</v>
      </c>
      <c r="AL137" s="846" t="s">
        <v>194</v>
      </c>
      <c r="AM137" s="846" t="s">
        <v>194</v>
      </c>
      <c r="AN137" s="846" t="s">
        <v>194</v>
      </c>
      <c r="AO137" s="846" t="s">
        <v>194</v>
      </c>
      <c r="AP137" s="846" t="s">
        <v>194</v>
      </c>
      <c r="AQ137" s="846" t="s">
        <v>194</v>
      </c>
      <c r="AR137" s="846" t="s">
        <v>194</v>
      </c>
      <c r="AS137" s="846" t="s">
        <v>194</v>
      </c>
      <c r="AT137" s="846" t="s">
        <v>194</v>
      </c>
      <c r="AU137" s="846" t="s">
        <v>194</v>
      </c>
      <c r="AV137" s="846" t="s">
        <v>194</v>
      </c>
      <c r="AW137" s="846" t="s">
        <v>194</v>
      </c>
      <c r="AX137" s="846" t="s">
        <v>194</v>
      </c>
      <c r="AY137" s="846" t="s">
        <v>194</v>
      </c>
    </row>
    <row r="138" ht="15.75" customHeight="1">
      <c r="A138" s="846" t="s">
        <v>194</v>
      </c>
      <c r="B138" s="846" t="s">
        <v>194</v>
      </c>
      <c r="C138" s="846" t="s">
        <v>194</v>
      </c>
      <c r="D138" s="846" t="s">
        <v>194</v>
      </c>
      <c r="E138" s="846" t="s">
        <v>194</v>
      </c>
      <c r="F138" s="846" t="s">
        <v>194</v>
      </c>
      <c r="G138" s="846" t="s">
        <v>194</v>
      </c>
      <c r="H138" s="846" t="s">
        <v>194</v>
      </c>
      <c r="I138" s="846" t="s">
        <v>194</v>
      </c>
      <c r="J138" s="846" t="s">
        <v>194</v>
      </c>
      <c r="K138" s="846" t="s">
        <v>194</v>
      </c>
      <c r="L138" s="846" t="s">
        <v>194</v>
      </c>
      <c r="M138" s="850" t="s">
        <v>194</v>
      </c>
      <c r="N138" s="850" t="s">
        <v>194</v>
      </c>
      <c r="O138" s="850" t="s">
        <v>194</v>
      </c>
      <c r="P138" s="850" t="s">
        <v>194</v>
      </c>
      <c r="Q138" s="850" t="s">
        <v>194</v>
      </c>
      <c r="R138" s="850" t="s">
        <v>194</v>
      </c>
      <c r="S138" s="850" t="s">
        <v>194</v>
      </c>
      <c r="T138" s="846" t="s">
        <v>194</v>
      </c>
      <c r="U138" s="846" t="s">
        <v>194</v>
      </c>
      <c r="V138" s="846" t="s">
        <v>194</v>
      </c>
      <c r="W138" s="846" t="s">
        <v>194</v>
      </c>
      <c r="X138" s="846" t="s">
        <v>194</v>
      </c>
      <c r="Y138" s="846" t="s">
        <v>194</v>
      </c>
      <c r="Z138" s="846" t="s">
        <v>194</v>
      </c>
      <c r="AA138" s="846" t="s">
        <v>194</v>
      </c>
      <c r="AB138" s="846" t="s">
        <v>194</v>
      </c>
      <c r="AC138" s="846" t="s">
        <v>194</v>
      </c>
      <c r="AD138" s="846" t="s">
        <v>194</v>
      </c>
      <c r="AE138" s="846" t="s">
        <v>194</v>
      </c>
      <c r="AF138" s="846" t="s">
        <v>194</v>
      </c>
      <c r="AG138" s="846" t="s">
        <v>194</v>
      </c>
      <c r="AH138" s="846" t="s">
        <v>194</v>
      </c>
      <c r="AI138" s="846" t="s">
        <v>194</v>
      </c>
      <c r="AJ138" s="846" t="s">
        <v>194</v>
      </c>
      <c r="AK138" s="846" t="s">
        <v>194</v>
      </c>
      <c r="AL138" s="846" t="s">
        <v>194</v>
      </c>
      <c r="AM138" s="846" t="s">
        <v>194</v>
      </c>
      <c r="AN138" s="846" t="s">
        <v>194</v>
      </c>
      <c r="AO138" s="846" t="s">
        <v>194</v>
      </c>
      <c r="AP138" s="846" t="s">
        <v>194</v>
      </c>
      <c r="AQ138" s="846" t="s">
        <v>194</v>
      </c>
      <c r="AR138" s="846" t="s">
        <v>194</v>
      </c>
      <c r="AS138" s="846" t="s">
        <v>194</v>
      </c>
      <c r="AT138" s="846" t="s">
        <v>194</v>
      </c>
      <c r="AU138" s="846" t="s">
        <v>194</v>
      </c>
      <c r="AV138" s="846" t="s">
        <v>194</v>
      </c>
      <c r="AW138" s="846" t="s">
        <v>194</v>
      </c>
      <c r="AX138" s="846" t="s">
        <v>194</v>
      </c>
      <c r="AY138" s="846" t="s">
        <v>194</v>
      </c>
    </row>
    <row r="139" ht="15.75" customHeight="1">
      <c r="A139" s="846" t="s">
        <v>194</v>
      </c>
      <c r="B139" s="846" t="s">
        <v>194</v>
      </c>
      <c r="C139" s="846" t="s">
        <v>194</v>
      </c>
      <c r="D139" s="846" t="s">
        <v>194</v>
      </c>
      <c r="E139" s="846" t="s">
        <v>194</v>
      </c>
      <c r="F139" s="846" t="s">
        <v>194</v>
      </c>
      <c r="G139" s="846" t="s">
        <v>194</v>
      </c>
      <c r="H139" s="846" t="s">
        <v>194</v>
      </c>
      <c r="I139" s="846" t="s">
        <v>194</v>
      </c>
      <c r="J139" s="846" t="s">
        <v>194</v>
      </c>
      <c r="K139" s="846" t="s">
        <v>194</v>
      </c>
      <c r="L139" s="846" t="s">
        <v>194</v>
      </c>
      <c r="M139" s="850" t="s">
        <v>194</v>
      </c>
      <c r="N139" s="850" t="s">
        <v>194</v>
      </c>
      <c r="O139" s="850" t="s">
        <v>194</v>
      </c>
      <c r="P139" s="850" t="s">
        <v>194</v>
      </c>
      <c r="Q139" s="850" t="s">
        <v>194</v>
      </c>
      <c r="R139" s="850" t="s">
        <v>194</v>
      </c>
      <c r="S139" s="850" t="s">
        <v>194</v>
      </c>
      <c r="T139" s="846" t="s">
        <v>194</v>
      </c>
      <c r="U139" s="846" t="s">
        <v>194</v>
      </c>
      <c r="V139" s="846" t="s">
        <v>194</v>
      </c>
      <c r="W139" s="846" t="s">
        <v>194</v>
      </c>
      <c r="X139" s="846" t="s">
        <v>194</v>
      </c>
      <c r="Y139" s="846" t="s">
        <v>194</v>
      </c>
      <c r="Z139" s="846" t="s">
        <v>194</v>
      </c>
      <c r="AA139" s="846" t="s">
        <v>194</v>
      </c>
      <c r="AB139" s="846" t="s">
        <v>194</v>
      </c>
      <c r="AC139" s="846" t="s">
        <v>194</v>
      </c>
      <c r="AD139" s="846" t="s">
        <v>194</v>
      </c>
      <c r="AE139" s="846" t="s">
        <v>194</v>
      </c>
      <c r="AF139" s="846" t="s">
        <v>194</v>
      </c>
      <c r="AG139" s="846" t="s">
        <v>194</v>
      </c>
      <c r="AH139" s="846" t="s">
        <v>194</v>
      </c>
      <c r="AI139" s="846" t="s">
        <v>194</v>
      </c>
      <c r="AJ139" s="846" t="s">
        <v>194</v>
      </c>
      <c r="AK139" s="846" t="s">
        <v>194</v>
      </c>
      <c r="AL139" s="846" t="s">
        <v>194</v>
      </c>
      <c r="AM139" s="846" t="s">
        <v>194</v>
      </c>
      <c r="AN139" s="846" t="s">
        <v>194</v>
      </c>
      <c r="AO139" s="846" t="s">
        <v>194</v>
      </c>
      <c r="AP139" s="846" t="s">
        <v>194</v>
      </c>
      <c r="AQ139" s="846" t="s">
        <v>194</v>
      </c>
      <c r="AR139" s="846" t="s">
        <v>194</v>
      </c>
      <c r="AS139" s="846" t="s">
        <v>194</v>
      </c>
      <c r="AT139" s="846" t="s">
        <v>194</v>
      </c>
      <c r="AU139" s="846" t="s">
        <v>194</v>
      </c>
      <c r="AV139" s="846" t="s">
        <v>194</v>
      </c>
      <c r="AW139" s="846" t="s">
        <v>194</v>
      </c>
      <c r="AX139" s="846" t="s">
        <v>194</v>
      </c>
      <c r="AY139" s="846" t="s">
        <v>194</v>
      </c>
    </row>
    <row r="140" ht="15.75" customHeight="1">
      <c r="A140" s="846" t="s">
        <v>194</v>
      </c>
      <c r="B140" s="846" t="s">
        <v>194</v>
      </c>
      <c r="C140" s="846" t="s">
        <v>194</v>
      </c>
      <c r="D140" s="846" t="s">
        <v>194</v>
      </c>
      <c r="E140" s="846" t="s">
        <v>194</v>
      </c>
      <c r="F140" s="846" t="s">
        <v>194</v>
      </c>
      <c r="G140" s="846" t="s">
        <v>194</v>
      </c>
      <c r="H140" s="846" t="s">
        <v>194</v>
      </c>
      <c r="I140" s="846" t="s">
        <v>194</v>
      </c>
      <c r="J140" s="846" t="s">
        <v>194</v>
      </c>
      <c r="K140" s="846" t="s">
        <v>194</v>
      </c>
      <c r="L140" s="846" t="s">
        <v>194</v>
      </c>
      <c r="M140" s="850" t="s">
        <v>194</v>
      </c>
      <c r="N140" s="850" t="s">
        <v>194</v>
      </c>
      <c r="O140" s="850" t="s">
        <v>194</v>
      </c>
      <c r="P140" s="850" t="s">
        <v>194</v>
      </c>
      <c r="Q140" s="850" t="s">
        <v>194</v>
      </c>
      <c r="R140" s="850" t="s">
        <v>194</v>
      </c>
      <c r="S140" s="850" t="s">
        <v>194</v>
      </c>
      <c r="T140" s="846" t="s">
        <v>194</v>
      </c>
      <c r="U140" s="846" t="s">
        <v>194</v>
      </c>
      <c r="V140" s="846" t="s">
        <v>194</v>
      </c>
      <c r="W140" s="846" t="s">
        <v>194</v>
      </c>
      <c r="X140" s="846" t="s">
        <v>194</v>
      </c>
      <c r="Y140" s="846" t="s">
        <v>194</v>
      </c>
      <c r="Z140" s="846" t="s">
        <v>194</v>
      </c>
      <c r="AA140" s="846" t="s">
        <v>194</v>
      </c>
      <c r="AB140" s="846" t="s">
        <v>194</v>
      </c>
      <c r="AC140" s="846" t="s">
        <v>194</v>
      </c>
      <c r="AD140" s="846" t="s">
        <v>194</v>
      </c>
      <c r="AE140" s="846" t="s">
        <v>194</v>
      </c>
      <c r="AF140" s="846" t="s">
        <v>194</v>
      </c>
      <c r="AG140" s="846" t="s">
        <v>194</v>
      </c>
      <c r="AH140" s="846" t="s">
        <v>194</v>
      </c>
      <c r="AI140" s="846" t="s">
        <v>194</v>
      </c>
      <c r="AJ140" s="846" t="s">
        <v>194</v>
      </c>
      <c r="AK140" s="846" t="s">
        <v>194</v>
      </c>
      <c r="AL140" s="846" t="s">
        <v>194</v>
      </c>
      <c r="AM140" s="846" t="s">
        <v>194</v>
      </c>
      <c r="AN140" s="846" t="s">
        <v>194</v>
      </c>
      <c r="AO140" s="846" t="s">
        <v>194</v>
      </c>
      <c r="AP140" s="846" t="s">
        <v>194</v>
      </c>
      <c r="AQ140" s="846" t="s">
        <v>194</v>
      </c>
      <c r="AR140" s="846" t="s">
        <v>194</v>
      </c>
      <c r="AS140" s="846" t="s">
        <v>194</v>
      </c>
      <c r="AT140" s="846" t="s">
        <v>194</v>
      </c>
      <c r="AU140" s="846" t="s">
        <v>194</v>
      </c>
      <c r="AV140" s="846" t="s">
        <v>194</v>
      </c>
      <c r="AW140" s="846" t="s">
        <v>194</v>
      </c>
      <c r="AX140" s="846" t="s">
        <v>194</v>
      </c>
      <c r="AY140" s="846" t="s">
        <v>194</v>
      </c>
    </row>
    <row r="141" ht="15.75" customHeight="1">
      <c r="A141" s="846" t="s">
        <v>194</v>
      </c>
      <c r="B141" s="846" t="s">
        <v>194</v>
      </c>
      <c r="C141" s="846" t="s">
        <v>194</v>
      </c>
      <c r="D141" s="846" t="s">
        <v>194</v>
      </c>
      <c r="E141" s="846" t="s">
        <v>194</v>
      </c>
      <c r="F141" s="846" t="s">
        <v>194</v>
      </c>
      <c r="G141" s="846" t="s">
        <v>194</v>
      </c>
      <c r="H141" s="846" t="s">
        <v>194</v>
      </c>
      <c r="I141" s="846" t="s">
        <v>194</v>
      </c>
      <c r="J141" s="846" t="s">
        <v>194</v>
      </c>
      <c r="K141" s="846" t="s">
        <v>194</v>
      </c>
      <c r="L141" s="846" t="s">
        <v>194</v>
      </c>
      <c r="M141" s="850" t="s">
        <v>194</v>
      </c>
      <c r="N141" s="850" t="s">
        <v>194</v>
      </c>
      <c r="O141" s="850" t="s">
        <v>194</v>
      </c>
      <c r="P141" s="850" t="s">
        <v>194</v>
      </c>
      <c r="Q141" s="850" t="s">
        <v>194</v>
      </c>
      <c r="R141" s="850" t="s">
        <v>194</v>
      </c>
      <c r="S141" s="850" t="s">
        <v>194</v>
      </c>
      <c r="T141" s="846" t="s">
        <v>194</v>
      </c>
      <c r="U141" s="846" t="s">
        <v>194</v>
      </c>
      <c r="V141" s="846" t="s">
        <v>194</v>
      </c>
      <c r="W141" s="846" t="s">
        <v>194</v>
      </c>
      <c r="X141" s="846" t="s">
        <v>194</v>
      </c>
      <c r="Y141" s="846" t="s">
        <v>194</v>
      </c>
      <c r="Z141" s="846" t="s">
        <v>194</v>
      </c>
      <c r="AA141" s="846" t="s">
        <v>194</v>
      </c>
      <c r="AB141" s="846" t="s">
        <v>194</v>
      </c>
      <c r="AC141" s="846" t="s">
        <v>194</v>
      </c>
      <c r="AD141" s="846" t="s">
        <v>194</v>
      </c>
      <c r="AE141" s="846" t="s">
        <v>194</v>
      </c>
      <c r="AF141" s="846" t="s">
        <v>194</v>
      </c>
      <c r="AG141" s="846" t="s">
        <v>194</v>
      </c>
      <c r="AH141" s="846" t="s">
        <v>194</v>
      </c>
      <c r="AI141" s="846" t="s">
        <v>194</v>
      </c>
      <c r="AJ141" s="846" t="s">
        <v>194</v>
      </c>
      <c r="AK141" s="846" t="s">
        <v>194</v>
      </c>
      <c r="AL141" s="846" t="s">
        <v>194</v>
      </c>
      <c r="AM141" s="846" t="s">
        <v>194</v>
      </c>
      <c r="AN141" s="846" t="s">
        <v>194</v>
      </c>
      <c r="AO141" s="846" t="s">
        <v>194</v>
      </c>
      <c r="AP141" s="846" t="s">
        <v>194</v>
      </c>
      <c r="AQ141" s="846" t="s">
        <v>194</v>
      </c>
      <c r="AR141" s="846" t="s">
        <v>194</v>
      </c>
      <c r="AS141" s="846" t="s">
        <v>194</v>
      </c>
      <c r="AT141" s="846" t="s">
        <v>194</v>
      </c>
      <c r="AU141" s="846" t="s">
        <v>194</v>
      </c>
      <c r="AV141" s="846" t="s">
        <v>194</v>
      </c>
      <c r="AW141" s="846" t="s">
        <v>194</v>
      </c>
      <c r="AX141" s="846" t="s">
        <v>194</v>
      </c>
      <c r="AY141" s="846" t="s">
        <v>194</v>
      </c>
    </row>
    <row r="142" ht="15.75" customHeight="1">
      <c r="A142" s="846" t="s">
        <v>194</v>
      </c>
      <c r="B142" s="846" t="s">
        <v>194</v>
      </c>
      <c r="C142" s="846" t="s">
        <v>194</v>
      </c>
      <c r="D142" s="846" t="s">
        <v>194</v>
      </c>
      <c r="E142" s="846" t="s">
        <v>194</v>
      </c>
      <c r="F142" s="846" t="s">
        <v>194</v>
      </c>
      <c r="G142" s="846" t="s">
        <v>194</v>
      </c>
      <c r="H142" s="846" t="s">
        <v>194</v>
      </c>
      <c r="I142" s="846" t="s">
        <v>194</v>
      </c>
      <c r="J142" s="846" t="s">
        <v>194</v>
      </c>
      <c r="K142" s="846" t="s">
        <v>194</v>
      </c>
      <c r="L142" s="846" t="s">
        <v>194</v>
      </c>
      <c r="M142" s="850" t="s">
        <v>194</v>
      </c>
      <c r="N142" s="850" t="s">
        <v>194</v>
      </c>
      <c r="O142" s="850" t="s">
        <v>194</v>
      </c>
      <c r="P142" s="850" t="s">
        <v>194</v>
      </c>
      <c r="Q142" s="850" t="s">
        <v>194</v>
      </c>
      <c r="R142" s="850" t="s">
        <v>194</v>
      </c>
      <c r="S142" s="850" t="s">
        <v>194</v>
      </c>
      <c r="T142" s="846" t="s">
        <v>194</v>
      </c>
      <c r="U142" s="846" t="s">
        <v>194</v>
      </c>
      <c r="V142" s="846" t="s">
        <v>194</v>
      </c>
      <c r="W142" s="846" t="s">
        <v>194</v>
      </c>
      <c r="X142" s="846" t="s">
        <v>194</v>
      </c>
      <c r="Y142" s="846" t="s">
        <v>194</v>
      </c>
      <c r="Z142" s="846" t="s">
        <v>194</v>
      </c>
      <c r="AA142" s="846" t="s">
        <v>194</v>
      </c>
      <c r="AB142" s="846" t="s">
        <v>194</v>
      </c>
      <c r="AC142" s="846" t="s">
        <v>194</v>
      </c>
      <c r="AD142" s="846" t="s">
        <v>194</v>
      </c>
      <c r="AE142" s="846" t="s">
        <v>194</v>
      </c>
      <c r="AF142" s="846" t="s">
        <v>194</v>
      </c>
      <c r="AG142" s="846" t="s">
        <v>194</v>
      </c>
      <c r="AH142" s="846" t="s">
        <v>194</v>
      </c>
      <c r="AI142" s="846" t="s">
        <v>194</v>
      </c>
      <c r="AJ142" s="846" t="s">
        <v>194</v>
      </c>
      <c r="AK142" s="846" t="s">
        <v>194</v>
      </c>
      <c r="AL142" s="846" t="s">
        <v>194</v>
      </c>
      <c r="AM142" s="846" t="s">
        <v>194</v>
      </c>
      <c r="AN142" s="846" t="s">
        <v>194</v>
      </c>
      <c r="AO142" s="846" t="s">
        <v>194</v>
      </c>
      <c r="AP142" s="846" t="s">
        <v>194</v>
      </c>
      <c r="AQ142" s="846" t="s">
        <v>194</v>
      </c>
      <c r="AR142" s="846" t="s">
        <v>194</v>
      </c>
      <c r="AS142" s="846" t="s">
        <v>194</v>
      </c>
      <c r="AT142" s="846" t="s">
        <v>194</v>
      </c>
      <c r="AU142" s="846" t="s">
        <v>194</v>
      </c>
      <c r="AV142" s="846" t="s">
        <v>194</v>
      </c>
      <c r="AW142" s="846" t="s">
        <v>194</v>
      </c>
      <c r="AX142" s="846" t="s">
        <v>194</v>
      </c>
      <c r="AY142" s="846" t="s">
        <v>194</v>
      </c>
    </row>
    <row r="143" ht="15.75" customHeight="1">
      <c r="A143" s="846" t="s">
        <v>194</v>
      </c>
      <c r="B143" s="846" t="s">
        <v>194</v>
      </c>
      <c r="C143" s="846" t="s">
        <v>194</v>
      </c>
      <c r="D143" s="846" t="s">
        <v>194</v>
      </c>
      <c r="E143" s="846" t="s">
        <v>194</v>
      </c>
      <c r="F143" s="846" t="s">
        <v>194</v>
      </c>
      <c r="G143" s="846" t="s">
        <v>194</v>
      </c>
      <c r="H143" s="846" t="s">
        <v>194</v>
      </c>
      <c r="I143" s="846" t="s">
        <v>194</v>
      </c>
      <c r="J143" s="846" t="s">
        <v>194</v>
      </c>
      <c r="K143" s="846" t="s">
        <v>194</v>
      </c>
      <c r="L143" s="846" t="s">
        <v>194</v>
      </c>
      <c r="M143" s="850" t="s">
        <v>194</v>
      </c>
      <c r="N143" s="850" t="s">
        <v>194</v>
      </c>
      <c r="O143" s="850" t="s">
        <v>194</v>
      </c>
      <c r="P143" s="850" t="s">
        <v>194</v>
      </c>
      <c r="Q143" s="850" t="s">
        <v>194</v>
      </c>
      <c r="R143" s="850" t="s">
        <v>194</v>
      </c>
      <c r="S143" s="850" t="s">
        <v>194</v>
      </c>
      <c r="T143" s="846" t="s">
        <v>194</v>
      </c>
      <c r="U143" s="846" t="s">
        <v>194</v>
      </c>
      <c r="V143" s="846" t="s">
        <v>194</v>
      </c>
      <c r="W143" s="846" t="s">
        <v>194</v>
      </c>
      <c r="X143" s="846" t="s">
        <v>194</v>
      </c>
      <c r="Y143" s="846" t="s">
        <v>194</v>
      </c>
      <c r="Z143" s="846" t="s">
        <v>194</v>
      </c>
      <c r="AA143" s="846" t="s">
        <v>194</v>
      </c>
      <c r="AB143" s="846" t="s">
        <v>194</v>
      </c>
      <c r="AC143" s="846" t="s">
        <v>194</v>
      </c>
      <c r="AD143" s="846" t="s">
        <v>194</v>
      </c>
      <c r="AE143" s="846" t="s">
        <v>194</v>
      </c>
      <c r="AF143" s="846" t="s">
        <v>194</v>
      </c>
      <c r="AG143" s="846" t="s">
        <v>194</v>
      </c>
      <c r="AH143" s="846" t="s">
        <v>194</v>
      </c>
      <c r="AI143" s="846" t="s">
        <v>194</v>
      </c>
      <c r="AJ143" s="846" t="s">
        <v>194</v>
      </c>
      <c r="AK143" s="846" t="s">
        <v>194</v>
      </c>
      <c r="AL143" s="846" t="s">
        <v>194</v>
      </c>
      <c r="AM143" s="846" t="s">
        <v>194</v>
      </c>
      <c r="AN143" s="846" t="s">
        <v>194</v>
      </c>
      <c r="AO143" s="846" t="s">
        <v>194</v>
      </c>
      <c r="AP143" s="846" t="s">
        <v>194</v>
      </c>
      <c r="AQ143" s="846" t="s">
        <v>194</v>
      </c>
      <c r="AR143" s="846" t="s">
        <v>194</v>
      </c>
      <c r="AS143" s="846" t="s">
        <v>194</v>
      </c>
      <c r="AT143" s="846" t="s">
        <v>194</v>
      </c>
      <c r="AU143" s="846" t="s">
        <v>194</v>
      </c>
      <c r="AV143" s="846" t="s">
        <v>194</v>
      </c>
      <c r="AW143" s="846" t="s">
        <v>194</v>
      </c>
      <c r="AX143" s="846" t="s">
        <v>194</v>
      </c>
      <c r="AY143" s="846" t="s">
        <v>194</v>
      </c>
    </row>
    <row r="144" ht="15.75" customHeight="1">
      <c r="A144" s="846" t="s">
        <v>194</v>
      </c>
      <c r="B144" s="846" t="s">
        <v>194</v>
      </c>
      <c r="C144" s="846" t="s">
        <v>194</v>
      </c>
      <c r="D144" s="846" t="s">
        <v>194</v>
      </c>
      <c r="E144" s="846" t="s">
        <v>194</v>
      </c>
      <c r="F144" s="846" t="s">
        <v>194</v>
      </c>
      <c r="G144" s="846" t="s">
        <v>194</v>
      </c>
      <c r="H144" s="846" t="s">
        <v>194</v>
      </c>
      <c r="I144" s="846" t="s">
        <v>194</v>
      </c>
      <c r="J144" s="846" t="s">
        <v>194</v>
      </c>
      <c r="K144" s="846" t="s">
        <v>194</v>
      </c>
      <c r="L144" s="846" t="s">
        <v>194</v>
      </c>
      <c r="M144" s="850" t="s">
        <v>194</v>
      </c>
      <c r="N144" s="850" t="s">
        <v>194</v>
      </c>
      <c r="O144" s="850" t="s">
        <v>194</v>
      </c>
      <c r="P144" s="850" t="s">
        <v>194</v>
      </c>
      <c r="Q144" s="850" t="s">
        <v>194</v>
      </c>
      <c r="R144" s="850" t="s">
        <v>194</v>
      </c>
      <c r="S144" s="850" t="s">
        <v>194</v>
      </c>
      <c r="T144" s="846" t="s">
        <v>194</v>
      </c>
      <c r="U144" s="846" t="s">
        <v>194</v>
      </c>
      <c r="V144" s="846" t="s">
        <v>194</v>
      </c>
      <c r="W144" s="846" t="s">
        <v>194</v>
      </c>
      <c r="X144" s="846" t="s">
        <v>194</v>
      </c>
      <c r="Y144" s="846" t="s">
        <v>194</v>
      </c>
      <c r="Z144" s="846" t="s">
        <v>194</v>
      </c>
      <c r="AA144" s="846" t="s">
        <v>194</v>
      </c>
      <c r="AB144" s="846" t="s">
        <v>194</v>
      </c>
      <c r="AC144" s="846" t="s">
        <v>194</v>
      </c>
      <c r="AD144" s="846" t="s">
        <v>194</v>
      </c>
      <c r="AE144" s="846" t="s">
        <v>194</v>
      </c>
      <c r="AF144" s="846" t="s">
        <v>194</v>
      </c>
      <c r="AG144" s="846" t="s">
        <v>194</v>
      </c>
      <c r="AH144" s="846" t="s">
        <v>194</v>
      </c>
      <c r="AI144" s="846" t="s">
        <v>194</v>
      </c>
      <c r="AJ144" s="846" t="s">
        <v>194</v>
      </c>
      <c r="AK144" s="846" t="s">
        <v>194</v>
      </c>
      <c r="AL144" s="846" t="s">
        <v>194</v>
      </c>
      <c r="AM144" s="846" t="s">
        <v>194</v>
      </c>
      <c r="AN144" s="846" t="s">
        <v>194</v>
      </c>
      <c r="AO144" s="846" t="s">
        <v>194</v>
      </c>
      <c r="AP144" s="846" t="s">
        <v>194</v>
      </c>
      <c r="AQ144" s="846" t="s">
        <v>194</v>
      </c>
      <c r="AR144" s="846" t="s">
        <v>194</v>
      </c>
      <c r="AS144" s="846" t="s">
        <v>194</v>
      </c>
      <c r="AT144" s="846" t="s">
        <v>194</v>
      </c>
      <c r="AU144" s="846" t="s">
        <v>194</v>
      </c>
      <c r="AV144" s="846" t="s">
        <v>194</v>
      </c>
      <c r="AW144" s="846" t="s">
        <v>194</v>
      </c>
      <c r="AX144" s="846" t="s">
        <v>194</v>
      </c>
      <c r="AY144" s="846" t="s">
        <v>194</v>
      </c>
    </row>
    <row r="145" ht="15.75" customHeight="1">
      <c r="A145" s="846" t="s">
        <v>194</v>
      </c>
      <c r="B145" s="846" t="s">
        <v>194</v>
      </c>
      <c r="C145" s="846" t="s">
        <v>194</v>
      </c>
      <c r="D145" s="846" t="s">
        <v>194</v>
      </c>
      <c r="E145" s="846" t="s">
        <v>194</v>
      </c>
      <c r="F145" s="846" t="s">
        <v>194</v>
      </c>
      <c r="G145" s="846" t="s">
        <v>194</v>
      </c>
      <c r="H145" s="846" t="s">
        <v>194</v>
      </c>
      <c r="I145" s="846" t="s">
        <v>194</v>
      </c>
      <c r="J145" s="846" t="s">
        <v>194</v>
      </c>
      <c r="K145" s="846" t="s">
        <v>194</v>
      </c>
      <c r="L145" s="846" t="s">
        <v>194</v>
      </c>
      <c r="M145" s="850" t="s">
        <v>194</v>
      </c>
      <c r="N145" s="850" t="s">
        <v>194</v>
      </c>
      <c r="O145" s="850" t="s">
        <v>194</v>
      </c>
      <c r="P145" s="850" t="s">
        <v>194</v>
      </c>
      <c r="Q145" s="850" t="s">
        <v>194</v>
      </c>
      <c r="R145" s="850" t="s">
        <v>194</v>
      </c>
      <c r="S145" s="850" t="s">
        <v>194</v>
      </c>
      <c r="T145" s="846" t="s">
        <v>194</v>
      </c>
      <c r="U145" s="846" t="s">
        <v>194</v>
      </c>
      <c r="V145" s="846" t="s">
        <v>194</v>
      </c>
      <c r="W145" s="846" t="s">
        <v>194</v>
      </c>
      <c r="X145" s="846" t="s">
        <v>194</v>
      </c>
      <c r="Y145" s="846" t="s">
        <v>194</v>
      </c>
      <c r="Z145" s="846" t="s">
        <v>194</v>
      </c>
      <c r="AA145" s="846" t="s">
        <v>194</v>
      </c>
      <c r="AB145" s="846" t="s">
        <v>194</v>
      </c>
      <c r="AC145" s="846" t="s">
        <v>194</v>
      </c>
      <c r="AD145" s="846" t="s">
        <v>194</v>
      </c>
      <c r="AE145" s="846" t="s">
        <v>194</v>
      </c>
      <c r="AF145" s="846" t="s">
        <v>194</v>
      </c>
      <c r="AG145" s="846" t="s">
        <v>194</v>
      </c>
      <c r="AH145" s="846" t="s">
        <v>194</v>
      </c>
      <c r="AI145" s="846" t="s">
        <v>194</v>
      </c>
      <c r="AJ145" s="846" t="s">
        <v>194</v>
      </c>
      <c r="AK145" s="846" t="s">
        <v>194</v>
      </c>
      <c r="AL145" s="846" t="s">
        <v>194</v>
      </c>
      <c r="AM145" s="846" t="s">
        <v>194</v>
      </c>
      <c r="AN145" s="846" t="s">
        <v>194</v>
      </c>
      <c r="AO145" s="846" t="s">
        <v>194</v>
      </c>
      <c r="AP145" s="846" t="s">
        <v>194</v>
      </c>
      <c r="AQ145" s="846" t="s">
        <v>194</v>
      </c>
      <c r="AR145" s="846" t="s">
        <v>194</v>
      </c>
      <c r="AS145" s="846" t="s">
        <v>194</v>
      </c>
      <c r="AT145" s="846" t="s">
        <v>194</v>
      </c>
      <c r="AU145" s="846" t="s">
        <v>194</v>
      </c>
      <c r="AV145" s="846" t="s">
        <v>194</v>
      </c>
      <c r="AW145" s="846" t="s">
        <v>194</v>
      </c>
      <c r="AX145" s="846" t="s">
        <v>194</v>
      </c>
      <c r="AY145" s="846" t="s">
        <v>194</v>
      </c>
    </row>
    <row r="146" ht="15.75" customHeight="1">
      <c r="A146" s="846" t="s">
        <v>194</v>
      </c>
      <c r="B146" s="846" t="s">
        <v>194</v>
      </c>
      <c r="C146" s="846" t="s">
        <v>194</v>
      </c>
      <c r="D146" s="846" t="s">
        <v>194</v>
      </c>
      <c r="E146" s="846" t="s">
        <v>194</v>
      </c>
      <c r="F146" s="846" t="s">
        <v>194</v>
      </c>
      <c r="G146" s="846" t="s">
        <v>194</v>
      </c>
      <c r="H146" s="846" t="s">
        <v>194</v>
      </c>
      <c r="I146" s="846" t="s">
        <v>194</v>
      </c>
      <c r="J146" s="846" t="s">
        <v>194</v>
      </c>
      <c r="K146" s="846" t="s">
        <v>194</v>
      </c>
      <c r="L146" s="846" t="s">
        <v>194</v>
      </c>
      <c r="M146" s="850" t="s">
        <v>194</v>
      </c>
      <c r="N146" s="850" t="s">
        <v>194</v>
      </c>
      <c r="O146" s="850" t="s">
        <v>194</v>
      </c>
      <c r="P146" s="850" t="s">
        <v>194</v>
      </c>
      <c r="Q146" s="850" t="s">
        <v>194</v>
      </c>
      <c r="R146" s="850" t="s">
        <v>194</v>
      </c>
      <c r="S146" s="850" t="s">
        <v>194</v>
      </c>
      <c r="T146" s="846" t="s">
        <v>194</v>
      </c>
      <c r="U146" s="846" t="s">
        <v>194</v>
      </c>
      <c r="V146" s="846" t="s">
        <v>194</v>
      </c>
      <c r="W146" s="846" t="s">
        <v>194</v>
      </c>
      <c r="X146" s="846" t="s">
        <v>194</v>
      </c>
      <c r="Y146" s="846" t="s">
        <v>194</v>
      </c>
      <c r="Z146" s="846" t="s">
        <v>194</v>
      </c>
      <c r="AA146" s="846" t="s">
        <v>194</v>
      </c>
      <c r="AB146" s="846" t="s">
        <v>194</v>
      </c>
      <c r="AC146" s="846" t="s">
        <v>194</v>
      </c>
      <c r="AD146" s="846" t="s">
        <v>194</v>
      </c>
      <c r="AE146" s="846" t="s">
        <v>194</v>
      </c>
      <c r="AF146" s="846" t="s">
        <v>194</v>
      </c>
      <c r="AG146" s="846" t="s">
        <v>194</v>
      </c>
      <c r="AH146" s="846" t="s">
        <v>194</v>
      </c>
      <c r="AI146" s="846" t="s">
        <v>194</v>
      </c>
      <c r="AJ146" s="846" t="s">
        <v>194</v>
      </c>
      <c r="AK146" s="846" t="s">
        <v>194</v>
      </c>
      <c r="AL146" s="846" t="s">
        <v>194</v>
      </c>
      <c r="AM146" s="846" t="s">
        <v>194</v>
      </c>
      <c r="AN146" s="846" t="s">
        <v>194</v>
      </c>
      <c r="AO146" s="846" t="s">
        <v>194</v>
      </c>
      <c r="AP146" s="846" t="s">
        <v>194</v>
      </c>
      <c r="AQ146" s="846" t="s">
        <v>194</v>
      </c>
      <c r="AR146" s="846" t="s">
        <v>194</v>
      </c>
      <c r="AS146" s="846" t="s">
        <v>194</v>
      </c>
      <c r="AT146" s="846" t="s">
        <v>194</v>
      </c>
      <c r="AU146" s="846" t="s">
        <v>194</v>
      </c>
      <c r="AV146" s="846" t="s">
        <v>194</v>
      </c>
      <c r="AW146" s="846" t="s">
        <v>194</v>
      </c>
      <c r="AX146" s="846" t="s">
        <v>194</v>
      </c>
      <c r="AY146" s="846" t="s">
        <v>194</v>
      </c>
    </row>
    <row r="147" ht="15.75" customHeight="1">
      <c r="A147" s="846" t="s">
        <v>194</v>
      </c>
      <c r="B147" s="846" t="s">
        <v>194</v>
      </c>
      <c r="C147" s="846" t="s">
        <v>194</v>
      </c>
      <c r="D147" s="846" t="s">
        <v>194</v>
      </c>
      <c r="E147" s="846" t="s">
        <v>194</v>
      </c>
      <c r="F147" s="846" t="s">
        <v>194</v>
      </c>
      <c r="G147" s="846" t="s">
        <v>194</v>
      </c>
      <c r="H147" s="846" t="s">
        <v>194</v>
      </c>
      <c r="I147" s="846" t="s">
        <v>194</v>
      </c>
      <c r="J147" s="846" t="s">
        <v>194</v>
      </c>
      <c r="K147" s="846" t="s">
        <v>194</v>
      </c>
      <c r="L147" s="846" t="s">
        <v>194</v>
      </c>
      <c r="M147" s="850" t="s">
        <v>194</v>
      </c>
      <c r="N147" s="850" t="s">
        <v>194</v>
      </c>
      <c r="O147" s="850" t="s">
        <v>194</v>
      </c>
      <c r="P147" s="850" t="s">
        <v>194</v>
      </c>
      <c r="Q147" s="850" t="s">
        <v>194</v>
      </c>
      <c r="R147" s="850" t="s">
        <v>194</v>
      </c>
      <c r="S147" s="850" t="s">
        <v>194</v>
      </c>
      <c r="T147" s="846" t="s">
        <v>194</v>
      </c>
      <c r="U147" s="846" t="s">
        <v>194</v>
      </c>
      <c r="V147" s="846" t="s">
        <v>194</v>
      </c>
      <c r="W147" s="846" t="s">
        <v>194</v>
      </c>
      <c r="X147" s="846" t="s">
        <v>194</v>
      </c>
      <c r="Y147" s="846" t="s">
        <v>194</v>
      </c>
      <c r="Z147" s="846" t="s">
        <v>194</v>
      </c>
      <c r="AA147" s="846" t="s">
        <v>194</v>
      </c>
      <c r="AB147" s="846" t="s">
        <v>194</v>
      </c>
      <c r="AC147" s="846" t="s">
        <v>194</v>
      </c>
      <c r="AD147" s="846" t="s">
        <v>194</v>
      </c>
      <c r="AE147" s="846" t="s">
        <v>194</v>
      </c>
      <c r="AF147" s="846" t="s">
        <v>194</v>
      </c>
      <c r="AG147" s="846" t="s">
        <v>194</v>
      </c>
      <c r="AH147" s="846" t="s">
        <v>194</v>
      </c>
      <c r="AI147" s="846" t="s">
        <v>194</v>
      </c>
      <c r="AJ147" s="846" t="s">
        <v>194</v>
      </c>
      <c r="AK147" s="846" t="s">
        <v>194</v>
      </c>
      <c r="AL147" s="846" t="s">
        <v>194</v>
      </c>
      <c r="AM147" s="846" t="s">
        <v>194</v>
      </c>
      <c r="AN147" s="846" t="s">
        <v>194</v>
      </c>
      <c r="AO147" s="846" t="s">
        <v>194</v>
      </c>
      <c r="AP147" s="846" t="s">
        <v>194</v>
      </c>
      <c r="AQ147" s="846" t="s">
        <v>194</v>
      </c>
      <c r="AR147" s="846" t="s">
        <v>194</v>
      </c>
      <c r="AS147" s="846" t="s">
        <v>194</v>
      </c>
      <c r="AT147" s="846" t="s">
        <v>194</v>
      </c>
      <c r="AU147" s="846" t="s">
        <v>194</v>
      </c>
      <c r="AV147" s="846" t="s">
        <v>194</v>
      </c>
      <c r="AW147" s="846" t="s">
        <v>194</v>
      </c>
      <c r="AX147" s="846" t="s">
        <v>194</v>
      </c>
      <c r="AY147" s="846" t="s">
        <v>194</v>
      </c>
    </row>
    <row r="148" ht="15.75" customHeight="1">
      <c r="A148" s="846" t="s">
        <v>194</v>
      </c>
      <c r="B148" s="846" t="s">
        <v>194</v>
      </c>
      <c r="C148" s="846" t="s">
        <v>194</v>
      </c>
      <c r="D148" s="846" t="s">
        <v>194</v>
      </c>
      <c r="E148" s="846" t="s">
        <v>194</v>
      </c>
      <c r="F148" s="846" t="s">
        <v>194</v>
      </c>
      <c r="G148" s="846" t="s">
        <v>194</v>
      </c>
      <c r="H148" s="846" t="s">
        <v>194</v>
      </c>
      <c r="I148" s="846" t="s">
        <v>194</v>
      </c>
      <c r="J148" s="846" t="s">
        <v>194</v>
      </c>
      <c r="K148" s="846" t="s">
        <v>194</v>
      </c>
      <c r="L148" s="846" t="s">
        <v>194</v>
      </c>
      <c r="M148" s="850" t="s">
        <v>194</v>
      </c>
      <c r="N148" s="850" t="s">
        <v>194</v>
      </c>
      <c r="O148" s="850" t="s">
        <v>194</v>
      </c>
      <c r="P148" s="850" t="s">
        <v>194</v>
      </c>
      <c r="Q148" s="850" t="s">
        <v>194</v>
      </c>
      <c r="R148" s="850" t="s">
        <v>194</v>
      </c>
      <c r="S148" s="850" t="s">
        <v>194</v>
      </c>
      <c r="T148" s="846" t="s">
        <v>194</v>
      </c>
      <c r="U148" s="846" t="s">
        <v>194</v>
      </c>
      <c r="V148" s="846" t="s">
        <v>194</v>
      </c>
      <c r="W148" s="846" t="s">
        <v>194</v>
      </c>
      <c r="X148" s="846" t="s">
        <v>194</v>
      </c>
      <c r="Y148" s="846" t="s">
        <v>194</v>
      </c>
      <c r="Z148" s="846" t="s">
        <v>194</v>
      </c>
      <c r="AA148" s="846" t="s">
        <v>194</v>
      </c>
      <c r="AB148" s="846" t="s">
        <v>194</v>
      </c>
      <c r="AC148" s="846" t="s">
        <v>194</v>
      </c>
      <c r="AD148" s="846" t="s">
        <v>194</v>
      </c>
      <c r="AE148" s="846" t="s">
        <v>194</v>
      </c>
      <c r="AF148" s="846" t="s">
        <v>194</v>
      </c>
      <c r="AG148" s="846" t="s">
        <v>194</v>
      </c>
      <c r="AH148" s="846" t="s">
        <v>194</v>
      </c>
      <c r="AI148" s="846" t="s">
        <v>194</v>
      </c>
      <c r="AJ148" s="846" t="s">
        <v>194</v>
      </c>
      <c r="AK148" s="846" t="s">
        <v>194</v>
      </c>
      <c r="AL148" s="846" t="s">
        <v>194</v>
      </c>
      <c r="AM148" s="846" t="s">
        <v>194</v>
      </c>
      <c r="AN148" s="846" t="s">
        <v>194</v>
      </c>
      <c r="AO148" s="846" t="s">
        <v>194</v>
      </c>
      <c r="AP148" s="846" t="s">
        <v>194</v>
      </c>
      <c r="AQ148" s="846" t="s">
        <v>194</v>
      </c>
      <c r="AR148" s="846" t="s">
        <v>194</v>
      </c>
      <c r="AS148" s="846" t="s">
        <v>194</v>
      </c>
      <c r="AT148" s="846" t="s">
        <v>194</v>
      </c>
      <c r="AU148" s="846" t="s">
        <v>194</v>
      </c>
      <c r="AV148" s="846" t="s">
        <v>194</v>
      </c>
      <c r="AW148" s="846" t="s">
        <v>194</v>
      </c>
      <c r="AX148" s="846" t="s">
        <v>194</v>
      </c>
      <c r="AY148" s="846" t="s">
        <v>194</v>
      </c>
    </row>
    <row r="149" ht="15.75" customHeight="1">
      <c r="A149" s="846" t="s">
        <v>194</v>
      </c>
      <c r="B149" s="846" t="s">
        <v>194</v>
      </c>
      <c r="C149" s="846" t="s">
        <v>194</v>
      </c>
      <c r="D149" s="846" t="s">
        <v>194</v>
      </c>
      <c r="E149" s="846" t="s">
        <v>194</v>
      </c>
      <c r="F149" s="846" t="s">
        <v>194</v>
      </c>
      <c r="G149" s="846" t="s">
        <v>194</v>
      </c>
      <c r="H149" s="846" t="s">
        <v>194</v>
      </c>
      <c r="I149" s="846" t="s">
        <v>194</v>
      </c>
      <c r="J149" s="846" t="s">
        <v>194</v>
      </c>
      <c r="K149" s="846" t="s">
        <v>194</v>
      </c>
      <c r="L149" s="846" t="s">
        <v>194</v>
      </c>
      <c r="M149" s="850" t="s">
        <v>194</v>
      </c>
      <c r="N149" s="850" t="s">
        <v>194</v>
      </c>
      <c r="O149" s="850" t="s">
        <v>194</v>
      </c>
      <c r="P149" s="850" t="s">
        <v>194</v>
      </c>
      <c r="Q149" s="850" t="s">
        <v>194</v>
      </c>
      <c r="R149" s="850" t="s">
        <v>194</v>
      </c>
      <c r="S149" s="850" t="s">
        <v>194</v>
      </c>
      <c r="T149" s="846" t="s">
        <v>194</v>
      </c>
      <c r="U149" s="846" t="s">
        <v>194</v>
      </c>
      <c r="V149" s="846" t="s">
        <v>194</v>
      </c>
      <c r="W149" s="846" t="s">
        <v>194</v>
      </c>
      <c r="X149" s="846" t="s">
        <v>194</v>
      </c>
      <c r="Y149" s="846" t="s">
        <v>194</v>
      </c>
      <c r="Z149" s="846" t="s">
        <v>194</v>
      </c>
      <c r="AA149" s="846" t="s">
        <v>194</v>
      </c>
      <c r="AB149" s="846" t="s">
        <v>194</v>
      </c>
      <c r="AC149" s="846" t="s">
        <v>194</v>
      </c>
      <c r="AD149" s="846" t="s">
        <v>194</v>
      </c>
      <c r="AE149" s="846" t="s">
        <v>194</v>
      </c>
      <c r="AF149" s="846" t="s">
        <v>194</v>
      </c>
      <c r="AG149" s="846" t="s">
        <v>194</v>
      </c>
      <c r="AH149" s="846" t="s">
        <v>194</v>
      </c>
      <c r="AI149" s="846" t="s">
        <v>194</v>
      </c>
      <c r="AJ149" s="846" t="s">
        <v>194</v>
      </c>
      <c r="AK149" s="846" t="s">
        <v>194</v>
      </c>
      <c r="AL149" s="846" t="s">
        <v>194</v>
      </c>
      <c r="AM149" s="846" t="s">
        <v>194</v>
      </c>
      <c r="AN149" s="846" t="s">
        <v>194</v>
      </c>
      <c r="AO149" s="846" t="s">
        <v>194</v>
      </c>
      <c r="AP149" s="846" t="s">
        <v>194</v>
      </c>
      <c r="AQ149" s="846" t="s">
        <v>194</v>
      </c>
      <c r="AR149" s="846" t="s">
        <v>194</v>
      </c>
      <c r="AS149" s="846" t="s">
        <v>194</v>
      </c>
      <c r="AT149" s="846" t="s">
        <v>194</v>
      </c>
      <c r="AU149" s="846" t="s">
        <v>194</v>
      </c>
      <c r="AV149" s="846" t="s">
        <v>194</v>
      </c>
      <c r="AW149" s="846" t="s">
        <v>194</v>
      </c>
      <c r="AX149" s="846" t="s">
        <v>194</v>
      </c>
      <c r="AY149" s="846" t="s">
        <v>194</v>
      </c>
    </row>
    <row r="150" ht="15.75" customHeight="1">
      <c r="A150" s="846" t="s">
        <v>194</v>
      </c>
      <c r="B150" s="846" t="s">
        <v>194</v>
      </c>
      <c r="C150" s="846" t="s">
        <v>194</v>
      </c>
      <c r="D150" s="846" t="s">
        <v>194</v>
      </c>
      <c r="E150" s="846" t="s">
        <v>194</v>
      </c>
      <c r="F150" s="846" t="s">
        <v>194</v>
      </c>
      <c r="G150" s="846" t="s">
        <v>194</v>
      </c>
      <c r="H150" s="846" t="s">
        <v>194</v>
      </c>
      <c r="I150" s="846" t="s">
        <v>194</v>
      </c>
      <c r="J150" s="846" t="s">
        <v>194</v>
      </c>
      <c r="K150" s="846" t="s">
        <v>194</v>
      </c>
      <c r="L150" s="846" t="s">
        <v>194</v>
      </c>
      <c r="M150" s="850" t="s">
        <v>194</v>
      </c>
      <c r="N150" s="850" t="s">
        <v>194</v>
      </c>
      <c r="O150" s="850" t="s">
        <v>194</v>
      </c>
      <c r="P150" s="850" t="s">
        <v>194</v>
      </c>
      <c r="Q150" s="850" t="s">
        <v>194</v>
      </c>
      <c r="R150" s="850" t="s">
        <v>194</v>
      </c>
      <c r="S150" s="850" t="s">
        <v>194</v>
      </c>
      <c r="T150" s="846" t="s">
        <v>194</v>
      </c>
      <c r="U150" s="846" t="s">
        <v>194</v>
      </c>
      <c r="V150" s="846" t="s">
        <v>194</v>
      </c>
      <c r="W150" s="846" t="s">
        <v>194</v>
      </c>
      <c r="X150" s="846" t="s">
        <v>194</v>
      </c>
      <c r="Y150" s="846" t="s">
        <v>194</v>
      </c>
      <c r="Z150" s="846" t="s">
        <v>194</v>
      </c>
      <c r="AA150" s="846" t="s">
        <v>194</v>
      </c>
      <c r="AB150" s="846" t="s">
        <v>194</v>
      </c>
      <c r="AC150" s="846" t="s">
        <v>194</v>
      </c>
      <c r="AD150" s="846" t="s">
        <v>194</v>
      </c>
      <c r="AE150" s="846" t="s">
        <v>194</v>
      </c>
      <c r="AF150" s="846" t="s">
        <v>194</v>
      </c>
      <c r="AG150" s="846" t="s">
        <v>194</v>
      </c>
      <c r="AH150" s="846" t="s">
        <v>194</v>
      </c>
      <c r="AI150" s="846" t="s">
        <v>194</v>
      </c>
      <c r="AJ150" s="846" t="s">
        <v>194</v>
      </c>
      <c r="AK150" s="846" t="s">
        <v>194</v>
      </c>
      <c r="AL150" s="846" t="s">
        <v>194</v>
      </c>
      <c r="AM150" s="846" t="s">
        <v>194</v>
      </c>
      <c r="AN150" s="846" t="s">
        <v>194</v>
      </c>
      <c r="AO150" s="846" t="s">
        <v>194</v>
      </c>
      <c r="AP150" s="846" t="s">
        <v>194</v>
      </c>
      <c r="AQ150" s="846" t="s">
        <v>194</v>
      </c>
      <c r="AR150" s="846" t="s">
        <v>194</v>
      </c>
      <c r="AS150" s="846" t="s">
        <v>194</v>
      </c>
      <c r="AT150" s="846" t="s">
        <v>194</v>
      </c>
      <c r="AU150" s="846" t="s">
        <v>194</v>
      </c>
      <c r="AV150" s="846" t="s">
        <v>194</v>
      </c>
      <c r="AW150" s="846" t="s">
        <v>194</v>
      </c>
      <c r="AX150" s="846" t="s">
        <v>194</v>
      </c>
      <c r="AY150" s="846" t="s">
        <v>194</v>
      </c>
    </row>
    <row r="151" ht="15.75" customHeight="1">
      <c r="A151" s="846" t="s">
        <v>194</v>
      </c>
      <c r="B151" s="846" t="s">
        <v>194</v>
      </c>
      <c r="C151" s="846" t="s">
        <v>194</v>
      </c>
      <c r="D151" s="846" t="s">
        <v>194</v>
      </c>
      <c r="E151" s="846" t="s">
        <v>194</v>
      </c>
      <c r="F151" s="846" t="s">
        <v>194</v>
      </c>
      <c r="G151" s="846" t="s">
        <v>194</v>
      </c>
      <c r="H151" s="846" t="s">
        <v>194</v>
      </c>
      <c r="I151" s="846" t="s">
        <v>194</v>
      </c>
      <c r="J151" s="846" t="s">
        <v>194</v>
      </c>
      <c r="K151" s="846" t="s">
        <v>194</v>
      </c>
      <c r="L151" s="846" t="s">
        <v>194</v>
      </c>
      <c r="M151" s="850" t="s">
        <v>194</v>
      </c>
      <c r="N151" s="850" t="s">
        <v>194</v>
      </c>
      <c r="O151" s="850" t="s">
        <v>194</v>
      </c>
      <c r="P151" s="850" t="s">
        <v>194</v>
      </c>
      <c r="Q151" s="850" t="s">
        <v>194</v>
      </c>
      <c r="R151" s="850" t="s">
        <v>194</v>
      </c>
      <c r="S151" s="850" t="s">
        <v>194</v>
      </c>
      <c r="T151" s="846" t="s">
        <v>194</v>
      </c>
      <c r="U151" s="846" t="s">
        <v>194</v>
      </c>
      <c r="V151" s="846" t="s">
        <v>194</v>
      </c>
      <c r="W151" s="846" t="s">
        <v>194</v>
      </c>
      <c r="X151" s="846" t="s">
        <v>194</v>
      </c>
      <c r="Y151" s="846" t="s">
        <v>194</v>
      </c>
      <c r="Z151" s="846" t="s">
        <v>194</v>
      </c>
      <c r="AA151" s="846" t="s">
        <v>194</v>
      </c>
      <c r="AB151" s="846" t="s">
        <v>194</v>
      </c>
      <c r="AC151" s="846" t="s">
        <v>194</v>
      </c>
      <c r="AD151" s="846" t="s">
        <v>194</v>
      </c>
      <c r="AE151" s="846" t="s">
        <v>194</v>
      </c>
      <c r="AF151" s="846" t="s">
        <v>194</v>
      </c>
      <c r="AG151" s="846" t="s">
        <v>194</v>
      </c>
      <c r="AH151" s="846" t="s">
        <v>194</v>
      </c>
      <c r="AI151" s="846" t="s">
        <v>194</v>
      </c>
      <c r="AJ151" s="846" t="s">
        <v>194</v>
      </c>
      <c r="AK151" s="846" t="s">
        <v>194</v>
      </c>
      <c r="AL151" s="846" t="s">
        <v>194</v>
      </c>
      <c r="AM151" s="846" t="s">
        <v>194</v>
      </c>
      <c r="AN151" s="846" t="s">
        <v>194</v>
      </c>
      <c r="AO151" s="846" t="s">
        <v>194</v>
      </c>
      <c r="AP151" s="846" t="s">
        <v>194</v>
      </c>
      <c r="AQ151" s="846" t="s">
        <v>194</v>
      </c>
      <c r="AR151" s="846" t="s">
        <v>194</v>
      </c>
      <c r="AS151" s="846" t="s">
        <v>194</v>
      </c>
      <c r="AT151" s="846" t="s">
        <v>194</v>
      </c>
      <c r="AU151" s="846" t="s">
        <v>194</v>
      </c>
      <c r="AV151" s="846" t="s">
        <v>194</v>
      </c>
      <c r="AW151" s="846" t="s">
        <v>194</v>
      </c>
      <c r="AX151" s="846" t="s">
        <v>194</v>
      </c>
      <c r="AY151" s="846" t="s">
        <v>194</v>
      </c>
    </row>
    <row r="152" ht="15.75" customHeight="1">
      <c r="A152" s="846" t="s">
        <v>194</v>
      </c>
      <c r="B152" s="846" t="s">
        <v>194</v>
      </c>
      <c r="C152" s="846" t="s">
        <v>194</v>
      </c>
      <c r="D152" s="846" t="s">
        <v>194</v>
      </c>
      <c r="E152" s="846" t="s">
        <v>194</v>
      </c>
      <c r="F152" s="846" t="s">
        <v>194</v>
      </c>
      <c r="G152" s="846" t="s">
        <v>194</v>
      </c>
      <c r="H152" s="846" t="s">
        <v>194</v>
      </c>
      <c r="I152" s="846" t="s">
        <v>194</v>
      </c>
      <c r="J152" s="846" t="s">
        <v>194</v>
      </c>
      <c r="K152" s="846" t="s">
        <v>194</v>
      </c>
      <c r="L152" s="846" t="s">
        <v>194</v>
      </c>
      <c r="M152" s="850" t="s">
        <v>194</v>
      </c>
      <c r="N152" s="850" t="s">
        <v>194</v>
      </c>
      <c r="O152" s="850" t="s">
        <v>194</v>
      </c>
      <c r="P152" s="850" t="s">
        <v>194</v>
      </c>
      <c r="Q152" s="850" t="s">
        <v>194</v>
      </c>
      <c r="R152" s="850" t="s">
        <v>194</v>
      </c>
      <c r="S152" s="850" t="s">
        <v>194</v>
      </c>
      <c r="T152" s="846" t="s">
        <v>194</v>
      </c>
      <c r="U152" s="846" t="s">
        <v>194</v>
      </c>
      <c r="V152" s="846" t="s">
        <v>194</v>
      </c>
      <c r="W152" s="846" t="s">
        <v>194</v>
      </c>
      <c r="X152" s="846" t="s">
        <v>194</v>
      </c>
      <c r="Y152" s="846" t="s">
        <v>194</v>
      </c>
      <c r="Z152" s="846" t="s">
        <v>194</v>
      </c>
      <c r="AA152" s="846" t="s">
        <v>194</v>
      </c>
      <c r="AB152" s="846" t="s">
        <v>194</v>
      </c>
      <c r="AC152" s="846" t="s">
        <v>194</v>
      </c>
      <c r="AD152" s="846" t="s">
        <v>194</v>
      </c>
      <c r="AE152" s="846" t="s">
        <v>194</v>
      </c>
      <c r="AF152" s="846" t="s">
        <v>194</v>
      </c>
      <c r="AG152" s="846" t="s">
        <v>194</v>
      </c>
      <c r="AH152" s="846" t="s">
        <v>194</v>
      </c>
      <c r="AI152" s="846" t="s">
        <v>194</v>
      </c>
      <c r="AJ152" s="846" t="s">
        <v>194</v>
      </c>
      <c r="AK152" s="846" t="s">
        <v>194</v>
      </c>
      <c r="AL152" s="846" t="s">
        <v>194</v>
      </c>
      <c r="AM152" s="846" t="s">
        <v>194</v>
      </c>
      <c r="AN152" s="846" t="s">
        <v>194</v>
      </c>
      <c r="AO152" s="846" t="s">
        <v>194</v>
      </c>
      <c r="AP152" s="846" t="s">
        <v>194</v>
      </c>
      <c r="AQ152" s="846" t="s">
        <v>194</v>
      </c>
      <c r="AR152" s="846" t="s">
        <v>194</v>
      </c>
      <c r="AS152" s="846" t="s">
        <v>194</v>
      </c>
      <c r="AT152" s="846" t="s">
        <v>194</v>
      </c>
      <c r="AU152" s="846" t="s">
        <v>194</v>
      </c>
      <c r="AV152" s="846" t="s">
        <v>194</v>
      </c>
      <c r="AW152" s="846" t="s">
        <v>194</v>
      </c>
      <c r="AX152" s="846" t="s">
        <v>194</v>
      </c>
      <c r="AY152" s="846" t="s">
        <v>194</v>
      </c>
    </row>
    <row r="153" ht="15.75" customHeight="1">
      <c r="A153" s="846" t="s">
        <v>194</v>
      </c>
      <c r="B153" s="846" t="s">
        <v>194</v>
      </c>
      <c r="C153" s="846" t="s">
        <v>194</v>
      </c>
      <c r="D153" s="846" t="s">
        <v>194</v>
      </c>
      <c r="E153" s="846" t="s">
        <v>194</v>
      </c>
      <c r="F153" s="846" t="s">
        <v>194</v>
      </c>
      <c r="G153" s="846" t="s">
        <v>194</v>
      </c>
      <c r="H153" s="846" t="s">
        <v>194</v>
      </c>
      <c r="I153" s="846" t="s">
        <v>194</v>
      </c>
      <c r="J153" s="846" t="s">
        <v>194</v>
      </c>
      <c r="K153" s="846" t="s">
        <v>194</v>
      </c>
      <c r="L153" s="846" t="s">
        <v>194</v>
      </c>
      <c r="M153" s="850" t="s">
        <v>194</v>
      </c>
      <c r="N153" s="850" t="s">
        <v>194</v>
      </c>
      <c r="O153" s="850" t="s">
        <v>194</v>
      </c>
      <c r="P153" s="850" t="s">
        <v>194</v>
      </c>
      <c r="Q153" s="850" t="s">
        <v>194</v>
      </c>
      <c r="R153" s="850" t="s">
        <v>194</v>
      </c>
      <c r="S153" s="850" t="s">
        <v>194</v>
      </c>
      <c r="T153" s="846" t="s">
        <v>194</v>
      </c>
      <c r="U153" s="846" t="s">
        <v>194</v>
      </c>
      <c r="V153" s="846" t="s">
        <v>194</v>
      </c>
      <c r="W153" s="846" t="s">
        <v>194</v>
      </c>
      <c r="X153" s="846" t="s">
        <v>194</v>
      </c>
      <c r="Y153" s="846" t="s">
        <v>194</v>
      </c>
      <c r="Z153" s="846" t="s">
        <v>194</v>
      </c>
      <c r="AA153" s="846" t="s">
        <v>194</v>
      </c>
      <c r="AB153" s="846" t="s">
        <v>194</v>
      </c>
      <c r="AC153" s="846" t="s">
        <v>194</v>
      </c>
      <c r="AD153" s="846" t="s">
        <v>194</v>
      </c>
      <c r="AE153" s="846" t="s">
        <v>194</v>
      </c>
      <c r="AF153" s="846" t="s">
        <v>194</v>
      </c>
      <c r="AG153" s="846" t="s">
        <v>194</v>
      </c>
      <c r="AH153" s="846" t="s">
        <v>194</v>
      </c>
      <c r="AI153" s="846" t="s">
        <v>194</v>
      </c>
      <c r="AJ153" s="846" t="s">
        <v>194</v>
      </c>
      <c r="AK153" s="846" t="s">
        <v>194</v>
      </c>
      <c r="AL153" s="846" t="s">
        <v>194</v>
      </c>
      <c r="AM153" s="846" t="s">
        <v>194</v>
      </c>
      <c r="AN153" s="846" t="s">
        <v>194</v>
      </c>
      <c r="AO153" s="846" t="s">
        <v>194</v>
      </c>
      <c r="AP153" s="846" t="s">
        <v>194</v>
      </c>
      <c r="AQ153" s="846" t="s">
        <v>194</v>
      </c>
      <c r="AR153" s="846" t="s">
        <v>194</v>
      </c>
      <c r="AS153" s="846" t="s">
        <v>194</v>
      </c>
      <c r="AT153" s="846" t="s">
        <v>194</v>
      </c>
      <c r="AU153" s="846" t="s">
        <v>194</v>
      </c>
      <c r="AV153" s="846" t="s">
        <v>194</v>
      </c>
      <c r="AW153" s="846" t="s">
        <v>194</v>
      </c>
      <c r="AX153" s="846" t="s">
        <v>194</v>
      </c>
      <c r="AY153" s="846" t="s">
        <v>194</v>
      </c>
    </row>
    <row r="154" ht="15.75" customHeight="1">
      <c r="A154" s="846" t="s">
        <v>194</v>
      </c>
      <c r="B154" s="846" t="s">
        <v>194</v>
      </c>
      <c r="C154" s="846" t="s">
        <v>194</v>
      </c>
      <c r="D154" s="846" t="s">
        <v>194</v>
      </c>
      <c r="E154" s="846" t="s">
        <v>194</v>
      </c>
      <c r="F154" s="846" t="s">
        <v>194</v>
      </c>
      <c r="G154" s="846" t="s">
        <v>194</v>
      </c>
      <c r="H154" s="846" t="s">
        <v>194</v>
      </c>
      <c r="I154" s="846" t="s">
        <v>194</v>
      </c>
      <c r="J154" s="846" t="s">
        <v>194</v>
      </c>
      <c r="K154" s="846" t="s">
        <v>194</v>
      </c>
      <c r="L154" s="846" t="s">
        <v>194</v>
      </c>
      <c r="M154" s="850" t="s">
        <v>194</v>
      </c>
      <c r="N154" s="850" t="s">
        <v>194</v>
      </c>
      <c r="O154" s="850" t="s">
        <v>194</v>
      </c>
      <c r="P154" s="850" t="s">
        <v>194</v>
      </c>
      <c r="Q154" s="850" t="s">
        <v>194</v>
      </c>
      <c r="R154" s="850" t="s">
        <v>194</v>
      </c>
      <c r="S154" s="850" t="s">
        <v>194</v>
      </c>
      <c r="T154" s="846" t="s">
        <v>194</v>
      </c>
      <c r="U154" s="846" t="s">
        <v>194</v>
      </c>
      <c r="V154" s="846" t="s">
        <v>194</v>
      </c>
      <c r="W154" s="846" t="s">
        <v>194</v>
      </c>
      <c r="X154" s="846" t="s">
        <v>194</v>
      </c>
      <c r="Y154" s="846" t="s">
        <v>194</v>
      </c>
      <c r="Z154" s="846" t="s">
        <v>194</v>
      </c>
      <c r="AA154" s="846" t="s">
        <v>194</v>
      </c>
      <c r="AB154" s="846" t="s">
        <v>194</v>
      </c>
      <c r="AC154" s="846" t="s">
        <v>194</v>
      </c>
      <c r="AD154" s="846" t="s">
        <v>194</v>
      </c>
      <c r="AE154" s="846" t="s">
        <v>194</v>
      </c>
      <c r="AF154" s="846" t="s">
        <v>194</v>
      </c>
      <c r="AG154" s="846" t="s">
        <v>194</v>
      </c>
      <c r="AH154" s="846" t="s">
        <v>194</v>
      </c>
      <c r="AI154" s="846" t="s">
        <v>194</v>
      </c>
      <c r="AJ154" s="846" t="s">
        <v>194</v>
      </c>
      <c r="AK154" s="846" t="s">
        <v>194</v>
      </c>
      <c r="AL154" s="846" t="s">
        <v>194</v>
      </c>
      <c r="AM154" s="846" t="s">
        <v>194</v>
      </c>
      <c r="AN154" s="846" t="s">
        <v>194</v>
      </c>
      <c r="AO154" s="846" t="s">
        <v>194</v>
      </c>
      <c r="AP154" s="846" t="s">
        <v>194</v>
      </c>
      <c r="AQ154" s="846" t="s">
        <v>194</v>
      </c>
      <c r="AR154" s="846" t="s">
        <v>194</v>
      </c>
      <c r="AS154" s="846" t="s">
        <v>194</v>
      </c>
      <c r="AT154" s="846" t="s">
        <v>194</v>
      </c>
      <c r="AU154" s="846" t="s">
        <v>194</v>
      </c>
      <c r="AV154" s="846" t="s">
        <v>194</v>
      </c>
      <c r="AW154" s="846" t="s">
        <v>194</v>
      </c>
      <c r="AX154" s="846" t="s">
        <v>194</v>
      </c>
      <c r="AY154" s="846" t="s">
        <v>194</v>
      </c>
    </row>
    <row r="155" ht="15.75" customHeight="1">
      <c r="A155" s="846" t="s">
        <v>194</v>
      </c>
      <c r="B155" s="846" t="s">
        <v>194</v>
      </c>
      <c r="C155" s="846" t="s">
        <v>194</v>
      </c>
      <c r="D155" s="846" t="s">
        <v>194</v>
      </c>
      <c r="E155" s="846" t="s">
        <v>194</v>
      </c>
      <c r="F155" s="846" t="s">
        <v>194</v>
      </c>
      <c r="G155" s="846" t="s">
        <v>194</v>
      </c>
      <c r="H155" s="846" t="s">
        <v>194</v>
      </c>
      <c r="I155" s="846" t="s">
        <v>194</v>
      </c>
      <c r="J155" s="846" t="s">
        <v>194</v>
      </c>
      <c r="K155" s="846" t="s">
        <v>194</v>
      </c>
      <c r="L155" s="846" t="s">
        <v>194</v>
      </c>
      <c r="M155" s="850" t="s">
        <v>194</v>
      </c>
      <c r="N155" s="850" t="s">
        <v>194</v>
      </c>
      <c r="O155" s="850" t="s">
        <v>194</v>
      </c>
      <c r="P155" s="850" t="s">
        <v>194</v>
      </c>
      <c r="Q155" s="850" t="s">
        <v>194</v>
      </c>
      <c r="R155" s="850" t="s">
        <v>194</v>
      </c>
      <c r="S155" s="850" t="s">
        <v>194</v>
      </c>
      <c r="T155" s="846" t="s">
        <v>194</v>
      </c>
      <c r="U155" s="846" t="s">
        <v>194</v>
      </c>
      <c r="V155" s="846" t="s">
        <v>194</v>
      </c>
      <c r="W155" s="846" t="s">
        <v>194</v>
      </c>
      <c r="X155" s="846" t="s">
        <v>194</v>
      </c>
      <c r="Y155" s="846" t="s">
        <v>194</v>
      </c>
      <c r="Z155" s="846" t="s">
        <v>194</v>
      </c>
      <c r="AA155" s="846" t="s">
        <v>194</v>
      </c>
      <c r="AB155" s="846" t="s">
        <v>194</v>
      </c>
      <c r="AC155" s="846" t="s">
        <v>194</v>
      </c>
      <c r="AD155" s="846" t="s">
        <v>194</v>
      </c>
      <c r="AE155" s="846" t="s">
        <v>194</v>
      </c>
      <c r="AF155" s="846" t="s">
        <v>194</v>
      </c>
      <c r="AG155" s="846" t="s">
        <v>194</v>
      </c>
      <c r="AH155" s="846" t="s">
        <v>194</v>
      </c>
      <c r="AI155" s="846" t="s">
        <v>194</v>
      </c>
      <c r="AJ155" s="846" t="s">
        <v>194</v>
      </c>
      <c r="AK155" s="846" t="s">
        <v>194</v>
      </c>
      <c r="AL155" s="846" t="s">
        <v>194</v>
      </c>
      <c r="AM155" s="846" t="s">
        <v>194</v>
      </c>
      <c r="AN155" s="846" t="s">
        <v>194</v>
      </c>
      <c r="AO155" s="846" t="s">
        <v>194</v>
      </c>
      <c r="AP155" s="846" t="s">
        <v>194</v>
      </c>
      <c r="AQ155" s="846" t="s">
        <v>194</v>
      </c>
      <c r="AR155" s="846" t="s">
        <v>194</v>
      </c>
      <c r="AS155" s="846" t="s">
        <v>194</v>
      </c>
      <c r="AT155" s="846" t="s">
        <v>194</v>
      </c>
      <c r="AU155" s="846" t="s">
        <v>194</v>
      </c>
      <c r="AV155" s="846" t="s">
        <v>194</v>
      </c>
      <c r="AW155" s="846" t="s">
        <v>194</v>
      </c>
      <c r="AX155" s="846" t="s">
        <v>194</v>
      </c>
      <c r="AY155" s="846" t="s">
        <v>194</v>
      </c>
    </row>
    <row r="156" ht="15.75" customHeight="1">
      <c r="A156" s="846" t="s">
        <v>194</v>
      </c>
      <c r="B156" s="846" t="s">
        <v>194</v>
      </c>
      <c r="C156" s="846" t="s">
        <v>194</v>
      </c>
      <c r="D156" s="846" t="s">
        <v>194</v>
      </c>
      <c r="E156" s="846" t="s">
        <v>194</v>
      </c>
      <c r="F156" s="846" t="s">
        <v>194</v>
      </c>
      <c r="G156" s="846" t="s">
        <v>194</v>
      </c>
      <c r="H156" s="846" t="s">
        <v>194</v>
      </c>
      <c r="I156" s="846" t="s">
        <v>194</v>
      </c>
      <c r="J156" s="846" t="s">
        <v>194</v>
      </c>
      <c r="K156" s="846" t="s">
        <v>194</v>
      </c>
      <c r="L156" s="846" t="s">
        <v>194</v>
      </c>
      <c r="M156" s="850" t="s">
        <v>194</v>
      </c>
      <c r="N156" s="850" t="s">
        <v>194</v>
      </c>
      <c r="O156" s="850" t="s">
        <v>194</v>
      </c>
      <c r="P156" s="850" t="s">
        <v>194</v>
      </c>
      <c r="Q156" s="850" t="s">
        <v>194</v>
      </c>
      <c r="R156" s="850" t="s">
        <v>194</v>
      </c>
      <c r="S156" s="850" t="s">
        <v>194</v>
      </c>
      <c r="T156" s="846" t="s">
        <v>194</v>
      </c>
      <c r="U156" s="846" t="s">
        <v>194</v>
      </c>
      <c r="V156" s="846" t="s">
        <v>194</v>
      </c>
      <c r="W156" s="846" t="s">
        <v>194</v>
      </c>
      <c r="X156" s="846" t="s">
        <v>194</v>
      </c>
      <c r="Y156" s="846" t="s">
        <v>194</v>
      </c>
      <c r="Z156" s="846" t="s">
        <v>194</v>
      </c>
      <c r="AA156" s="846" t="s">
        <v>194</v>
      </c>
      <c r="AB156" s="846" t="s">
        <v>194</v>
      </c>
      <c r="AC156" s="846" t="s">
        <v>194</v>
      </c>
      <c r="AD156" s="846" t="s">
        <v>194</v>
      </c>
      <c r="AE156" s="846" t="s">
        <v>194</v>
      </c>
      <c r="AF156" s="846" t="s">
        <v>194</v>
      </c>
      <c r="AG156" s="846" t="s">
        <v>194</v>
      </c>
      <c r="AH156" s="846" t="s">
        <v>194</v>
      </c>
      <c r="AI156" s="846" t="s">
        <v>194</v>
      </c>
      <c r="AJ156" s="846" t="s">
        <v>194</v>
      </c>
      <c r="AK156" s="846" t="s">
        <v>194</v>
      </c>
      <c r="AL156" s="846" t="s">
        <v>194</v>
      </c>
      <c r="AM156" s="846" t="s">
        <v>194</v>
      </c>
      <c r="AN156" s="846" t="s">
        <v>194</v>
      </c>
      <c r="AO156" s="846" t="s">
        <v>194</v>
      </c>
      <c r="AP156" s="846" t="s">
        <v>194</v>
      </c>
      <c r="AQ156" s="846" t="s">
        <v>194</v>
      </c>
      <c r="AR156" s="846" t="s">
        <v>194</v>
      </c>
      <c r="AS156" s="846" t="s">
        <v>194</v>
      </c>
      <c r="AT156" s="846" t="s">
        <v>194</v>
      </c>
      <c r="AU156" s="846" t="s">
        <v>194</v>
      </c>
      <c r="AV156" s="846" t="s">
        <v>194</v>
      </c>
      <c r="AW156" s="846" t="s">
        <v>194</v>
      </c>
      <c r="AX156" s="846" t="s">
        <v>194</v>
      </c>
      <c r="AY156" s="846" t="s">
        <v>194</v>
      </c>
    </row>
    <row r="157" ht="15.75" customHeight="1">
      <c r="A157" s="846" t="s">
        <v>194</v>
      </c>
      <c r="B157" s="846" t="s">
        <v>194</v>
      </c>
      <c r="C157" s="846" t="s">
        <v>194</v>
      </c>
      <c r="D157" s="846" t="s">
        <v>194</v>
      </c>
      <c r="E157" s="846" t="s">
        <v>194</v>
      </c>
      <c r="F157" s="846" t="s">
        <v>194</v>
      </c>
      <c r="G157" s="846" t="s">
        <v>194</v>
      </c>
      <c r="H157" s="846" t="s">
        <v>194</v>
      </c>
      <c r="I157" s="846" t="s">
        <v>194</v>
      </c>
      <c r="J157" s="846" t="s">
        <v>194</v>
      </c>
      <c r="K157" s="846" t="s">
        <v>194</v>
      </c>
      <c r="L157" s="846" t="s">
        <v>194</v>
      </c>
      <c r="M157" s="850" t="s">
        <v>194</v>
      </c>
      <c r="N157" s="850" t="s">
        <v>194</v>
      </c>
      <c r="O157" s="850" t="s">
        <v>194</v>
      </c>
      <c r="P157" s="850" t="s">
        <v>194</v>
      </c>
      <c r="Q157" s="850" t="s">
        <v>194</v>
      </c>
      <c r="R157" s="850" t="s">
        <v>194</v>
      </c>
      <c r="S157" s="850" t="s">
        <v>194</v>
      </c>
      <c r="T157" s="846" t="s">
        <v>194</v>
      </c>
      <c r="U157" s="846" t="s">
        <v>194</v>
      </c>
      <c r="V157" s="846" t="s">
        <v>194</v>
      </c>
      <c r="W157" s="846" t="s">
        <v>194</v>
      </c>
      <c r="X157" s="846" t="s">
        <v>194</v>
      </c>
      <c r="Y157" s="846" t="s">
        <v>194</v>
      </c>
      <c r="Z157" s="846" t="s">
        <v>194</v>
      </c>
      <c r="AA157" s="846" t="s">
        <v>194</v>
      </c>
      <c r="AB157" s="846" t="s">
        <v>194</v>
      </c>
      <c r="AC157" s="846" t="s">
        <v>194</v>
      </c>
      <c r="AD157" s="846" t="s">
        <v>194</v>
      </c>
      <c r="AE157" s="846" t="s">
        <v>194</v>
      </c>
      <c r="AF157" s="846" t="s">
        <v>194</v>
      </c>
      <c r="AG157" s="846" t="s">
        <v>194</v>
      </c>
      <c r="AH157" s="846" t="s">
        <v>194</v>
      </c>
      <c r="AI157" s="846" t="s">
        <v>194</v>
      </c>
      <c r="AJ157" s="846" t="s">
        <v>194</v>
      </c>
      <c r="AK157" s="846" t="s">
        <v>194</v>
      </c>
      <c r="AL157" s="846" t="s">
        <v>194</v>
      </c>
      <c r="AM157" s="846" t="s">
        <v>194</v>
      </c>
      <c r="AN157" s="846" t="s">
        <v>194</v>
      </c>
      <c r="AO157" s="846" t="s">
        <v>194</v>
      </c>
      <c r="AP157" s="846" t="s">
        <v>194</v>
      </c>
      <c r="AQ157" s="846" t="s">
        <v>194</v>
      </c>
      <c r="AR157" s="846" t="s">
        <v>194</v>
      </c>
      <c r="AS157" s="846" t="s">
        <v>194</v>
      </c>
      <c r="AT157" s="846" t="s">
        <v>194</v>
      </c>
      <c r="AU157" s="846" t="s">
        <v>194</v>
      </c>
      <c r="AV157" s="846" t="s">
        <v>194</v>
      </c>
      <c r="AW157" s="846" t="s">
        <v>194</v>
      </c>
      <c r="AX157" s="846" t="s">
        <v>194</v>
      </c>
      <c r="AY157" s="846" t="s">
        <v>194</v>
      </c>
    </row>
    <row r="158" ht="15.75" customHeight="1">
      <c r="A158" s="846" t="s">
        <v>194</v>
      </c>
      <c r="B158" s="846" t="s">
        <v>194</v>
      </c>
      <c r="C158" s="846" t="s">
        <v>194</v>
      </c>
      <c r="D158" s="846" t="s">
        <v>194</v>
      </c>
      <c r="E158" s="846" t="s">
        <v>194</v>
      </c>
      <c r="F158" s="846" t="s">
        <v>194</v>
      </c>
      <c r="G158" s="846" t="s">
        <v>194</v>
      </c>
      <c r="H158" s="846" t="s">
        <v>194</v>
      </c>
      <c r="I158" s="846" t="s">
        <v>194</v>
      </c>
      <c r="J158" s="846" t="s">
        <v>194</v>
      </c>
      <c r="K158" s="846" t="s">
        <v>194</v>
      </c>
      <c r="L158" s="846" t="s">
        <v>194</v>
      </c>
      <c r="M158" s="850" t="s">
        <v>194</v>
      </c>
      <c r="N158" s="850" t="s">
        <v>194</v>
      </c>
      <c r="O158" s="850" t="s">
        <v>194</v>
      </c>
      <c r="P158" s="850" t="s">
        <v>194</v>
      </c>
      <c r="Q158" s="850" t="s">
        <v>194</v>
      </c>
      <c r="R158" s="850" t="s">
        <v>194</v>
      </c>
      <c r="S158" s="850" t="s">
        <v>194</v>
      </c>
      <c r="T158" s="846" t="s">
        <v>194</v>
      </c>
      <c r="U158" s="846" t="s">
        <v>194</v>
      </c>
      <c r="V158" s="846" t="s">
        <v>194</v>
      </c>
      <c r="W158" s="846" t="s">
        <v>194</v>
      </c>
      <c r="X158" s="846" t="s">
        <v>194</v>
      </c>
      <c r="Y158" s="846" t="s">
        <v>194</v>
      </c>
      <c r="Z158" s="846" t="s">
        <v>194</v>
      </c>
      <c r="AA158" s="846" t="s">
        <v>194</v>
      </c>
      <c r="AB158" s="846" t="s">
        <v>194</v>
      </c>
      <c r="AC158" s="846" t="s">
        <v>194</v>
      </c>
      <c r="AD158" s="846" t="s">
        <v>194</v>
      </c>
      <c r="AE158" s="846" t="s">
        <v>194</v>
      </c>
      <c r="AF158" s="846" t="s">
        <v>194</v>
      </c>
      <c r="AG158" s="846" t="s">
        <v>194</v>
      </c>
      <c r="AH158" s="846" t="s">
        <v>194</v>
      </c>
      <c r="AI158" s="846" t="s">
        <v>194</v>
      </c>
      <c r="AJ158" s="846" t="s">
        <v>194</v>
      </c>
      <c r="AK158" s="846" t="s">
        <v>194</v>
      </c>
      <c r="AL158" s="846" t="s">
        <v>194</v>
      </c>
      <c r="AM158" s="846" t="s">
        <v>194</v>
      </c>
      <c r="AN158" s="846" t="s">
        <v>194</v>
      </c>
      <c r="AO158" s="846" t="s">
        <v>194</v>
      </c>
      <c r="AP158" s="846" t="s">
        <v>194</v>
      </c>
      <c r="AQ158" s="846" t="s">
        <v>194</v>
      </c>
      <c r="AR158" s="846" t="s">
        <v>194</v>
      </c>
      <c r="AS158" s="846" t="s">
        <v>194</v>
      </c>
      <c r="AT158" s="846" t="s">
        <v>194</v>
      </c>
      <c r="AU158" s="846" t="s">
        <v>194</v>
      </c>
      <c r="AV158" s="846" t="s">
        <v>194</v>
      </c>
      <c r="AW158" s="846" t="s">
        <v>194</v>
      </c>
      <c r="AX158" s="846" t="s">
        <v>194</v>
      </c>
      <c r="AY158" s="846" t="s">
        <v>194</v>
      </c>
    </row>
    <row r="159" ht="15.75" customHeight="1">
      <c r="A159" s="846" t="s">
        <v>194</v>
      </c>
      <c r="B159" s="846" t="s">
        <v>194</v>
      </c>
      <c r="C159" s="846" t="s">
        <v>194</v>
      </c>
      <c r="D159" s="846" t="s">
        <v>194</v>
      </c>
      <c r="E159" s="846" t="s">
        <v>194</v>
      </c>
      <c r="F159" s="846" t="s">
        <v>194</v>
      </c>
      <c r="G159" s="846" t="s">
        <v>194</v>
      </c>
      <c r="H159" s="846" t="s">
        <v>194</v>
      </c>
      <c r="I159" s="846" t="s">
        <v>194</v>
      </c>
      <c r="J159" s="846" t="s">
        <v>194</v>
      </c>
      <c r="K159" s="846" t="s">
        <v>194</v>
      </c>
      <c r="L159" s="846" t="s">
        <v>194</v>
      </c>
      <c r="M159" s="850" t="s">
        <v>194</v>
      </c>
      <c r="N159" s="850" t="s">
        <v>194</v>
      </c>
      <c r="O159" s="850" t="s">
        <v>194</v>
      </c>
      <c r="P159" s="850" t="s">
        <v>194</v>
      </c>
      <c r="Q159" s="850" t="s">
        <v>194</v>
      </c>
      <c r="R159" s="850" t="s">
        <v>194</v>
      </c>
      <c r="S159" s="850" t="s">
        <v>194</v>
      </c>
      <c r="T159" s="846" t="s">
        <v>194</v>
      </c>
      <c r="U159" s="846" t="s">
        <v>194</v>
      </c>
      <c r="V159" s="846" t="s">
        <v>194</v>
      </c>
      <c r="W159" s="846" t="s">
        <v>194</v>
      </c>
      <c r="X159" s="846" t="s">
        <v>194</v>
      </c>
      <c r="Y159" s="846" t="s">
        <v>194</v>
      </c>
      <c r="Z159" s="846" t="s">
        <v>194</v>
      </c>
      <c r="AA159" s="846" t="s">
        <v>194</v>
      </c>
      <c r="AB159" s="846" t="s">
        <v>194</v>
      </c>
      <c r="AC159" s="846" t="s">
        <v>194</v>
      </c>
      <c r="AD159" s="846" t="s">
        <v>194</v>
      </c>
      <c r="AE159" s="846" t="s">
        <v>194</v>
      </c>
      <c r="AF159" s="846" t="s">
        <v>194</v>
      </c>
      <c r="AG159" s="846" t="s">
        <v>194</v>
      </c>
      <c r="AH159" s="846" t="s">
        <v>194</v>
      </c>
      <c r="AI159" s="846" t="s">
        <v>194</v>
      </c>
      <c r="AJ159" s="846" t="s">
        <v>194</v>
      </c>
      <c r="AK159" s="846" t="s">
        <v>194</v>
      </c>
      <c r="AL159" s="846" t="s">
        <v>194</v>
      </c>
      <c r="AM159" s="846" t="s">
        <v>194</v>
      </c>
      <c r="AN159" s="846" t="s">
        <v>194</v>
      </c>
      <c r="AO159" s="846" t="s">
        <v>194</v>
      </c>
      <c r="AP159" s="846" t="s">
        <v>194</v>
      </c>
      <c r="AQ159" s="846" t="s">
        <v>194</v>
      </c>
      <c r="AR159" s="846" t="s">
        <v>194</v>
      </c>
      <c r="AS159" s="846" t="s">
        <v>194</v>
      </c>
      <c r="AT159" s="846" t="s">
        <v>194</v>
      </c>
      <c r="AU159" s="846" t="s">
        <v>194</v>
      </c>
      <c r="AV159" s="846" t="s">
        <v>194</v>
      </c>
      <c r="AW159" s="846" t="s">
        <v>194</v>
      </c>
      <c r="AX159" s="846" t="s">
        <v>194</v>
      </c>
      <c r="AY159" s="846" t="s">
        <v>194</v>
      </c>
    </row>
    <row r="160" ht="15.75" customHeight="1">
      <c r="A160" s="15"/>
      <c r="B160" s="15"/>
      <c r="C160" s="15"/>
      <c r="D160" s="15"/>
      <c r="E160" s="15"/>
      <c r="F160" s="15"/>
      <c r="G160" s="15"/>
      <c r="H160" s="15"/>
      <c r="I160" s="15"/>
      <c r="J160" s="15"/>
      <c r="K160" s="15"/>
      <c r="L160" s="15"/>
      <c r="M160" s="850"/>
      <c r="N160" s="850"/>
      <c r="O160" s="850"/>
      <c r="P160" s="850"/>
      <c r="Q160" s="850"/>
      <c r="R160" s="850"/>
      <c r="S160" s="850"/>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row>
    <row r="161" ht="15.75" customHeight="1">
      <c r="A161" s="15"/>
      <c r="B161" s="15"/>
      <c r="C161" s="15"/>
      <c r="D161" s="15"/>
      <c r="E161" s="15"/>
      <c r="F161" s="15"/>
      <c r="G161" s="15"/>
      <c r="H161" s="15"/>
      <c r="I161" s="15"/>
      <c r="J161" s="15"/>
      <c r="K161" s="15"/>
      <c r="L161" s="15"/>
      <c r="M161" s="850"/>
      <c r="N161" s="850"/>
      <c r="O161" s="850"/>
      <c r="P161" s="850"/>
      <c r="Q161" s="850"/>
      <c r="R161" s="850"/>
      <c r="S161" s="850"/>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row>
    <row r="162" ht="15.75" customHeight="1">
      <c r="A162" s="15"/>
      <c r="B162" s="15"/>
      <c r="C162" s="15"/>
      <c r="D162" s="15"/>
      <c r="E162" s="15"/>
      <c r="F162" s="15"/>
      <c r="G162" s="15"/>
      <c r="H162" s="15"/>
      <c r="I162" s="15"/>
      <c r="J162" s="15"/>
      <c r="K162" s="15"/>
      <c r="L162" s="15"/>
      <c r="M162" s="850"/>
      <c r="N162" s="850"/>
      <c r="O162" s="850"/>
      <c r="P162" s="850"/>
      <c r="Q162" s="850"/>
      <c r="R162" s="850"/>
      <c r="S162" s="850"/>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row>
    <row r="163" ht="15.75" customHeight="1">
      <c r="A163" s="15"/>
      <c r="B163" s="15"/>
      <c r="C163" s="15"/>
      <c r="D163" s="15"/>
      <c r="E163" s="15"/>
      <c r="F163" s="15"/>
      <c r="G163" s="15"/>
      <c r="H163" s="15"/>
      <c r="I163" s="15"/>
      <c r="J163" s="15"/>
      <c r="K163" s="15"/>
      <c r="L163" s="15"/>
      <c r="M163" s="850"/>
      <c r="N163" s="850"/>
      <c r="O163" s="850"/>
      <c r="P163" s="850"/>
      <c r="Q163" s="850"/>
      <c r="R163" s="850"/>
      <c r="S163" s="850"/>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row>
    <row r="164" ht="15.75" customHeight="1">
      <c r="A164" s="15"/>
      <c r="B164" s="15"/>
      <c r="C164" s="15"/>
      <c r="D164" s="15"/>
      <c r="E164" s="15"/>
      <c r="F164" s="15"/>
      <c r="G164" s="15"/>
      <c r="H164" s="15"/>
      <c r="I164" s="15"/>
      <c r="J164" s="15"/>
      <c r="K164" s="15"/>
      <c r="L164" s="15"/>
      <c r="M164" s="850"/>
      <c r="N164" s="850"/>
      <c r="O164" s="850"/>
      <c r="P164" s="850"/>
      <c r="Q164" s="850"/>
      <c r="R164" s="850"/>
      <c r="S164" s="850"/>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row>
    <row r="165" ht="15.75" customHeight="1">
      <c r="A165" s="15"/>
      <c r="B165" s="15"/>
      <c r="C165" s="15"/>
      <c r="D165" s="15"/>
      <c r="E165" s="15"/>
      <c r="F165" s="15"/>
      <c r="G165" s="15"/>
      <c r="H165" s="15"/>
      <c r="I165" s="15"/>
      <c r="J165" s="15"/>
      <c r="K165" s="15"/>
      <c r="L165" s="15"/>
      <c r="M165" s="850"/>
      <c r="N165" s="850"/>
      <c r="O165" s="850"/>
      <c r="P165" s="850"/>
      <c r="Q165" s="850"/>
      <c r="R165" s="850"/>
      <c r="S165" s="850"/>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row>
    <row r="166" ht="15.75" customHeight="1">
      <c r="A166" s="15"/>
      <c r="B166" s="15"/>
      <c r="C166" s="15"/>
      <c r="D166" s="15"/>
      <c r="E166" s="15"/>
      <c r="F166" s="15"/>
      <c r="G166" s="15"/>
      <c r="H166" s="15"/>
      <c r="I166" s="15"/>
      <c r="J166" s="15"/>
      <c r="K166" s="15"/>
      <c r="L166" s="15"/>
      <c r="M166" s="850"/>
      <c r="N166" s="850"/>
      <c r="O166" s="850"/>
      <c r="P166" s="850"/>
      <c r="Q166" s="850"/>
      <c r="R166" s="850"/>
      <c r="S166" s="850"/>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row>
    <row r="167" ht="15.75" customHeight="1">
      <c r="A167" s="15"/>
      <c r="B167" s="15"/>
      <c r="C167" s="15"/>
      <c r="D167" s="15"/>
      <c r="E167" s="15"/>
      <c r="F167" s="15"/>
      <c r="G167" s="15"/>
      <c r="H167" s="15"/>
      <c r="I167" s="15"/>
      <c r="J167" s="15"/>
      <c r="K167" s="15"/>
      <c r="L167" s="15"/>
      <c r="M167" s="850"/>
      <c r="N167" s="850"/>
      <c r="O167" s="850"/>
      <c r="P167" s="850"/>
      <c r="Q167" s="850"/>
      <c r="R167" s="850"/>
      <c r="S167" s="850"/>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row>
    <row r="168" ht="15.75" customHeight="1">
      <c r="A168" s="15"/>
      <c r="B168" s="15"/>
      <c r="C168" s="15"/>
      <c r="D168" s="15"/>
      <c r="E168" s="15"/>
      <c r="F168" s="15"/>
      <c r="G168" s="15"/>
      <c r="H168" s="15"/>
      <c r="I168" s="15"/>
      <c r="J168" s="15"/>
      <c r="K168" s="15"/>
      <c r="L168" s="15"/>
      <c r="M168" s="850"/>
      <c r="N168" s="850"/>
      <c r="O168" s="850"/>
      <c r="P168" s="850"/>
      <c r="Q168" s="850"/>
      <c r="R168" s="850"/>
      <c r="S168" s="850"/>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row>
    <row r="169" ht="15.75" customHeight="1">
      <c r="A169" s="15"/>
      <c r="B169" s="15"/>
      <c r="C169" s="15"/>
      <c r="D169" s="15"/>
      <c r="E169" s="15"/>
      <c r="F169" s="15"/>
      <c r="G169" s="15"/>
      <c r="H169" s="15"/>
      <c r="I169" s="15"/>
      <c r="J169" s="15"/>
      <c r="K169" s="15"/>
      <c r="L169" s="15"/>
      <c r="M169" s="850"/>
      <c r="N169" s="850"/>
      <c r="O169" s="850"/>
      <c r="P169" s="850"/>
      <c r="Q169" s="850"/>
      <c r="R169" s="850"/>
      <c r="S169" s="850"/>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row>
    <row r="170" ht="15.75" customHeight="1">
      <c r="A170" s="15"/>
      <c r="B170" s="15"/>
      <c r="C170" s="15"/>
      <c r="D170" s="15"/>
      <c r="E170" s="15"/>
      <c r="F170" s="15"/>
      <c r="G170" s="15"/>
      <c r="H170" s="15"/>
      <c r="I170" s="15"/>
      <c r="J170" s="15"/>
      <c r="K170" s="15"/>
      <c r="L170" s="15"/>
      <c r="M170" s="850"/>
      <c r="N170" s="850"/>
      <c r="O170" s="850"/>
      <c r="P170" s="850"/>
      <c r="Q170" s="850"/>
      <c r="R170" s="850"/>
      <c r="S170" s="850"/>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row>
    <row r="171" ht="15.75" customHeight="1">
      <c r="A171" s="15"/>
      <c r="B171" s="15"/>
      <c r="C171" s="15"/>
      <c r="D171" s="15"/>
      <c r="E171" s="15"/>
      <c r="F171" s="15"/>
      <c r="G171" s="15"/>
      <c r="H171" s="15"/>
      <c r="I171" s="15"/>
      <c r="J171" s="15"/>
      <c r="K171" s="15"/>
      <c r="L171" s="15"/>
      <c r="M171" s="850"/>
      <c r="N171" s="850"/>
      <c r="O171" s="850"/>
      <c r="P171" s="850"/>
      <c r="Q171" s="850"/>
      <c r="R171" s="850"/>
      <c r="S171" s="850"/>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row>
    <row r="172" ht="15.75" customHeight="1">
      <c r="A172" s="15"/>
      <c r="B172" s="15"/>
      <c r="C172" s="15"/>
      <c r="D172" s="15"/>
      <c r="E172" s="15"/>
      <c r="F172" s="15"/>
      <c r="G172" s="15"/>
      <c r="H172" s="15"/>
      <c r="I172" s="15"/>
      <c r="J172" s="15"/>
      <c r="K172" s="15"/>
      <c r="L172" s="15"/>
      <c r="M172" s="850"/>
      <c r="N172" s="850"/>
      <c r="O172" s="850"/>
      <c r="P172" s="850"/>
      <c r="Q172" s="850"/>
      <c r="R172" s="850"/>
      <c r="S172" s="850"/>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row>
    <row r="173" ht="15.75" customHeight="1">
      <c r="A173" s="15"/>
      <c r="B173" s="15"/>
      <c r="C173" s="15"/>
      <c r="D173" s="15"/>
      <c r="E173" s="15"/>
      <c r="F173" s="15"/>
      <c r="G173" s="15"/>
      <c r="H173" s="15"/>
      <c r="I173" s="15"/>
      <c r="J173" s="15"/>
      <c r="K173" s="15"/>
      <c r="L173" s="15"/>
      <c r="M173" s="850"/>
      <c r="N173" s="850"/>
      <c r="O173" s="850"/>
      <c r="P173" s="850"/>
      <c r="Q173" s="850"/>
      <c r="R173" s="850"/>
      <c r="S173" s="850"/>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row>
    <row r="174" ht="15.75" customHeight="1">
      <c r="A174" s="15"/>
      <c r="B174" s="15"/>
      <c r="C174" s="15"/>
      <c r="D174" s="15"/>
      <c r="E174" s="15"/>
      <c r="F174" s="15"/>
      <c r="G174" s="15"/>
      <c r="H174" s="15"/>
      <c r="I174" s="15"/>
      <c r="J174" s="15"/>
      <c r="K174" s="15"/>
      <c r="L174" s="15"/>
      <c r="M174" s="850"/>
      <c r="N174" s="850"/>
      <c r="O174" s="850"/>
      <c r="P174" s="850"/>
      <c r="Q174" s="850"/>
      <c r="R174" s="850"/>
      <c r="S174" s="850"/>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row>
    <row r="175" ht="15.75" customHeight="1">
      <c r="A175" s="15"/>
      <c r="B175" s="15"/>
      <c r="C175" s="15"/>
      <c r="D175" s="15"/>
      <c r="E175" s="15"/>
      <c r="F175" s="15"/>
      <c r="G175" s="15"/>
      <c r="H175" s="15"/>
      <c r="I175" s="15"/>
      <c r="J175" s="15"/>
      <c r="K175" s="15"/>
      <c r="L175" s="15"/>
      <c r="M175" s="850"/>
      <c r="N175" s="850"/>
      <c r="O175" s="850"/>
      <c r="P175" s="850"/>
      <c r="Q175" s="850"/>
      <c r="R175" s="850"/>
      <c r="S175" s="850"/>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row>
    <row r="176" ht="15.75" customHeight="1">
      <c r="A176" s="15"/>
      <c r="B176" s="15"/>
      <c r="C176" s="15"/>
      <c r="D176" s="15"/>
      <c r="E176" s="15"/>
      <c r="F176" s="15"/>
      <c r="G176" s="15"/>
      <c r="H176" s="15"/>
      <c r="I176" s="15"/>
      <c r="J176" s="15"/>
      <c r="K176" s="15"/>
      <c r="L176" s="15"/>
      <c r="M176" s="850"/>
      <c r="N176" s="850"/>
      <c r="O176" s="850"/>
      <c r="P176" s="850"/>
      <c r="Q176" s="850"/>
      <c r="R176" s="850"/>
      <c r="S176" s="850"/>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row>
    <row r="177" ht="15.75" customHeight="1">
      <c r="A177" s="15"/>
      <c r="B177" s="15"/>
      <c r="C177" s="15"/>
      <c r="D177" s="15"/>
      <c r="E177" s="15"/>
      <c r="F177" s="15"/>
      <c r="G177" s="15"/>
      <c r="H177" s="15"/>
      <c r="I177" s="15"/>
      <c r="J177" s="15"/>
      <c r="K177" s="15"/>
      <c r="L177" s="15"/>
      <c r="M177" s="850"/>
      <c r="N177" s="850"/>
      <c r="O177" s="850"/>
      <c r="P177" s="850"/>
      <c r="Q177" s="850"/>
      <c r="R177" s="850"/>
      <c r="S177" s="850"/>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row>
    <row r="178" ht="15.75" customHeight="1">
      <c r="A178" s="15"/>
      <c r="B178" s="15"/>
      <c r="C178" s="15"/>
      <c r="D178" s="15"/>
      <c r="E178" s="15"/>
      <c r="F178" s="15"/>
      <c r="G178" s="15"/>
      <c r="H178" s="15"/>
      <c r="I178" s="15"/>
      <c r="J178" s="15"/>
      <c r="K178" s="15"/>
      <c r="L178" s="15"/>
      <c r="M178" s="850"/>
      <c r="N178" s="850"/>
      <c r="O178" s="850"/>
      <c r="P178" s="850"/>
      <c r="Q178" s="850"/>
      <c r="R178" s="850"/>
      <c r="S178" s="850"/>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row>
    <row r="179" ht="15.75" customHeight="1">
      <c r="A179" s="15"/>
      <c r="B179" s="15"/>
      <c r="C179" s="15"/>
      <c r="D179" s="15"/>
      <c r="E179" s="15"/>
      <c r="F179" s="15"/>
      <c r="G179" s="15"/>
      <c r="H179" s="15"/>
      <c r="I179" s="15"/>
      <c r="J179" s="15"/>
      <c r="K179" s="15"/>
      <c r="L179" s="15"/>
      <c r="M179" s="850"/>
      <c r="N179" s="850"/>
      <c r="O179" s="850"/>
      <c r="P179" s="850"/>
      <c r="Q179" s="850"/>
      <c r="R179" s="850"/>
      <c r="S179" s="850"/>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row>
    <row r="180" ht="15.75" customHeight="1">
      <c r="A180" s="15"/>
      <c r="B180" s="15"/>
      <c r="C180" s="15"/>
      <c r="D180" s="15"/>
      <c r="E180" s="15"/>
      <c r="F180" s="15"/>
      <c r="G180" s="15"/>
      <c r="H180" s="15"/>
      <c r="I180" s="15"/>
      <c r="J180" s="15"/>
      <c r="K180" s="15"/>
      <c r="L180" s="15"/>
      <c r="M180" s="850"/>
      <c r="N180" s="850"/>
      <c r="O180" s="850"/>
      <c r="P180" s="850"/>
      <c r="Q180" s="850"/>
      <c r="R180" s="850"/>
      <c r="S180" s="850"/>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row>
    <row r="181" ht="15.75" customHeight="1">
      <c r="A181" s="15"/>
      <c r="B181" s="15"/>
      <c r="C181" s="15"/>
      <c r="D181" s="15"/>
      <c r="E181" s="15"/>
      <c r="F181" s="15"/>
      <c r="G181" s="15"/>
      <c r="H181" s="15"/>
      <c r="I181" s="15"/>
      <c r="J181" s="15"/>
      <c r="K181" s="15"/>
      <c r="L181" s="15"/>
      <c r="M181" s="850"/>
      <c r="N181" s="850"/>
      <c r="O181" s="850"/>
      <c r="P181" s="850"/>
      <c r="Q181" s="850"/>
      <c r="R181" s="850"/>
      <c r="S181" s="850"/>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row>
    <row r="182" ht="15.75" customHeight="1">
      <c r="A182" s="15"/>
      <c r="B182" s="15"/>
      <c r="C182" s="15"/>
      <c r="D182" s="15"/>
      <c r="E182" s="15"/>
      <c r="F182" s="15"/>
      <c r="G182" s="15"/>
      <c r="H182" s="15"/>
      <c r="I182" s="15"/>
      <c r="J182" s="15"/>
      <c r="K182" s="15"/>
      <c r="L182" s="15"/>
      <c r="M182" s="850"/>
      <c r="N182" s="850"/>
      <c r="O182" s="850"/>
      <c r="P182" s="850"/>
      <c r="Q182" s="850"/>
      <c r="R182" s="850"/>
      <c r="S182" s="850"/>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row>
    <row r="183" ht="15.75" customHeight="1">
      <c r="A183" s="15"/>
      <c r="B183" s="15"/>
      <c r="C183" s="15"/>
      <c r="D183" s="15"/>
      <c r="E183" s="15"/>
      <c r="F183" s="15"/>
      <c r="G183" s="15"/>
      <c r="H183" s="15"/>
      <c r="I183" s="15"/>
      <c r="J183" s="15"/>
      <c r="K183" s="15"/>
      <c r="L183" s="15"/>
      <c r="M183" s="850"/>
      <c r="N183" s="850"/>
      <c r="O183" s="850"/>
      <c r="P183" s="850"/>
      <c r="Q183" s="850"/>
      <c r="R183" s="850"/>
      <c r="S183" s="850"/>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row>
    <row r="184" ht="15.75" customHeight="1">
      <c r="A184" s="15"/>
      <c r="B184" s="15"/>
      <c r="C184" s="15"/>
      <c r="D184" s="15"/>
      <c r="E184" s="15"/>
      <c r="F184" s="15"/>
      <c r="G184" s="15"/>
      <c r="H184" s="15"/>
      <c r="I184" s="15"/>
      <c r="J184" s="15"/>
      <c r="K184" s="15"/>
      <c r="L184" s="15"/>
      <c r="M184" s="850"/>
      <c r="N184" s="850"/>
      <c r="O184" s="850"/>
      <c r="P184" s="850"/>
      <c r="Q184" s="850"/>
      <c r="R184" s="850"/>
      <c r="S184" s="850"/>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row>
    <row r="185" ht="15.75" customHeight="1">
      <c r="A185" s="15"/>
      <c r="B185" s="15"/>
      <c r="C185" s="15"/>
      <c r="D185" s="15"/>
      <c r="E185" s="15"/>
      <c r="F185" s="15"/>
      <c r="G185" s="15"/>
      <c r="H185" s="15"/>
      <c r="I185" s="15"/>
      <c r="J185" s="15"/>
      <c r="K185" s="15"/>
      <c r="L185" s="15"/>
      <c r="M185" s="850"/>
      <c r="N185" s="850"/>
      <c r="O185" s="850"/>
      <c r="P185" s="850"/>
      <c r="Q185" s="850"/>
      <c r="R185" s="850"/>
      <c r="S185" s="850"/>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row>
    <row r="186" ht="15.75" customHeight="1">
      <c r="A186" s="15"/>
      <c r="B186" s="15"/>
      <c r="C186" s="15"/>
      <c r="D186" s="15"/>
      <c r="E186" s="15"/>
      <c r="F186" s="15"/>
      <c r="G186" s="15"/>
      <c r="H186" s="15"/>
      <c r="I186" s="15"/>
      <c r="J186" s="15"/>
      <c r="K186" s="15"/>
      <c r="L186" s="15"/>
      <c r="M186" s="850"/>
      <c r="N186" s="850"/>
      <c r="O186" s="850"/>
      <c r="P186" s="850"/>
      <c r="Q186" s="850"/>
      <c r="R186" s="850"/>
      <c r="S186" s="850"/>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row>
    <row r="187" ht="15.75" customHeight="1">
      <c r="A187" s="15"/>
      <c r="B187" s="15"/>
      <c r="C187" s="15"/>
      <c r="D187" s="15"/>
      <c r="E187" s="15"/>
      <c r="F187" s="15"/>
      <c r="G187" s="15"/>
      <c r="H187" s="15"/>
      <c r="I187" s="15"/>
      <c r="J187" s="15"/>
      <c r="K187" s="15"/>
      <c r="L187" s="15"/>
      <c r="M187" s="850"/>
      <c r="N187" s="850"/>
      <c r="O187" s="850"/>
      <c r="P187" s="850"/>
      <c r="Q187" s="850"/>
      <c r="R187" s="850"/>
      <c r="S187" s="850"/>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row>
    <row r="188" ht="15.75" customHeight="1">
      <c r="A188" s="15"/>
      <c r="B188" s="15"/>
      <c r="C188" s="15"/>
      <c r="D188" s="15"/>
      <c r="E188" s="15"/>
      <c r="F188" s="15"/>
      <c r="G188" s="15"/>
      <c r="H188" s="15"/>
      <c r="I188" s="15"/>
      <c r="J188" s="15"/>
      <c r="K188" s="15"/>
      <c r="L188" s="15"/>
      <c r="M188" s="850"/>
      <c r="N188" s="850"/>
      <c r="O188" s="850"/>
      <c r="P188" s="850"/>
      <c r="Q188" s="850"/>
      <c r="R188" s="850"/>
      <c r="S188" s="850"/>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row>
    <row r="189" ht="15.75" customHeight="1">
      <c r="A189" s="15"/>
      <c r="B189" s="15"/>
      <c r="C189" s="15"/>
      <c r="D189" s="15"/>
      <c r="E189" s="15"/>
      <c r="F189" s="15"/>
      <c r="G189" s="15"/>
      <c r="H189" s="15"/>
      <c r="I189" s="15"/>
      <c r="J189" s="15"/>
      <c r="K189" s="15"/>
      <c r="L189" s="15"/>
      <c r="M189" s="850"/>
      <c r="N189" s="850"/>
      <c r="O189" s="850"/>
      <c r="P189" s="850"/>
      <c r="Q189" s="850"/>
      <c r="R189" s="850"/>
      <c r="S189" s="850"/>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row>
    <row r="190" ht="15.75" customHeight="1">
      <c r="A190" s="15"/>
      <c r="B190" s="15"/>
      <c r="C190" s="15"/>
      <c r="D190" s="15"/>
      <c r="E190" s="15"/>
      <c r="F190" s="15"/>
      <c r="G190" s="15"/>
      <c r="H190" s="15"/>
      <c r="I190" s="15"/>
      <c r="J190" s="15"/>
      <c r="K190" s="15"/>
      <c r="L190" s="15"/>
      <c r="M190" s="850"/>
      <c r="N190" s="850"/>
      <c r="O190" s="850"/>
      <c r="P190" s="850"/>
      <c r="Q190" s="850"/>
      <c r="R190" s="850"/>
      <c r="S190" s="850"/>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row>
    <row r="191" ht="15.75" customHeight="1">
      <c r="A191" s="15"/>
      <c r="B191" s="15"/>
      <c r="C191" s="15"/>
      <c r="D191" s="15"/>
      <c r="E191" s="15"/>
      <c r="F191" s="15"/>
      <c r="G191" s="15"/>
      <c r="H191" s="15"/>
      <c r="I191" s="15"/>
      <c r="J191" s="15"/>
      <c r="K191" s="15"/>
      <c r="L191" s="15"/>
      <c r="M191" s="850"/>
      <c r="N191" s="850"/>
      <c r="O191" s="850"/>
      <c r="P191" s="850"/>
      <c r="Q191" s="850"/>
      <c r="R191" s="850"/>
      <c r="S191" s="850"/>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row>
    <row r="192" ht="15.75" customHeight="1">
      <c r="A192" s="15"/>
      <c r="B192" s="15"/>
      <c r="C192" s="15"/>
      <c r="D192" s="15"/>
      <c r="E192" s="15"/>
      <c r="F192" s="15"/>
      <c r="G192" s="15"/>
      <c r="H192" s="15"/>
      <c r="I192" s="15"/>
      <c r="J192" s="15"/>
      <c r="K192" s="15"/>
      <c r="L192" s="15"/>
      <c r="M192" s="850"/>
      <c r="N192" s="850"/>
      <c r="O192" s="850"/>
      <c r="P192" s="850"/>
      <c r="Q192" s="850"/>
      <c r="R192" s="850"/>
      <c r="S192" s="850"/>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row>
    <row r="193" ht="15.75" customHeight="1">
      <c r="A193" s="15"/>
      <c r="B193" s="15"/>
      <c r="C193" s="15"/>
      <c r="D193" s="15"/>
      <c r="E193" s="15"/>
      <c r="F193" s="15"/>
      <c r="G193" s="15"/>
      <c r="H193" s="15"/>
      <c r="I193" s="15"/>
      <c r="J193" s="15"/>
      <c r="K193" s="15"/>
      <c r="L193" s="15"/>
      <c r="M193" s="850"/>
      <c r="N193" s="850"/>
      <c r="O193" s="850"/>
      <c r="P193" s="850"/>
      <c r="Q193" s="850"/>
      <c r="R193" s="850"/>
      <c r="S193" s="850"/>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row>
    <row r="194" ht="15.75" customHeight="1">
      <c r="A194" s="15"/>
      <c r="B194" s="15"/>
      <c r="C194" s="15"/>
      <c r="D194" s="15"/>
      <c r="E194" s="15"/>
      <c r="F194" s="15"/>
      <c r="G194" s="15"/>
      <c r="H194" s="15"/>
      <c r="I194" s="15"/>
      <c r="J194" s="15"/>
      <c r="K194" s="15"/>
      <c r="L194" s="15"/>
      <c r="M194" s="850"/>
      <c r="N194" s="850"/>
      <c r="O194" s="850"/>
      <c r="P194" s="850"/>
      <c r="Q194" s="850"/>
      <c r="R194" s="850"/>
      <c r="S194" s="850"/>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row>
    <row r="195" ht="15.75" customHeight="1">
      <c r="A195" s="15"/>
      <c r="B195" s="15"/>
      <c r="C195" s="15"/>
      <c r="D195" s="15"/>
      <c r="E195" s="15"/>
      <c r="F195" s="15"/>
      <c r="G195" s="15"/>
      <c r="H195" s="15"/>
      <c r="I195" s="15"/>
      <c r="J195" s="15"/>
      <c r="K195" s="15"/>
      <c r="L195" s="15"/>
      <c r="M195" s="850"/>
      <c r="N195" s="850"/>
      <c r="O195" s="850"/>
      <c r="P195" s="850"/>
      <c r="Q195" s="850"/>
      <c r="R195" s="850"/>
      <c r="S195" s="850"/>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row>
    <row r="196" ht="15.75" customHeight="1">
      <c r="A196" s="15"/>
      <c r="B196" s="15"/>
      <c r="C196" s="15"/>
      <c r="D196" s="15"/>
      <c r="E196" s="15"/>
      <c r="F196" s="15"/>
      <c r="G196" s="15"/>
      <c r="H196" s="15"/>
      <c r="I196" s="15"/>
      <c r="J196" s="15"/>
      <c r="K196" s="15"/>
      <c r="L196" s="15"/>
      <c r="M196" s="850"/>
      <c r="N196" s="850"/>
      <c r="O196" s="850"/>
      <c r="P196" s="850"/>
      <c r="Q196" s="850"/>
      <c r="R196" s="850"/>
      <c r="S196" s="850"/>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row>
    <row r="197" ht="15.75" customHeight="1">
      <c r="A197" s="15"/>
      <c r="B197" s="15"/>
      <c r="C197" s="15"/>
      <c r="D197" s="15"/>
      <c r="E197" s="15"/>
      <c r="F197" s="15"/>
      <c r="G197" s="15"/>
      <c r="H197" s="15"/>
      <c r="I197" s="15"/>
      <c r="J197" s="15"/>
      <c r="K197" s="15"/>
      <c r="L197" s="15"/>
      <c r="M197" s="850"/>
      <c r="N197" s="850"/>
      <c r="O197" s="850"/>
      <c r="P197" s="850"/>
      <c r="Q197" s="850"/>
      <c r="R197" s="850"/>
      <c r="S197" s="850"/>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row>
    <row r="198" ht="15.75" customHeight="1">
      <c r="A198" s="15"/>
      <c r="B198" s="15"/>
      <c r="C198" s="15"/>
      <c r="D198" s="15"/>
      <c r="E198" s="15"/>
      <c r="F198" s="15"/>
      <c r="G198" s="15"/>
      <c r="H198" s="15"/>
      <c r="I198" s="15"/>
      <c r="J198" s="15"/>
      <c r="K198" s="15"/>
      <c r="L198" s="15"/>
      <c r="M198" s="850"/>
      <c r="N198" s="850"/>
      <c r="O198" s="850"/>
      <c r="P198" s="850"/>
      <c r="Q198" s="850"/>
      <c r="R198" s="850"/>
      <c r="S198" s="850"/>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row>
    <row r="199" ht="15.75" customHeight="1">
      <c r="A199" s="15"/>
      <c r="B199" s="15"/>
      <c r="C199" s="15"/>
      <c r="D199" s="15"/>
      <c r="E199" s="15"/>
      <c r="F199" s="15"/>
      <c r="G199" s="15"/>
      <c r="H199" s="15"/>
      <c r="I199" s="15"/>
      <c r="J199" s="15"/>
      <c r="K199" s="15"/>
      <c r="L199" s="15"/>
      <c r="M199" s="850"/>
      <c r="N199" s="850"/>
      <c r="O199" s="850"/>
      <c r="P199" s="850"/>
      <c r="Q199" s="850"/>
      <c r="R199" s="850"/>
      <c r="S199" s="850"/>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row>
    <row r="200" ht="15.75" customHeight="1">
      <c r="A200" s="15"/>
      <c r="B200" s="15"/>
      <c r="C200" s="15"/>
      <c r="D200" s="15"/>
      <c r="E200" s="15"/>
      <c r="F200" s="15"/>
      <c r="G200" s="15"/>
      <c r="H200" s="15"/>
      <c r="I200" s="15"/>
      <c r="J200" s="15"/>
      <c r="K200" s="15"/>
      <c r="L200" s="15"/>
      <c r="M200" s="850"/>
      <c r="N200" s="850"/>
      <c r="O200" s="850"/>
      <c r="P200" s="850"/>
      <c r="Q200" s="850"/>
      <c r="R200" s="850"/>
      <c r="S200" s="850"/>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row>
    <row r="201" ht="15.75" customHeight="1">
      <c r="A201" s="15"/>
      <c r="B201" s="15"/>
      <c r="C201" s="15"/>
      <c r="D201" s="15"/>
      <c r="E201" s="15"/>
      <c r="F201" s="15"/>
      <c r="G201" s="15"/>
      <c r="H201" s="15"/>
      <c r="I201" s="15"/>
      <c r="J201" s="15"/>
      <c r="K201" s="15"/>
      <c r="L201" s="15"/>
      <c r="M201" s="850"/>
      <c r="N201" s="850"/>
      <c r="O201" s="850"/>
      <c r="P201" s="850"/>
      <c r="Q201" s="850"/>
      <c r="R201" s="850"/>
      <c r="S201" s="850"/>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row>
    <row r="202" ht="15.75" customHeight="1">
      <c r="A202" s="15"/>
      <c r="B202" s="15"/>
      <c r="C202" s="15"/>
      <c r="D202" s="15"/>
      <c r="E202" s="15"/>
      <c r="F202" s="15"/>
      <c r="G202" s="15"/>
      <c r="H202" s="15"/>
      <c r="I202" s="15"/>
      <c r="J202" s="15"/>
      <c r="K202" s="15"/>
      <c r="L202" s="15"/>
      <c r="M202" s="850"/>
      <c r="N202" s="850"/>
      <c r="O202" s="850"/>
      <c r="P202" s="850"/>
      <c r="Q202" s="850"/>
      <c r="R202" s="850"/>
      <c r="S202" s="850"/>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row>
    <row r="203" ht="15.75" customHeight="1">
      <c r="A203" s="15"/>
      <c r="B203" s="15"/>
      <c r="C203" s="15"/>
      <c r="D203" s="15"/>
      <c r="E203" s="15"/>
      <c r="F203" s="15"/>
      <c r="G203" s="15"/>
      <c r="H203" s="15"/>
      <c r="I203" s="15"/>
      <c r="J203" s="15"/>
      <c r="K203" s="15"/>
      <c r="L203" s="15"/>
      <c r="M203" s="850"/>
      <c r="N203" s="850"/>
      <c r="O203" s="850"/>
      <c r="P203" s="850"/>
      <c r="Q203" s="850"/>
      <c r="R203" s="850"/>
      <c r="S203" s="850"/>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row>
    <row r="204" ht="15.75" customHeight="1">
      <c r="A204" s="15"/>
      <c r="B204" s="15"/>
      <c r="C204" s="15"/>
      <c r="D204" s="15"/>
      <c r="E204" s="15"/>
      <c r="F204" s="15"/>
      <c r="G204" s="15"/>
      <c r="H204" s="15"/>
      <c r="I204" s="15"/>
      <c r="J204" s="15"/>
      <c r="K204" s="15"/>
      <c r="L204" s="15"/>
      <c r="M204" s="850"/>
      <c r="N204" s="850"/>
      <c r="O204" s="850"/>
      <c r="P204" s="850"/>
      <c r="Q204" s="850"/>
      <c r="R204" s="850"/>
      <c r="S204" s="850"/>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row>
    <row r="205" ht="15.75" customHeight="1">
      <c r="A205" s="15"/>
      <c r="B205" s="15"/>
      <c r="C205" s="15"/>
      <c r="D205" s="15"/>
      <c r="E205" s="15"/>
      <c r="F205" s="15"/>
      <c r="G205" s="15"/>
      <c r="H205" s="15"/>
      <c r="I205" s="15"/>
      <c r="J205" s="15"/>
      <c r="K205" s="15"/>
      <c r="L205" s="15"/>
      <c r="M205" s="850"/>
      <c r="N205" s="850"/>
      <c r="O205" s="850"/>
      <c r="P205" s="850"/>
      <c r="Q205" s="850"/>
      <c r="R205" s="850"/>
      <c r="S205" s="850"/>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row>
    <row r="206" ht="15.75" customHeight="1">
      <c r="A206" s="15"/>
      <c r="B206" s="15"/>
      <c r="C206" s="15"/>
      <c r="D206" s="15"/>
      <c r="E206" s="15"/>
      <c r="F206" s="15"/>
      <c r="G206" s="15"/>
      <c r="H206" s="15"/>
      <c r="I206" s="15"/>
      <c r="J206" s="15"/>
      <c r="K206" s="15"/>
      <c r="L206" s="15"/>
      <c r="M206" s="850"/>
      <c r="N206" s="850"/>
      <c r="O206" s="850"/>
      <c r="P206" s="850"/>
      <c r="Q206" s="850"/>
      <c r="R206" s="850"/>
      <c r="S206" s="850"/>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row>
    <row r="207" ht="15.75" customHeight="1">
      <c r="A207" s="15"/>
      <c r="B207" s="15"/>
      <c r="C207" s="15"/>
      <c r="D207" s="15"/>
      <c r="E207" s="15"/>
      <c r="F207" s="15"/>
      <c r="G207" s="15"/>
      <c r="H207" s="15"/>
      <c r="I207" s="15"/>
      <c r="J207" s="15"/>
      <c r="K207" s="15"/>
      <c r="L207" s="15"/>
      <c r="M207" s="850"/>
      <c r="N207" s="850"/>
      <c r="O207" s="850"/>
      <c r="P207" s="850"/>
      <c r="Q207" s="850"/>
      <c r="R207" s="850"/>
      <c r="S207" s="850"/>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row>
    <row r="208" ht="15.75" customHeight="1">
      <c r="A208" s="15"/>
      <c r="B208" s="15"/>
      <c r="C208" s="15"/>
      <c r="D208" s="15"/>
      <c r="E208" s="15"/>
      <c r="F208" s="15"/>
      <c r="G208" s="15"/>
      <c r="H208" s="15"/>
      <c r="I208" s="15"/>
      <c r="J208" s="15"/>
      <c r="K208" s="15"/>
      <c r="L208" s="15"/>
      <c r="M208" s="850"/>
      <c r="N208" s="850"/>
      <c r="O208" s="850"/>
      <c r="P208" s="850"/>
      <c r="Q208" s="850"/>
      <c r="R208" s="850"/>
      <c r="S208" s="850"/>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row>
    <row r="209" ht="15.75" customHeight="1">
      <c r="A209" s="15"/>
      <c r="B209" s="15"/>
      <c r="C209" s="15"/>
      <c r="D209" s="15"/>
      <c r="E209" s="15"/>
      <c r="F209" s="15"/>
      <c r="G209" s="15"/>
      <c r="H209" s="15"/>
      <c r="I209" s="15"/>
      <c r="J209" s="15"/>
      <c r="K209" s="15"/>
      <c r="L209" s="15"/>
      <c r="M209" s="850"/>
      <c r="N209" s="850"/>
      <c r="O209" s="850"/>
      <c r="P209" s="850"/>
      <c r="Q209" s="850"/>
      <c r="R209" s="850"/>
      <c r="S209" s="850"/>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row>
    <row r="210" ht="15.75" customHeight="1">
      <c r="A210" s="15"/>
      <c r="B210" s="15"/>
      <c r="C210" s="15"/>
      <c r="D210" s="15"/>
      <c r="E210" s="15"/>
      <c r="F210" s="15"/>
      <c r="G210" s="15"/>
      <c r="H210" s="15"/>
      <c r="I210" s="15"/>
      <c r="J210" s="15"/>
      <c r="K210" s="15"/>
      <c r="L210" s="15"/>
      <c r="M210" s="850"/>
      <c r="N210" s="850"/>
      <c r="O210" s="850"/>
      <c r="P210" s="850"/>
      <c r="Q210" s="850"/>
      <c r="R210" s="850"/>
      <c r="S210" s="850"/>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row>
    <row r="211" ht="15.75" customHeight="1">
      <c r="A211" s="15"/>
      <c r="B211" s="15"/>
      <c r="C211" s="15"/>
      <c r="D211" s="15"/>
      <c r="E211" s="15"/>
      <c r="F211" s="15"/>
      <c r="G211" s="15"/>
      <c r="H211" s="15"/>
      <c r="I211" s="15"/>
      <c r="J211" s="15"/>
      <c r="K211" s="15"/>
      <c r="L211" s="15"/>
      <c r="M211" s="850"/>
      <c r="N211" s="850"/>
      <c r="O211" s="850"/>
      <c r="P211" s="850"/>
      <c r="Q211" s="850"/>
      <c r="R211" s="850"/>
      <c r="S211" s="850"/>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row>
    <row r="212" ht="15.75" customHeight="1">
      <c r="A212" s="15"/>
      <c r="B212" s="15"/>
      <c r="C212" s="15"/>
      <c r="D212" s="15"/>
      <c r="E212" s="15"/>
      <c r="F212" s="15"/>
      <c r="G212" s="15"/>
      <c r="H212" s="15"/>
      <c r="I212" s="15"/>
      <c r="J212" s="15"/>
      <c r="K212" s="15"/>
      <c r="L212" s="15"/>
      <c r="M212" s="850"/>
      <c r="N212" s="850"/>
      <c r="O212" s="850"/>
      <c r="P212" s="850"/>
      <c r="Q212" s="850"/>
      <c r="R212" s="850"/>
      <c r="S212" s="850"/>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row>
    <row r="213" ht="15.75" customHeight="1">
      <c r="A213" s="15"/>
      <c r="B213" s="15"/>
      <c r="C213" s="15"/>
      <c r="D213" s="15"/>
      <c r="E213" s="15"/>
      <c r="F213" s="15"/>
      <c r="G213" s="15"/>
      <c r="H213" s="15"/>
      <c r="I213" s="15"/>
      <c r="J213" s="15"/>
      <c r="K213" s="15"/>
      <c r="L213" s="15"/>
      <c r="M213" s="850"/>
      <c r="N213" s="850"/>
      <c r="O213" s="850"/>
      <c r="P213" s="850"/>
      <c r="Q213" s="850"/>
      <c r="R213" s="850"/>
      <c r="S213" s="850"/>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row>
    <row r="214" ht="15.75" customHeight="1">
      <c r="A214" s="15"/>
      <c r="B214" s="15"/>
      <c r="C214" s="15"/>
      <c r="D214" s="15"/>
      <c r="E214" s="15"/>
      <c r="F214" s="15"/>
      <c r="G214" s="15"/>
      <c r="H214" s="15"/>
      <c r="I214" s="15"/>
      <c r="J214" s="15"/>
      <c r="K214" s="15"/>
      <c r="L214" s="15"/>
      <c r="M214" s="850"/>
      <c r="N214" s="850"/>
      <c r="O214" s="850"/>
      <c r="P214" s="850"/>
      <c r="Q214" s="850"/>
      <c r="R214" s="850"/>
      <c r="S214" s="850"/>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row>
    <row r="215" ht="15.75" customHeight="1">
      <c r="A215" s="15"/>
      <c r="B215" s="15"/>
      <c r="C215" s="15"/>
      <c r="D215" s="15"/>
      <c r="E215" s="15"/>
      <c r="F215" s="15"/>
      <c r="G215" s="15"/>
      <c r="H215" s="15"/>
      <c r="I215" s="15"/>
      <c r="J215" s="15"/>
      <c r="K215" s="15"/>
      <c r="L215" s="15"/>
      <c r="M215" s="850"/>
      <c r="N215" s="850"/>
      <c r="O215" s="850"/>
      <c r="P215" s="850"/>
      <c r="Q215" s="850"/>
      <c r="R215" s="850"/>
      <c r="S215" s="850"/>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row>
    <row r="216" ht="15.75" customHeight="1">
      <c r="A216" s="15"/>
      <c r="B216" s="15"/>
      <c r="C216" s="15"/>
      <c r="D216" s="15"/>
      <c r="E216" s="15"/>
      <c r="F216" s="15"/>
      <c r="G216" s="15"/>
      <c r="H216" s="15"/>
      <c r="I216" s="15"/>
      <c r="J216" s="15"/>
      <c r="K216" s="15"/>
      <c r="L216" s="15"/>
      <c r="M216" s="850"/>
      <c r="N216" s="850"/>
      <c r="O216" s="850"/>
      <c r="P216" s="850"/>
      <c r="Q216" s="850"/>
      <c r="R216" s="850"/>
      <c r="S216" s="850"/>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row>
    <row r="217" ht="15.75" customHeight="1">
      <c r="A217" s="15"/>
      <c r="B217" s="15"/>
      <c r="C217" s="15"/>
      <c r="D217" s="15"/>
      <c r="E217" s="15"/>
      <c r="F217" s="15"/>
      <c r="G217" s="15"/>
      <c r="H217" s="15"/>
      <c r="I217" s="15"/>
      <c r="J217" s="15"/>
      <c r="K217" s="15"/>
      <c r="L217" s="15"/>
      <c r="M217" s="850"/>
      <c r="N217" s="850"/>
      <c r="O217" s="850"/>
      <c r="P217" s="850"/>
      <c r="Q217" s="850"/>
      <c r="R217" s="850"/>
      <c r="S217" s="850"/>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row>
    <row r="218" ht="15.75" customHeight="1">
      <c r="A218" s="15"/>
      <c r="B218" s="15"/>
      <c r="C218" s="15"/>
      <c r="D218" s="15"/>
      <c r="E218" s="15"/>
      <c r="F218" s="15"/>
      <c r="G218" s="15"/>
      <c r="H218" s="15"/>
      <c r="I218" s="15"/>
      <c r="J218" s="15"/>
      <c r="K218" s="15"/>
      <c r="L218" s="15"/>
      <c r="M218" s="850"/>
      <c r="N218" s="850"/>
      <c r="O218" s="850"/>
      <c r="P218" s="850"/>
      <c r="Q218" s="850"/>
      <c r="R218" s="850"/>
      <c r="S218" s="850"/>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row>
    <row r="219" ht="15.75" customHeight="1">
      <c r="A219" s="15"/>
      <c r="B219" s="15"/>
      <c r="C219" s="15"/>
      <c r="D219" s="15"/>
      <c r="E219" s="15"/>
      <c r="F219" s="15"/>
      <c r="G219" s="15"/>
      <c r="H219" s="15"/>
      <c r="I219" s="15"/>
      <c r="J219" s="15"/>
      <c r="K219" s="15"/>
      <c r="L219" s="15"/>
      <c r="M219" s="850"/>
      <c r="N219" s="850"/>
      <c r="O219" s="850"/>
      <c r="P219" s="850"/>
      <c r="Q219" s="850"/>
      <c r="R219" s="850"/>
      <c r="S219" s="850"/>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row>
    <row r="220" ht="15.75" customHeight="1">
      <c r="A220" s="15"/>
      <c r="B220" s="15"/>
      <c r="C220" s="15"/>
      <c r="D220" s="15"/>
      <c r="E220" s="15"/>
      <c r="F220" s="15"/>
      <c r="G220" s="15"/>
      <c r="H220" s="15"/>
      <c r="I220" s="15"/>
      <c r="J220" s="15"/>
      <c r="K220" s="15"/>
      <c r="L220" s="15"/>
      <c r="M220" s="850"/>
      <c r="N220" s="850"/>
      <c r="O220" s="850"/>
      <c r="P220" s="850"/>
      <c r="Q220" s="850"/>
      <c r="R220" s="850"/>
      <c r="S220" s="850"/>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row>
    <row r="221" ht="15.75" customHeight="1">
      <c r="A221" s="15"/>
      <c r="B221" s="15"/>
      <c r="C221" s="15"/>
      <c r="D221" s="15"/>
      <c r="E221" s="15"/>
      <c r="F221" s="15"/>
      <c r="G221" s="15"/>
      <c r="H221" s="15"/>
      <c r="I221" s="15"/>
      <c r="J221" s="15"/>
      <c r="K221" s="15"/>
      <c r="L221" s="15"/>
      <c r="M221" s="850"/>
      <c r="N221" s="850"/>
      <c r="O221" s="850"/>
      <c r="P221" s="850"/>
      <c r="Q221" s="850"/>
      <c r="R221" s="850"/>
      <c r="S221" s="850"/>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row>
    <row r="222" ht="15.75" customHeight="1">
      <c r="A222" s="15"/>
      <c r="B222" s="15"/>
      <c r="C222" s="15"/>
      <c r="D222" s="15"/>
      <c r="E222" s="15"/>
      <c r="F222" s="15"/>
      <c r="G222" s="15"/>
      <c r="H222" s="15"/>
      <c r="I222" s="15"/>
      <c r="J222" s="15"/>
      <c r="K222" s="15"/>
      <c r="L222" s="15"/>
      <c r="M222" s="850"/>
      <c r="N222" s="850"/>
      <c r="O222" s="850"/>
      <c r="P222" s="850"/>
      <c r="Q222" s="850"/>
      <c r="R222" s="850"/>
      <c r="S222" s="850"/>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row>
    <row r="223" ht="15.75" customHeight="1">
      <c r="A223" s="15"/>
      <c r="B223" s="15"/>
      <c r="C223" s="15"/>
      <c r="D223" s="15"/>
      <c r="E223" s="15"/>
      <c r="F223" s="15"/>
      <c r="G223" s="15"/>
      <c r="H223" s="15"/>
      <c r="I223" s="15"/>
      <c r="J223" s="15"/>
      <c r="K223" s="15"/>
      <c r="L223" s="15"/>
      <c r="M223" s="850"/>
      <c r="N223" s="850"/>
      <c r="O223" s="850"/>
      <c r="P223" s="850"/>
      <c r="Q223" s="850"/>
      <c r="R223" s="850"/>
      <c r="S223" s="850"/>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row>
    <row r="224" ht="15.75" customHeight="1">
      <c r="A224" s="15"/>
      <c r="B224" s="15"/>
      <c r="C224" s="15"/>
      <c r="D224" s="15"/>
      <c r="E224" s="15"/>
      <c r="F224" s="15"/>
      <c r="G224" s="15"/>
      <c r="H224" s="15"/>
      <c r="I224" s="15"/>
      <c r="J224" s="15"/>
      <c r="K224" s="15"/>
      <c r="L224" s="15"/>
      <c r="M224" s="850"/>
      <c r="N224" s="850"/>
      <c r="O224" s="850"/>
      <c r="P224" s="850"/>
      <c r="Q224" s="850"/>
      <c r="R224" s="850"/>
      <c r="S224" s="850"/>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row>
    <row r="225" ht="15.75" customHeight="1">
      <c r="A225" s="15"/>
      <c r="B225" s="15"/>
      <c r="C225" s="15"/>
      <c r="D225" s="15"/>
      <c r="E225" s="15"/>
      <c r="F225" s="15"/>
      <c r="G225" s="15"/>
      <c r="H225" s="15"/>
      <c r="I225" s="15"/>
      <c r="J225" s="15"/>
      <c r="K225" s="15"/>
      <c r="L225" s="15"/>
      <c r="M225" s="850"/>
      <c r="N225" s="850"/>
      <c r="O225" s="850"/>
      <c r="P225" s="850"/>
      <c r="Q225" s="850"/>
      <c r="R225" s="850"/>
      <c r="S225" s="850"/>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row>
    <row r="226" ht="15.75" customHeight="1">
      <c r="A226" s="15"/>
      <c r="B226" s="15"/>
      <c r="C226" s="15"/>
      <c r="D226" s="15"/>
      <c r="E226" s="15"/>
      <c r="F226" s="15"/>
      <c r="G226" s="15"/>
      <c r="H226" s="15"/>
      <c r="I226" s="15"/>
      <c r="J226" s="15"/>
      <c r="K226" s="15"/>
      <c r="L226" s="15"/>
      <c r="M226" s="850"/>
      <c r="N226" s="850"/>
      <c r="O226" s="850"/>
      <c r="P226" s="850"/>
      <c r="Q226" s="850"/>
      <c r="R226" s="850"/>
      <c r="S226" s="850"/>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row>
    <row r="227" ht="15.75" customHeight="1">
      <c r="A227" s="15"/>
      <c r="B227" s="15"/>
      <c r="C227" s="15"/>
      <c r="D227" s="15"/>
      <c r="E227" s="15"/>
      <c r="F227" s="15"/>
      <c r="G227" s="15"/>
      <c r="H227" s="15"/>
      <c r="I227" s="15"/>
      <c r="J227" s="15"/>
      <c r="K227" s="15"/>
      <c r="L227" s="15"/>
      <c r="M227" s="850"/>
      <c r="N227" s="850"/>
      <c r="O227" s="850"/>
      <c r="P227" s="850"/>
      <c r="Q227" s="850"/>
      <c r="R227" s="850"/>
      <c r="S227" s="850"/>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row>
    <row r="228" ht="15.75" customHeight="1">
      <c r="A228" s="15"/>
      <c r="B228" s="15"/>
      <c r="C228" s="15"/>
      <c r="D228" s="15"/>
      <c r="E228" s="15"/>
      <c r="F228" s="15"/>
      <c r="G228" s="15"/>
      <c r="H228" s="15"/>
      <c r="I228" s="15"/>
      <c r="J228" s="15"/>
      <c r="K228" s="15"/>
      <c r="L228" s="15"/>
      <c r="M228" s="850"/>
      <c r="N228" s="850"/>
      <c r="O228" s="850"/>
      <c r="P228" s="850"/>
      <c r="Q228" s="850"/>
      <c r="R228" s="850"/>
      <c r="S228" s="850"/>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row>
    <row r="229" ht="15.75" customHeight="1">
      <c r="A229" s="15"/>
      <c r="B229" s="15"/>
      <c r="C229" s="15"/>
      <c r="D229" s="15"/>
      <c r="E229" s="15"/>
      <c r="F229" s="15"/>
      <c r="G229" s="15"/>
      <c r="H229" s="15"/>
      <c r="I229" s="15"/>
      <c r="J229" s="15"/>
      <c r="K229" s="15"/>
      <c r="L229" s="15"/>
      <c r="M229" s="850"/>
      <c r="N229" s="850"/>
      <c r="O229" s="850"/>
      <c r="P229" s="850"/>
      <c r="Q229" s="850"/>
      <c r="R229" s="850"/>
      <c r="S229" s="850"/>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row>
    <row r="230" ht="15.75" customHeight="1">
      <c r="A230" s="15"/>
      <c r="B230" s="15"/>
      <c r="C230" s="15"/>
      <c r="D230" s="15"/>
      <c r="E230" s="15"/>
      <c r="F230" s="15"/>
      <c r="G230" s="15"/>
      <c r="H230" s="15"/>
      <c r="I230" s="15"/>
      <c r="J230" s="15"/>
      <c r="K230" s="15"/>
      <c r="L230" s="15"/>
      <c r="M230" s="850"/>
      <c r="N230" s="850"/>
      <c r="O230" s="850"/>
      <c r="P230" s="850"/>
      <c r="Q230" s="850"/>
      <c r="R230" s="850"/>
      <c r="S230" s="850"/>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row>
    <row r="231" ht="15.75" customHeight="1">
      <c r="A231" s="15"/>
      <c r="B231" s="15"/>
      <c r="C231" s="15"/>
      <c r="D231" s="15"/>
      <c r="E231" s="15"/>
      <c r="F231" s="15"/>
      <c r="G231" s="15"/>
      <c r="H231" s="15"/>
      <c r="I231" s="15"/>
      <c r="J231" s="15"/>
      <c r="K231" s="15"/>
      <c r="L231" s="15"/>
      <c r="M231" s="850"/>
      <c r="N231" s="850"/>
      <c r="O231" s="850"/>
      <c r="P231" s="850"/>
      <c r="Q231" s="850"/>
      <c r="R231" s="850"/>
      <c r="S231" s="850"/>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row>
    <row r="232" ht="15.75" customHeight="1">
      <c r="A232" s="15"/>
      <c r="B232" s="15"/>
      <c r="C232" s="15"/>
      <c r="D232" s="15"/>
      <c r="E232" s="15"/>
      <c r="F232" s="15"/>
      <c r="G232" s="15"/>
      <c r="H232" s="15"/>
      <c r="I232" s="15"/>
      <c r="J232" s="15"/>
      <c r="K232" s="15"/>
      <c r="L232" s="15"/>
      <c r="M232" s="850"/>
      <c r="N232" s="850"/>
      <c r="O232" s="850"/>
      <c r="P232" s="850"/>
      <c r="Q232" s="850"/>
      <c r="R232" s="850"/>
      <c r="S232" s="850"/>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row>
    <row r="233" ht="15.75" customHeight="1">
      <c r="A233" s="15"/>
      <c r="B233" s="15"/>
      <c r="C233" s="15"/>
      <c r="D233" s="15"/>
      <c r="E233" s="15"/>
      <c r="F233" s="15"/>
      <c r="G233" s="15"/>
      <c r="H233" s="15"/>
      <c r="I233" s="15"/>
      <c r="J233" s="15"/>
      <c r="K233" s="15"/>
      <c r="L233" s="15"/>
      <c r="M233" s="850"/>
      <c r="N233" s="850"/>
      <c r="O233" s="850"/>
      <c r="P233" s="850"/>
      <c r="Q233" s="850"/>
      <c r="R233" s="850"/>
      <c r="S233" s="850"/>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row>
    <row r="234" ht="15.75" customHeight="1">
      <c r="A234" s="15"/>
      <c r="B234" s="15"/>
      <c r="C234" s="15"/>
      <c r="D234" s="15"/>
      <c r="E234" s="15"/>
      <c r="F234" s="15"/>
      <c r="G234" s="15"/>
      <c r="H234" s="15"/>
      <c r="I234" s="15"/>
      <c r="J234" s="15"/>
      <c r="K234" s="15"/>
      <c r="L234" s="15"/>
      <c r="M234" s="850"/>
      <c r="N234" s="850"/>
      <c r="O234" s="850"/>
      <c r="P234" s="850"/>
      <c r="Q234" s="850"/>
      <c r="R234" s="850"/>
      <c r="S234" s="850"/>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row>
    <row r="235" ht="15.75" customHeight="1">
      <c r="A235" s="15"/>
      <c r="B235" s="15"/>
      <c r="C235" s="15"/>
      <c r="D235" s="15"/>
      <c r="E235" s="15"/>
      <c r="F235" s="15"/>
      <c r="G235" s="15"/>
      <c r="H235" s="15"/>
      <c r="I235" s="15"/>
      <c r="J235" s="15"/>
      <c r="K235" s="15"/>
      <c r="L235" s="15"/>
      <c r="M235" s="850"/>
      <c r="N235" s="850"/>
      <c r="O235" s="850"/>
      <c r="P235" s="850"/>
      <c r="Q235" s="850"/>
      <c r="R235" s="850"/>
      <c r="S235" s="850"/>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row>
    <row r="236" ht="15.75" customHeight="1">
      <c r="A236" s="15"/>
      <c r="B236" s="15"/>
      <c r="C236" s="15"/>
      <c r="D236" s="15"/>
      <c r="E236" s="15"/>
      <c r="F236" s="15"/>
      <c r="G236" s="15"/>
      <c r="H236" s="15"/>
      <c r="I236" s="15"/>
      <c r="J236" s="15"/>
      <c r="K236" s="15"/>
      <c r="L236" s="15"/>
      <c r="M236" s="850"/>
      <c r="N236" s="850"/>
      <c r="O236" s="850"/>
      <c r="P236" s="850"/>
      <c r="Q236" s="850"/>
      <c r="R236" s="850"/>
      <c r="S236" s="850"/>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row>
    <row r="237" ht="15.75" customHeight="1">
      <c r="A237" s="15"/>
      <c r="B237" s="15"/>
      <c r="C237" s="15"/>
      <c r="D237" s="15"/>
      <c r="E237" s="15"/>
      <c r="F237" s="15"/>
      <c r="G237" s="15"/>
      <c r="H237" s="15"/>
      <c r="I237" s="15"/>
      <c r="J237" s="15"/>
      <c r="K237" s="15"/>
      <c r="L237" s="15"/>
      <c r="M237" s="850"/>
      <c r="N237" s="850"/>
      <c r="O237" s="850"/>
      <c r="P237" s="850"/>
      <c r="Q237" s="850"/>
      <c r="R237" s="850"/>
      <c r="S237" s="850"/>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row>
    <row r="238" ht="15.75" customHeight="1">
      <c r="A238" s="15"/>
      <c r="B238" s="15"/>
      <c r="C238" s="15"/>
      <c r="D238" s="15"/>
      <c r="E238" s="15"/>
      <c r="F238" s="15"/>
      <c r="G238" s="15"/>
      <c r="H238" s="15"/>
      <c r="I238" s="15"/>
      <c r="J238" s="15"/>
      <c r="K238" s="15"/>
      <c r="L238" s="15"/>
      <c r="M238" s="850"/>
      <c r="N238" s="850"/>
      <c r="O238" s="850"/>
      <c r="P238" s="850"/>
      <c r="Q238" s="850"/>
      <c r="R238" s="850"/>
      <c r="S238" s="850"/>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row>
    <row r="239" ht="15.75" customHeight="1">
      <c r="A239" s="15"/>
      <c r="B239" s="15"/>
      <c r="C239" s="15"/>
      <c r="D239" s="15"/>
      <c r="E239" s="15"/>
      <c r="F239" s="15"/>
      <c r="G239" s="15"/>
      <c r="H239" s="15"/>
      <c r="I239" s="15"/>
      <c r="J239" s="15"/>
      <c r="K239" s="15"/>
      <c r="L239" s="15"/>
      <c r="M239" s="850"/>
      <c r="N239" s="850"/>
      <c r="O239" s="850"/>
      <c r="P239" s="850"/>
      <c r="Q239" s="850"/>
      <c r="R239" s="850"/>
      <c r="S239" s="850"/>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row>
    <row r="240" ht="15.75" customHeight="1">
      <c r="A240" s="15"/>
      <c r="B240" s="15"/>
      <c r="C240" s="15"/>
      <c r="D240" s="15"/>
      <c r="E240" s="15"/>
      <c r="F240" s="15"/>
      <c r="G240" s="15"/>
      <c r="H240" s="15"/>
      <c r="I240" s="15"/>
      <c r="J240" s="15"/>
      <c r="K240" s="15"/>
      <c r="L240" s="15"/>
      <c r="M240" s="850"/>
      <c r="N240" s="850"/>
      <c r="O240" s="850"/>
      <c r="P240" s="850"/>
      <c r="Q240" s="850"/>
      <c r="R240" s="850"/>
      <c r="S240" s="850"/>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row>
    <row r="241" ht="15.75" customHeight="1">
      <c r="A241" s="15"/>
      <c r="B241" s="15"/>
      <c r="C241" s="15"/>
      <c r="D241" s="15"/>
      <c r="E241" s="15"/>
      <c r="F241" s="15"/>
      <c r="G241" s="15"/>
      <c r="H241" s="15"/>
      <c r="I241" s="15"/>
      <c r="J241" s="15"/>
      <c r="K241" s="15"/>
      <c r="L241" s="15"/>
      <c r="M241" s="850"/>
      <c r="N241" s="850"/>
      <c r="O241" s="850"/>
      <c r="P241" s="850"/>
      <c r="Q241" s="850"/>
      <c r="R241" s="850"/>
      <c r="S241" s="850"/>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row>
    <row r="242" ht="15.75" customHeight="1">
      <c r="A242" s="15"/>
      <c r="B242" s="15"/>
      <c r="C242" s="15"/>
      <c r="D242" s="15"/>
      <c r="E242" s="15"/>
      <c r="F242" s="15"/>
      <c r="G242" s="15"/>
      <c r="H242" s="15"/>
      <c r="I242" s="15"/>
      <c r="J242" s="15"/>
      <c r="K242" s="15"/>
      <c r="L242" s="15"/>
      <c r="M242" s="850"/>
      <c r="N242" s="850"/>
      <c r="O242" s="850"/>
      <c r="P242" s="850"/>
      <c r="Q242" s="850"/>
      <c r="R242" s="850"/>
      <c r="S242" s="850"/>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row>
    <row r="243" ht="15.75" customHeight="1">
      <c r="A243" s="15"/>
      <c r="B243" s="15"/>
      <c r="C243" s="15"/>
      <c r="D243" s="15"/>
      <c r="E243" s="15"/>
      <c r="F243" s="15"/>
      <c r="G243" s="15"/>
      <c r="H243" s="15"/>
      <c r="I243" s="15"/>
      <c r="J243" s="15"/>
      <c r="K243" s="15"/>
      <c r="L243" s="15"/>
      <c r="M243" s="850"/>
      <c r="N243" s="850"/>
      <c r="O243" s="850"/>
      <c r="P243" s="850"/>
      <c r="Q243" s="850"/>
      <c r="R243" s="850"/>
      <c r="S243" s="850"/>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row>
    <row r="244" ht="15.75" customHeight="1">
      <c r="A244" s="15"/>
      <c r="B244" s="15"/>
      <c r="C244" s="15"/>
      <c r="D244" s="15"/>
      <c r="E244" s="15"/>
      <c r="F244" s="15"/>
      <c r="G244" s="15"/>
      <c r="H244" s="15"/>
      <c r="I244" s="15"/>
      <c r="J244" s="15"/>
      <c r="K244" s="15"/>
      <c r="L244" s="15"/>
      <c r="M244" s="850"/>
      <c r="N244" s="850"/>
      <c r="O244" s="850"/>
      <c r="P244" s="850"/>
      <c r="Q244" s="850"/>
      <c r="R244" s="850"/>
      <c r="S244" s="850"/>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row>
    <row r="245" ht="15.75" customHeight="1">
      <c r="A245" s="15"/>
      <c r="B245" s="15"/>
      <c r="C245" s="15"/>
      <c r="D245" s="15"/>
      <c r="E245" s="15"/>
      <c r="F245" s="15"/>
      <c r="G245" s="15"/>
      <c r="H245" s="15"/>
      <c r="I245" s="15"/>
      <c r="J245" s="15"/>
      <c r="K245" s="15"/>
      <c r="L245" s="15"/>
      <c r="M245" s="850"/>
      <c r="N245" s="850"/>
      <c r="O245" s="850"/>
      <c r="P245" s="850"/>
      <c r="Q245" s="850"/>
      <c r="R245" s="850"/>
      <c r="S245" s="850"/>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row>
    <row r="246" ht="15.75" customHeight="1">
      <c r="A246" s="15"/>
      <c r="B246" s="15"/>
      <c r="C246" s="15"/>
      <c r="D246" s="15"/>
      <c r="E246" s="15"/>
      <c r="F246" s="15"/>
      <c r="G246" s="15"/>
      <c r="H246" s="15"/>
      <c r="I246" s="15"/>
      <c r="J246" s="15"/>
      <c r="K246" s="15"/>
      <c r="L246" s="15"/>
      <c r="M246" s="850"/>
      <c r="N246" s="850"/>
      <c r="O246" s="850"/>
      <c r="P246" s="850"/>
      <c r="Q246" s="850"/>
      <c r="R246" s="850"/>
      <c r="S246" s="850"/>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row>
    <row r="247" ht="15.75" customHeight="1">
      <c r="A247" s="15"/>
      <c r="B247" s="15"/>
      <c r="C247" s="15"/>
      <c r="D247" s="15"/>
      <c r="E247" s="15"/>
      <c r="F247" s="15"/>
      <c r="G247" s="15"/>
      <c r="H247" s="15"/>
      <c r="I247" s="15"/>
      <c r="J247" s="15"/>
      <c r="K247" s="15"/>
      <c r="L247" s="15"/>
      <c r="M247" s="850"/>
      <c r="N247" s="850"/>
      <c r="O247" s="850"/>
      <c r="P247" s="850"/>
      <c r="Q247" s="850"/>
      <c r="R247" s="850"/>
      <c r="S247" s="850"/>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row>
    <row r="248" ht="15.75" customHeight="1">
      <c r="A248" s="15"/>
      <c r="B248" s="15"/>
      <c r="C248" s="15"/>
      <c r="D248" s="15"/>
      <c r="E248" s="15"/>
      <c r="F248" s="15"/>
      <c r="G248" s="15"/>
      <c r="H248" s="15"/>
      <c r="I248" s="15"/>
      <c r="J248" s="15"/>
      <c r="K248" s="15"/>
      <c r="L248" s="15"/>
      <c r="M248" s="850"/>
      <c r="N248" s="850"/>
      <c r="O248" s="850"/>
      <c r="P248" s="850"/>
      <c r="Q248" s="850"/>
      <c r="R248" s="850"/>
      <c r="S248" s="850"/>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row>
    <row r="249" ht="15.75" customHeight="1">
      <c r="A249" s="15"/>
      <c r="B249" s="15"/>
      <c r="C249" s="15"/>
      <c r="D249" s="15"/>
      <c r="E249" s="15"/>
      <c r="F249" s="15"/>
      <c r="G249" s="15"/>
      <c r="H249" s="15"/>
      <c r="I249" s="15"/>
      <c r="J249" s="15"/>
      <c r="K249" s="15"/>
      <c r="L249" s="15"/>
      <c r="M249" s="850"/>
      <c r="N249" s="850"/>
      <c r="O249" s="850"/>
      <c r="P249" s="850"/>
      <c r="Q249" s="850"/>
      <c r="R249" s="850"/>
      <c r="S249" s="850"/>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row>
    <row r="250" ht="15.75" customHeight="1">
      <c r="A250" s="15"/>
      <c r="B250" s="15"/>
      <c r="C250" s="15"/>
      <c r="D250" s="15"/>
      <c r="E250" s="15"/>
      <c r="F250" s="15"/>
      <c r="G250" s="15"/>
      <c r="H250" s="15"/>
      <c r="I250" s="15"/>
      <c r="J250" s="15"/>
      <c r="K250" s="15"/>
      <c r="L250" s="15"/>
      <c r="M250" s="850"/>
      <c r="N250" s="850"/>
      <c r="O250" s="850"/>
      <c r="P250" s="850"/>
      <c r="Q250" s="850"/>
      <c r="R250" s="850"/>
      <c r="S250" s="850"/>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row>
    <row r="251" ht="15.75" customHeight="1">
      <c r="A251" s="15"/>
      <c r="B251" s="15"/>
      <c r="C251" s="15"/>
      <c r="D251" s="15"/>
      <c r="E251" s="15"/>
      <c r="F251" s="15"/>
      <c r="G251" s="15"/>
      <c r="H251" s="15"/>
      <c r="I251" s="15"/>
      <c r="J251" s="15"/>
      <c r="K251" s="15"/>
      <c r="L251" s="15"/>
      <c r="M251" s="850"/>
      <c r="N251" s="850"/>
      <c r="O251" s="850"/>
      <c r="P251" s="850"/>
      <c r="Q251" s="850"/>
      <c r="R251" s="850"/>
      <c r="S251" s="850"/>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row>
    <row r="252" ht="15.75" customHeight="1">
      <c r="A252" s="15"/>
      <c r="B252" s="15"/>
      <c r="C252" s="15"/>
      <c r="D252" s="15"/>
      <c r="E252" s="15"/>
      <c r="F252" s="15"/>
      <c r="G252" s="15"/>
      <c r="H252" s="15"/>
      <c r="I252" s="15"/>
      <c r="J252" s="15"/>
      <c r="K252" s="15"/>
      <c r="L252" s="15"/>
      <c r="M252" s="850"/>
      <c r="N252" s="850"/>
      <c r="O252" s="850"/>
      <c r="P252" s="850"/>
      <c r="Q252" s="850"/>
      <c r="R252" s="850"/>
      <c r="S252" s="850"/>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row>
    <row r="253" ht="15.75" customHeight="1">
      <c r="A253" s="15"/>
      <c r="B253" s="15"/>
      <c r="C253" s="15"/>
      <c r="D253" s="15"/>
      <c r="E253" s="15"/>
      <c r="F253" s="15"/>
      <c r="G253" s="15"/>
      <c r="H253" s="15"/>
      <c r="I253" s="15"/>
      <c r="J253" s="15"/>
      <c r="K253" s="15"/>
      <c r="L253" s="15"/>
      <c r="M253" s="850"/>
      <c r="N253" s="850"/>
      <c r="O253" s="850"/>
      <c r="P253" s="850"/>
      <c r="Q253" s="850"/>
      <c r="R253" s="850"/>
      <c r="S253" s="850"/>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row>
    <row r="254" ht="15.75" customHeight="1">
      <c r="A254" s="15"/>
      <c r="B254" s="15"/>
      <c r="C254" s="15"/>
      <c r="D254" s="15"/>
      <c r="E254" s="15"/>
      <c r="F254" s="15"/>
      <c r="G254" s="15"/>
      <c r="H254" s="15"/>
      <c r="I254" s="15"/>
      <c r="J254" s="15"/>
      <c r="K254" s="15"/>
      <c r="L254" s="15"/>
      <c r="M254" s="850"/>
      <c r="N254" s="850"/>
      <c r="O254" s="850"/>
      <c r="P254" s="850"/>
      <c r="Q254" s="850"/>
      <c r="R254" s="850"/>
      <c r="S254" s="850"/>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row>
    <row r="255" ht="15.75" customHeight="1">
      <c r="A255" s="15"/>
      <c r="B255" s="15"/>
      <c r="C255" s="15"/>
      <c r="D255" s="15"/>
      <c r="E255" s="15"/>
      <c r="F255" s="15"/>
      <c r="G255" s="15"/>
      <c r="H255" s="15"/>
      <c r="I255" s="15"/>
      <c r="J255" s="15"/>
      <c r="K255" s="15"/>
      <c r="L255" s="15"/>
      <c r="M255" s="850"/>
      <c r="N255" s="850"/>
      <c r="O255" s="850"/>
      <c r="P255" s="850"/>
      <c r="Q255" s="850"/>
      <c r="R255" s="850"/>
      <c r="S255" s="850"/>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row>
    <row r="256" ht="15.75" customHeight="1">
      <c r="A256" s="15"/>
      <c r="B256" s="15"/>
      <c r="C256" s="15"/>
      <c r="D256" s="15"/>
      <c r="E256" s="15"/>
      <c r="F256" s="15"/>
      <c r="G256" s="15"/>
      <c r="H256" s="15"/>
      <c r="I256" s="15"/>
      <c r="J256" s="15"/>
      <c r="K256" s="15"/>
      <c r="L256" s="15"/>
      <c r="M256" s="850"/>
      <c r="N256" s="850"/>
      <c r="O256" s="850"/>
      <c r="P256" s="850"/>
      <c r="Q256" s="850"/>
      <c r="R256" s="850"/>
      <c r="S256" s="850"/>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row>
    <row r="257" ht="15.75" customHeight="1">
      <c r="A257" s="15"/>
      <c r="B257" s="15"/>
      <c r="C257" s="15"/>
      <c r="D257" s="15"/>
      <c r="E257" s="15"/>
      <c r="F257" s="15"/>
      <c r="G257" s="15"/>
      <c r="H257" s="15"/>
      <c r="I257" s="15"/>
      <c r="J257" s="15"/>
      <c r="K257" s="15"/>
      <c r="L257" s="15"/>
      <c r="M257" s="850"/>
      <c r="N257" s="850"/>
      <c r="O257" s="850"/>
      <c r="P257" s="850"/>
      <c r="Q257" s="850"/>
      <c r="R257" s="850"/>
      <c r="S257" s="850"/>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row>
    <row r="258" ht="15.75" customHeight="1">
      <c r="A258" s="15"/>
      <c r="B258" s="15"/>
      <c r="C258" s="15"/>
      <c r="D258" s="15"/>
      <c r="E258" s="15"/>
      <c r="F258" s="15"/>
      <c r="G258" s="15"/>
      <c r="H258" s="15"/>
      <c r="I258" s="15"/>
      <c r="J258" s="15"/>
      <c r="K258" s="15"/>
      <c r="L258" s="15"/>
      <c r="M258" s="850"/>
      <c r="N258" s="850"/>
      <c r="O258" s="850"/>
      <c r="P258" s="850"/>
      <c r="Q258" s="850"/>
      <c r="R258" s="850"/>
      <c r="S258" s="850"/>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row>
    <row r="259" ht="15.75" customHeight="1">
      <c r="A259" s="15"/>
      <c r="B259" s="15"/>
      <c r="C259" s="15"/>
      <c r="D259" s="15"/>
      <c r="E259" s="15"/>
      <c r="F259" s="15"/>
      <c r="G259" s="15"/>
      <c r="H259" s="15"/>
      <c r="I259" s="15"/>
      <c r="J259" s="15"/>
      <c r="K259" s="15"/>
      <c r="L259" s="15"/>
      <c r="M259" s="850"/>
      <c r="N259" s="850"/>
      <c r="O259" s="850"/>
      <c r="P259" s="850"/>
      <c r="Q259" s="850"/>
      <c r="R259" s="850"/>
      <c r="S259" s="850"/>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row>
    <row r="260" ht="15.75" customHeight="1">
      <c r="A260" s="15"/>
      <c r="B260" s="15"/>
      <c r="C260" s="15"/>
      <c r="D260" s="15"/>
      <c r="E260" s="15"/>
      <c r="F260" s="15"/>
      <c r="G260" s="15"/>
      <c r="H260" s="15"/>
      <c r="I260" s="15"/>
      <c r="J260" s="15"/>
      <c r="K260" s="15"/>
      <c r="L260" s="15"/>
      <c r="M260" s="850"/>
      <c r="N260" s="850"/>
      <c r="O260" s="850"/>
      <c r="P260" s="850"/>
      <c r="Q260" s="850"/>
      <c r="R260" s="850"/>
      <c r="S260" s="850"/>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row>
    <row r="261" ht="15.75" customHeight="1">
      <c r="A261" s="15"/>
      <c r="B261" s="15"/>
      <c r="C261" s="15"/>
      <c r="D261" s="15"/>
      <c r="E261" s="15"/>
      <c r="F261" s="15"/>
      <c r="G261" s="15"/>
      <c r="H261" s="15"/>
      <c r="I261" s="15"/>
      <c r="J261" s="15"/>
      <c r="K261" s="15"/>
      <c r="L261" s="15"/>
      <c r="M261" s="850"/>
      <c r="N261" s="850"/>
      <c r="O261" s="850"/>
      <c r="P261" s="850"/>
      <c r="Q261" s="850"/>
      <c r="R261" s="850"/>
      <c r="S261" s="850"/>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row>
    <row r="262" ht="15.75" customHeight="1">
      <c r="A262" s="15"/>
      <c r="B262" s="15"/>
      <c r="C262" s="15"/>
      <c r="D262" s="15"/>
      <c r="E262" s="15"/>
      <c r="F262" s="15"/>
      <c r="G262" s="15"/>
      <c r="H262" s="15"/>
      <c r="I262" s="15"/>
      <c r="J262" s="15"/>
      <c r="K262" s="15"/>
      <c r="L262" s="15"/>
      <c r="M262" s="850"/>
      <c r="N262" s="850"/>
      <c r="O262" s="850"/>
      <c r="P262" s="850"/>
      <c r="Q262" s="850"/>
      <c r="R262" s="850"/>
      <c r="S262" s="850"/>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row>
    <row r="263" ht="15.75" customHeight="1">
      <c r="A263" s="15"/>
      <c r="B263" s="15"/>
      <c r="C263" s="15"/>
      <c r="D263" s="15"/>
      <c r="E263" s="15"/>
      <c r="F263" s="15"/>
      <c r="G263" s="15"/>
      <c r="H263" s="15"/>
      <c r="I263" s="15"/>
      <c r="J263" s="15"/>
      <c r="K263" s="15"/>
      <c r="L263" s="15"/>
      <c r="M263" s="850"/>
      <c r="N263" s="850"/>
      <c r="O263" s="850"/>
      <c r="P263" s="850"/>
      <c r="Q263" s="850"/>
      <c r="R263" s="850"/>
      <c r="S263" s="850"/>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row>
    <row r="264" ht="15.75" customHeight="1">
      <c r="A264" s="15"/>
      <c r="B264" s="15"/>
      <c r="C264" s="15"/>
      <c r="D264" s="15"/>
      <c r="E264" s="15"/>
      <c r="F264" s="15"/>
      <c r="G264" s="15"/>
      <c r="H264" s="15"/>
      <c r="I264" s="15"/>
      <c r="J264" s="15"/>
      <c r="K264" s="15"/>
      <c r="L264" s="15"/>
      <c r="M264" s="850"/>
      <c r="N264" s="850"/>
      <c r="O264" s="850"/>
      <c r="P264" s="850"/>
      <c r="Q264" s="850"/>
      <c r="R264" s="850"/>
      <c r="S264" s="850"/>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row>
    <row r="265" ht="15.75" customHeight="1">
      <c r="A265" s="15"/>
      <c r="B265" s="15"/>
      <c r="C265" s="15"/>
      <c r="D265" s="15"/>
      <c r="E265" s="15"/>
      <c r="F265" s="15"/>
      <c r="G265" s="15"/>
      <c r="H265" s="15"/>
      <c r="I265" s="15"/>
      <c r="J265" s="15"/>
      <c r="K265" s="15"/>
      <c r="L265" s="15"/>
      <c r="M265" s="850"/>
      <c r="N265" s="850"/>
      <c r="O265" s="850"/>
      <c r="P265" s="850"/>
      <c r="Q265" s="850"/>
      <c r="R265" s="850"/>
      <c r="S265" s="850"/>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row>
    <row r="266" ht="15.75" customHeight="1">
      <c r="A266" s="15"/>
      <c r="B266" s="15"/>
      <c r="C266" s="15"/>
      <c r="D266" s="15"/>
      <c r="E266" s="15"/>
      <c r="F266" s="15"/>
      <c r="G266" s="15"/>
      <c r="H266" s="15"/>
      <c r="I266" s="15"/>
      <c r="J266" s="15"/>
      <c r="K266" s="15"/>
      <c r="L266" s="15"/>
      <c r="M266" s="850"/>
      <c r="N266" s="850"/>
      <c r="O266" s="850"/>
      <c r="P266" s="850"/>
      <c r="Q266" s="850"/>
      <c r="R266" s="850"/>
      <c r="S266" s="850"/>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row>
    <row r="267" ht="15.75" customHeight="1">
      <c r="A267" s="15"/>
      <c r="B267" s="15"/>
      <c r="C267" s="15"/>
      <c r="D267" s="15"/>
      <c r="E267" s="15"/>
      <c r="F267" s="15"/>
      <c r="G267" s="15"/>
      <c r="H267" s="15"/>
      <c r="I267" s="15"/>
      <c r="J267" s="15"/>
      <c r="K267" s="15"/>
      <c r="L267" s="15"/>
      <c r="M267" s="850"/>
      <c r="N267" s="850"/>
      <c r="O267" s="850"/>
      <c r="P267" s="850"/>
      <c r="Q267" s="850"/>
      <c r="R267" s="850"/>
      <c r="S267" s="850"/>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row>
    <row r="268" ht="15.75" customHeight="1">
      <c r="A268" s="15"/>
      <c r="B268" s="15"/>
      <c r="C268" s="15"/>
      <c r="D268" s="15"/>
      <c r="E268" s="15"/>
      <c r="F268" s="15"/>
      <c r="G268" s="15"/>
      <c r="H268" s="15"/>
      <c r="I268" s="15"/>
      <c r="J268" s="15"/>
      <c r="K268" s="15"/>
      <c r="L268" s="15"/>
      <c r="M268" s="850"/>
      <c r="N268" s="850"/>
      <c r="O268" s="850"/>
      <c r="P268" s="850"/>
      <c r="Q268" s="850"/>
      <c r="R268" s="850"/>
      <c r="S268" s="850"/>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row>
    <row r="269" ht="15.75" customHeight="1">
      <c r="A269" s="15"/>
      <c r="B269" s="15"/>
      <c r="C269" s="15"/>
      <c r="D269" s="15"/>
      <c r="E269" s="15"/>
      <c r="F269" s="15"/>
      <c r="G269" s="15"/>
      <c r="H269" s="15"/>
      <c r="I269" s="15"/>
      <c r="J269" s="15"/>
      <c r="K269" s="15"/>
      <c r="L269" s="15"/>
      <c r="M269" s="850"/>
      <c r="N269" s="850"/>
      <c r="O269" s="850"/>
      <c r="P269" s="850"/>
      <c r="Q269" s="850"/>
      <c r="R269" s="850"/>
      <c r="S269" s="850"/>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row>
    <row r="270" ht="15.75" customHeight="1">
      <c r="A270" s="15"/>
      <c r="B270" s="15"/>
      <c r="C270" s="15"/>
      <c r="D270" s="15"/>
      <c r="E270" s="15"/>
      <c r="F270" s="15"/>
      <c r="G270" s="15"/>
      <c r="H270" s="15"/>
      <c r="I270" s="15"/>
      <c r="J270" s="15"/>
      <c r="K270" s="15"/>
      <c r="L270" s="15"/>
      <c r="M270" s="850"/>
      <c r="N270" s="850"/>
      <c r="O270" s="850"/>
      <c r="P270" s="850"/>
      <c r="Q270" s="850"/>
      <c r="R270" s="850"/>
      <c r="S270" s="850"/>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row>
    <row r="271" ht="15.75" customHeight="1">
      <c r="A271" s="15"/>
      <c r="B271" s="15"/>
      <c r="C271" s="15"/>
      <c r="D271" s="15"/>
      <c r="E271" s="15"/>
      <c r="F271" s="15"/>
      <c r="G271" s="15"/>
      <c r="H271" s="15"/>
      <c r="I271" s="15"/>
      <c r="J271" s="15"/>
      <c r="K271" s="15"/>
      <c r="L271" s="15"/>
      <c r="M271" s="850"/>
      <c r="N271" s="850"/>
      <c r="O271" s="850"/>
      <c r="P271" s="850"/>
      <c r="Q271" s="850"/>
      <c r="R271" s="850"/>
      <c r="S271" s="850"/>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row>
    <row r="272" ht="15.75" customHeight="1">
      <c r="A272" s="15"/>
      <c r="B272" s="15"/>
      <c r="C272" s="15"/>
      <c r="D272" s="15"/>
      <c r="E272" s="15"/>
      <c r="F272" s="15"/>
      <c r="G272" s="15"/>
      <c r="H272" s="15"/>
      <c r="I272" s="15"/>
      <c r="J272" s="15"/>
      <c r="K272" s="15"/>
      <c r="L272" s="15"/>
      <c r="M272" s="850"/>
      <c r="N272" s="850"/>
      <c r="O272" s="850"/>
      <c r="P272" s="850"/>
      <c r="Q272" s="850"/>
      <c r="R272" s="850"/>
      <c r="S272" s="850"/>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row>
    <row r="273" ht="15.75" customHeight="1">
      <c r="A273" s="15"/>
      <c r="B273" s="15"/>
      <c r="C273" s="15"/>
      <c r="D273" s="15"/>
      <c r="E273" s="15"/>
      <c r="F273" s="15"/>
      <c r="G273" s="15"/>
      <c r="H273" s="15"/>
      <c r="I273" s="15"/>
      <c r="J273" s="15"/>
      <c r="K273" s="15"/>
      <c r="L273" s="15"/>
      <c r="M273" s="850"/>
      <c r="N273" s="850"/>
      <c r="O273" s="850"/>
      <c r="P273" s="850"/>
      <c r="Q273" s="850"/>
      <c r="R273" s="850"/>
      <c r="S273" s="850"/>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row>
    <row r="274" ht="15.75" customHeight="1">
      <c r="A274" s="15"/>
      <c r="B274" s="15"/>
      <c r="C274" s="15"/>
      <c r="D274" s="15"/>
      <c r="E274" s="15"/>
      <c r="F274" s="15"/>
      <c r="G274" s="15"/>
      <c r="H274" s="15"/>
      <c r="I274" s="15"/>
      <c r="J274" s="15"/>
      <c r="K274" s="15"/>
      <c r="L274" s="15"/>
      <c r="M274" s="850"/>
      <c r="N274" s="850"/>
      <c r="O274" s="850"/>
      <c r="P274" s="850"/>
      <c r="Q274" s="850"/>
      <c r="R274" s="850"/>
      <c r="S274" s="850"/>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row>
    <row r="275" ht="15.75" customHeight="1">
      <c r="A275" s="15"/>
      <c r="B275" s="15"/>
      <c r="C275" s="15"/>
      <c r="D275" s="15"/>
      <c r="E275" s="15"/>
      <c r="F275" s="15"/>
      <c r="G275" s="15"/>
      <c r="H275" s="15"/>
      <c r="I275" s="15"/>
      <c r="J275" s="15"/>
      <c r="K275" s="15"/>
      <c r="L275" s="15"/>
      <c r="M275" s="850"/>
      <c r="N275" s="850"/>
      <c r="O275" s="850"/>
      <c r="P275" s="850"/>
      <c r="Q275" s="850"/>
      <c r="R275" s="850"/>
      <c r="S275" s="850"/>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row>
    <row r="276" ht="15.75" customHeight="1">
      <c r="A276" s="15"/>
      <c r="B276" s="15"/>
      <c r="C276" s="15"/>
      <c r="D276" s="15"/>
      <c r="E276" s="15"/>
      <c r="F276" s="15"/>
      <c r="G276" s="15"/>
      <c r="H276" s="15"/>
      <c r="I276" s="15"/>
      <c r="J276" s="15"/>
      <c r="K276" s="15"/>
      <c r="L276" s="15"/>
      <c r="M276" s="850"/>
      <c r="N276" s="850"/>
      <c r="O276" s="850"/>
      <c r="P276" s="850"/>
      <c r="Q276" s="850"/>
      <c r="R276" s="850"/>
      <c r="S276" s="850"/>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row>
    <row r="277" ht="15.75" customHeight="1">
      <c r="A277" s="15"/>
      <c r="B277" s="15"/>
      <c r="C277" s="15"/>
      <c r="D277" s="15"/>
      <c r="E277" s="15"/>
      <c r="F277" s="15"/>
      <c r="G277" s="15"/>
      <c r="H277" s="15"/>
      <c r="I277" s="15"/>
      <c r="J277" s="15"/>
      <c r="K277" s="15"/>
      <c r="L277" s="15"/>
      <c r="M277" s="850"/>
      <c r="N277" s="850"/>
      <c r="O277" s="850"/>
      <c r="P277" s="850"/>
      <c r="Q277" s="850"/>
      <c r="R277" s="850"/>
      <c r="S277" s="850"/>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row>
    <row r="278" ht="15.75" customHeight="1">
      <c r="A278" s="15"/>
      <c r="B278" s="15"/>
      <c r="C278" s="15"/>
      <c r="D278" s="15"/>
      <c r="E278" s="15"/>
      <c r="F278" s="15"/>
      <c r="G278" s="15"/>
      <c r="H278" s="15"/>
      <c r="I278" s="15"/>
      <c r="J278" s="15"/>
      <c r="K278" s="15"/>
      <c r="L278" s="15"/>
      <c r="M278" s="850"/>
      <c r="N278" s="850"/>
      <c r="O278" s="850"/>
      <c r="P278" s="850"/>
      <c r="Q278" s="850"/>
      <c r="R278" s="850"/>
      <c r="S278" s="850"/>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row>
    <row r="279" ht="15.75" customHeight="1">
      <c r="A279" s="15"/>
      <c r="B279" s="15"/>
      <c r="C279" s="15"/>
      <c r="D279" s="15"/>
      <c r="E279" s="15"/>
      <c r="F279" s="15"/>
      <c r="G279" s="15"/>
      <c r="H279" s="15"/>
      <c r="I279" s="15"/>
      <c r="J279" s="15"/>
      <c r="K279" s="15"/>
      <c r="L279" s="15"/>
      <c r="M279" s="850"/>
      <c r="N279" s="850"/>
      <c r="O279" s="850"/>
      <c r="P279" s="850"/>
      <c r="Q279" s="850"/>
      <c r="R279" s="850"/>
      <c r="S279" s="850"/>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row>
    <row r="280" ht="15.75" customHeight="1">
      <c r="A280" s="15"/>
      <c r="B280" s="15"/>
      <c r="C280" s="15"/>
      <c r="D280" s="15"/>
      <c r="E280" s="15"/>
      <c r="F280" s="15"/>
      <c r="G280" s="15"/>
      <c r="H280" s="15"/>
      <c r="I280" s="15"/>
      <c r="J280" s="15"/>
      <c r="K280" s="15"/>
      <c r="L280" s="15"/>
      <c r="M280" s="850"/>
      <c r="N280" s="850"/>
      <c r="O280" s="850"/>
      <c r="P280" s="850"/>
      <c r="Q280" s="850"/>
      <c r="R280" s="850"/>
      <c r="S280" s="850"/>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row>
    <row r="281" ht="15.75" customHeight="1">
      <c r="A281" s="15"/>
      <c r="B281" s="15"/>
      <c r="C281" s="15"/>
      <c r="D281" s="15"/>
      <c r="E281" s="15"/>
      <c r="F281" s="15"/>
      <c r="G281" s="15"/>
      <c r="H281" s="15"/>
      <c r="I281" s="15"/>
      <c r="J281" s="15"/>
      <c r="K281" s="15"/>
      <c r="L281" s="15"/>
      <c r="M281" s="850"/>
      <c r="N281" s="850"/>
      <c r="O281" s="850"/>
      <c r="P281" s="850"/>
      <c r="Q281" s="850"/>
      <c r="R281" s="850"/>
      <c r="S281" s="850"/>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row>
    <row r="282" ht="15.75" customHeight="1">
      <c r="A282" s="15"/>
      <c r="B282" s="15"/>
      <c r="C282" s="15"/>
      <c r="D282" s="15"/>
      <c r="E282" s="15"/>
      <c r="F282" s="15"/>
      <c r="G282" s="15"/>
      <c r="H282" s="15"/>
      <c r="I282" s="15"/>
      <c r="J282" s="15"/>
      <c r="K282" s="15"/>
      <c r="L282" s="15"/>
      <c r="M282" s="850"/>
      <c r="N282" s="850"/>
      <c r="O282" s="850"/>
      <c r="P282" s="850"/>
      <c r="Q282" s="850"/>
      <c r="R282" s="850"/>
      <c r="S282" s="850"/>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row>
    <row r="283" ht="15.75" customHeight="1">
      <c r="A283" s="15"/>
      <c r="B283" s="15"/>
      <c r="C283" s="15"/>
      <c r="D283" s="15"/>
      <c r="E283" s="15"/>
      <c r="F283" s="15"/>
      <c r="G283" s="15"/>
      <c r="H283" s="15"/>
      <c r="I283" s="15"/>
      <c r="J283" s="15"/>
      <c r="K283" s="15"/>
      <c r="L283" s="15"/>
      <c r="M283" s="850"/>
      <c r="N283" s="850"/>
      <c r="O283" s="850"/>
      <c r="P283" s="850"/>
      <c r="Q283" s="850"/>
      <c r="R283" s="850"/>
      <c r="S283" s="850"/>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row>
    <row r="284" ht="15.75" customHeight="1">
      <c r="A284" s="15"/>
      <c r="B284" s="15"/>
      <c r="C284" s="15"/>
      <c r="D284" s="15"/>
      <c r="E284" s="15"/>
      <c r="F284" s="15"/>
      <c r="G284" s="15"/>
      <c r="H284" s="15"/>
      <c r="I284" s="15"/>
      <c r="J284" s="15"/>
      <c r="K284" s="15"/>
      <c r="L284" s="15"/>
      <c r="M284" s="850"/>
      <c r="N284" s="850"/>
      <c r="O284" s="850"/>
      <c r="P284" s="850"/>
      <c r="Q284" s="850"/>
      <c r="R284" s="850"/>
      <c r="S284" s="850"/>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row>
    <row r="285" ht="15.75" customHeight="1">
      <c r="A285" s="15"/>
      <c r="B285" s="15"/>
      <c r="C285" s="15"/>
      <c r="D285" s="15"/>
      <c r="E285" s="15"/>
      <c r="F285" s="15"/>
      <c r="G285" s="15"/>
      <c r="H285" s="15"/>
      <c r="I285" s="15"/>
      <c r="J285" s="15"/>
      <c r="K285" s="15"/>
      <c r="L285" s="15"/>
      <c r="M285" s="850"/>
      <c r="N285" s="850"/>
      <c r="O285" s="850"/>
      <c r="P285" s="850"/>
      <c r="Q285" s="850"/>
      <c r="R285" s="850"/>
      <c r="S285" s="850"/>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row>
    <row r="286" ht="15.75" customHeight="1">
      <c r="A286" s="15"/>
      <c r="B286" s="15"/>
      <c r="C286" s="15"/>
      <c r="D286" s="15"/>
      <c r="E286" s="15"/>
      <c r="F286" s="15"/>
      <c r="G286" s="15"/>
      <c r="H286" s="15"/>
      <c r="I286" s="15"/>
      <c r="J286" s="15"/>
      <c r="K286" s="15"/>
      <c r="L286" s="15"/>
      <c r="M286" s="850"/>
      <c r="N286" s="850"/>
      <c r="O286" s="850"/>
      <c r="P286" s="850"/>
      <c r="Q286" s="850"/>
      <c r="R286" s="850"/>
      <c r="S286" s="850"/>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row>
    <row r="287" ht="15.75" customHeight="1">
      <c r="A287" s="15"/>
      <c r="B287" s="15"/>
      <c r="C287" s="15"/>
      <c r="D287" s="15"/>
      <c r="E287" s="15"/>
      <c r="F287" s="15"/>
      <c r="G287" s="15"/>
      <c r="H287" s="15"/>
      <c r="I287" s="15"/>
      <c r="J287" s="15"/>
      <c r="K287" s="15"/>
      <c r="L287" s="15"/>
      <c r="M287" s="850"/>
      <c r="N287" s="850"/>
      <c r="O287" s="850"/>
      <c r="P287" s="850"/>
      <c r="Q287" s="850"/>
      <c r="R287" s="850"/>
      <c r="S287" s="850"/>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row>
    <row r="288" ht="15.75" customHeight="1">
      <c r="A288" s="15"/>
      <c r="B288" s="15"/>
      <c r="C288" s="15"/>
      <c r="D288" s="15"/>
      <c r="E288" s="15"/>
      <c r="F288" s="15"/>
      <c r="G288" s="15"/>
      <c r="H288" s="15"/>
      <c r="I288" s="15"/>
      <c r="J288" s="15"/>
      <c r="K288" s="15"/>
      <c r="L288" s="15"/>
      <c r="M288" s="850"/>
      <c r="N288" s="850"/>
      <c r="O288" s="850"/>
      <c r="P288" s="850"/>
      <c r="Q288" s="850"/>
      <c r="R288" s="850"/>
      <c r="S288" s="850"/>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row>
    <row r="289" ht="15.75" customHeight="1">
      <c r="A289" s="15"/>
      <c r="B289" s="15"/>
      <c r="C289" s="15"/>
      <c r="D289" s="15"/>
      <c r="E289" s="15"/>
      <c r="F289" s="15"/>
      <c r="G289" s="15"/>
      <c r="H289" s="15"/>
      <c r="I289" s="15"/>
      <c r="J289" s="15"/>
      <c r="K289" s="15"/>
      <c r="L289" s="15"/>
      <c r="M289" s="850"/>
      <c r="N289" s="850"/>
      <c r="O289" s="850"/>
      <c r="P289" s="850"/>
      <c r="Q289" s="850"/>
      <c r="R289" s="850"/>
      <c r="S289" s="850"/>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row>
    <row r="290" ht="15.75" customHeight="1">
      <c r="A290" s="15"/>
      <c r="B290" s="15"/>
      <c r="C290" s="15"/>
      <c r="D290" s="15"/>
      <c r="E290" s="15"/>
      <c r="F290" s="15"/>
      <c r="G290" s="15"/>
      <c r="H290" s="15"/>
      <c r="I290" s="15"/>
      <c r="J290" s="15"/>
      <c r="K290" s="15"/>
      <c r="L290" s="15"/>
      <c r="M290" s="850"/>
      <c r="N290" s="850"/>
      <c r="O290" s="850"/>
      <c r="P290" s="850"/>
      <c r="Q290" s="850"/>
      <c r="R290" s="850"/>
      <c r="S290" s="850"/>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row>
    <row r="291" ht="15.75" customHeight="1">
      <c r="A291" s="15"/>
      <c r="B291" s="15"/>
      <c r="C291" s="15"/>
      <c r="D291" s="15"/>
      <c r="E291" s="15"/>
      <c r="F291" s="15"/>
      <c r="G291" s="15"/>
      <c r="H291" s="15"/>
      <c r="I291" s="15"/>
      <c r="J291" s="15"/>
      <c r="K291" s="15"/>
      <c r="L291" s="15"/>
      <c r="M291" s="850"/>
      <c r="N291" s="850"/>
      <c r="O291" s="850"/>
      <c r="P291" s="850"/>
      <c r="Q291" s="850"/>
      <c r="R291" s="850"/>
      <c r="S291" s="850"/>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row>
    <row r="292" ht="15.75" customHeight="1">
      <c r="A292" s="15"/>
      <c r="B292" s="15"/>
      <c r="C292" s="15"/>
      <c r="D292" s="15"/>
      <c r="E292" s="15"/>
      <c r="F292" s="15"/>
      <c r="G292" s="15"/>
      <c r="H292" s="15"/>
      <c r="I292" s="15"/>
      <c r="J292" s="15"/>
      <c r="K292" s="15"/>
      <c r="L292" s="15"/>
      <c r="M292" s="850"/>
      <c r="N292" s="850"/>
      <c r="O292" s="850"/>
      <c r="P292" s="850"/>
      <c r="Q292" s="850"/>
      <c r="R292" s="850"/>
      <c r="S292" s="850"/>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row>
    <row r="293" ht="15.75" customHeight="1">
      <c r="A293" s="15"/>
      <c r="B293" s="15"/>
      <c r="C293" s="15"/>
      <c r="D293" s="15"/>
      <c r="E293" s="15"/>
      <c r="F293" s="15"/>
      <c r="G293" s="15"/>
      <c r="H293" s="15"/>
      <c r="I293" s="15"/>
      <c r="J293" s="15"/>
      <c r="K293" s="15"/>
      <c r="L293" s="15"/>
      <c r="M293" s="850"/>
      <c r="N293" s="850"/>
      <c r="O293" s="850"/>
      <c r="P293" s="850"/>
      <c r="Q293" s="850"/>
      <c r="R293" s="850"/>
      <c r="S293" s="850"/>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row>
    <row r="294" ht="15.75" customHeight="1">
      <c r="A294" s="15"/>
      <c r="B294" s="15"/>
      <c r="C294" s="15"/>
      <c r="D294" s="15"/>
      <c r="E294" s="15"/>
      <c r="F294" s="15"/>
      <c r="G294" s="15"/>
      <c r="H294" s="15"/>
      <c r="I294" s="15"/>
      <c r="J294" s="15"/>
      <c r="K294" s="15"/>
      <c r="L294" s="15"/>
      <c r="M294" s="850"/>
      <c r="N294" s="850"/>
      <c r="O294" s="850"/>
      <c r="P294" s="850"/>
      <c r="Q294" s="850"/>
      <c r="R294" s="850"/>
      <c r="S294" s="850"/>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row>
    <row r="295" ht="15.75" customHeight="1">
      <c r="A295" s="15"/>
      <c r="B295" s="15"/>
      <c r="C295" s="15"/>
      <c r="D295" s="15"/>
      <c r="E295" s="15"/>
      <c r="F295" s="15"/>
      <c r="G295" s="15"/>
      <c r="H295" s="15"/>
      <c r="I295" s="15"/>
      <c r="J295" s="15"/>
      <c r="K295" s="15"/>
      <c r="L295" s="15"/>
      <c r="M295" s="850"/>
      <c r="N295" s="850"/>
      <c r="O295" s="850"/>
      <c r="P295" s="850"/>
      <c r="Q295" s="850"/>
      <c r="R295" s="850"/>
      <c r="S295" s="850"/>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row>
    <row r="296" ht="15.75" customHeight="1">
      <c r="A296" s="15"/>
      <c r="B296" s="15"/>
      <c r="C296" s="15"/>
      <c r="D296" s="15"/>
      <c r="E296" s="15"/>
      <c r="F296" s="15"/>
      <c r="G296" s="15"/>
      <c r="H296" s="15"/>
      <c r="I296" s="15"/>
      <c r="J296" s="15"/>
      <c r="K296" s="15"/>
      <c r="L296" s="15"/>
      <c r="M296" s="850"/>
      <c r="N296" s="850"/>
      <c r="O296" s="850"/>
      <c r="P296" s="850"/>
      <c r="Q296" s="850"/>
      <c r="R296" s="850"/>
      <c r="S296" s="850"/>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row>
    <row r="297" ht="15.75" customHeight="1">
      <c r="A297" s="15"/>
      <c r="B297" s="15"/>
      <c r="C297" s="15"/>
      <c r="D297" s="15"/>
      <c r="E297" s="15"/>
      <c r="F297" s="15"/>
      <c r="G297" s="15"/>
      <c r="H297" s="15"/>
      <c r="I297" s="15"/>
      <c r="J297" s="15"/>
      <c r="K297" s="15"/>
      <c r="L297" s="15"/>
      <c r="M297" s="850"/>
      <c r="N297" s="850"/>
      <c r="O297" s="850"/>
      <c r="P297" s="850"/>
      <c r="Q297" s="850"/>
      <c r="R297" s="850"/>
      <c r="S297" s="850"/>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row>
    <row r="298" ht="15.75" customHeight="1">
      <c r="A298" s="15"/>
      <c r="B298" s="15"/>
      <c r="C298" s="15"/>
      <c r="D298" s="15"/>
      <c r="E298" s="15"/>
      <c r="F298" s="15"/>
      <c r="G298" s="15"/>
      <c r="H298" s="15"/>
      <c r="I298" s="15"/>
      <c r="J298" s="15"/>
      <c r="K298" s="15"/>
      <c r="L298" s="15"/>
      <c r="M298" s="850"/>
      <c r="N298" s="850"/>
      <c r="O298" s="850"/>
      <c r="P298" s="850"/>
      <c r="Q298" s="850"/>
      <c r="R298" s="850"/>
      <c r="S298" s="850"/>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row>
    <row r="299" ht="15.75" customHeight="1">
      <c r="A299" s="15"/>
      <c r="B299" s="15"/>
      <c r="C299" s="15"/>
      <c r="D299" s="15"/>
      <c r="E299" s="15"/>
      <c r="F299" s="15"/>
      <c r="G299" s="15"/>
      <c r="H299" s="15"/>
      <c r="I299" s="15"/>
      <c r="J299" s="15"/>
      <c r="K299" s="15"/>
      <c r="L299" s="15"/>
      <c r="M299" s="850"/>
      <c r="N299" s="850"/>
      <c r="O299" s="850"/>
      <c r="P299" s="850"/>
      <c r="Q299" s="850"/>
      <c r="R299" s="850"/>
      <c r="S299" s="850"/>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row>
    <row r="300" ht="15.75" customHeight="1">
      <c r="A300" s="15"/>
      <c r="B300" s="15"/>
      <c r="C300" s="15"/>
      <c r="D300" s="15"/>
      <c r="E300" s="15"/>
      <c r="F300" s="15"/>
      <c r="G300" s="15"/>
      <c r="H300" s="15"/>
      <c r="I300" s="15"/>
      <c r="J300" s="15"/>
      <c r="K300" s="15"/>
      <c r="L300" s="15"/>
      <c r="M300" s="850"/>
      <c r="N300" s="850"/>
      <c r="O300" s="850"/>
      <c r="P300" s="850"/>
      <c r="Q300" s="850"/>
      <c r="R300" s="850"/>
      <c r="S300" s="850"/>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row>
    <row r="301" ht="15.75" customHeight="1">
      <c r="A301" s="15"/>
      <c r="B301" s="15"/>
      <c r="C301" s="15"/>
      <c r="D301" s="15"/>
      <c r="E301" s="15"/>
      <c r="F301" s="15"/>
      <c r="G301" s="15"/>
      <c r="H301" s="15"/>
      <c r="I301" s="15"/>
      <c r="J301" s="15"/>
      <c r="K301" s="15"/>
      <c r="L301" s="15"/>
      <c r="M301" s="850"/>
      <c r="N301" s="850"/>
      <c r="O301" s="850"/>
      <c r="P301" s="850"/>
      <c r="Q301" s="850"/>
      <c r="R301" s="850"/>
      <c r="S301" s="850"/>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row>
    <row r="302" ht="15.75" customHeight="1">
      <c r="A302" s="15"/>
      <c r="B302" s="15"/>
      <c r="C302" s="15"/>
      <c r="D302" s="15"/>
      <c r="E302" s="15"/>
      <c r="F302" s="15"/>
      <c r="G302" s="15"/>
      <c r="H302" s="15"/>
      <c r="I302" s="15"/>
      <c r="J302" s="15"/>
      <c r="K302" s="15"/>
      <c r="L302" s="15"/>
      <c r="M302" s="850"/>
      <c r="N302" s="850"/>
      <c r="O302" s="850"/>
      <c r="P302" s="850"/>
      <c r="Q302" s="850"/>
      <c r="R302" s="850"/>
      <c r="S302" s="850"/>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row>
    <row r="303" ht="15.75" customHeight="1">
      <c r="A303" s="15"/>
      <c r="B303" s="15"/>
      <c r="C303" s="15"/>
      <c r="D303" s="15"/>
      <c r="E303" s="15"/>
      <c r="F303" s="15"/>
      <c r="G303" s="15"/>
      <c r="H303" s="15"/>
      <c r="I303" s="15"/>
      <c r="J303" s="15"/>
      <c r="K303" s="15"/>
      <c r="L303" s="15"/>
      <c r="M303" s="850"/>
      <c r="N303" s="850"/>
      <c r="O303" s="850"/>
      <c r="P303" s="850"/>
      <c r="Q303" s="850"/>
      <c r="R303" s="850"/>
      <c r="S303" s="850"/>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row>
    <row r="304" ht="15.75" customHeight="1">
      <c r="A304" s="15"/>
      <c r="B304" s="15"/>
      <c r="C304" s="15"/>
      <c r="D304" s="15"/>
      <c r="E304" s="15"/>
      <c r="F304" s="15"/>
      <c r="G304" s="15"/>
      <c r="H304" s="15"/>
      <c r="I304" s="15"/>
      <c r="J304" s="15"/>
      <c r="K304" s="15"/>
      <c r="L304" s="15"/>
      <c r="M304" s="850"/>
      <c r="N304" s="850"/>
      <c r="O304" s="850"/>
      <c r="P304" s="850"/>
      <c r="Q304" s="850"/>
      <c r="R304" s="850"/>
      <c r="S304" s="850"/>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row>
    <row r="305" ht="15.75" customHeight="1">
      <c r="A305" s="15"/>
      <c r="B305" s="15"/>
      <c r="C305" s="15"/>
      <c r="D305" s="15"/>
      <c r="E305" s="15"/>
      <c r="F305" s="15"/>
      <c r="G305" s="15"/>
      <c r="H305" s="15"/>
      <c r="I305" s="15"/>
      <c r="J305" s="15"/>
      <c r="K305" s="15"/>
      <c r="L305" s="15"/>
      <c r="M305" s="850"/>
      <c r="N305" s="850"/>
      <c r="O305" s="850"/>
      <c r="P305" s="850"/>
      <c r="Q305" s="850"/>
      <c r="R305" s="850"/>
      <c r="S305" s="850"/>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row>
    <row r="306" ht="15.75" customHeight="1">
      <c r="A306" s="15"/>
      <c r="B306" s="15"/>
      <c r="C306" s="15"/>
      <c r="D306" s="15"/>
      <c r="E306" s="15"/>
      <c r="F306" s="15"/>
      <c r="G306" s="15"/>
      <c r="H306" s="15"/>
      <c r="I306" s="15"/>
      <c r="J306" s="15"/>
      <c r="K306" s="15"/>
      <c r="L306" s="15"/>
      <c r="M306" s="850"/>
      <c r="N306" s="850"/>
      <c r="O306" s="850"/>
      <c r="P306" s="850"/>
      <c r="Q306" s="850"/>
      <c r="R306" s="850"/>
      <c r="S306" s="850"/>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row>
    <row r="307" ht="15.75" customHeight="1">
      <c r="A307" s="15"/>
      <c r="B307" s="15"/>
      <c r="C307" s="15"/>
      <c r="D307" s="15"/>
      <c r="E307" s="15"/>
      <c r="F307" s="15"/>
      <c r="G307" s="15"/>
      <c r="H307" s="15"/>
      <c r="I307" s="15"/>
      <c r="J307" s="15"/>
      <c r="K307" s="15"/>
      <c r="L307" s="15"/>
      <c r="M307" s="850"/>
      <c r="N307" s="850"/>
      <c r="O307" s="850"/>
      <c r="P307" s="850"/>
      <c r="Q307" s="850"/>
      <c r="R307" s="850"/>
      <c r="S307" s="850"/>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row>
    <row r="308" ht="15.75" customHeight="1">
      <c r="A308" s="15"/>
      <c r="B308" s="15"/>
      <c r="C308" s="15"/>
      <c r="D308" s="15"/>
      <c r="E308" s="15"/>
      <c r="F308" s="15"/>
      <c r="G308" s="15"/>
      <c r="H308" s="15"/>
      <c r="I308" s="15"/>
      <c r="J308" s="15"/>
      <c r="K308" s="15"/>
      <c r="L308" s="15"/>
      <c r="M308" s="850"/>
      <c r="N308" s="850"/>
      <c r="O308" s="850"/>
      <c r="P308" s="850"/>
      <c r="Q308" s="850"/>
      <c r="R308" s="850"/>
      <c r="S308" s="850"/>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row>
    <row r="309" ht="15.75" customHeight="1">
      <c r="A309" s="15"/>
      <c r="B309" s="15"/>
      <c r="C309" s="15"/>
      <c r="D309" s="15"/>
      <c r="E309" s="15"/>
      <c r="F309" s="15"/>
      <c r="G309" s="15"/>
      <c r="H309" s="15"/>
      <c r="I309" s="15"/>
      <c r="J309" s="15"/>
      <c r="K309" s="15"/>
      <c r="L309" s="15"/>
      <c r="M309" s="850"/>
      <c r="N309" s="850"/>
      <c r="O309" s="850"/>
      <c r="P309" s="850"/>
      <c r="Q309" s="850"/>
      <c r="R309" s="850"/>
      <c r="S309" s="850"/>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row>
    <row r="310" ht="15.75" customHeight="1">
      <c r="A310" s="15"/>
      <c r="B310" s="15"/>
      <c r="C310" s="15"/>
      <c r="D310" s="15"/>
      <c r="E310" s="15"/>
      <c r="F310" s="15"/>
      <c r="G310" s="15"/>
      <c r="H310" s="15"/>
      <c r="I310" s="15"/>
      <c r="J310" s="15"/>
      <c r="K310" s="15"/>
      <c r="L310" s="15"/>
      <c r="M310" s="850"/>
      <c r="N310" s="850"/>
      <c r="O310" s="850"/>
      <c r="P310" s="850"/>
      <c r="Q310" s="850"/>
      <c r="R310" s="850"/>
      <c r="S310" s="850"/>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row>
    <row r="311" ht="15.75" customHeight="1">
      <c r="A311" s="15"/>
      <c r="B311" s="15"/>
      <c r="C311" s="15"/>
      <c r="D311" s="15"/>
      <c r="E311" s="15"/>
      <c r="F311" s="15"/>
      <c r="G311" s="15"/>
      <c r="H311" s="15"/>
      <c r="I311" s="15"/>
      <c r="J311" s="15"/>
      <c r="K311" s="15"/>
      <c r="L311" s="15"/>
      <c r="M311" s="850"/>
      <c r="N311" s="850"/>
      <c r="O311" s="850"/>
      <c r="P311" s="850"/>
      <c r="Q311" s="850"/>
      <c r="R311" s="850"/>
      <c r="S311" s="850"/>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row>
    <row r="312" ht="15.75" customHeight="1">
      <c r="A312" s="15"/>
      <c r="B312" s="15"/>
      <c r="C312" s="15"/>
      <c r="D312" s="15"/>
      <c r="E312" s="15"/>
      <c r="F312" s="15"/>
      <c r="G312" s="15"/>
      <c r="H312" s="15"/>
      <c r="I312" s="15"/>
      <c r="J312" s="15"/>
      <c r="K312" s="15"/>
      <c r="L312" s="15"/>
      <c r="M312" s="850"/>
      <c r="N312" s="850"/>
      <c r="O312" s="850"/>
      <c r="P312" s="850"/>
      <c r="Q312" s="850"/>
      <c r="R312" s="850"/>
      <c r="S312" s="850"/>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row>
    <row r="313" ht="15.75" customHeight="1">
      <c r="A313" s="15"/>
      <c r="B313" s="15"/>
      <c r="C313" s="15"/>
      <c r="D313" s="15"/>
      <c r="E313" s="15"/>
      <c r="F313" s="15"/>
      <c r="G313" s="15"/>
      <c r="H313" s="15"/>
      <c r="I313" s="15"/>
      <c r="J313" s="15"/>
      <c r="K313" s="15"/>
      <c r="L313" s="15"/>
      <c r="M313" s="850"/>
      <c r="N313" s="850"/>
      <c r="O313" s="850"/>
      <c r="P313" s="850"/>
      <c r="Q313" s="850"/>
      <c r="R313" s="850"/>
      <c r="S313" s="850"/>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row>
    <row r="314" ht="15.75" customHeight="1">
      <c r="A314" s="15"/>
      <c r="B314" s="15"/>
      <c r="C314" s="15"/>
      <c r="D314" s="15"/>
      <c r="E314" s="15"/>
      <c r="F314" s="15"/>
      <c r="G314" s="15"/>
      <c r="H314" s="15"/>
      <c r="I314" s="15"/>
      <c r="J314" s="15"/>
      <c r="K314" s="15"/>
      <c r="L314" s="15"/>
      <c r="M314" s="850"/>
      <c r="N314" s="850"/>
      <c r="O314" s="850"/>
      <c r="P314" s="850"/>
      <c r="Q314" s="850"/>
      <c r="R314" s="850"/>
      <c r="S314" s="850"/>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row>
    <row r="315" ht="15.75" customHeight="1">
      <c r="A315" s="15"/>
      <c r="B315" s="15"/>
      <c r="C315" s="15"/>
      <c r="D315" s="15"/>
      <c r="E315" s="15"/>
      <c r="F315" s="15"/>
      <c r="G315" s="15"/>
      <c r="H315" s="15"/>
      <c r="I315" s="15"/>
      <c r="J315" s="15"/>
      <c r="K315" s="15"/>
      <c r="L315" s="15"/>
      <c r="M315" s="850"/>
      <c r="N315" s="850"/>
      <c r="O315" s="850"/>
      <c r="P315" s="850"/>
      <c r="Q315" s="850"/>
      <c r="R315" s="850"/>
      <c r="S315" s="850"/>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row>
    <row r="316" ht="15.75" customHeight="1">
      <c r="A316" s="15"/>
      <c r="B316" s="15"/>
      <c r="C316" s="15"/>
      <c r="D316" s="15"/>
      <c r="E316" s="15"/>
      <c r="F316" s="15"/>
      <c r="G316" s="15"/>
      <c r="H316" s="15"/>
      <c r="I316" s="15"/>
      <c r="J316" s="15"/>
      <c r="K316" s="15"/>
      <c r="L316" s="15"/>
      <c r="M316" s="850"/>
      <c r="N316" s="850"/>
      <c r="O316" s="850"/>
      <c r="P316" s="850"/>
      <c r="Q316" s="850"/>
      <c r="R316" s="850"/>
      <c r="S316" s="850"/>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row>
    <row r="317" ht="15.75" customHeight="1">
      <c r="A317" s="15"/>
      <c r="B317" s="15"/>
      <c r="C317" s="15"/>
      <c r="D317" s="15"/>
      <c r="E317" s="15"/>
      <c r="F317" s="15"/>
      <c r="G317" s="15"/>
      <c r="H317" s="15"/>
      <c r="I317" s="15"/>
      <c r="J317" s="15"/>
      <c r="K317" s="15"/>
      <c r="L317" s="15"/>
      <c r="M317" s="850"/>
      <c r="N317" s="850"/>
      <c r="O317" s="850"/>
      <c r="P317" s="850"/>
      <c r="Q317" s="850"/>
      <c r="R317" s="850"/>
      <c r="S317" s="850"/>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row>
    <row r="318" ht="15.75" customHeight="1">
      <c r="A318" s="15"/>
      <c r="B318" s="15"/>
      <c r="C318" s="15"/>
      <c r="D318" s="15"/>
      <c r="E318" s="15"/>
      <c r="F318" s="15"/>
      <c r="G318" s="15"/>
      <c r="H318" s="15"/>
      <c r="I318" s="15"/>
      <c r="J318" s="15"/>
      <c r="K318" s="15"/>
      <c r="L318" s="15"/>
      <c r="M318" s="850"/>
      <c r="N318" s="850"/>
      <c r="O318" s="850"/>
      <c r="P318" s="850"/>
      <c r="Q318" s="850"/>
      <c r="R318" s="850"/>
      <c r="S318" s="850"/>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row>
    <row r="319" ht="15.75" customHeight="1">
      <c r="A319" s="15"/>
      <c r="B319" s="15"/>
      <c r="C319" s="15"/>
      <c r="D319" s="15"/>
      <c r="E319" s="15"/>
      <c r="F319" s="15"/>
      <c r="G319" s="15"/>
      <c r="H319" s="15"/>
      <c r="I319" s="15"/>
      <c r="J319" s="15"/>
      <c r="K319" s="15"/>
      <c r="L319" s="15"/>
      <c r="M319" s="850"/>
      <c r="N319" s="850"/>
      <c r="O319" s="850"/>
      <c r="P319" s="850"/>
      <c r="Q319" s="850"/>
      <c r="R319" s="850"/>
      <c r="S319" s="850"/>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row>
    <row r="320" ht="15.75" customHeight="1">
      <c r="A320" s="15"/>
      <c r="B320" s="15"/>
      <c r="C320" s="15"/>
      <c r="D320" s="15"/>
      <c r="E320" s="15"/>
      <c r="F320" s="15"/>
      <c r="G320" s="15"/>
      <c r="H320" s="15"/>
      <c r="I320" s="15"/>
      <c r="J320" s="15"/>
      <c r="K320" s="15"/>
      <c r="L320" s="15"/>
      <c r="M320" s="850"/>
      <c r="N320" s="850"/>
      <c r="O320" s="850"/>
      <c r="P320" s="850"/>
      <c r="Q320" s="850"/>
      <c r="R320" s="850"/>
      <c r="S320" s="850"/>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row>
    <row r="321" ht="15.75" customHeight="1">
      <c r="A321" s="15"/>
      <c r="B321" s="15"/>
      <c r="C321" s="15"/>
      <c r="D321" s="15"/>
      <c r="E321" s="15"/>
      <c r="F321" s="15"/>
      <c r="G321" s="15"/>
      <c r="H321" s="15"/>
      <c r="I321" s="15"/>
      <c r="J321" s="15"/>
      <c r="K321" s="15"/>
      <c r="L321" s="15"/>
      <c r="M321" s="850"/>
      <c r="N321" s="850"/>
      <c r="O321" s="850"/>
      <c r="P321" s="850"/>
      <c r="Q321" s="850"/>
      <c r="R321" s="850"/>
      <c r="S321" s="850"/>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row>
    <row r="322" ht="15.75" customHeight="1">
      <c r="A322" s="15"/>
      <c r="B322" s="15"/>
      <c r="C322" s="15"/>
      <c r="D322" s="15"/>
      <c r="E322" s="15"/>
      <c r="F322" s="15"/>
      <c r="G322" s="15"/>
      <c r="H322" s="15"/>
      <c r="I322" s="15"/>
      <c r="J322" s="15"/>
      <c r="K322" s="15"/>
      <c r="L322" s="15"/>
      <c r="M322" s="850"/>
      <c r="N322" s="850"/>
      <c r="O322" s="850"/>
      <c r="P322" s="850"/>
      <c r="Q322" s="850"/>
      <c r="R322" s="850"/>
      <c r="S322" s="850"/>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row>
    <row r="323" ht="15.75" customHeight="1">
      <c r="A323" s="15"/>
      <c r="B323" s="15"/>
      <c r="C323" s="15"/>
      <c r="D323" s="15"/>
      <c r="E323" s="15"/>
      <c r="F323" s="15"/>
      <c r="G323" s="15"/>
      <c r="H323" s="15"/>
      <c r="I323" s="15"/>
      <c r="J323" s="15"/>
      <c r="K323" s="15"/>
      <c r="L323" s="15"/>
      <c r="M323" s="850"/>
      <c r="N323" s="850"/>
      <c r="O323" s="850"/>
      <c r="P323" s="850"/>
      <c r="Q323" s="850"/>
      <c r="R323" s="850"/>
      <c r="S323" s="850"/>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row>
    <row r="324" ht="15.75" customHeight="1">
      <c r="A324" s="15"/>
      <c r="B324" s="15"/>
      <c r="C324" s="15"/>
      <c r="D324" s="15"/>
      <c r="E324" s="15"/>
      <c r="F324" s="15"/>
      <c r="G324" s="15"/>
      <c r="H324" s="15"/>
      <c r="I324" s="15"/>
      <c r="J324" s="15"/>
      <c r="K324" s="15"/>
      <c r="L324" s="15"/>
      <c r="M324" s="850"/>
      <c r="N324" s="850"/>
      <c r="O324" s="850"/>
      <c r="P324" s="850"/>
      <c r="Q324" s="850"/>
      <c r="R324" s="850"/>
      <c r="S324" s="850"/>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row>
    <row r="325" ht="15.75" customHeight="1">
      <c r="A325" s="15"/>
      <c r="B325" s="15"/>
      <c r="C325" s="15"/>
      <c r="D325" s="15"/>
      <c r="E325" s="15"/>
      <c r="F325" s="15"/>
      <c r="G325" s="15"/>
      <c r="H325" s="15"/>
      <c r="I325" s="15"/>
      <c r="J325" s="15"/>
      <c r="K325" s="15"/>
      <c r="L325" s="15"/>
      <c r="M325" s="850"/>
      <c r="N325" s="850"/>
      <c r="O325" s="850"/>
      <c r="P325" s="850"/>
      <c r="Q325" s="850"/>
      <c r="R325" s="850"/>
      <c r="S325" s="850"/>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row>
    <row r="326" ht="15.75" customHeight="1">
      <c r="A326" s="15"/>
      <c r="B326" s="15"/>
      <c r="C326" s="15"/>
      <c r="D326" s="15"/>
      <c r="E326" s="15"/>
      <c r="F326" s="15"/>
      <c r="G326" s="15"/>
      <c r="H326" s="15"/>
      <c r="I326" s="15"/>
      <c r="J326" s="15"/>
      <c r="K326" s="15"/>
      <c r="L326" s="15"/>
      <c r="M326" s="850"/>
      <c r="N326" s="850"/>
      <c r="O326" s="850"/>
      <c r="P326" s="850"/>
      <c r="Q326" s="850"/>
      <c r="R326" s="850"/>
      <c r="S326" s="850"/>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row>
    <row r="327" ht="15.75" customHeight="1">
      <c r="A327" s="15"/>
      <c r="B327" s="15"/>
      <c r="C327" s="15"/>
      <c r="D327" s="15"/>
      <c r="E327" s="15"/>
      <c r="F327" s="15"/>
      <c r="G327" s="15"/>
      <c r="H327" s="15"/>
      <c r="I327" s="15"/>
      <c r="J327" s="15"/>
      <c r="K327" s="15"/>
      <c r="L327" s="15"/>
      <c r="M327" s="850"/>
      <c r="N327" s="850"/>
      <c r="O327" s="850"/>
      <c r="P327" s="850"/>
      <c r="Q327" s="850"/>
      <c r="R327" s="850"/>
      <c r="S327" s="850"/>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row>
    <row r="328" ht="15.75" customHeight="1">
      <c r="A328" s="15"/>
      <c r="B328" s="15"/>
      <c r="C328" s="15"/>
      <c r="D328" s="15"/>
      <c r="E328" s="15"/>
      <c r="F328" s="15"/>
      <c r="G328" s="15"/>
      <c r="H328" s="15"/>
      <c r="I328" s="15"/>
      <c r="J328" s="15"/>
      <c r="K328" s="15"/>
      <c r="L328" s="15"/>
      <c r="M328" s="850"/>
      <c r="N328" s="850"/>
      <c r="O328" s="850"/>
      <c r="P328" s="850"/>
      <c r="Q328" s="850"/>
      <c r="R328" s="850"/>
      <c r="S328" s="850"/>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row>
    <row r="329" ht="15.75" customHeight="1">
      <c r="A329" s="15"/>
      <c r="B329" s="15"/>
      <c r="C329" s="15"/>
      <c r="D329" s="15"/>
      <c r="E329" s="15"/>
      <c r="F329" s="15"/>
      <c r="G329" s="15"/>
      <c r="H329" s="15"/>
      <c r="I329" s="15"/>
      <c r="J329" s="15"/>
      <c r="K329" s="15"/>
      <c r="L329" s="15"/>
      <c r="M329" s="850"/>
      <c r="N329" s="850"/>
      <c r="O329" s="850"/>
      <c r="P329" s="850"/>
      <c r="Q329" s="850"/>
      <c r="R329" s="850"/>
      <c r="S329" s="850"/>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row>
    <row r="330" ht="15.75" customHeight="1">
      <c r="A330" s="15"/>
      <c r="B330" s="15"/>
      <c r="C330" s="15"/>
      <c r="D330" s="15"/>
      <c r="E330" s="15"/>
      <c r="F330" s="15"/>
      <c r="G330" s="15"/>
      <c r="H330" s="15"/>
      <c r="I330" s="15"/>
      <c r="J330" s="15"/>
      <c r="K330" s="15"/>
      <c r="L330" s="15"/>
      <c r="M330" s="850"/>
      <c r="N330" s="850"/>
      <c r="O330" s="850"/>
      <c r="P330" s="850"/>
      <c r="Q330" s="850"/>
      <c r="R330" s="850"/>
      <c r="S330" s="850"/>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row>
    <row r="331" ht="15.75" customHeight="1">
      <c r="A331" s="15"/>
      <c r="B331" s="15"/>
      <c r="C331" s="15"/>
      <c r="D331" s="15"/>
      <c r="E331" s="15"/>
      <c r="F331" s="15"/>
      <c r="G331" s="15"/>
      <c r="H331" s="15"/>
      <c r="I331" s="15"/>
      <c r="J331" s="15"/>
      <c r="K331" s="15"/>
      <c r="L331" s="15"/>
      <c r="M331" s="850"/>
      <c r="N331" s="850"/>
      <c r="O331" s="850"/>
      <c r="P331" s="850"/>
      <c r="Q331" s="850"/>
      <c r="R331" s="850"/>
      <c r="S331" s="850"/>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row>
    <row r="332" ht="15.75" customHeight="1">
      <c r="A332" s="15"/>
      <c r="B332" s="15"/>
      <c r="C332" s="15"/>
      <c r="D332" s="15"/>
      <c r="E332" s="15"/>
      <c r="F332" s="15"/>
      <c r="G332" s="15"/>
      <c r="H332" s="15"/>
      <c r="I332" s="15"/>
      <c r="J332" s="15"/>
      <c r="K332" s="15"/>
      <c r="L332" s="15"/>
      <c r="M332" s="850"/>
      <c r="N332" s="850"/>
      <c r="O332" s="850"/>
      <c r="P332" s="850"/>
      <c r="Q332" s="850"/>
      <c r="R332" s="850"/>
      <c r="S332" s="850"/>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row>
    <row r="333" ht="15.75" customHeight="1">
      <c r="A333" s="15"/>
      <c r="B333" s="15"/>
      <c r="C333" s="15"/>
      <c r="D333" s="15"/>
      <c r="E333" s="15"/>
      <c r="F333" s="15"/>
      <c r="G333" s="15"/>
      <c r="H333" s="15"/>
      <c r="I333" s="15"/>
      <c r="J333" s="15"/>
      <c r="K333" s="15"/>
      <c r="L333" s="15"/>
      <c r="M333" s="850"/>
      <c r="N333" s="850"/>
      <c r="O333" s="850"/>
      <c r="P333" s="850"/>
      <c r="Q333" s="850"/>
      <c r="R333" s="850"/>
      <c r="S333" s="850"/>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row>
    <row r="334" ht="15.75" customHeight="1">
      <c r="A334" s="15"/>
      <c r="B334" s="15"/>
      <c r="C334" s="15"/>
      <c r="D334" s="15"/>
      <c r="E334" s="15"/>
      <c r="F334" s="15"/>
      <c r="G334" s="15"/>
      <c r="H334" s="15"/>
      <c r="I334" s="15"/>
      <c r="J334" s="15"/>
      <c r="K334" s="15"/>
      <c r="L334" s="15"/>
      <c r="M334" s="850"/>
      <c r="N334" s="850"/>
      <c r="O334" s="850"/>
      <c r="P334" s="850"/>
      <c r="Q334" s="850"/>
      <c r="R334" s="850"/>
      <c r="S334" s="850"/>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row>
    <row r="335" ht="15.75" customHeight="1">
      <c r="A335" s="15"/>
      <c r="B335" s="15"/>
      <c r="C335" s="15"/>
      <c r="D335" s="15"/>
      <c r="E335" s="15"/>
      <c r="F335" s="15"/>
      <c r="G335" s="15"/>
      <c r="H335" s="15"/>
      <c r="I335" s="15"/>
      <c r="J335" s="15"/>
      <c r="K335" s="15"/>
      <c r="L335" s="15"/>
      <c r="M335" s="850"/>
      <c r="N335" s="850"/>
      <c r="O335" s="850"/>
      <c r="P335" s="850"/>
      <c r="Q335" s="850"/>
      <c r="R335" s="850"/>
      <c r="S335" s="850"/>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row>
    <row r="336" ht="15.75" customHeight="1">
      <c r="A336" s="15"/>
      <c r="B336" s="15"/>
      <c r="C336" s="15"/>
      <c r="D336" s="15"/>
      <c r="E336" s="15"/>
      <c r="F336" s="15"/>
      <c r="G336" s="15"/>
      <c r="H336" s="15"/>
      <c r="I336" s="15"/>
      <c r="J336" s="15"/>
      <c r="K336" s="15"/>
      <c r="L336" s="15"/>
      <c r="M336" s="850"/>
      <c r="N336" s="850"/>
      <c r="O336" s="850"/>
      <c r="P336" s="850"/>
      <c r="Q336" s="850"/>
      <c r="R336" s="850"/>
      <c r="S336" s="850"/>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row>
    <row r="337" ht="15.75" customHeight="1">
      <c r="A337" s="15"/>
      <c r="B337" s="15"/>
      <c r="C337" s="15"/>
      <c r="D337" s="15"/>
      <c r="E337" s="15"/>
      <c r="F337" s="15"/>
      <c r="G337" s="15"/>
      <c r="H337" s="15"/>
      <c r="I337" s="15"/>
      <c r="J337" s="15"/>
      <c r="K337" s="15"/>
      <c r="L337" s="15"/>
      <c r="M337" s="850"/>
      <c r="N337" s="850"/>
      <c r="O337" s="850"/>
      <c r="P337" s="850"/>
      <c r="Q337" s="850"/>
      <c r="R337" s="850"/>
      <c r="S337" s="850"/>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row>
    <row r="338" ht="15.75" customHeight="1">
      <c r="A338" s="15"/>
      <c r="B338" s="15"/>
      <c r="C338" s="15"/>
      <c r="D338" s="15"/>
      <c r="E338" s="15"/>
      <c r="F338" s="15"/>
      <c r="G338" s="15"/>
      <c r="H338" s="15"/>
      <c r="I338" s="15"/>
      <c r="J338" s="15"/>
      <c r="K338" s="15"/>
      <c r="L338" s="15"/>
      <c r="M338" s="850"/>
      <c r="N338" s="850"/>
      <c r="O338" s="850"/>
      <c r="P338" s="850"/>
      <c r="Q338" s="850"/>
      <c r="R338" s="850"/>
      <c r="S338" s="850"/>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row>
    <row r="339" ht="15.75" customHeight="1">
      <c r="A339" s="15"/>
      <c r="B339" s="15"/>
      <c r="C339" s="15"/>
      <c r="D339" s="15"/>
      <c r="E339" s="15"/>
      <c r="F339" s="15"/>
      <c r="G339" s="15"/>
      <c r="H339" s="15"/>
      <c r="I339" s="15"/>
      <c r="J339" s="15"/>
      <c r="K339" s="15"/>
      <c r="L339" s="15"/>
      <c r="M339" s="850"/>
      <c r="N339" s="850"/>
      <c r="O339" s="850"/>
      <c r="P339" s="850"/>
      <c r="Q339" s="850"/>
      <c r="R339" s="850"/>
      <c r="S339" s="850"/>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row>
    <row r="340" ht="15.75" customHeight="1">
      <c r="A340" s="15"/>
      <c r="B340" s="15"/>
      <c r="C340" s="15"/>
      <c r="D340" s="15"/>
      <c r="E340" s="15"/>
      <c r="F340" s="15"/>
      <c r="G340" s="15"/>
      <c r="H340" s="15"/>
      <c r="I340" s="15"/>
      <c r="J340" s="15"/>
      <c r="K340" s="15"/>
      <c r="L340" s="15"/>
      <c r="M340" s="850"/>
      <c r="N340" s="850"/>
      <c r="O340" s="850"/>
      <c r="P340" s="850"/>
      <c r="Q340" s="850"/>
      <c r="R340" s="850"/>
      <c r="S340" s="850"/>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row>
    <row r="341" ht="15.75" customHeight="1">
      <c r="A341" s="15"/>
      <c r="B341" s="15"/>
      <c r="C341" s="15"/>
      <c r="D341" s="15"/>
      <c r="E341" s="15"/>
      <c r="F341" s="15"/>
      <c r="G341" s="15"/>
      <c r="H341" s="15"/>
      <c r="I341" s="15"/>
      <c r="J341" s="15"/>
      <c r="K341" s="15"/>
      <c r="L341" s="15"/>
      <c r="M341" s="850"/>
      <c r="N341" s="850"/>
      <c r="O341" s="850"/>
      <c r="P341" s="850"/>
      <c r="Q341" s="850"/>
      <c r="R341" s="850"/>
      <c r="S341" s="850"/>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row>
    <row r="342" ht="15.75" customHeight="1">
      <c r="A342" s="15"/>
      <c r="B342" s="15"/>
      <c r="C342" s="15"/>
      <c r="D342" s="15"/>
      <c r="E342" s="15"/>
      <c r="F342" s="15"/>
      <c r="G342" s="15"/>
      <c r="H342" s="15"/>
      <c r="I342" s="15"/>
      <c r="J342" s="15"/>
      <c r="K342" s="15"/>
      <c r="L342" s="15"/>
      <c r="M342" s="850"/>
      <c r="N342" s="850"/>
      <c r="O342" s="850"/>
      <c r="P342" s="850"/>
      <c r="Q342" s="850"/>
      <c r="R342" s="850"/>
      <c r="S342" s="850"/>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row>
    <row r="343" ht="15.75" customHeight="1">
      <c r="A343" s="15"/>
      <c r="B343" s="15"/>
      <c r="C343" s="15"/>
      <c r="D343" s="15"/>
      <c r="E343" s="15"/>
      <c r="F343" s="15"/>
      <c r="G343" s="15"/>
      <c r="H343" s="15"/>
      <c r="I343" s="15"/>
      <c r="J343" s="15"/>
      <c r="K343" s="15"/>
      <c r="L343" s="15"/>
      <c r="M343" s="850"/>
      <c r="N343" s="850"/>
      <c r="O343" s="850"/>
      <c r="P343" s="850"/>
      <c r="Q343" s="850"/>
      <c r="R343" s="850"/>
      <c r="S343" s="850"/>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row>
    <row r="344" ht="15.75" customHeight="1">
      <c r="A344" s="15"/>
      <c r="B344" s="15"/>
      <c r="C344" s="15"/>
      <c r="D344" s="15"/>
      <c r="E344" s="15"/>
      <c r="F344" s="15"/>
      <c r="G344" s="15"/>
      <c r="H344" s="15"/>
      <c r="I344" s="15"/>
      <c r="J344" s="15"/>
      <c r="K344" s="15"/>
      <c r="L344" s="15"/>
      <c r="M344" s="850"/>
      <c r="N344" s="850"/>
      <c r="O344" s="850"/>
      <c r="P344" s="850"/>
      <c r="Q344" s="850"/>
      <c r="R344" s="850"/>
      <c r="S344" s="850"/>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row>
    <row r="345" ht="15.75" customHeight="1">
      <c r="A345" s="15"/>
      <c r="B345" s="15"/>
      <c r="C345" s="15"/>
      <c r="D345" s="15"/>
      <c r="E345" s="15"/>
      <c r="F345" s="15"/>
      <c r="G345" s="15"/>
      <c r="H345" s="15"/>
      <c r="I345" s="15"/>
      <c r="J345" s="15"/>
      <c r="K345" s="15"/>
      <c r="L345" s="15"/>
      <c r="M345" s="850"/>
      <c r="N345" s="850"/>
      <c r="O345" s="850"/>
      <c r="P345" s="850"/>
      <c r="Q345" s="850"/>
      <c r="R345" s="850"/>
      <c r="S345" s="850"/>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row>
    <row r="346" ht="15.75" customHeight="1">
      <c r="A346" s="15"/>
      <c r="B346" s="15"/>
      <c r="C346" s="15"/>
      <c r="D346" s="15"/>
      <c r="E346" s="15"/>
      <c r="F346" s="15"/>
      <c r="G346" s="15"/>
      <c r="H346" s="15"/>
      <c r="I346" s="15"/>
      <c r="J346" s="15"/>
      <c r="K346" s="15"/>
      <c r="L346" s="15"/>
      <c r="M346" s="850"/>
      <c r="N346" s="850"/>
      <c r="O346" s="850"/>
      <c r="P346" s="850"/>
      <c r="Q346" s="850"/>
      <c r="R346" s="850"/>
      <c r="S346" s="850"/>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row>
    <row r="347" ht="15.75" customHeight="1">
      <c r="A347" s="15"/>
      <c r="B347" s="15"/>
      <c r="C347" s="15"/>
      <c r="D347" s="15"/>
      <c r="E347" s="15"/>
      <c r="F347" s="15"/>
      <c r="G347" s="15"/>
      <c r="H347" s="15"/>
      <c r="I347" s="15"/>
      <c r="J347" s="15"/>
      <c r="K347" s="15"/>
      <c r="L347" s="15"/>
      <c r="M347" s="850"/>
      <c r="N347" s="850"/>
      <c r="O347" s="850"/>
      <c r="P347" s="850"/>
      <c r="Q347" s="850"/>
      <c r="R347" s="850"/>
      <c r="S347" s="850"/>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row>
    <row r="348" ht="15.75" customHeight="1">
      <c r="A348" s="15"/>
      <c r="B348" s="15"/>
      <c r="C348" s="15"/>
      <c r="D348" s="15"/>
      <c r="E348" s="15"/>
      <c r="F348" s="15"/>
      <c r="G348" s="15"/>
      <c r="H348" s="15"/>
      <c r="I348" s="15"/>
      <c r="J348" s="15"/>
      <c r="K348" s="15"/>
      <c r="L348" s="15"/>
      <c r="M348" s="850"/>
      <c r="N348" s="850"/>
      <c r="O348" s="850"/>
      <c r="P348" s="850"/>
      <c r="Q348" s="850"/>
      <c r="R348" s="850"/>
      <c r="S348" s="850"/>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row>
    <row r="349" ht="15.75" customHeight="1">
      <c r="A349" s="15"/>
      <c r="B349" s="15"/>
      <c r="C349" s="15"/>
      <c r="D349" s="15"/>
      <c r="E349" s="15"/>
      <c r="F349" s="15"/>
      <c r="G349" s="15"/>
      <c r="H349" s="15"/>
      <c r="I349" s="15"/>
      <c r="J349" s="15"/>
      <c r="K349" s="15"/>
      <c r="L349" s="15"/>
      <c r="M349" s="850"/>
      <c r="N349" s="850"/>
      <c r="O349" s="850"/>
      <c r="P349" s="850"/>
      <c r="Q349" s="850"/>
      <c r="R349" s="850"/>
      <c r="S349" s="850"/>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row>
    <row r="350" ht="15.75" customHeight="1">
      <c r="A350" s="15"/>
      <c r="B350" s="15"/>
      <c r="C350" s="15"/>
      <c r="D350" s="15"/>
      <c r="E350" s="15"/>
      <c r="F350" s="15"/>
      <c r="G350" s="15"/>
      <c r="H350" s="15"/>
      <c r="I350" s="15"/>
      <c r="J350" s="15"/>
      <c r="K350" s="15"/>
      <c r="L350" s="15"/>
      <c r="M350" s="850"/>
      <c r="N350" s="850"/>
      <c r="O350" s="850"/>
      <c r="P350" s="850"/>
      <c r="Q350" s="850"/>
      <c r="R350" s="850"/>
      <c r="S350" s="850"/>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row>
    <row r="351" ht="15.75" customHeight="1">
      <c r="A351" s="15"/>
      <c r="B351" s="15"/>
      <c r="C351" s="15"/>
      <c r="D351" s="15"/>
      <c r="E351" s="15"/>
      <c r="F351" s="15"/>
      <c r="G351" s="15"/>
      <c r="H351" s="15"/>
      <c r="I351" s="15"/>
      <c r="J351" s="15"/>
      <c r="K351" s="15"/>
      <c r="L351" s="15"/>
      <c r="M351" s="850"/>
      <c r="N351" s="850"/>
      <c r="O351" s="850"/>
      <c r="P351" s="850"/>
      <c r="Q351" s="850"/>
      <c r="R351" s="850"/>
      <c r="S351" s="850"/>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row>
    <row r="352" ht="15.75" customHeight="1">
      <c r="A352" s="15"/>
      <c r="B352" s="15"/>
      <c r="C352" s="15"/>
      <c r="D352" s="15"/>
      <c r="E352" s="15"/>
      <c r="F352" s="15"/>
      <c r="G352" s="15"/>
      <c r="H352" s="15"/>
      <c r="I352" s="15"/>
      <c r="J352" s="15"/>
      <c r="K352" s="15"/>
      <c r="L352" s="15"/>
      <c r="M352" s="850"/>
      <c r="N352" s="850"/>
      <c r="O352" s="850"/>
      <c r="P352" s="850"/>
      <c r="Q352" s="850"/>
      <c r="R352" s="850"/>
      <c r="S352" s="850"/>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row>
    <row r="353" ht="15.75" customHeight="1">
      <c r="A353" s="15"/>
      <c r="B353" s="15"/>
      <c r="C353" s="15"/>
      <c r="D353" s="15"/>
      <c r="E353" s="15"/>
      <c r="F353" s="15"/>
      <c r="G353" s="15"/>
      <c r="H353" s="15"/>
      <c r="I353" s="15"/>
      <c r="J353" s="15"/>
      <c r="K353" s="15"/>
      <c r="L353" s="15"/>
      <c r="M353" s="850"/>
      <c r="N353" s="850"/>
      <c r="O353" s="850"/>
      <c r="P353" s="850"/>
      <c r="Q353" s="850"/>
      <c r="R353" s="850"/>
      <c r="S353" s="850"/>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row>
    <row r="354" ht="15.75" customHeight="1">
      <c r="A354" s="15"/>
      <c r="B354" s="15"/>
      <c r="C354" s="15"/>
      <c r="D354" s="15"/>
      <c r="E354" s="15"/>
      <c r="F354" s="15"/>
      <c r="G354" s="15"/>
      <c r="H354" s="15"/>
      <c r="I354" s="15"/>
      <c r="J354" s="15"/>
      <c r="K354" s="15"/>
      <c r="L354" s="15"/>
      <c r="M354" s="850"/>
      <c r="N354" s="850"/>
      <c r="O354" s="850"/>
      <c r="P354" s="850"/>
      <c r="Q354" s="850"/>
      <c r="R354" s="850"/>
      <c r="S354" s="850"/>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row>
    <row r="355" ht="15.75" customHeight="1">
      <c r="A355" s="15"/>
      <c r="B355" s="15"/>
      <c r="C355" s="15"/>
      <c r="D355" s="15"/>
      <c r="E355" s="15"/>
      <c r="F355" s="15"/>
      <c r="G355" s="15"/>
      <c r="H355" s="15"/>
      <c r="I355" s="15"/>
      <c r="J355" s="15"/>
      <c r="K355" s="15"/>
      <c r="L355" s="15"/>
      <c r="M355" s="850"/>
      <c r="N355" s="850"/>
      <c r="O355" s="850"/>
      <c r="P355" s="850"/>
      <c r="Q355" s="850"/>
      <c r="R355" s="850"/>
      <c r="S355" s="850"/>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row>
    <row r="356" ht="15.75" customHeight="1">
      <c r="A356" s="15"/>
      <c r="B356" s="15"/>
      <c r="C356" s="15"/>
      <c r="D356" s="15"/>
      <c r="E356" s="15"/>
      <c r="F356" s="15"/>
      <c r="G356" s="15"/>
      <c r="H356" s="15"/>
      <c r="I356" s="15"/>
      <c r="J356" s="15"/>
      <c r="K356" s="15"/>
      <c r="L356" s="15"/>
      <c r="M356" s="850"/>
      <c r="N356" s="850"/>
      <c r="O356" s="850"/>
      <c r="P356" s="850"/>
      <c r="Q356" s="850"/>
      <c r="R356" s="850"/>
      <c r="S356" s="850"/>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row>
    <row r="357" ht="15.75" customHeight="1">
      <c r="A357" s="15"/>
      <c r="B357" s="15"/>
      <c r="C357" s="15"/>
      <c r="D357" s="15"/>
      <c r="E357" s="15"/>
      <c r="F357" s="15"/>
      <c r="G357" s="15"/>
      <c r="H357" s="15"/>
      <c r="I357" s="15"/>
      <c r="J357" s="15"/>
      <c r="K357" s="15"/>
      <c r="L357" s="15"/>
      <c r="M357" s="850"/>
      <c r="N357" s="850"/>
      <c r="O357" s="850"/>
      <c r="P357" s="850"/>
      <c r="Q357" s="850"/>
      <c r="R357" s="850"/>
      <c r="S357" s="850"/>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row>
    <row r="358" ht="15.75" customHeight="1">
      <c r="A358" s="15"/>
      <c r="B358" s="15"/>
      <c r="C358" s="15"/>
      <c r="D358" s="15"/>
      <c r="E358" s="15"/>
      <c r="F358" s="15"/>
      <c r="G358" s="15"/>
      <c r="H358" s="15"/>
      <c r="I358" s="15"/>
      <c r="J358" s="15"/>
      <c r="K358" s="15"/>
      <c r="L358" s="15"/>
      <c r="M358" s="850"/>
      <c r="N358" s="850"/>
      <c r="O358" s="850"/>
      <c r="P358" s="850"/>
      <c r="Q358" s="850"/>
      <c r="R358" s="850"/>
      <c r="S358" s="850"/>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row>
    <row r="359" ht="15.75" customHeight="1">
      <c r="A359" s="15"/>
      <c r="B359" s="15"/>
      <c r="C359" s="15"/>
      <c r="D359" s="15"/>
      <c r="E359" s="15"/>
      <c r="F359" s="15"/>
      <c r="G359" s="15"/>
      <c r="H359" s="15"/>
      <c r="I359" s="15"/>
      <c r="J359" s="15"/>
      <c r="K359" s="15"/>
      <c r="L359" s="15"/>
      <c r="M359" s="850"/>
      <c r="N359" s="850"/>
      <c r="O359" s="850"/>
      <c r="P359" s="850"/>
      <c r="Q359" s="850"/>
      <c r="R359" s="850"/>
      <c r="S359" s="850"/>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row>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5:D6"/>
    <mergeCell ref="E5:E6"/>
    <mergeCell ref="F5:F6"/>
    <mergeCell ref="G5:G6"/>
    <mergeCell ref="H5:H6"/>
    <mergeCell ref="I5:I6"/>
    <mergeCell ref="J5:J6"/>
    <mergeCell ref="K5:K6"/>
  </mergeCells>
  <conditionalFormatting sqref="D10:AB10 D59:AB59 D76:AB76 D102:AB102 D107:AB107 D112:AB112 D119:AB119">
    <cfRule type="expression" dxfId="1" priority="1">
      <formula>NOT(SUBTOTAL(109,$A11)=$A11)</formula>
    </cfRule>
  </conditionalFormatting>
  <printOptions/>
  <pageMargins bottom="0.75" footer="0.0" header="0.0" left="0.7" right="0.7" top="0.75"/>
  <pageSetup paperSize="9"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4.43" defaultRowHeight="15.0" outlineLevelCol="1" outlineLevelRow="3"/>
  <cols>
    <col customWidth="1" min="1" max="1" width="1.0"/>
    <col customWidth="1" min="2" max="2" width="2.0"/>
    <col customWidth="1" min="3" max="3" width="55.86"/>
    <col customWidth="1" hidden="1" min="4" max="10" width="12.57" outlineLevel="1"/>
    <col customWidth="1" hidden="1" min="11" max="11" width="10.57" outlineLevel="1"/>
    <col customWidth="1" hidden="1" min="12" max="12" width="2.57"/>
    <col customWidth="1" hidden="1" min="13" max="16" width="14.57"/>
    <col customWidth="1" min="17" max="28" width="14.57"/>
    <col customWidth="1" min="29" max="29" width="1.86"/>
    <col customWidth="1" min="30" max="51" width="14.57"/>
  </cols>
  <sheetData>
    <row r="1" ht="6.0" customHeight="1">
      <c r="A1" s="846"/>
      <c r="B1" s="847"/>
      <c r="C1" s="847"/>
      <c r="D1" s="847"/>
      <c r="E1" s="847"/>
      <c r="F1" s="847"/>
      <c r="G1" s="847"/>
      <c r="H1" s="847"/>
      <c r="I1" s="847"/>
      <c r="J1" s="847"/>
      <c r="K1" s="847"/>
      <c r="L1" s="847"/>
      <c r="M1" s="847"/>
      <c r="N1" s="847"/>
      <c r="O1" s="895"/>
      <c r="P1" s="895"/>
      <c r="Q1" s="847"/>
      <c r="R1" s="847"/>
      <c r="S1" s="847"/>
      <c r="T1" s="847"/>
      <c r="U1" s="847"/>
      <c r="V1" s="847"/>
      <c r="W1" s="847"/>
      <c r="X1" s="847"/>
      <c r="Y1" s="847"/>
      <c r="Z1" s="847"/>
      <c r="AA1" s="847"/>
      <c r="AB1" s="847"/>
      <c r="AC1" s="847"/>
      <c r="AD1" s="846"/>
      <c r="AE1" s="846"/>
      <c r="AF1" s="846"/>
      <c r="AG1" s="846"/>
      <c r="AH1" s="846"/>
      <c r="AI1" s="846"/>
      <c r="AJ1" s="846"/>
      <c r="AK1" s="846"/>
      <c r="AL1" s="846"/>
      <c r="AM1" s="846"/>
      <c r="AN1" s="846"/>
      <c r="AO1" s="846"/>
      <c r="AP1" s="846"/>
      <c r="AQ1" s="846"/>
      <c r="AR1" s="846"/>
      <c r="AS1" s="846"/>
      <c r="AT1" s="846"/>
      <c r="AU1" s="846"/>
      <c r="AV1" s="846"/>
      <c r="AW1" s="846"/>
      <c r="AX1" s="846"/>
      <c r="AY1" s="846"/>
    </row>
    <row r="2" ht="39.75" customHeight="1">
      <c r="A2" s="849"/>
      <c r="B2" s="15"/>
      <c r="C2" s="15"/>
      <c r="D2" s="15"/>
      <c r="E2" s="15"/>
      <c r="F2" s="15"/>
      <c r="G2" s="15"/>
      <c r="H2" s="15"/>
      <c r="I2" s="15"/>
      <c r="J2" s="15"/>
      <c r="K2" s="15"/>
      <c r="L2" s="15"/>
      <c r="M2" s="15"/>
      <c r="N2" s="15"/>
      <c r="O2" s="896"/>
      <c r="P2" s="896"/>
      <c r="Q2" s="15"/>
      <c r="R2" s="15"/>
      <c r="S2" s="15"/>
      <c r="T2" s="15"/>
      <c r="U2" s="15"/>
      <c r="V2" s="15"/>
      <c r="W2" s="15"/>
      <c r="X2" s="15"/>
      <c r="Y2" s="15"/>
      <c r="Z2" s="15"/>
      <c r="AA2" s="15"/>
      <c r="AB2" s="15"/>
      <c r="AC2" s="15"/>
      <c r="AD2" s="851"/>
      <c r="AE2" s="846"/>
      <c r="AF2" s="846"/>
      <c r="AG2" s="846"/>
      <c r="AH2" s="846"/>
      <c r="AI2" s="846"/>
      <c r="AJ2" s="846"/>
      <c r="AK2" s="846"/>
      <c r="AL2" s="846"/>
      <c r="AM2" s="846"/>
      <c r="AN2" s="846"/>
      <c r="AO2" s="846"/>
      <c r="AP2" s="846"/>
      <c r="AQ2" s="846"/>
      <c r="AR2" s="846"/>
      <c r="AS2" s="846"/>
      <c r="AT2" s="846"/>
      <c r="AU2" s="846"/>
      <c r="AV2" s="846"/>
      <c r="AW2" s="846"/>
      <c r="AX2" s="846"/>
      <c r="AY2" s="846"/>
    </row>
    <row r="3" ht="18.75" customHeight="1">
      <c r="A3" s="849"/>
      <c r="B3" s="15"/>
      <c r="C3" s="852" t="s">
        <v>346</v>
      </c>
      <c r="D3" s="15"/>
      <c r="E3" s="15"/>
      <c r="F3" s="15"/>
      <c r="G3" s="15"/>
      <c r="H3" s="15"/>
      <c r="I3" s="15"/>
      <c r="J3" s="15"/>
      <c r="K3" s="15"/>
      <c r="L3" s="15"/>
      <c r="M3" s="15"/>
      <c r="N3" s="15"/>
      <c r="O3" s="896"/>
      <c r="P3" s="896"/>
      <c r="Q3" s="15"/>
      <c r="R3" s="15"/>
      <c r="S3" s="15"/>
      <c r="T3" s="15"/>
      <c r="U3" s="15"/>
      <c r="V3" s="15"/>
      <c r="W3" s="15"/>
      <c r="X3" s="15"/>
      <c r="Y3" s="15"/>
      <c r="Z3" s="15"/>
      <c r="AA3" s="15"/>
      <c r="AB3" s="15"/>
      <c r="AC3" s="15"/>
      <c r="AD3" s="851"/>
      <c r="AE3" s="846"/>
      <c r="AF3" s="846"/>
      <c r="AG3" s="846"/>
      <c r="AH3" s="846"/>
      <c r="AI3" s="846"/>
      <c r="AJ3" s="846"/>
      <c r="AK3" s="846"/>
      <c r="AL3" s="846"/>
      <c r="AM3" s="846"/>
      <c r="AN3" s="846"/>
      <c r="AO3" s="846"/>
      <c r="AP3" s="846"/>
      <c r="AQ3" s="846"/>
      <c r="AR3" s="846"/>
      <c r="AS3" s="846"/>
      <c r="AT3" s="846"/>
      <c r="AU3" s="846"/>
      <c r="AV3" s="846"/>
      <c r="AW3" s="846"/>
      <c r="AX3" s="846"/>
      <c r="AY3" s="846"/>
    </row>
    <row r="4">
      <c r="A4" s="849" t="s">
        <v>194</v>
      </c>
      <c r="B4" s="15"/>
      <c r="C4" s="853" t="s">
        <v>195</v>
      </c>
      <c r="D4" s="854" t="s">
        <v>196</v>
      </c>
      <c r="E4" s="855" t="s">
        <v>194</v>
      </c>
      <c r="F4" s="855" t="s">
        <v>194</v>
      </c>
      <c r="G4" s="855" t="s">
        <v>194</v>
      </c>
      <c r="H4" s="855" t="s">
        <v>194</v>
      </c>
      <c r="I4" s="855" t="s">
        <v>194</v>
      </c>
      <c r="J4" s="855" t="s">
        <v>194</v>
      </c>
      <c r="K4" s="855" t="s">
        <v>194</v>
      </c>
      <c r="L4" s="15"/>
      <c r="M4" s="15"/>
      <c r="N4" s="15"/>
      <c r="O4" s="896"/>
      <c r="P4" s="896"/>
      <c r="Q4" s="15"/>
      <c r="R4" s="15"/>
      <c r="S4" s="15"/>
      <c r="T4" s="15"/>
      <c r="U4" s="15"/>
      <c r="V4" s="15"/>
      <c r="W4" s="15"/>
      <c r="X4" s="15"/>
      <c r="Y4" s="15"/>
      <c r="Z4" s="15"/>
      <c r="AA4" s="15"/>
      <c r="AB4" s="15"/>
      <c r="AC4" s="15"/>
      <c r="AD4" s="851" t="s">
        <v>194</v>
      </c>
      <c r="AE4" s="846" t="s">
        <v>194</v>
      </c>
      <c r="AF4" s="846" t="s">
        <v>194</v>
      </c>
      <c r="AG4" s="846" t="s">
        <v>194</v>
      </c>
      <c r="AH4" s="846" t="s">
        <v>194</v>
      </c>
      <c r="AI4" s="846" t="s">
        <v>194</v>
      </c>
      <c r="AJ4" s="846" t="s">
        <v>194</v>
      </c>
      <c r="AK4" s="846" t="s">
        <v>194</v>
      </c>
      <c r="AL4" s="846" t="s">
        <v>194</v>
      </c>
      <c r="AM4" s="846" t="s">
        <v>194</v>
      </c>
      <c r="AN4" s="846" t="s">
        <v>194</v>
      </c>
      <c r="AO4" s="846" t="s">
        <v>194</v>
      </c>
      <c r="AP4" s="846" t="s">
        <v>194</v>
      </c>
      <c r="AQ4" s="846" t="s">
        <v>194</v>
      </c>
      <c r="AR4" s="846" t="s">
        <v>194</v>
      </c>
      <c r="AS4" s="846" t="s">
        <v>194</v>
      </c>
      <c r="AT4" s="846" t="s">
        <v>194</v>
      </c>
      <c r="AU4" s="846" t="s">
        <v>194</v>
      </c>
      <c r="AV4" s="846" t="s">
        <v>194</v>
      </c>
      <c r="AW4" s="846" t="s">
        <v>194</v>
      </c>
      <c r="AX4" s="846" t="s">
        <v>194</v>
      </c>
      <c r="AY4" s="846" t="s">
        <v>194</v>
      </c>
    </row>
    <row r="5">
      <c r="A5" s="849" t="s">
        <v>194</v>
      </c>
      <c r="B5" s="15"/>
      <c r="C5" s="853" t="s">
        <v>197</v>
      </c>
      <c r="D5" s="856" t="s">
        <v>174</v>
      </c>
      <c r="E5" s="856" t="s">
        <v>198</v>
      </c>
      <c r="F5" s="856" t="s">
        <v>199</v>
      </c>
      <c r="G5" s="856" t="s">
        <v>200</v>
      </c>
      <c r="H5" s="856" t="s">
        <v>201</v>
      </c>
      <c r="I5" s="856" t="s">
        <v>202</v>
      </c>
      <c r="J5" s="856" t="s">
        <v>203</v>
      </c>
      <c r="K5" s="856" t="s">
        <v>204</v>
      </c>
      <c r="L5" s="15"/>
      <c r="M5" s="858" t="str">
        <f>HYPERLINK("https://my.pitchbook.com?c=41533-84", "FY 2003")</f>
        <v>FY 2003</v>
      </c>
      <c r="N5" s="858" t="str">
        <f>HYPERLINK("https://my.pitchbook.com?c=41533-84", "FY 2004")</f>
        <v>FY 2004</v>
      </c>
      <c r="O5" s="897" t="str">
        <f>HYPERLINK("https://my.pitchbook.com?c=41533-84", "FY 2005")</f>
        <v>FY 2005</v>
      </c>
      <c r="P5" s="897" t="str">
        <f>HYPERLINK("https://my.pitchbook.com?c=41533-84", "FY 2006")</f>
        <v>FY 2006</v>
      </c>
      <c r="Q5" s="858" t="str">
        <f>HYPERLINK("https://my.pitchbook.com?c=41533-84", "FY 2007")</f>
        <v>FY 2007</v>
      </c>
      <c r="R5" s="858" t="str">
        <f>HYPERLINK("https://my.pitchbook.com?c=41533-84", "FY 2008")</f>
        <v>FY 2008</v>
      </c>
      <c r="S5" s="858" t="str">
        <f>HYPERLINK("https://my.pitchbook.com?c=41533-84", "FY 2009")</f>
        <v>FY 2009</v>
      </c>
      <c r="T5" s="858" t="str">
        <f>HYPERLINK("https://my.pitchbook.com?c=41533-84", "FY 2010")</f>
        <v>FY 2010</v>
      </c>
      <c r="U5" s="858" t="str">
        <f>HYPERLINK("https://my.pitchbook.com?c=41533-84", "FY 2011")</f>
        <v>FY 2011</v>
      </c>
      <c r="V5" s="858" t="str">
        <f>HYPERLINK("https://my.pitchbook.com?c=41533-84", "FY 2012")</f>
        <v>FY 2012</v>
      </c>
      <c r="W5" s="858" t="str">
        <f>HYPERLINK("https://my.pitchbook.com?c=41533-84", "FY 2013")</f>
        <v>FY 2013</v>
      </c>
      <c r="X5" s="858" t="str">
        <f>HYPERLINK("https://my.pitchbook.com?c=41533-84", "FY 2014")</f>
        <v>FY 2014</v>
      </c>
      <c r="Y5" s="858" t="str">
        <f>HYPERLINK("https://my.pitchbook.com?c=41533-84", "FY 2015")</f>
        <v>FY 2015</v>
      </c>
      <c r="Z5" s="858" t="str">
        <f>HYPERLINK("https://my.pitchbook.com?c=41533-84", "FY 2016")</f>
        <v>FY 2016</v>
      </c>
      <c r="AA5" s="858" t="str">
        <f>HYPERLINK("https://my.pitchbook.com?c=41533-84", "FY 2017")</f>
        <v>FY 2017</v>
      </c>
      <c r="AB5" s="858" t="str">
        <f>HYPERLINK("https://my.pitchbook.com?c=41533-84", "FY 2018")</f>
        <v>FY 2018</v>
      </c>
      <c r="AC5" s="15"/>
      <c r="AD5" s="851" t="s">
        <v>194</v>
      </c>
      <c r="AE5" s="846" t="s">
        <v>194</v>
      </c>
      <c r="AF5" s="846" t="s">
        <v>194</v>
      </c>
      <c r="AG5" s="846" t="s">
        <v>194</v>
      </c>
      <c r="AH5" s="846" t="s">
        <v>194</v>
      </c>
      <c r="AI5" s="846" t="s">
        <v>194</v>
      </c>
      <c r="AJ5" s="846" t="s">
        <v>194</v>
      </c>
      <c r="AK5" s="846" t="s">
        <v>194</v>
      </c>
      <c r="AL5" s="846" t="s">
        <v>194</v>
      </c>
      <c r="AM5" s="846" t="s">
        <v>194</v>
      </c>
      <c r="AN5" s="846" t="s">
        <v>194</v>
      </c>
      <c r="AO5" s="846" t="s">
        <v>194</v>
      </c>
      <c r="AP5" s="846" t="s">
        <v>194</v>
      </c>
      <c r="AQ5" s="846" t="s">
        <v>194</v>
      </c>
      <c r="AR5" s="846" t="s">
        <v>194</v>
      </c>
      <c r="AS5" s="846" t="s">
        <v>194</v>
      </c>
      <c r="AT5" s="846" t="s">
        <v>194</v>
      </c>
      <c r="AU5" s="846" t="s">
        <v>194</v>
      </c>
      <c r="AV5" s="846" t="s">
        <v>194</v>
      </c>
      <c r="AW5" s="846" t="s">
        <v>194</v>
      </c>
      <c r="AX5" s="846" t="s">
        <v>194</v>
      </c>
      <c r="AY5" s="846" t="s">
        <v>194</v>
      </c>
    </row>
    <row r="6">
      <c r="A6" s="849" t="s">
        <v>194</v>
      </c>
      <c r="B6" s="15"/>
      <c r="C6" s="859" t="s">
        <v>221</v>
      </c>
      <c r="D6" s="860"/>
      <c r="E6" s="860"/>
      <c r="F6" s="860"/>
      <c r="G6" s="860"/>
      <c r="H6" s="860"/>
      <c r="I6" s="860"/>
      <c r="J6" s="860"/>
      <c r="K6" s="860"/>
      <c r="L6" s="15"/>
      <c r="M6" s="15"/>
      <c r="N6" s="15"/>
      <c r="O6" s="896"/>
      <c r="P6" s="896"/>
      <c r="Q6" s="15"/>
      <c r="R6" s="15"/>
      <c r="S6" s="15"/>
      <c r="T6" s="15"/>
      <c r="U6" s="15"/>
      <c r="V6" s="15"/>
      <c r="W6" s="15"/>
      <c r="X6" s="15"/>
      <c r="Y6" s="15"/>
      <c r="Z6" s="15"/>
      <c r="AA6" s="15"/>
      <c r="AB6" s="15"/>
      <c r="AC6" s="15"/>
      <c r="AD6" s="851" t="s">
        <v>194</v>
      </c>
      <c r="AE6" s="846" t="s">
        <v>194</v>
      </c>
      <c r="AF6" s="846" t="s">
        <v>194</v>
      </c>
      <c r="AG6" s="846" t="s">
        <v>194</v>
      </c>
      <c r="AH6" s="846" t="s">
        <v>194</v>
      </c>
      <c r="AI6" s="846" t="s">
        <v>194</v>
      </c>
      <c r="AJ6" s="846" t="s">
        <v>194</v>
      </c>
      <c r="AK6" s="846" t="s">
        <v>194</v>
      </c>
      <c r="AL6" s="846" t="s">
        <v>194</v>
      </c>
      <c r="AM6" s="846" t="s">
        <v>194</v>
      </c>
      <c r="AN6" s="846" t="s">
        <v>194</v>
      </c>
      <c r="AO6" s="846" t="s">
        <v>194</v>
      </c>
      <c r="AP6" s="846" t="s">
        <v>194</v>
      </c>
      <c r="AQ6" s="846" t="s">
        <v>194</v>
      </c>
      <c r="AR6" s="846" t="s">
        <v>194</v>
      </c>
      <c r="AS6" s="846" t="s">
        <v>194</v>
      </c>
      <c r="AT6" s="846" t="s">
        <v>194</v>
      </c>
      <c r="AU6" s="846" t="s">
        <v>194</v>
      </c>
      <c r="AV6" s="846" t="s">
        <v>194</v>
      </c>
      <c r="AW6" s="846" t="s">
        <v>194</v>
      </c>
      <c r="AX6" s="846" t="s">
        <v>194</v>
      </c>
      <c r="AY6" s="846" t="s">
        <v>194</v>
      </c>
    </row>
    <row r="7">
      <c r="A7" s="849" t="s">
        <v>194</v>
      </c>
      <c r="B7" s="15"/>
      <c r="C7" s="15"/>
      <c r="D7" s="855" t="s">
        <v>194</v>
      </c>
      <c r="E7" s="855" t="s">
        <v>194</v>
      </c>
      <c r="F7" s="855" t="s">
        <v>194</v>
      </c>
      <c r="G7" s="855" t="s">
        <v>194</v>
      </c>
      <c r="H7" s="855" t="s">
        <v>194</v>
      </c>
      <c r="I7" s="855" t="s">
        <v>194</v>
      </c>
      <c r="J7" s="855" t="s">
        <v>194</v>
      </c>
      <c r="K7" s="855" t="s">
        <v>194</v>
      </c>
      <c r="L7" s="15"/>
      <c r="M7" s="15"/>
      <c r="N7" s="15"/>
      <c r="O7" s="896"/>
      <c r="P7" s="896"/>
      <c r="Q7" s="15"/>
      <c r="R7" s="15"/>
      <c r="S7" s="15"/>
      <c r="T7" s="15"/>
      <c r="U7" s="15"/>
      <c r="V7" s="15"/>
      <c r="W7" s="15"/>
      <c r="X7" s="15"/>
      <c r="Y7" s="15"/>
      <c r="Z7" s="15"/>
      <c r="AA7" s="15"/>
      <c r="AB7" s="15"/>
      <c r="AC7" s="15"/>
      <c r="AD7" s="851" t="s">
        <v>194</v>
      </c>
      <c r="AE7" s="846" t="s">
        <v>194</v>
      </c>
      <c r="AF7" s="846" t="s">
        <v>194</v>
      </c>
      <c r="AG7" s="846" t="s">
        <v>194</v>
      </c>
      <c r="AH7" s="846" t="s">
        <v>194</v>
      </c>
      <c r="AI7" s="846" t="s">
        <v>194</v>
      </c>
      <c r="AJ7" s="846" t="s">
        <v>194</v>
      </c>
      <c r="AK7" s="846" t="s">
        <v>194</v>
      </c>
      <c r="AL7" s="846" t="s">
        <v>194</v>
      </c>
      <c r="AM7" s="846" t="s">
        <v>194</v>
      </c>
      <c r="AN7" s="846" t="s">
        <v>194</v>
      </c>
      <c r="AO7" s="846" t="s">
        <v>194</v>
      </c>
      <c r="AP7" s="846" t="s">
        <v>194</v>
      </c>
      <c r="AQ7" s="846" t="s">
        <v>194</v>
      </c>
      <c r="AR7" s="846" t="s">
        <v>194</v>
      </c>
      <c r="AS7" s="846" t="s">
        <v>194</v>
      </c>
      <c r="AT7" s="846" t="s">
        <v>194</v>
      </c>
      <c r="AU7" s="846" t="s">
        <v>194</v>
      </c>
      <c r="AV7" s="846" t="s">
        <v>194</v>
      </c>
      <c r="AW7" s="846" t="s">
        <v>194</v>
      </c>
      <c r="AX7" s="846" t="s">
        <v>194</v>
      </c>
      <c r="AY7" s="846" t="s">
        <v>194</v>
      </c>
    </row>
    <row r="8">
      <c r="A8" s="849" t="s">
        <v>194</v>
      </c>
      <c r="B8" s="15"/>
      <c r="C8" s="15"/>
      <c r="D8" s="855" t="s">
        <v>194</v>
      </c>
      <c r="E8" s="855" t="s">
        <v>194</v>
      </c>
      <c r="F8" s="855" t="s">
        <v>194</v>
      </c>
      <c r="G8" s="855" t="s">
        <v>194</v>
      </c>
      <c r="H8" s="855" t="s">
        <v>194</v>
      </c>
      <c r="I8" s="855" t="s">
        <v>194</v>
      </c>
      <c r="J8" s="855" t="s">
        <v>194</v>
      </c>
      <c r="K8" s="855" t="s">
        <v>194</v>
      </c>
      <c r="L8" s="15"/>
      <c r="M8" s="863" t="s">
        <v>347</v>
      </c>
      <c r="N8" s="863" t="s">
        <v>348</v>
      </c>
      <c r="O8" s="898" t="s">
        <v>349</v>
      </c>
      <c r="P8" s="898" t="s">
        <v>350</v>
      </c>
      <c r="Q8" s="863" t="s">
        <v>227</v>
      </c>
      <c r="R8" s="863" t="s">
        <v>226</v>
      </c>
      <c r="S8" s="863" t="s">
        <v>225</v>
      </c>
      <c r="T8" s="863" t="s">
        <v>224</v>
      </c>
      <c r="U8" s="863" t="s">
        <v>351</v>
      </c>
      <c r="V8" s="863" t="s">
        <v>352</v>
      </c>
      <c r="W8" s="863" t="s">
        <v>353</v>
      </c>
      <c r="X8" s="863" t="s">
        <v>222</v>
      </c>
      <c r="Y8" s="863" t="s">
        <v>354</v>
      </c>
      <c r="Z8" s="863" t="s">
        <v>223</v>
      </c>
      <c r="AA8" s="863" t="s">
        <v>223</v>
      </c>
      <c r="AB8" s="863" t="s">
        <v>223</v>
      </c>
      <c r="AC8" s="15"/>
      <c r="AD8" s="851" t="s">
        <v>194</v>
      </c>
      <c r="AE8" s="846" t="s">
        <v>194</v>
      </c>
      <c r="AF8" s="846" t="s">
        <v>194</v>
      </c>
      <c r="AG8" s="846" t="s">
        <v>194</v>
      </c>
      <c r="AH8" s="846" t="s">
        <v>194</v>
      </c>
      <c r="AI8" s="846" t="s">
        <v>194</v>
      </c>
      <c r="AJ8" s="846" t="s">
        <v>194</v>
      </c>
      <c r="AK8" s="846" t="s">
        <v>194</v>
      </c>
      <c r="AL8" s="846" t="s">
        <v>194</v>
      </c>
      <c r="AM8" s="846" t="s">
        <v>194</v>
      </c>
      <c r="AN8" s="846" t="s">
        <v>194</v>
      </c>
      <c r="AO8" s="846" t="s">
        <v>194</v>
      </c>
      <c r="AP8" s="846" t="s">
        <v>194</v>
      </c>
      <c r="AQ8" s="846" t="s">
        <v>194</v>
      </c>
      <c r="AR8" s="846" t="s">
        <v>194</v>
      </c>
      <c r="AS8" s="846" t="s">
        <v>194</v>
      </c>
      <c r="AT8" s="846" t="s">
        <v>194</v>
      </c>
      <c r="AU8" s="846" t="s">
        <v>194</v>
      </c>
      <c r="AV8" s="846" t="s">
        <v>194</v>
      </c>
      <c r="AW8" s="846" t="s">
        <v>194</v>
      </c>
      <c r="AX8" s="846" t="s">
        <v>194</v>
      </c>
      <c r="AY8" s="846" t="s">
        <v>194</v>
      </c>
    </row>
    <row r="9">
      <c r="A9" s="849" t="s">
        <v>194</v>
      </c>
      <c r="B9" s="15"/>
      <c r="C9" s="15"/>
      <c r="D9" s="855" t="s">
        <v>194</v>
      </c>
      <c r="E9" s="855" t="s">
        <v>194</v>
      </c>
      <c r="F9" s="855" t="s">
        <v>194</v>
      </c>
      <c r="G9" s="855" t="s">
        <v>194</v>
      </c>
      <c r="H9" s="855" t="s">
        <v>194</v>
      </c>
      <c r="I9" s="855" t="s">
        <v>194</v>
      </c>
      <c r="J9" s="855" t="s">
        <v>194</v>
      </c>
      <c r="K9" s="855" t="s">
        <v>194</v>
      </c>
      <c r="L9" s="15"/>
      <c r="M9" s="899"/>
      <c r="N9" s="899"/>
      <c r="O9" s="900"/>
      <c r="P9" s="900"/>
      <c r="Q9" s="901" t="str">
        <f>HYPERLINK("https://my.pitchbook.com/profile/41533-84/company/financials?reportId=19728931553&amp;financialGroup=INCOME_STATEMENT&amp;period=ANN&amp;exchangeId=NAS&amp;exchangeSymbol=BEAT", "View 10-K")</f>
        <v>View 10-K</v>
      </c>
      <c r="R9" s="901" t="str">
        <f>HYPERLINK("https://my.pitchbook.com/profile/41533-84/company/financials?reportId=19728931617&amp;financialGroup=INCOME_STATEMENT&amp;period=ANN&amp;exchangeId=NAS&amp;exchangeSymbol=BEAT", "View 10-K")</f>
        <v>View 10-K</v>
      </c>
      <c r="S9" s="901" t="str">
        <f>HYPERLINK("https://my.pitchbook.com/profile/41533-84/company/financials?reportId=19728931681&amp;financialGroup=INCOME_STATEMENT&amp;period=ANN&amp;exchangeId=NAS&amp;exchangeSymbol=BEAT", "View 10-K")</f>
        <v>View 10-K</v>
      </c>
      <c r="T9" s="901" t="str">
        <f>HYPERLINK("https://my.pitchbook.com/profile/41533-84/company/financials?reportId=19728931745&amp;financialGroup=INCOME_STATEMENT&amp;period=ANN&amp;exchangeId=NAS&amp;exchangeSymbol=BEAT", "View 10-K")</f>
        <v>View 10-K</v>
      </c>
      <c r="U9" s="901" t="str">
        <f>HYPERLINK("https://my.pitchbook.com/profile/41533-84/company/financials?reportId=19728931809&amp;financialGroup=INCOME_STATEMENT&amp;period=ANN&amp;exchangeId=NAS&amp;exchangeSymbol=BEAT", "View 10-K")</f>
        <v>View 10-K</v>
      </c>
      <c r="V9" s="901" t="str">
        <f>HYPERLINK("https://my.pitchbook.com/profile/41533-84/company/financials?reportId=19728931873&amp;financialGroup=INCOME_STATEMENT&amp;period=ANN&amp;exchangeId=NAS&amp;exchangeSymbol=BEAT", "View 10-K")</f>
        <v>View 10-K</v>
      </c>
      <c r="W9" s="901" t="str">
        <f>HYPERLINK("https://my.pitchbook.com/profile/41533-84/company/financials?reportId=19728931937&amp;financialGroup=INCOME_STATEMENT&amp;period=ANN&amp;exchangeId=NAS&amp;exchangeSymbol=BEAT", "View 10-K")</f>
        <v>View 10-K</v>
      </c>
      <c r="X9" s="901" t="str">
        <f>HYPERLINK("https://my.pitchbook.com/profile/41533-84/company/financials?reportId=19728932001&amp;financialGroup=INCOME_STATEMENT&amp;period=ANN&amp;exchangeId=NAS&amp;exchangeSymbol=BEAT", "View 10-K")</f>
        <v>View 10-K</v>
      </c>
      <c r="Y9" s="902" t="str">
        <f>HYPERLINK("https://my.pitchbook.com/profile/41533-84/company/financials?reportId=19728932065&amp;financialGroup=INCOME_STATEMENT&amp;period=ANN&amp;exchangeId=NAS&amp;exchangeSymbol=BEAT", "View 10-K")</f>
        <v>View 10-K</v>
      </c>
      <c r="Z9" s="902" t="str">
        <f>HYPERLINK("https://my.pitchbook.com/profile/41533-84/company/financials?reportId=19728932129&amp;financialGroup=INCOME_STATEMENT&amp;period=ANN&amp;exchangeId=NAS&amp;exchangeSymbol=BEAT", "View 10-K")</f>
        <v>View 10-K</v>
      </c>
      <c r="AA9" s="902" t="str">
        <f>HYPERLINK("https://my.pitchbook.com/profile/41533-84/company/financials?reportId=19728932193&amp;financialGroup=INCOME_STATEMENT&amp;period=ANN&amp;exchangeId=NAS&amp;exchangeSymbol=BEAT", "View 10-K")</f>
        <v>View 10-K</v>
      </c>
      <c r="AB9" s="902" t="str">
        <f>HYPERLINK("https://my.pitchbook.com/profile/41533-84/company/financials?reportId=19728932257&amp;financialGroup=INCOME_STATEMENT&amp;period=ANN&amp;exchangeId=NAS&amp;exchangeSymbol=BEAT", "View 10-K")</f>
        <v>View 10-K</v>
      </c>
      <c r="AC9" s="15"/>
      <c r="AD9" s="851" t="s">
        <v>194</v>
      </c>
      <c r="AE9" s="846" t="s">
        <v>194</v>
      </c>
      <c r="AF9" s="846" t="s">
        <v>194</v>
      </c>
      <c r="AG9" s="846" t="s">
        <v>194</v>
      </c>
      <c r="AH9" s="846" t="s">
        <v>194</v>
      </c>
      <c r="AI9" s="846" t="s">
        <v>194</v>
      </c>
      <c r="AJ9" s="846" t="s">
        <v>194</v>
      </c>
      <c r="AK9" s="846" t="s">
        <v>194</v>
      </c>
      <c r="AL9" s="846" t="s">
        <v>194</v>
      </c>
      <c r="AM9" s="846" t="s">
        <v>194</v>
      </c>
      <c r="AN9" s="846" t="s">
        <v>194</v>
      </c>
      <c r="AO9" s="846" t="s">
        <v>194</v>
      </c>
      <c r="AP9" s="846" t="s">
        <v>194</v>
      </c>
      <c r="AQ9" s="846" t="s">
        <v>194</v>
      </c>
      <c r="AR9" s="846" t="s">
        <v>194</v>
      </c>
      <c r="AS9" s="846" t="s">
        <v>194</v>
      </c>
      <c r="AT9" s="846" t="s">
        <v>194</v>
      </c>
      <c r="AU9" s="846" t="s">
        <v>194</v>
      </c>
      <c r="AV9" s="846" t="s">
        <v>194</v>
      </c>
      <c r="AW9" s="846" t="s">
        <v>194</v>
      </c>
      <c r="AX9" s="846" t="s">
        <v>194</v>
      </c>
      <c r="AY9" s="846" t="s">
        <v>194</v>
      </c>
    </row>
    <row r="10">
      <c r="A10" s="849">
        <v>1.0</v>
      </c>
      <c r="B10" s="15"/>
      <c r="C10" s="855" t="str">
        <f>IF(SUBTOTAL(109,A11)=A11,"Gross Profit","Gross Profit")</f>
        <v>Gross Profit</v>
      </c>
      <c r="D10" s="866">
        <f t="shared" ref="D10:D70" si="1">IF(COUNT(M10:AB10)&gt;0,MEDIAN(M10:AB10),"")</f>
        <v>2010.5</v>
      </c>
      <c r="E10" s="866">
        <f t="shared" ref="E10:E70" si="2">IF(COUNT(M10:AB10)&gt;0,AVERAGE(M10:AB10),"")</f>
        <v>2010.5</v>
      </c>
      <c r="F10" s="866">
        <f t="shared" ref="F10:F70" si="3">IF(COUNT(M10:AB10)&gt;0,MIN(M10:AB10),"")</f>
        <v>2003</v>
      </c>
      <c r="G10" s="866">
        <f t="shared" ref="G10:G70" si="4">IF(COUNT(M10:AB10)&gt;0,MAX(M10:AB10),"")</f>
        <v>2018</v>
      </c>
      <c r="H10" s="866">
        <f t="shared" ref="H10:H70" si="5">IF(COUNT(M10:AB10)&gt;0,QUARTILE(M10:AB10,1),"")</f>
        <v>2006.75</v>
      </c>
      <c r="I10" s="866">
        <f t="shared" ref="I10:I70" si="6">IF(COUNT(M10:AB10)&gt;0,QUARTILE(M10:AB10,3),"")</f>
        <v>2014.25</v>
      </c>
      <c r="J10" s="866">
        <f t="shared" ref="J10:J70" si="7">IF(COUNT(M10:AB10)&gt;1,STDEV(M10:AB10),"")</f>
        <v>4.760952286</v>
      </c>
      <c r="K10" s="867">
        <f t="shared" ref="K10:K70" si="8">IF(COUNT(M10:AB10)&gt;1,STDEV(M10:AB10)/AVERAGE(M10:AB10),"")</f>
        <v>0.002368043912</v>
      </c>
      <c r="L10" s="866" t="s">
        <v>194</v>
      </c>
      <c r="M10" s="866">
        <v>2003.0</v>
      </c>
      <c r="N10" s="866">
        <v>2004.0</v>
      </c>
      <c r="O10" s="903">
        <v>2005.0</v>
      </c>
      <c r="P10" s="903">
        <v>2006.0</v>
      </c>
      <c r="Q10" s="866">
        <v>2007.0</v>
      </c>
      <c r="R10" s="866">
        <v>2008.0</v>
      </c>
      <c r="S10" s="866">
        <v>2009.0</v>
      </c>
      <c r="T10" s="866">
        <v>2010.0</v>
      </c>
      <c r="U10" s="866">
        <v>2011.0</v>
      </c>
      <c r="V10" s="866">
        <v>2012.0</v>
      </c>
      <c r="W10" s="866">
        <v>2013.0</v>
      </c>
      <c r="X10" s="866">
        <v>2014.0</v>
      </c>
      <c r="Y10" s="866">
        <v>2015.0</v>
      </c>
      <c r="Z10" s="866">
        <v>2016.0</v>
      </c>
      <c r="AA10" s="866">
        <v>2017.0</v>
      </c>
      <c r="AB10" s="866">
        <v>2018.0</v>
      </c>
      <c r="AC10" s="15"/>
      <c r="AD10" s="851" t="s">
        <v>194</v>
      </c>
      <c r="AE10" s="846" t="s">
        <v>194</v>
      </c>
      <c r="AF10" s="846" t="s">
        <v>194</v>
      </c>
      <c r="AG10" s="846" t="s">
        <v>194</v>
      </c>
      <c r="AH10" s="846" t="s">
        <v>194</v>
      </c>
      <c r="AI10" s="846" t="s">
        <v>194</v>
      </c>
      <c r="AJ10" s="846" t="s">
        <v>194</v>
      </c>
      <c r="AK10" s="846" t="s">
        <v>194</v>
      </c>
      <c r="AL10" s="846" t="s">
        <v>194</v>
      </c>
      <c r="AM10" s="846" t="s">
        <v>194</v>
      </c>
      <c r="AN10" s="846" t="s">
        <v>194</v>
      </c>
      <c r="AO10" s="846" t="s">
        <v>194</v>
      </c>
      <c r="AP10" s="846" t="s">
        <v>194</v>
      </c>
      <c r="AQ10" s="846" t="s">
        <v>194</v>
      </c>
      <c r="AR10" s="846" t="s">
        <v>194</v>
      </c>
      <c r="AS10" s="846" t="s">
        <v>194</v>
      </c>
      <c r="AT10" s="846" t="s">
        <v>194</v>
      </c>
      <c r="AU10" s="846" t="s">
        <v>194</v>
      </c>
      <c r="AV10" s="846" t="s">
        <v>194</v>
      </c>
      <c r="AW10" s="846" t="s">
        <v>194</v>
      </c>
      <c r="AX10" s="846" t="s">
        <v>194</v>
      </c>
      <c r="AY10" s="846" t="s">
        <v>194</v>
      </c>
    </row>
    <row r="11" outlineLevel="1">
      <c r="A11" s="849">
        <v>1.0</v>
      </c>
      <c r="B11" s="15"/>
      <c r="C11" s="869" t="str">
        <f>IF(SUBTOTAL(109,A12)=A12,"    Revenue","    Total Revenue")</f>
        <v>    Revenue</v>
      </c>
      <c r="D11" s="870" t="str">
        <f t="shared" si="1"/>
        <v>#VALUE!</v>
      </c>
      <c r="E11" s="870" t="str">
        <f t="shared" si="2"/>
        <v>#VALUE!</v>
      </c>
      <c r="F11" s="870" t="str">
        <f t="shared" si="3"/>
        <v>#VALUE!</v>
      </c>
      <c r="G11" s="870" t="str">
        <f t="shared" si="4"/>
        <v>#VALUE!</v>
      </c>
      <c r="H11" s="870" t="str">
        <f t="shared" si="5"/>
        <v>#VALUE!</v>
      </c>
      <c r="I11" s="870" t="str">
        <f t="shared" si="6"/>
        <v>#VALUE!</v>
      </c>
      <c r="J11" s="870" t="str">
        <f t="shared" si="7"/>
        <v/>
      </c>
      <c r="K11" s="871" t="str">
        <f t="shared" si="8"/>
        <v/>
      </c>
      <c r="L11" s="872" t="s">
        <v>194</v>
      </c>
      <c r="M11" s="872" t="str">
        <f>IF(SUBTOTAL(109,#REF!)=#REF!,"",7923)</f>
        <v>#VALUE!</v>
      </c>
      <c r="N11" s="872" t="str">
        <f>IF(SUBTOTAL(109,#REF!)=#REF!,"",22231)</f>
        <v>#VALUE!</v>
      </c>
      <c r="O11" s="904" t="str">
        <f>IF(SUBTOTAL(109,#REF!)=#REF!,"",30937.728)</f>
        <v>#VALUE!</v>
      </c>
      <c r="P11" s="904" t="str">
        <f>IF(SUBTOTAL(109,#REF!)=#REF!,"",33922.801)</f>
        <v>#VALUE!</v>
      </c>
      <c r="Q11" s="872" t="str">
        <f>IF(SUBTOTAL(109,#REF!)=#REF!,"",72992)</f>
        <v>#VALUE!</v>
      </c>
      <c r="R11" s="872" t="str">
        <f>IF(SUBTOTAL(109,#REF!)=#REF!,"",120454)</f>
        <v>#VALUE!</v>
      </c>
      <c r="S11" s="872" t="str">
        <f>IF(SUBTOTAL(109,#REF!)=#REF!,"",140621)</f>
        <v>#VALUE!</v>
      </c>
      <c r="T11" s="872" t="str">
        <f>IF(SUBTOTAL(109,#REF!)=#REF!,"",119924)</f>
        <v>#VALUE!</v>
      </c>
      <c r="U11" s="872" t="str">
        <f>IF(SUBTOTAL(109,B12)=B12,"",119022)</f>
        <v/>
      </c>
      <c r="V11" s="872" t="str">
        <f>IF(SUBTOTAL(109,D12)=D12,"",111494)</f>
        <v/>
      </c>
      <c r="W11" s="872" t="str">
        <f>IF(SUBTOTAL(109,F12)=F12,"",129501)</f>
        <v/>
      </c>
      <c r="X11" s="872" t="str">
        <f>IF(SUBTOTAL(109,H12)=H12,"",166578)</f>
        <v/>
      </c>
      <c r="Y11" s="872" t="str">
        <f>IF(SUBTOTAL(109,J12)=J12,"",178513)</f>
        <v/>
      </c>
      <c r="Z11" s="872">
        <f>IF(SUBTOTAL(109,L12)=L12,"",208332)</f>
        <v>208332</v>
      </c>
      <c r="AA11" s="872" t="str">
        <f>IF(SUBTOTAL(109,N12)=N12,"",286776)</f>
        <v/>
      </c>
      <c r="AB11" s="872" t="str">
        <f>IF(SUBTOTAL(109,P12)=P12,"",399472)</f>
        <v/>
      </c>
      <c r="AC11" s="15"/>
      <c r="AD11" s="851" t="s">
        <v>194</v>
      </c>
      <c r="AE11" s="846" t="s">
        <v>194</v>
      </c>
      <c r="AF11" s="846" t="s">
        <v>194</v>
      </c>
      <c r="AG11" s="846" t="s">
        <v>194</v>
      </c>
      <c r="AH11" s="846" t="s">
        <v>194</v>
      </c>
      <c r="AI11" s="846" t="s">
        <v>194</v>
      </c>
      <c r="AJ11" s="846" t="s">
        <v>194</v>
      </c>
      <c r="AK11" s="846" t="s">
        <v>194</v>
      </c>
      <c r="AL11" s="846" t="s">
        <v>194</v>
      </c>
      <c r="AM11" s="846" t="s">
        <v>194</v>
      </c>
      <c r="AN11" s="846" t="s">
        <v>194</v>
      </c>
      <c r="AO11" s="846" t="s">
        <v>194</v>
      </c>
      <c r="AP11" s="846" t="s">
        <v>194</v>
      </c>
      <c r="AQ11" s="846" t="s">
        <v>194</v>
      </c>
      <c r="AR11" s="846" t="s">
        <v>194</v>
      </c>
      <c r="AS11" s="846" t="s">
        <v>194</v>
      </c>
      <c r="AT11" s="846" t="s">
        <v>194</v>
      </c>
      <c r="AU11" s="846" t="s">
        <v>194</v>
      </c>
      <c r="AV11" s="846" t="s">
        <v>194</v>
      </c>
      <c r="AW11" s="846" t="s">
        <v>194</v>
      </c>
      <c r="AX11" s="846" t="s">
        <v>194</v>
      </c>
      <c r="AY11" s="846" t="s">
        <v>194</v>
      </c>
    </row>
    <row r="12" outlineLevel="2">
      <c r="A12" s="849">
        <v>1.0</v>
      </c>
      <c r="B12" s="15"/>
      <c r="C12" s="869" t="str">
        <f>"        Business Revenue"</f>
        <v>        Business Revenue</v>
      </c>
      <c r="D12" s="870">
        <f t="shared" si="1"/>
        <v>120189</v>
      </c>
      <c r="E12" s="870">
        <f t="shared" si="2"/>
        <v>132180.6581</v>
      </c>
      <c r="F12" s="870">
        <f t="shared" si="3"/>
        <v>7923</v>
      </c>
      <c r="G12" s="870">
        <f t="shared" si="4"/>
        <v>389373</v>
      </c>
      <c r="H12" s="870">
        <f t="shared" si="5"/>
        <v>63224.70025</v>
      </c>
      <c r="I12" s="870">
        <f t="shared" si="6"/>
        <v>169561.75</v>
      </c>
      <c r="J12" s="870">
        <f t="shared" si="7"/>
        <v>98530.44451</v>
      </c>
      <c r="K12" s="871">
        <f t="shared" si="8"/>
        <v>0.74542256</v>
      </c>
      <c r="L12" s="872" t="s">
        <v>194</v>
      </c>
      <c r="M12" s="872">
        <v>7923.0</v>
      </c>
      <c r="N12" s="872">
        <v>22231.0</v>
      </c>
      <c r="O12" s="904">
        <v>30937.728</v>
      </c>
      <c r="P12" s="904">
        <v>33922.801</v>
      </c>
      <c r="Q12" s="872">
        <v>72992.0</v>
      </c>
      <c r="R12" s="872">
        <v>120454.0</v>
      </c>
      <c r="S12" s="872">
        <v>140621.0</v>
      </c>
      <c r="T12" s="872">
        <v>119924.0</v>
      </c>
      <c r="U12" s="872">
        <v>119022.0</v>
      </c>
      <c r="V12" s="872">
        <v>111494.0</v>
      </c>
      <c r="W12" s="872">
        <v>129501.0</v>
      </c>
      <c r="X12" s="872">
        <v>166578.0</v>
      </c>
      <c r="Y12" s="872">
        <v>178513.0</v>
      </c>
      <c r="Z12" s="872">
        <v>198229.0</v>
      </c>
      <c r="AA12" s="872">
        <v>273175.0</v>
      </c>
      <c r="AB12" s="872">
        <v>389373.0</v>
      </c>
      <c r="AC12" s="15"/>
      <c r="AD12" s="851" t="s">
        <v>194</v>
      </c>
      <c r="AE12" s="846" t="s">
        <v>194</v>
      </c>
      <c r="AF12" s="846" t="s">
        <v>194</v>
      </c>
      <c r="AG12" s="846" t="s">
        <v>194</v>
      </c>
      <c r="AH12" s="846" t="s">
        <v>194</v>
      </c>
      <c r="AI12" s="846" t="s">
        <v>194</v>
      </c>
      <c r="AJ12" s="846" t="s">
        <v>194</v>
      </c>
      <c r="AK12" s="846" t="s">
        <v>194</v>
      </c>
      <c r="AL12" s="846" t="s">
        <v>194</v>
      </c>
      <c r="AM12" s="846" t="s">
        <v>194</v>
      </c>
      <c r="AN12" s="846" t="s">
        <v>194</v>
      </c>
      <c r="AO12" s="846" t="s">
        <v>194</v>
      </c>
      <c r="AP12" s="846" t="s">
        <v>194</v>
      </c>
      <c r="AQ12" s="846" t="s">
        <v>194</v>
      </c>
      <c r="AR12" s="846" t="s">
        <v>194</v>
      </c>
      <c r="AS12" s="846" t="s">
        <v>194</v>
      </c>
      <c r="AT12" s="846" t="s">
        <v>194</v>
      </c>
      <c r="AU12" s="846" t="s">
        <v>194</v>
      </c>
      <c r="AV12" s="846" t="s">
        <v>194</v>
      </c>
      <c r="AW12" s="846" t="s">
        <v>194</v>
      </c>
      <c r="AX12" s="846" t="s">
        <v>194</v>
      </c>
      <c r="AY12" s="846" t="s">
        <v>194</v>
      </c>
    </row>
    <row r="13" outlineLevel="2">
      <c r="A13" s="849">
        <v>1.0</v>
      </c>
      <c r="B13" s="15"/>
      <c r="C13" s="869" t="str">
        <f>"        Other Revenue"</f>
        <v>        Other Revenue</v>
      </c>
      <c r="D13" s="870">
        <f t="shared" si="1"/>
        <v>10103</v>
      </c>
      <c r="E13" s="870">
        <f t="shared" si="2"/>
        <v>11267.66667</v>
      </c>
      <c r="F13" s="870">
        <f t="shared" si="3"/>
        <v>10099</v>
      </c>
      <c r="G13" s="870">
        <f t="shared" si="4"/>
        <v>13601</v>
      </c>
      <c r="H13" s="870">
        <f t="shared" si="5"/>
        <v>10101</v>
      </c>
      <c r="I13" s="870">
        <f t="shared" si="6"/>
        <v>11852</v>
      </c>
      <c r="J13" s="870">
        <f t="shared" si="7"/>
        <v>2020.726932</v>
      </c>
      <c r="K13" s="871">
        <f t="shared" si="8"/>
        <v>0.1793385438</v>
      </c>
      <c r="L13" s="872" t="s">
        <v>194</v>
      </c>
      <c r="M13" s="872" t="s">
        <v>194</v>
      </c>
      <c r="N13" s="872" t="s">
        <v>194</v>
      </c>
      <c r="O13" s="904" t="s">
        <v>194</v>
      </c>
      <c r="P13" s="904" t="s">
        <v>194</v>
      </c>
      <c r="Q13" s="872" t="s">
        <v>194</v>
      </c>
      <c r="R13" s="872" t="s">
        <v>194</v>
      </c>
      <c r="S13" s="872" t="s">
        <v>194</v>
      </c>
      <c r="T13" s="872" t="s">
        <v>194</v>
      </c>
      <c r="U13" s="872" t="s">
        <v>194</v>
      </c>
      <c r="V13" s="872" t="s">
        <v>194</v>
      </c>
      <c r="W13" s="872" t="s">
        <v>194</v>
      </c>
      <c r="X13" s="872" t="s">
        <v>194</v>
      </c>
      <c r="Y13" s="872" t="s">
        <v>194</v>
      </c>
      <c r="Z13" s="872">
        <v>10103.0</v>
      </c>
      <c r="AA13" s="872">
        <v>13601.0</v>
      </c>
      <c r="AB13" s="872">
        <v>10099.0</v>
      </c>
      <c r="AC13" s="15"/>
      <c r="AD13" s="851" t="s">
        <v>194</v>
      </c>
      <c r="AE13" s="846" t="s">
        <v>194</v>
      </c>
      <c r="AF13" s="846" t="s">
        <v>194</v>
      </c>
      <c r="AG13" s="846" t="s">
        <v>194</v>
      </c>
      <c r="AH13" s="846" t="s">
        <v>194</v>
      </c>
      <c r="AI13" s="846" t="s">
        <v>194</v>
      </c>
      <c r="AJ13" s="846" t="s">
        <v>194</v>
      </c>
      <c r="AK13" s="846" t="s">
        <v>194</v>
      </c>
      <c r="AL13" s="846" t="s">
        <v>194</v>
      </c>
      <c r="AM13" s="846" t="s">
        <v>194</v>
      </c>
      <c r="AN13" s="846" t="s">
        <v>194</v>
      </c>
      <c r="AO13" s="846" t="s">
        <v>194</v>
      </c>
      <c r="AP13" s="846" t="s">
        <v>194</v>
      </c>
      <c r="AQ13" s="846" t="s">
        <v>194</v>
      </c>
      <c r="AR13" s="846" t="s">
        <v>194</v>
      </c>
      <c r="AS13" s="846" t="s">
        <v>194</v>
      </c>
      <c r="AT13" s="846" t="s">
        <v>194</v>
      </c>
      <c r="AU13" s="846" t="s">
        <v>194</v>
      </c>
      <c r="AV13" s="846" t="s">
        <v>194</v>
      </c>
      <c r="AW13" s="846" t="s">
        <v>194</v>
      </c>
      <c r="AX13" s="846" t="s">
        <v>194</v>
      </c>
      <c r="AY13" s="846" t="s">
        <v>194</v>
      </c>
    </row>
    <row r="14" outlineLevel="2">
      <c r="A14" s="905">
        <v>1.0</v>
      </c>
      <c r="B14" s="906"/>
      <c r="C14" s="907" t="str">
        <f>"        Total Revenue"</f>
        <v>        Total Revenue</v>
      </c>
      <c r="D14" s="908">
        <f t="shared" si="1"/>
        <v>120189</v>
      </c>
      <c r="E14" s="908">
        <f t="shared" si="2"/>
        <v>134293.3456</v>
      </c>
      <c r="F14" s="908">
        <f t="shared" si="3"/>
        <v>7923</v>
      </c>
      <c r="G14" s="908">
        <f t="shared" si="4"/>
        <v>399472</v>
      </c>
      <c r="H14" s="908">
        <f t="shared" si="5"/>
        <v>63224.70025</v>
      </c>
      <c r="I14" s="908">
        <f t="shared" si="6"/>
        <v>169561.75</v>
      </c>
      <c r="J14" s="908">
        <f t="shared" si="7"/>
        <v>102080.3708</v>
      </c>
      <c r="K14" s="909">
        <f t="shared" si="8"/>
        <v>0.7601297772</v>
      </c>
      <c r="L14" s="908" t="s">
        <v>194</v>
      </c>
      <c r="M14" s="908">
        <v>7923.0</v>
      </c>
      <c r="N14" s="908">
        <v>22231.0</v>
      </c>
      <c r="O14" s="910">
        <v>30937.728</v>
      </c>
      <c r="P14" s="910">
        <v>33922.801</v>
      </c>
      <c r="Q14" s="908">
        <v>72992.0</v>
      </c>
      <c r="R14" s="908">
        <v>120454.0</v>
      </c>
      <c r="S14" s="908">
        <v>140621.0</v>
      </c>
      <c r="T14" s="908">
        <v>119924.0</v>
      </c>
      <c r="U14" s="908">
        <v>119022.0</v>
      </c>
      <c r="V14" s="908">
        <v>111494.0</v>
      </c>
      <c r="W14" s="908">
        <v>129501.0</v>
      </c>
      <c r="X14" s="908">
        <v>166578.0</v>
      </c>
      <c r="Y14" s="908">
        <v>178513.0</v>
      </c>
      <c r="Z14" s="908">
        <v>208332.0</v>
      </c>
      <c r="AA14" s="908">
        <v>286776.0</v>
      </c>
      <c r="AB14" s="908">
        <v>399472.0</v>
      </c>
      <c r="AC14" s="906"/>
      <c r="AD14" s="911" t="s">
        <v>194</v>
      </c>
      <c r="AE14" s="906" t="s">
        <v>194</v>
      </c>
      <c r="AF14" s="906" t="s">
        <v>194</v>
      </c>
      <c r="AG14" s="906" t="s">
        <v>194</v>
      </c>
      <c r="AH14" s="906" t="s">
        <v>194</v>
      </c>
      <c r="AI14" s="906" t="s">
        <v>194</v>
      </c>
      <c r="AJ14" s="906" t="s">
        <v>194</v>
      </c>
      <c r="AK14" s="906" t="s">
        <v>194</v>
      </c>
      <c r="AL14" s="906" t="s">
        <v>194</v>
      </c>
      <c r="AM14" s="906" t="s">
        <v>194</v>
      </c>
      <c r="AN14" s="906" t="s">
        <v>194</v>
      </c>
      <c r="AO14" s="906" t="s">
        <v>194</v>
      </c>
      <c r="AP14" s="906" t="s">
        <v>194</v>
      </c>
      <c r="AQ14" s="906" t="s">
        <v>194</v>
      </c>
      <c r="AR14" s="906" t="s">
        <v>194</v>
      </c>
      <c r="AS14" s="906" t="s">
        <v>194</v>
      </c>
      <c r="AT14" s="906" t="s">
        <v>194</v>
      </c>
      <c r="AU14" s="906" t="s">
        <v>194</v>
      </c>
      <c r="AV14" s="906" t="s">
        <v>194</v>
      </c>
      <c r="AW14" s="906" t="s">
        <v>194</v>
      </c>
      <c r="AX14" s="906" t="s">
        <v>194</v>
      </c>
      <c r="AY14" s="906" t="s">
        <v>194</v>
      </c>
    </row>
    <row r="15" outlineLevel="1">
      <c r="A15" s="905">
        <v>1.0</v>
      </c>
      <c r="B15" s="906"/>
      <c r="C15" s="912" t="str">
        <f>"    Cost of Revenue"</f>
        <v>    Cost of Revenue</v>
      </c>
      <c r="D15" s="913">
        <f t="shared" si="1"/>
        <v>48688</v>
      </c>
      <c r="E15" s="913">
        <f t="shared" si="2"/>
        <v>55293.26653</v>
      </c>
      <c r="F15" s="913">
        <f t="shared" si="3"/>
        <v>5664</v>
      </c>
      <c r="G15" s="913">
        <f t="shared" si="4"/>
        <v>148986</v>
      </c>
      <c r="H15" s="913">
        <f t="shared" si="5"/>
        <v>32719.5</v>
      </c>
      <c r="I15" s="913">
        <f t="shared" si="6"/>
        <v>72535</v>
      </c>
      <c r="J15" s="913">
        <f t="shared" si="7"/>
        <v>38315.96269</v>
      </c>
      <c r="K15" s="914">
        <f t="shared" si="8"/>
        <v>0.6929589278</v>
      </c>
      <c r="L15" s="913" t="s">
        <v>194</v>
      </c>
      <c r="M15" s="913">
        <v>5664.0</v>
      </c>
      <c r="N15" s="913">
        <v>16971.0</v>
      </c>
      <c r="O15" s="904" t="s">
        <v>194</v>
      </c>
      <c r="P15" s="904">
        <v>12700.998</v>
      </c>
      <c r="Q15" s="913">
        <v>25526.0</v>
      </c>
      <c r="R15" s="913">
        <v>39913.0</v>
      </c>
      <c r="S15" s="913">
        <v>48688.0</v>
      </c>
      <c r="T15" s="913">
        <v>47492.0</v>
      </c>
      <c r="U15" s="913">
        <v>49076.0</v>
      </c>
      <c r="V15" s="913">
        <v>45593.0</v>
      </c>
      <c r="W15" s="913">
        <v>50431.0</v>
      </c>
      <c r="X15" s="913">
        <v>73114.0</v>
      </c>
      <c r="Y15" s="913">
        <v>71956.0</v>
      </c>
      <c r="Z15" s="913">
        <v>78882.0</v>
      </c>
      <c r="AA15" s="913">
        <v>114406.0</v>
      </c>
      <c r="AB15" s="913">
        <v>148986.0</v>
      </c>
      <c r="AC15" s="906"/>
      <c r="AD15" s="911" t="s">
        <v>194</v>
      </c>
      <c r="AE15" s="906" t="s">
        <v>194</v>
      </c>
      <c r="AF15" s="906" t="s">
        <v>194</v>
      </c>
      <c r="AG15" s="906" t="s">
        <v>194</v>
      </c>
      <c r="AH15" s="906" t="s">
        <v>194</v>
      </c>
      <c r="AI15" s="906" t="s">
        <v>194</v>
      </c>
      <c r="AJ15" s="906" t="s">
        <v>194</v>
      </c>
      <c r="AK15" s="906" t="s">
        <v>194</v>
      </c>
      <c r="AL15" s="906" t="s">
        <v>194</v>
      </c>
      <c r="AM15" s="906" t="s">
        <v>194</v>
      </c>
      <c r="AN15" s="906" t="s">
        <v>194</v>
      </c>
      <c r="AO15" s="906" t="s">
        <v>194</v>
      </c>
      <c r="AP15" s="906" t="s">
        <v>194</v>
      </c>
      <c r="AQ15" s="906" t="s">
        <v>194</v>
      </c>
      <c r="AR15" s="906" t="s">
        <v>194</v>
      </c>
      <c r="AS15" s="906" t="s">
        <v>194</v>
      </c>
      <c r="AT15" s="906" t="s">
        <v>194</v>
      </c>
      <c r="AU15" s="906" t="s">
        <v>194</v>
      </c>
      <c r="AV15" s="906" t="s">
        <v>194</v>
      </c>
      <c r="AW15" s="906" t="s">
        <v>194</v>
      </c>
      <c r="AX15" s="906" t="s">
        <v>194</v>
      </c>
      <c r="AY15" s="906" t="s">
        <v>194</v>
      </c>
    </row>
    <row r="16" outlineLevel="1">
      <c r="A16" s="905">
        <v>1.0</v>
      </c>
      <c r="B16" s="906"/>
      <c r="C16" s="915" t="str">
        <f>"    Total Gross Profit"</f>
        <v>    Total Gross Profit</v>
      </c>
      <c r="D16" s="908">
        <f t="shared" si="1"/>
        <v>79070</v>
      </c>
      <c r="E16" s="908">
        <f t="shared" si="2"/>
        <v>85890.45353</v>
      </c>
      <c r="F16" s="908">
        <f t="shared" si="3"/>
        <v>2259</v>
      </c>
      <c r="G16" s="908">
        <f t="shared" si="4"/>
        <v>250486</v>
      </c>
      <c r="H16" s="908">
        <f t="shared" si="5"/>
        <v>56683.5</v>
      </c>
      <c r="I16" s="908">
        <f t="shared" si="6"/>
        <v>100010.5</v>
      </c>
      <c r="J16" s="908">
        <f t="shared" si="7"/>
        <v>63837.32069</v>
      </c>
      <c r="K16" s="909">
        <f t="shared" si="8"/>
        <v>0.7432411644</v>
      </c>
      <c r="L16" s="908" t="s">
        <v>194</v>
      </c>
      <c r="M16" s="908">
        <v>2259.0</v>
      </c>
      <c r="N16" s="908">
        <v>5260.0</v>
      </c>
      <c r="O16" s="910" t="s">
        <v>194</v>
      </c>
      <c r="P16" s="910">
        <v>21221.803</v>
      </c>
      <c r="Q16" s="908">
        <v>47466.0</v>
      </c>
      <c r="R16" s="908">
        <v>80541.0</v>
      </c>
      <c r="S16" s="908">
        <v>91933.0</v>
      </c>
      <c r="T16" s="908">
        <v>72432.0</v>
      </c>
      <c r="U16" s="908">
        <v>69946.0</v>
      </c>
      <c r="V16" s="908">
        <v>65901.0</v>
      </c>
      <c r="W16" s="908">
        <v>79070.0</v>
      </c>
      <c r="X16" s="908">
        <v>93464.0</v>
      </c>
      <c r="Y16" s="908">
        <v>106557.0</v>
      </c>
      <c r="Z16" s="908">
        <v>129450.0</v>
      </c>
      <c r="AA16" s="908">
        <v>172370.0</v>
      </c>
      <c r="AB16" s="908">
        <v>250486.0</v>
      </c>
      <c r="AC16" s="906"/>
      <c r="AD16" s="911" t="s">
        <v>194</v>
      </c>
      <c r="AE16" s="906" t="s">
        <v>194</v>
      </c>
      <c r="AF16" s="906" t="s">
        <v>194</v>
      </c>
      <c r="AG16" s="906" t="s">
        <v>194</v>
      </c>
      <c r="AH16" s="906" t="s">
        <v>194</v>
      </c>
      <c r="AI16" s="906" t="s">
        <v>194</v>
      </c>
      <c r="AJ16" s="906" t="s">
        <v>194</v>
      </c>
      <c r="AK16" s="906" t="s">
        <v>194</v>
      </c>
      <c r="AL16" s="906" t="s">
        <v>194</v>
      </c>
      <c r="AM16" s="906" t="s">
        <v>194</v>
      </c>
      <c r="AN16" s="906" t="s">
        <v>194</v>
      </c>
      <c r="AO16" s="906" t="s">
        <v>194</v>
      </c>
      <c r="AP16" s="906" t="s">
        <v>194</v>
      </c>
      <c r="AQ16" s="906" t="s">
        <v>194</v>
      </c>
      <c r="AR16" s="906" t="s">
        <v>194</v>
      </c>
      <c r="AS16" s="906" t="s">
        <v>194</v>
      </c>
      <c r="AT16" s="906" t="s">
        <v>194</v>
      </c>
      <c r="AU16" s="906" t="s">
        <v>194</v>
      </c>
      <c r="AV16" s="906" t="s">
        <v>194</v>
      </c>
      <c r="AW16" s="906" t="s">
        <v>194</v>
      </c>
      <c r="AX16" s="906" t="s">
        <v>194</v>
      </c>
      <c r="AY16" s="906" t="s">
        <v>194</v>
      </c>
    </row>
    <row r="17">
      <c r="A17" s="849">
        <v>1.0</v>
      </c>
      <c r="B17" s="15"/>
      <c r="C17" s="855" t="str">
        <f>IF(SUBTOTAL(109,A18)=A18,"Operating (Income)/Expenses","Operating (Income)/Expenses")</f>
        <v>Operating (Income)/Expenses</v>
      </c>
      <c r="D17" s="866" t="str">
        <f t="shared" si="1"/>
        <v>#VALUE!</v>
      </c>
      <c r="E17" s="866" t="str">
        <f t="shared" si="2"/>
        <v>#VALUE!</v>
      </c>
      <c r="F17" s="866" t="str">
        <f t="shared" si="3"/>
        <v>#VALUE!</v>
      </c>
      <c r="G17" s="866" t="str">
        <f t="shared" si="4"/>
        <v>#VALUE!</v>
      </c>
      <c r="H17" s="866" t="str">
        <f t="shared" si="5"/>
        <v>#VALUE!</v>
      </c>
      <c r="I17" s="866" t="str">
        <f t="shared" si="6"/>
        <v>#VALUE!</v>
      </c>
      <c r="J17" s="866" t="str">
        <f t="shared" si="7"/>
        <v/>
      </c>
      <c r="K17" s="867" t="str">
        <f t="shared" si="8"/>
        <v/>
      </c>
      <c r="L17" s="866" t="s">
        <v>194</v>
      </c>
      <c r="M17" s="866" t="str">
        <f>IF(SUBTOTAL(109,#REF!)=#REF!,"",14985)</f>
        <v>#VALUE!</v>
      </c>
      <c r="N17" s="866" t="str">
        <f>IF(SUBTOTAL(109,#REF!)=#REF!,"",25359)</f>
        <v>#VALUE!</v>
      </c>
      <c r="O17" s="903" t="str">
        <f t="shared" ref="O17:O18" si="9">IF(SUBTOTAL(109,#REF!)=#REF!,"","")</f>
        <v>#VALUE!</v>
      </c>
      <c r="P17" s="903" t="str">
        <f>IF(SUBTOTAL(109,#REF!)=#REF!,"",25709.719)</f>
        <v>#VALUE!</v>
      </c>
      <c r="Q17" s="866" t="str">
        <f>IF(SUBTOTAL(109,#REF!)=#REF!,"",47224)</f>
        <v>#VALUE!</v>
      </c>
      <c r="R17" s="866" t="str">
        <f>IF(SUBTOTAL(109,#REF!)=#REF!,"",65970)</f>
        <v>#VALUE!</v>
      </c>
      <c r="S17" s="866" t="str">
        <f>IF(SUBTOTAL(109,#REF!)=#REF!,"",99601)</f>
        <v>#VALUE!</v>
      </c>
      <c r="T17" s="866" t="str">
        <f>IF(SUBTOTAL(109,#REF!)=#REF!,"",87470)</f>
        <v>#VALUE!</v>
      </c>
      <c r="U17" s="866" t="str">
        <f>IF(SUBTOTAL(109,B18)=B18,"",80610)</f>
        <v/>
      </c>
      <c r="V17" s="866" t="str">
        <f>IF(SUBTOTAL(109,D18)=D18,"",78872)</f>
        <v>#VALUE!</v>
      </c>
      <c r="W17" s="866" t="str">
        <f>IF(SUBTOTAL(109,F18)=F18,"",85951)</f>
        <v>#VALUE!</v>
      </c>
      <c r="X17" s="866" t="str">
        <f>IF(SUBTOTAL(109,H18)=H18,"",97777)</f>
        <v>#VALUE!</v>
      </c>
      <c r="Y17" s="866" t="str">
        <f>IF(SUBTOTAL(109,J18)=J18,"",90976)</f>
        <v>#VALUE!</v>
      </c>
      <c r="Z17" s="866">
        <f>IF(SUBTOTAL(109,L18)=L18,"",101507)</f>
        <v>101507</v>
      </c>
      <c r="AA17" s="866" t="str">
        <f>IF(SUBTOTAL(109,N18)=N18,"",160842)</f>
        <v>#VALUE!</v>
      </c>
      <c r="AB17" s="866" t="str">
        <f>IF(SUBTOTAL(109,P18)=P18,"",178450)</f>
        <v>#VALUE!</v>
      </c>
      <c r="AC17" s="15"/>
      <c r="AD17" s="851" t="s">
        <v>194</v>
      </c>
      <c r="AE17" s="846" t="s">
        <v>194</v>
      </c>
      <c r="AF17" s="846" t="s">
        <v>194</v>
      </c>
      <c r="AG17" s="846" t="s">
        <v>194</v>
      </c>
      <c r="AH17" s="846" t="s">
        <v>194</v>
      </c>
      <c r="AI17" s="846" t="s">
        <v>194</v>
      </c>
      <c r="AJ17" s="846" t="s">
        <v>194</v>
      </c>
      <c r="AK17" s="846" t="s">
        <v>194</v>
      </c>
      <c r="AL17" s="846" t="s">
        <v>194</v>
      </c>
      <c r="AM17" s="846" t="s">
        <v>194</v>
      </c>
      <c r="AN17" s="846" t="s">
        <v>194</v>
      </c>
      <c r="AO17" s="846" t="s">
        <v>194</v>
      </c>
      <c r="AP17" s="846" t="s">
        <v>194</v>
      </c>
      <c r="AQ17" s="846" t="s">
        <v>194</v>
      </c>
      <c r="AR17" s="846" t="s">
        <v>194</v>
      </c>
      <c r="AS17" s="846" t="s">
        <v>194</v>
      </c>
      <c r="AT17" s="846" t="s">
        <v>194</v>
      </c>
      <c r="AU17" s="846" t="s">
        <v>194</v>
      </c>
      <c r="AV17" s="846" t="s">
        <v>194</v>
      </c>
      <c r="AW17" s="846" t="s">
        <v>194</v>
      </c>
      <c r="AX17" s="846" t="s">
        <v>194</v>
      </c>
      <c r="AY17" s="846" t="s">
        <v>194</v>
      </c>
    </row>
    <row r="18" outlineLevel="1">
      <c r="A18" s="849">
        <v>1.0</v>
      </c>
      <c r="B18" s="15"/>
      <c r="C18" s="869" t="str">
        <f>IF(SUBTOTAL(109,A19)=A19,"    Selling, General and Administrative Expenses","    Selling, General and Administrative Expenses")</f>
        <v>    Selling, General and Administrative Expenses</v>
      </c>
      <c r="D18" s="870" t="str">
        <f t="shared" si="1"/>
        <v>#VALUE!</v>
      </c>
      <c r="E18" s="870" t="str">
        <f t="shared" si="2"/>
        <v>#VALUE!</v>
      </c>
      <c r="F18" s="870" t="str">
        <f t="shared" si="3"/>
        <v>#VALUE!</v>
      </c>
      <c r="G18" s="870" t="str">
        <f t="shared" si="4"/>
        <v>#VALUE!</v>
      </c>
      <c r="H18" s="870" t="str">
        <f t="shared" si="5"/>
        <v>#VALUE!</v>
      </c>
      <c r="I18" s="870" t="str">
        <f t="shared" si="6"/>
        <v>#VALUE!</v>
      </c>
      <c r="J18" s="870" t="str">
        <f t="shared" si="7"/>
        <v>#VALUE!</v>
      </c>
      <c r="K18" s="871" t="str">
        <f t="shared" si="8"/>
        <v>#VALUE!</v>
      </c>
      <c r="L18" s="872" t="s">
        <v>194</v>
      </c>
      <c r="M18" s="872" t="str">
        <f>IF(SUBTOTAL(109,#REF!)=#REF!,"",3527)</f>
        <v>#VALUE!</v>
      </c>
      <c r="N18" s="872" t="str">
        <f>IF(SUBTOTAL(109,#REF!)=#REF!,"",7695)</f>
        <v>#VALUE!</v>
      </c>
      <c r="O18" s="904" t="str">
        <f t="shared" si="9"/>
        <v>#VALUE!</v>
      </c>
      <c r="P18" s="904" t="str">
        <f>IF(SUBTOTAL(109,#REF!)=#REF!,"",22078.9)</f>
        <v>#VALUE!</v>
      </c>
      <c r="Q18" s="872" t="str">
        <f>IF(SUBTOTAL(109,#REF!)=#REF!,"",15968)</f>
        <v>#VALUE!</v>
      </c>
      <c r="R18" s="872" t="str">
        <f>IF(SUBTOTAL(109,#REF!)=#REF!,"",48718)</f>
        <v>#VALUE!</v>
      </c>
      <c r="S18" s="872" t="str">
        <f>IF(SUBTOTAL(109,#REF!)=#REF!,"",73809)</f>
        <v>#VALUE!</v>
      </c>
      <c r="T18" s="872" t="str">
        <f>IF(SUBTOTAL(109,#REF!)=#REF!,"",63995)</f>
        <v>#VALUE!</v>
      </c>
      <c r="U18" s="872" t="str">
        <f>IF(SUBTOTAL(109,B19)=B19,"",62832)</f>
        <v/>
      </c>
      <c r="V18" s="872" t="str">
        <f>IF(SUBTOTAL(109,D19)=D19,"",62296)</f>
        <v/>
      </c>
      <c r="W18" s="872" t="str">
        <f>IF(SUBTOTAL(109,F19)=F19,"",70826)</f>
        <v/>
      </c>
      <c r="X18" s="872" t="str">
        <f>IF(SUBTOTAL(109,H19)=H19,"",81034)</f>
        <v/>
      </c>
      <c r="Y18" s="872" t="str">
        <f>IF(SUBTOTAL(109,J19)=J19,"",75818)</f>
        <v/>
      </c>
      <c r="Z18" s="872">
        <f>IF(SUBTOTAL(109,L19)=L19,"",84513)</f>
        <v>84513</v>
      </c>
      <c r="AA18" s="872">
        <f>IF(SUBTOTAL(109,N19)=N19,"",118305)</f>
        <v>118305</v>
      </c>
      <c r="AB18" s="872">
        <f>IF(SUBTOTAL(109,P19)=P19,"",152585)</f>
        <v>152585</v>
      </c>
      <c r="AC18" s="15"/>
      <c r="AD18" s="851" t="s">
        <v>194</v>
      </c>
      <c r="AE18" s="846" t="s">
        <v>194</v>
      </c>
      <c r="AF18" s="846" t="s">
        <v>194</v>
      </c>
      <c r="AG18" s="846" t="s">
        <v>194</v>
      </c>
      <c r="AH18" s="846" t="s">
        <v>194</v>
      </c>
      <c r="AI18" s="846" t="s">
        <v>194</v>
      </c>
      <c r="AJ18" s="846" t="s">
        <v>194</v>
      </c>
      <c r="AK18" s="846" t="s">
        <v>194</v>
      </c>
      <c r="AL18" s="846" t="s">
        <v>194</v>
      </c>
      <c r="AM18" s="846" t="s">
        <v>194</v>
      </c>
      <c r="AN18" s="846" t="s">
        <v>194</v>
      </c>
      <c r="AO18" s="846" t="s">
        <v>194</v>
      </c>
      <c r="AP18" s="846" t="s">
        <v>194</v>
      </c>
      <c r="AQ18" s="846" t="s">
        <v>194</v>
      </c>
      <c r="AR18" s="846" t="s">
        <v>194</v>
      </c>
      <c r="AS18" s="846" t="s">
        <v>194</v>
      </c>
      <c r="AT18" s="846" t="s">
        <v>194</v>
      </c>
      <c r="AU18" s="846" t="s">
        <v>194</v>
      </c>
      <c r="AV18" s="846" t="s">
        <v>194</v>
      </c>
      <c r="AW18" s="846" t="s">
        <v>194</v>
      </c>
      <c r="AX18" s="846" t="s">
        <v>194</v>
      </c>
      <c r="AY18" s="846" t="s">
        <v>194</v>
      </c>
    </row>
    <row r="19" outlineLevel="2">
      <c r="A19" s="849">
        <v>1.0</v>
      </c>
      <c r="B19" s="15"/>
      <c r="C19" s="869" t="str">
        <f>"        Staff Costs"</f>
        <v>        Staff Costs</v>
      </c>
      <c r="D19" s="870">
        <f t="shared" si="1"/>
        <v>1490</v>
      </c>
      <c r="E19" s="870">
        <f t="shared" si="2"/>
        <v>1546</v>
      </c>
      <c r="F19" s="870">
        <f t="shared" si="3"/>
        <v>1410</v>
      </c>
      <c r="G19" s="870">
        <f t="shared" si="4"/>
        <v>1738</v>
      </c>
      <c r="H19" s="870">
        <f t="shared" si="5"/>
        <v>1450</v>
      </c>
      <c r="I19" s="870">
        <f t="shared" si="6"/>
        <v>1614</v>
      </c>
      <c r="J19" s="870">
        <f t="shared" si="7"/>
        <v>171.0204666</v>
      </c>
      <c r="K19" s="871">
        <f t="shared" si="8"/>
        <v>0.1106212591</v>
      </c>
      <c r="L19" s="872" t="s">
        <v>194</v>
      </c>
      <c r="M19" s="872" t="s">
        <v>194</v>
      </c>
      <c r="N19" s="872" t="s">
        <v>194</v>
      </c>
      <c r="O19" s="904" t="s">
        <v>194</v>
      </c>
      <c r="P19" s="904" t="s">
        <v>194</v>
      </c>
      <c r="Q19" s="872" t="s">
        <v>194</v>
      </c>
      <c r="R19" s="872" t="s">
        <v>194</v>
      </c>
      <c r="S19" s="872" t="s">
        <v>194</v>
      </c>
      <c r="T19" s="872" t="s">
        <v>194</v>
      </c>
      <c r="U19" s="872" t="s">
        <v>194</v>
      </c>
      <c r="V19" s="872">
        <v>1490.0</v>
      </c>
      <c r="W19" s="872">
        <v>1410.0</v>
      </c>
      <c r="X19" s="872">
        <v>1738.0</v>
      </c>
      <c r="Y19" s="872" t="s">
        <v>194</v>
      </c>
      <c r="Z19" s="872" t="s">
        <v>194</v>
      </c>
      <c r="AA19" s="872" t="s">
        <v>194</v>
      </c>
      <c r="AB19" s="872" t="s">
        <v>194</v>
      </c>
      <c r="AC19" s="15"/>
      <c r="AD19" s="851" t="s">
        <v>194</v>
      </c>
      <c r="AE19" s="846" t="s">
        <v>194</v>
      </c>
      <c r="AF19" s="846" t="s">
        <v>194</v>
      </c>
      <c r="AG19" s="846" t="s">
        <v>194</v>
      </c>
      <c r="AH19" s="846" t="s">
        <v>194</v>
      </c>
      <c r="AI19" s="846" t="s">
        <v>194</v>
      </c>
      <c r="AJ19" s="846" t="s">
        <v>194</v>
      </c>
      <c r="AK19" s="846" t="s">
        <v>194</v>
      </c>
      <c r="AL19" s="846" t="s">
        <v>194</v>
      </c>
      <c r="AM19" s="846" t="s">
        <v>194</v>
      </c>
      <c r="AN19" s="846" t="s">
        <v>194</v>
      </c>
      <c r="AO19" s="846" t="s">
        <v>194</v>
      </c>
      <c r="AP19" s="846" t="s">
        <v>194</v>
      </c>
      <c r="AQ19" s="846" t="s">
        <v>194</v>
      </c>
      <c r="AR19" s="846" t="s">
        <v>194</v>
      </c>
      <c r="AS19" s="846" t="s">
        <v>194</v>
      </c>
      <c r="AT19" s="846" t="s">
        <v>194</v>
      </c>
      <c r="AU19" s="846" t="s">
        <v>194</v>
      </c>
      <c r="AV19" s="846" t="s">
        <v>194</v>
      </c>
      <c r="AW19" s="846" t="s">
        <v>194</v>
      </c>
      <c r="AX19" s="846" t="s">
        <v>194</v>
      </c>
      <c r="AY19" s="846" t="s">
        <v>194</v>
      </c>
    </row>
    <row r="20" outlineLevel="2">
      <c r="A20" s="916">
        <v>1.0</v>
      </c>
      <c r="B20" s="917"/>
      <c r="C20" s="918" t="str">
        <f>"        General and Administrative Expenses"</f>
        <v>        General and Administrative Expenses</v>
      </c>
      <c r="D20" s="919">
        <f t="shared" si="1"/>
        <v>39153</v>
      </c>
      <c r="E20" s="919">
        <f t="shared" si="2"/>
        <v>49932.81818</v>
      </c>
      <c r="F20" s="919">
        <f t="shared" si="3"/>
        <v>27607</v>
      </c>
      <c r="G20" s="919">
        <f t="shared" si="4"/>
        <v>109736</v>
      </c>
      <c r="H20" s="919">
        <f t="shared" si="5"/>
        <v>34834</v>
      </c>
      <c r="I20" s="919">
        <f t="shared" si="6"/>
        <v>51879.5</v>
      </c>
      <c r="J20" s="919">
        <f t="shared" si="7"/>
        <v>24964.88492</v>
      </c>
      <c r="K20" s="920">
        <f t="shared" si="8"/>
        <v>0.4999694756</v>
      </c>
      <c r="L20" s="919" t="s">
        <v>194</v>
      </c>
      <c r="M20" s="919" t="s">
        <v>194</v>
      </c>
      <c r="N20" s="919" t="s">
        <v>194</v>
      </c>
      <c r="O20" s="904" t="s">
        <v>194</v>
      </c>
      <c r="P20" s="904" t="s">
        <v>194</v>
      </c>
      <c r="Q20" s="919" t="s">
        <v>194</v>
      </c>
      <c r="R20" s="919">
        <v>27607.0</v>
      </c>
      <c r="S20" s="919">
        <v>39153.0</v>
      </c>
      <c r="T20" s="919">
        <v>34657.0</v>
      </c>
      <c r="U20" s="919">
        <v>35011.0</v>
      </c>
      <c r="V20" s="919">
        <v>33422.0</v>
      </c>
      <c r="W20" s="919">
        <v>37133.0</v>
      </c>
      <c r="X20" s="919">
        <v>45800.0</v>
      </c>
      <c r="Y20" s="919">
        <v>47882.0</v>
      </c>
      <c r="Z20" s="919">
        <v>55877.0</v>
      </c>
      <c r="AA20" s="919">
        <v>82983.0</v>
      </c>
      <c r="AB20" s="919">
        <v>109736.0</v>
      </c>
      <c r="AC20" s="917"/>
      <c r="AD20" s="921" t="s">
        <v>194</v>
      </c>
      <c r="AE20" s="917" t="s">
        <v>194</v>
      </c>
      <c r="AF20" s="917" t="s">
        <v>194</v>
      </c>
      <c r="AG20" s="917" t="s">
        <v>194</v>
      </c>
      <c r="AH20" s="917" t="s">
        <v>194</v>
      </c>
      <c r="AI20" s="917" t="s">
        <v>194</v>
      </c>
      <c r="AJ20" s="917" t="s">
        <v>194</v>
      </c>
      <c r="AK20" s="917" t="s">
        <v>194</v>
      </c>
      <c r="AL20" s="917" t="s">
        <v>194</v>
      </c>
      <c r="AM20" s="917" t="s">
        <v>194</v>
      </c>
      <c r="AN20" s="917" t="s">
        <v>194</v>
      </c>
      <c r="AO20" s="917" t="s">
        <v>194</v>
      </c>
      <c r="AP20" s="917" t="s">
        <v>194</v>
      </c>
      <c r="AQ20" s="917" t="s">
        <v>194</v>
      </c>
      <c r="AR20" s="917" t="s">
        <v>194</v>
      </c>
      <c r="AS20" s="917" t="s">
        <v>194</v>
      </c>
      <c r="AT20" s="917" t="s">
        <v>194</v>
      </c>
      <c r="AU20" s="917" t="s">
        <v>194</v>
      </c>
      <c r="AV20" s="917" t="s">
        <v>194</v>
      </c>
      <c r="AW20" s="917" t="s">
        <v>194</v>
      </c>
      <c r="AX20" s="917" t="s">
        <v>194</v>
      </c>
      <c r="AY20" s="917" t="s">
        <v>194</v>
      </c>
    </row>
    <row r="21" ht="15.75" customHeight="1" outlineLevel="2">
      <c r="A21" s="849">
        <v>1.0</v>
      </c>
      <c r="B21" s="15"/>
      <c r="C21" s="869" t="str">
        <f>"        Legal, Accounting, Auditing and Consulting Fees"</f>
        <v>        Legal, Accounting, Auditing and Consulting Fees</v>
      </c>
      <c r="D21" s="870">
        <f t="shared" si="1"/>
        <v>4691</v>
      </c>
      <c r="E21" s="870">
        <f t="shared" si="2"/>
        <v>4159.666667</v>
      </c>
      <c r="F21" s="870">
        <f t="shared" si="3"/>
        <v>1780</v>
      </c>
      <c r="G21" s="870">
        <f t="shared" si="4"/>
        <v>6008</v>
      </c>
      <c r="H21" s="870">
        <f t="shared" si="5"/>
        <v>3235.5</v>
      </c>
      <c r="I21" s="870">
        <f t="shared" si="6"/>
        <v>5349.5</v>
      </c>
      <c r="J21" s="870">
        <f t="shared" si="7"/>
        <v>2163.500019</v>
      </c>
      <c r="K21" s="871">
        <f t="shared" si="8"/>
        <v>0.5201137958</v>
      </c>
      <c r="L21" s="872" t="s">
        <v>194</v>
      </c>
      <c r="M21" s="872" t="s">
        <v>194</v>
      </c>
      <c r="N21" s="872" t="s">
        <v>194</v>
      </c>
      <c r="O21" s="904" t="s">
        <v>194</v>
      </c>
      <c r="P21" s="904" t="s">
        <v>194</v>
      </c>
      <c r="Q21" s="872" t="s">
        <v>194</v>
      </c>
      <c r="R21" s="872" t="s">
        <v>194</v>
      </c>
      <c r="S21" s="872" t="s">
        <v>194</v>
      </c>
      <c r="T21" s="872" t="s">
        <v>194</v>
      </c>
      <c r="U21" s="872" t="s">
        <v>194</v>
      </c>
      <c r="V21" s="872">
        <v>1780.0</v>
      </c>
      <c r="W21" s="872">
        <v>6008.0</v>
      </c>
      <c r="X21" s="872">
        <v>4691.0</v>
      </c>
      <c r="Y21" s="872" t="s">
        <v>194</v>
      </c>
      <c r="Z21" s="872" t="s">
        <v>194</v>
      </c>
      <c r="AA21" s="872" t="s">
        <v>194</v>
      </c>
      <c r="AB21" s="872" t="s">
        <v>194</v>
      </c>
      <c r="AC21" s="15"/>
      <c r="AD21" s="851" t="s">
        <v>194</v>
      </c>
      <c r="AE21" s="846" t="s">
        <v>194</v>
      </c>
      <c r="AF21" s="846" t="s">
        <v>194</v>
      </c>
      <c r="AG21" s="846" t="s">
        <v>194</v>
      </c>
      <c r="AH21" s="846" t="s">
        <v>194</v>
      </c>
      <c r="AI21" s="846" t="s">
        <v>194</v>
      </c>
      <c r="AJ21" s="846" t="s">
        <v>194</v>
      </c>
      <c r="AK21" s="846" t="s">
        <v>194</v>
      </c>
      <c r="AL21" s="846" t="s">
        <v>194</v>
      </c>
      <c r="AM21" s="846" t="s">
        <v>194</v>
      </c>
      <c r="AN21" s="846" t="s">
        <v>194</v>
      </c>
      <c r="AO21" s="846" t="s">
        <v>194</v>
      </c>
      <c r="AP21" s="846" t="s">
        <v>194</v>
      </c>
      <c r="AQ21" s="846" t="s">
        <v>194</v>
      </c>
      <c r="AR21" s="846" t="s">
        <v>194</v>
      </c>
      <c r="AS21" s="846" t="s">
        <v>194</v>
      </c>
      <c r="AT21" s="846" t="s">
        <v>194</v>
      </c>
      <c r="AU21" s="846" t="s">
        <v>194</v>
      </c>
      <c r="AV21" s="846" t="s">
        <v>194</v>
      </c>
      <c r="AW21" s="846" t="s">
        <v>194</v>
      </c>
      <c r="AX21" s="846" t="s">
        <v>194</v>
      </c>
      <c r="AY21" s="846" t="s">
        <v>194</v>
      </c>
    </row>
    <row r="22" ht="15.75" customHeight="1" outlineLevel="2">
      <c r="A22" s="916">
        <v>1.0</v>
      </c>
      <c r="B22" s="917"/>
      <c r="C22" s="918" t="str">
        <f>"        Selling and Marketing Expenses"</f>
        <v>        Selling and Marketing Expenses</v>
      </c>
      <c r="D22" s="919">
        <f t="shared" si="1"/>
        <v>27878.5</v>
      </c>
      <c r="E22" s="919">
        <f t="shared" si="2"/>
        <v>25395.92857</v>
      </c>
      <c r="F22" s="919">
        <f t="shared" si="3"/>
        <v>3527</v>
      </c>
      <c r="G22" s="919">
        <f t="shared" si="4"/>
        <v>42849</v>
      </c>
      <c r="H22" s="919">
        <f t="shared" si="5"/>
        <v>22234.25</v>
      </c>
      <c r="I22" s="919">
        <f t="shared" si="6"/>
        <v>29204.75</v>
      </c>
      <c r="J22" s="919">
        <f t="shared" si="7"/>
        <v>10519.26303</v>
      </c>
      <c r="K22" s="920">
        <f t="shared" si="8"/>
        <v>0.4142106086</v>
      </c>
      <c r="L22" s="919" t="s">
        <v>194</v>
      </c>
      <c r="M22" s="919">
        <v>3527.0</v>
      </c>
      <c r="N22" s="919">
        <v>7695.0</v>
      </c>
      <c r="O22" s="904" t="s">
        <v>194</v>
      </c>
      <c r="P22" s="904" t="s">
        <v>194</v>
      </c>
      <c r="Q22" s="919">
        <v>15968.0</v>
      </c>
      <c r="R22" s="919">
        <v>21111.0</v>
      </c>
      <c r="S22" s="919">
        <v>34656.0</v>
      </c>
      <c r="T22" s="919">
        <v>29338.0</v>
      </c>
      <c r="U22" s="919">
        <v>27821.0</v>
      </c>
      <c r="V22" s="919">
        <v>25604.0</v>
      </c>
      <c r="W22" s="919">
        <v>26275.0</v>
      </c>
      <c r="X22" s="919">
        <v>28805.0</v>
      </c>
      <c r="Y22" s="919">
        <v>27936.0</v>
      </c>
      <c r="Z22" s="919">
        <v>28636.0</v>
      </c>
      <c r="AA22" s="919">
        <v>35322.0</v>
      </c>
      <c r="AB22" s="919">
        <v>42849.0</v>
      </c>
      <c r="AC22" s="917"/>
      <c r="AD22" s="921" t="s">
        <v>194</v>
      </c>
      <c r="AE22" s="917" t="s">
        <v>194</v>
      </c>
      <c r="AF22" s="917" t="s">
        <v>194</v>
      </c>
      <c r="AG22" s="917" t="s">
        <v>194</v>
      </c>
      <c r="AH22" s="917" t="s">
        <v>194</v>
      </c>
      <c r="AI22" s="917" t="s">
        <v>194</v>
      </c>
      <c r="AJ22" s="917" t="s">
        <v>194</v>
      </c>
      <c r="AK22" s="917" t="s">
        <v>194</v>
      </c>
      <c r="AL22" s="917" t="s">
        <v>194</v>
      </c>
      <c r="AM22" s="917" t="s">
        <v>194</v>
      </c>
      <c r="AN22" s="917" t="s">
        <v>194</v>
      </c>
      <c r="AO22" s="917" t="s">
        <v>194</v>
      </c>
      <c r="AP22" s="917" t="s">
        <v>194</v>
      </c>
      <c r="AQ22" s="917" t="s">
        <v>194</v>
      </c>
      <c r="AR22" s="917" t="s">
        <v>194</v>
      </c>
      <c r="AS22" s="917" t="s">
        <v>194</v>
      </c>
      <c r="AT22" s="917" t="s">
        <v>194</v>
      </c>
      <c r="AU22" s="917" t="s">
        <v>194</v>
      </c>
      <c r="AV22" s="917" t="s">
        <v>194</v>
      </c>
      <c r="AW22" s="917" t="s">
        <v>194</v>
      </c>
      <c r="AX22" s="917" t="s">
        <v>194</v>
      </c>
      <c r="AY22" s="917" t="s">
        <v>194</v>
      </c>
    </row>
    <row r="23" ht="15.75" customHeight="1" outlineLevel="2">
      <c r="A23" s="922">
        <v>1.0</v>
      </c>
      <c r="B23" s="15"/>
      <c r="C23" s="923" t="str">
        <f>"        Total Selling, General and Administrative Expenses"</f>
        <v>        Total Selling, General and Administrative Expenses</v>
      </c>
      <c r="D23" s="924">
        <f t="shared" si="1"/>
        <v>63995</v>
      </c>
      <c r="E23" s="924">
        <f t="shared" si="2"/>
        <v>62933.32667</v>
      </c>
      <c r="F23" s="924">
        <f t="shared" si="3"/>
        <v>3527</v>
      </c>
      <c r="G23" s="924">
        <f t="shared" si="4"/>
        <v>152585</v>
      </c>
      <c r="H23" s="924">
        <f t="shared" si="5"/>
        <v>35398.45</v>
      </c>
      <c r="I23" s="924">
        <f t="shared" si="6"/>
        <v>78426</v>
      </c>
      <c r="J23" s="924">
        <f t="shared" si="7"/>
        <v>40445.8901</v>
      </c>
      <c r="K23" s="925">
        <f t="shared" si="8"/>
        <v>0.6426784066</v>
      </c>
      <c r="L23" s="924" t="s">
        <v>194</v>
      </c>
      <c r="M23" s="924">
        <v>3527.0</v>
      </c>
      <c r="N23" s="924">
        <v>7695.0</v>
      </c>
      <c r="O23" s="910" t="s">
        <v>194</v>
      </c>
      <c r="P23" s="910">
        <v>22078.9</v>
      </c>
      <c r="Q23" s="924">
        <v>15968.0</v>
      </c>
      <c r="R23" s="924">
        <v>48718.0</v>
      </c>
      <c r="S23" s="924">
        <v>73809.0</v>
      </c>
      <c r="T23" s="924">
        <v>63995.0</v>
      </c>
      <c r="U23" s="924">
        <v>62832.0</v>
      </c>
      <c r="V23" s="924">
        <v>62296.0</v>
      </c>
      <c r="W23" s="924">
        <v>70826.0</v>
      </c>
      <c r="X23" s="924">
        <v>81034.0</v>
      </c>
      <c r="Y23" s="924">
        <v>75818.0</v>
      </c>
      <c r="Z23" s="924">
        <v>84513.0</v>
      </c>
      <c r="AA23" s="924">
        <v>118305.0</v>
      </c>
      <c r="AB23" s="924">
        <v>152585.0</v>
      </c>
      <c r="AC23" s="15"/>
      <c r="AD23" s="926" t="s">
        <v>194</v>
      </c>
      <c r="AE23" s="15" t="s">
        <v>194</v>
      </c>
      <c r="AF23" s="15" t="s">
        <v>194</v>
      </c>
      <c r="AG23" s="15" t="s">
        <v>194</v>
      </c>
      <c r="AH23" s="15" t="s">
        <v>194</v>
      </c>
      <c r="AI23" s="15" t="s">
        <v>194</v>
      </c>
      <c r="AJ23" s="15" t="s">
        <v>194</v>
      </c>
      <c r="AK23" s="15" t="s">
        <v>194</v>
      </c>
      <c r="AL23" s="15" t="s">
        <v>194</v>
      </c>
      <c r="AM23" s="15" t="s">
        <v>194</v>
      </c>
      <c r="AN23" s="15" t="s">
        <v>194</v>
      </c>
      <c r="AO23" s="15" t="s">
        <v>194</v>
      </c>
      <c r="AP23" s="15" t="s">
        <v>194</v>
      </c>
      <c r="AQ23" s="15" t="s">
        <v>194</v>
      </c>
      <c r="AR23" s="15" t="s">
        <v>194</v>
      </c>
      <c r="AS23" s="15" t="s">
        <v>194</v>
      </c>
      <c r="AT23" s="15" t="s">
        <v>194</v>
      </c>
      <c r="AU23" s="15" t="s">
        <v>194</v>
      </c>
      <c r="AV23" s="15" t="s">
        <v>194</v>
      </c>
      <c r="AW23" s="15" t="s">
        <v>194</v>
      </c>
      <c r="AX23" s="15" t="s">
        <v>194</v>
      </c>
      <c r="AY23" s="15" t="s">
        <v>194</v>
      </c>
    </row>
    <row r="24" ht="15.75" customHeight="1" outlineLevel="1">
      <c r="A24" s="905">
        <v>1.0</v>
      </c>
      <c r="B24" s="906"/>
      <c r="C24" s="912" t="str">
        <f>"    Research and Development Expenses"</f>
        <v>    Research and Development Expenses</v>
      </c>
      <c r="D24" s="913">
        <f t="shared" si="1"/>
        <v>5698</v>
      </c>
      <c r="E24" s="913">
        <f t="shared" si="2"/>
        <v>6122.521267</v>
      </c>
      <c r="F24" s="913">
        <f t="shared" si="3"/>
        <v>2412</v>
      </c>
      <c r="G24" s="913">
        <f t="shared" si="4"/>
        <v>11206</v>
      </c>
      <c r="H24" s="913">
        <f t="shared" si="5"/>
        <v>4218.5</v>
      </c>
      <c r="I24" s="913">
        <f t="shared" si="6"/>
        <v>7367</v>
      </c>
      <c r="J24" s="913">
        <f t="shared" si="7"/>
        <v>2624.007455</v>
      </c>
      <c r="K24" s="914">
        <f t="shared" si="8"/>
        <v>0.428582824</v>
      </c>
      <c r="L24" s="913" t="s">
        <v>194</v>
      </c>
      <c r="M24" s="913">
        <v>4438.0</v>
      </c>
      <c r="N24" s="913">
        <v>2412.0</v>
      </c>
      <c r="O24" s="904" t="s">
        <v>194</v>
      </c>
      <c r="P24" s="904">
        <v>3630.819</v>
      </c>
      <c r="Q24" s="913">
        <v>3782.0</v>
      </c>
      <c r="R24" s="913">
        <v>3999.0</v>
      </c>
      <c r="S24" s="913">
        <v>5810.0</v>
      </c>
      <c r="T24" s="913">
        <v>4897.0</v>
      </c>
      <c r="U24" s="913">
        <v>5698.0</v>
      </c>
      <c r="V24" s="913">
        <v>4664.0</v>
      </c>
      <c r="W24" s="913">
        <v>7338.0</v>
      </c>
      <c r="X24" s="913">
        <v>7396.0</v>
      </c>
      <c r="Y24" s="913">
        <v>7111.0</v>
      </c>
      <c r="Z24" s="913">
        <v>8355.0</v>
      </c>
      <c r="AA24" s="913">
        <v>11101.0</v>
      </c>
      <c r="AB24" s="913">
        <v>11206.0</v>
      </c>
      <c r="AC24" s="906"/>
      <c r="AD24" s="911" t="s">
        <v>194</v>
      </c>
      <c r="AE24" s="906" t="s">
        <v>194</v>
      </c>
      <c r="AF24" s="906" t="s">
        <v>194</v>
      </c>
      <c r="AG24" s="906" t="s">
        <v>194</v>
      </c>
      <c r="AH24" s="906" t="s">
        <v>194</v>
      </c>
      <c r="AI24" s="906" t="s">
        <v>194</v>
      </c>
      <c r="AJ24" s="906" t="s">
        <v>194</v>
      </c>
      <c r="AK24" s="906" t="s">
        <v>194</v>
      </c>
      <c r="AL24" s="906" t="s">
        <v>194</v>
      </c>
      <c r="AM24" s="906" t="s">
        <v>194</v>
      </c>
      <c r="AN24" s="906" t="s">
        <v>194</v>
      </c>
      <c r="AO24" s="906" t="s">
        <v>194</v>
      </c>
      <c r="AP24" s="906" t="s">
        <v>194</v>
      </c>
      <c r="AQ24" s="906" t="s">
        <v>194</v>
      </c>
      <c r="AR24" s="906" t="s">
        <v>194</v>
      </c>
      <c r="AS24" s="906" t="s">
        <v>194</v>
      </c>
      <c r="AT24" s="906" t="s">
        <v>194</v>
      </c>
      <c r="AU24" s="906" t="s">
        <v>194</v>
      </c>
      <c r="AV24" s="906" t="s">
        <v>194</v>
      </c>
      <c r="AW24" s="906" t="s">
        <v>194</v>
      </c>
      <c r="AX24" s="906" t="s">
        <v>194</v>
      </c>
      <c r="AY24" s="906" t="s">
        <v>194</v>
      </c>
    </row>
    <row r="25" ht="15.75" customHeight="1" outlineLevel="1">
      <c r="A25" s="849">
        <v>1.0</v>
      </c>
      <c r="B25" s="15"/>
      <c r="C25" s="869" t="str">
        <f>IF(SUBTOTAL(109,A26)=A26,"    Provision Expense/Write-Back","    Provision Expense/Write-Back")</f>
        <v>    Provision Expense/Write-Back</v>
      </c>
      <c r="D25" s="870" t="str">
        <f t="shared" si="1"/>
        <v/>
      </c>
      <c r="E25" s="870" t="str">
        <f t="shared" si="2"/>
        <v/>
      </c>
      <c r="F25" s="870" t="str">
        <f t="shared" si="3"/>
        <v/>
      </c>
      <c r="G25" s="870" t="str">
        <f t="shared" si="4"/>
        <v/>
      </c>
      <c r="H25" s="870" t="str">
        <f t="shared" si="5"/>
        <v/>
      </c>
      <c r="I25" s="870" t="str">
        <f t="shared" si="6"/>
        <v/>
      </c>
      <c r="J25" s="870" t="str">
        <f t="shared" si="7"/>
        <v/>
      </c>
      <c r="K25" s="871" t="str">
        <f t="shared" si="8"/>
        <v/>
      </c>
      <c r="L25" s="872" t="s">
        <v>194</v>
      </c>
      <c r="M25" s="872" t="str">
        <f t="shared" ref="M25:Q25" si="10">IF(SUBTOTAL(109,#REF!)=#REF!,"","")</f>
        <v>#VALUE!</v>
      </c>
      <c r="N25" s="872" t="str">
        <f t="shared" si="10"/>
        <v>#VALUE!</v>
      </c>
      <c r="O25" s="904" t="str">
        <f t="shared" si="10"/>
        <v>#VALUE!</v>
      </c>
      <c r="P25" s="904" t="str">
        <f t="shared" si="10"/>
        <v>#VALUE!</v>
      </c>
      <c r="Q25" s="872" t="str">
        <f t="shared" si="10"/>
        <v>#VALUE!</v>
      </c>
      <c r="R25" s="872" t="str">
        <f>IF(SUBTOTAL(109,#REF!)=#REF!,"",13253)</f>
        <v>#VALUE!</v>
      </c>
      <c r="S25" s="872" t="str">
        <f>IF(SUBTOTAL(109,#REF!)=#REF!,"",19982)</f>
        <v>#VALUE!</v>
      </c>
      <c r="T25" s="872" t="str">
        <f>IF(SUBTOTAL(109,#REF!)=#REF!,"",18578)</f>
        <v>#VALUE!</v>
      </c>
      <c r="U25" s="872" t="str">
        <f>IF(SUBTOTAL(109,B26)=B26,"",12080)</f>
        <v/>
      </c>
      <c r="V25" s="872" t="str">
        <f>IF(SUBTOTAL(109,D26)=D26,"",11912)</f>
        <v/>
      </c>
      <c r="W25" s="872" t="str">
        <f>IF(SUBTOTAL(109,F26)=F26,"",7787)</f>
        <v/>
      </c>
      <c r="X25" s="872" t="str">
        <f>IF(SUBTOTAL(109,H26)=H26,"",9347)</f>
        <v/>
      </c>
      <c r="Y25" s="872" t="str">
        <f>IF(SUBTOTAL(109,J26)=J26,"",8047)</f>
        <v/>
      </c>
      <c r="Z25" s="872" t="str">
        <f>IF(SUBTOTAL(109,L26)=L26,"","")</f>
        <v/>
      </c>
      <c r="AA25" s="872" t="str">
        <f>IF(SUBTOTAL(109,N26)=N26,"","")</f>
        <v/>
      </c>
      <c r="AB25" s="872" t="str">
        <f>IF(SUBTOTAL(109,P26)=P26,"","")</f>
        <v/>
      </c>
      <c r="AC25" s="15"/>
      <c r="AD25" s="851" t="s">
        <v>194</v>
      </c>
      <c r="AE25" s="846" t="s">
        <v>194</v>
      </c>
      <c r="AF25" s="846" t="s">
        <v>194</v>
      </c>
      <c r="AG25" s="846" t="s">
        <v>194</v>
      </c>
      <c r="AH25" s="846" t="s">
        <v>194</v>
      </c>
      <c r="AI25" s="846" t="s">
        <v>194</v>
      </c>
      <c r="AJ25" s="846" t="s">
        <v>194</v>
      </c>
      <c r="AK25" s="846" t="s">
        <v>194</v>
      </c>
      <c r="AL25" s="846" t="s">
        <v>194</v>
      </c>
      <c r="AM25" s="846" t="s">
        <v>194</v>
      </c>
      <c r="AN25" s="846" t="s">
        <v>194</v>
      </c>
      <c r="AO25" s="846" t="s">
        <v>194</v>
      </c>
      <c r="AP25" s="846" t="s">
        <v>194</v>
      </c>
      <c r="AQ25" s="846" t="s">
        <v>194</v>
      </c>
      <c r="AR25" s="846" t="s">
        <v>194</v>
      </c>
      <c r="AS25" s="846" t="s">
        <v>194</v>
      </c>
      <c r="AT25" s="846" t="s">
        <v>194</v>
      </c>
      <c r="AU25" s="846" t="s">
        <v>194</v>
      </c>
      <c r="AV25" s="846" t="s">
        <v>194</v>
      </c>
      <c r="AW25" s="846" t="s">
        <v>194</v>
      </c>
      <c r="AX25" s="846" t="s">
        <v>194</v>
      </c>
      <c r="AY25" s="846" t="s">
        <v>194</v>
      </c>
    </row>
    <row r="26" ht="15.75" customHeight="1" outlineLevel="2">
      <c r="A26" s="849">
        <v>1.0</v>
      </c>
      <c r="B26" s="15"/>
      <c r="C26" s="869" t="str">
        <f>"        Provision for Doubtful Accounts"</f>
        <v>        Provision for Doubtful Accounts</v>
      </c>
      <c r="D26" s="870">
        <f t="shared" si="1"/>
        <v>11996</v>
      </c>
      <c r="E26" s="870">
        <f t="shared" si="2"/>
        <v>12623.25</v>
      </c>
      <c r="F26" s="870">
        <f t="shared" si="3"/>
        <v>7787</v>
      </c>
      <c r="G26" s="870">
        <f t="shared" si="4"/>
        <v>19982</v>
      </c>
      <c r="H26" s="870">
        <f t="shared" si="5"/>
        <v>9022</v>
      </c>
      <c r="I26" s="870">
        <f t="shared" si="6"/>
        <v>14584.25</v>
      </c>
      <c r="J26" s="870">
        <f t="shared" si="7"/>
        <v>4564.975724</v>
      </c>
      <c r="K26" s="871">
        <f t="shared" si="8"/>
        <v>0.3616323628</v>
      </c>
      <c r="L26" s="872" t="s">
        <v>194</v>
      </c>
      <c r="M26" s="872" t="s">
        <v>194</v>
      </c>
      <c r="N26" s="872" t="s">
        <v>194</v>
      </c>
      <c r="O26" s="904" t="s">
        <v>194</v>
      </c>
      <c r="P26" s="904" t="s">
        <v>194</v>
      </c>
      <c r="Q26" s="872" t="s">
        <v>194</v>
      </c>
      <c r="R26" s="872">
        <v>13253.0</v>
      </c>
      <c r="S26" s="872">
        <v>19982.0</v>
      </c>
      <c r="T26" s="872">
        <v>18578.0</v>
      </c>
      <c r="U26" s="872">
        <v>12080.0</v>
      </c>
      <c r="V26" s="872">
        <v>11912.0</v>
      </c>
      <c r="W26" s="872">
        <v>7787.0</v>
      </c>
      <c r="X26" s="872">
        <v>9347.0</v>
      </c>
      <c r="Y26" s="872">
        <v>8047.0</v>
      </c>
      <c r="Z26" s="872" t="s">
        <v>194</v>
      </c>
      <c r="AA26" s="872" t="s">
        <v>194</v>
      </c>
      <c r="AB26" s="872" t="s">
        <v>194</v>
      </c>
      <c r="AC26" s="15"/>
      <c r="AD26" s="851" t="s">
        <v>194</v>
      </c>
      <c r="AE26" s="846" t="s">
        <v>194</v>
      </c>
      <c r="AF26" s="846" t="s">
        <v>194</v>
      </c>
      <c r="AG26" s="846" t="s">
        <v>194</v>
      </c>
      <c r="AH26" s="846" t="s">
        <v>194</v>
      </c>
      <c r="AI26" s="846" t="s">
        <v>194</v>
      </c>
      <c r="AJ26" s="846" t="s">
        <v>194</v>
      </c>
      <c r="AK26" s="846" t="s">
        <v>194</v>
      </c>
      <c r="AL26" s="846" t="s">
        <v>194</v>
      </c>
      <c r="AM26" s="846" t="s">
        <v>194</v>
      </c>
      <c r="AN26" s="846" t="s">
        <v>194</v>
      </c>
      <c r="AO26" s="846" t="s">
        <v>194</v>
      </c>
      <c r="AP26" s="846" t="s">
        <v>194</v>
      </c>
      <c r="AQ26" s="846" t="s">
        <v>194</v>
      </c>
      <c r="AR26" s="846" t="s">
        <v>194</v>
      </c>
      <c r="AS26" s="846" t="s">
        <v>194</v>
      </c>
      <c r="AT26" s="846" t="s">
        <v>194</v>
      </c>
      <c r="AU26" s="846" t="s">
        <v>194</v>
      </c>
      <c r="AV26" s="846" t="s">
        <v>194</v>
      </c>
      <c r="AW26" s="846" t="s">
        <v>194</v>
      </c>
      <c r="AX26" s="846" t="s">
        <v>194</v>
      </c>
      <c r="AY26" s="846" t="s">
        <v>194</v>
      </c>
    </row>
    <row r="27" ht="15.75" customHeight="1" outlineLevel="2">
      <c r="A27" s="849">
        <v>1.0</v>
      </c>
      <c r="B27" s="15"/>
      <c r="C27" s="881" t="str">
        <f>"        Total Provision Expense/Write-Back"</f>
        <v>        Total Provision Expense/Write-Back</v>
      </c>
      <c r="D27" s="882">
        <f t="shared" si="1"/>
        <v>11996</v>
      </c>
      <c r="E27" s="882">
        <f t="shared" si="2"/>
        <v>12623.25</v>
      </c>
      <c r="F27" s="882">
        <f t="shared" si="3"/>
        <v>7787</v>
      </c>
      <c r="G27" s="882">
        <f t="shared" si="4"/>
        <v>19982</v>
      </c>
      <c r="H27" s="882">
        <f t="shared" si="5"/>
        <v>9022</v>
      </c>
      <c r="I27" s="882">
        <f t="shared" si="6"/>
        <v>14584.25</v>
      </c>
      <c r="J27" s="882">
        <f t="shared" si="7"/>
        <v>4564.975724</v>
      </c>
      <c r="K27" s="883">
        <f t="shared" si="8"/>
        <v>0.3616323628</v>
      </c>
      <c r="L27" s="884" t="s">
        <v>194</v>
      </c>
      <c r="M27" s="884" t="s">
        <v>194</v>
      </c>
      <c r="N27" s="884" t="s">
        <v>194</v>
      </c>
      <c r="O27" s="910" t="s">
        <v>194</v>
      </c>
      <c r="P27" s="910" t="s">
        <v>194</v>
      </c>
      <c r="Q27" s="884" t="s">
        <v>194</v>
      </c>
      <c r="R27" s="884">
        <v>13253.0</v>
      </c>
      <c r="S27" s="884">
        <v>19982.0</v>
      </c>
      <c r="T27" s="884">
        <v>18578.0</v>
      </c>
      <c r="U27" s="884">
        <v>12080.0</v>
      </c>
      <c r="V27" s="884">
        <v>11912.0</v>
      </c>
      <c r="W27" s="884">
        <v>7787.0</v>
      </c>
      <c r="X27" s="884">
        <v>9347.0</v>
      </c>
      <c r="Y27" s="884">
        <v>8047.0</v>
      </c>
      <c r="Z27" s="884" t="s">
        <v>194</v>
      </c>
      <c r="AA27" s="884" t="s">
        <v>194</v>
      </c>
      <c r="AB27" s="884" t="s">
        <v>194</v>
      </c>
      <c r="AC27" s="15"/>
      <c r="AD27" s="851" t="s">
        <v>194</v>
      </c>
      <c r="AE27" s="846" t="s">
        <v>194</v>
      </c>
      <c r="AF27" s="846" t="s">
        <v>194</v>
      </c>
      <c r="AG27" s="846" t="s">
        <v>194</v>
      </c>
      <c r="AH27" s="846" t="s">
        <v>194</v>
      </c>
      <c r="AI27" s="846" t="s">
        <v>194</v>
      </c>
      <c r="AJ27" s="846" t="s">
        <v>194</v>
      </c>
      <c r="AK27" s="846" t="s">
        <v>194</v>
      </c>
      <c r="AL27" s="846" t="s">
        <v>194</v>
      </c>
      <c r="AM27" s="846" t="s">
        <v>194</v>
      </c>
      <c r="AN27" s="846" t="s">
        <v>194</v>
      </c>
      <c r="AO27" s="846" t="s">
        <v>194</v>
      </c>
      <c r="AP27" s="846" t="s">
        <v>194</v>
      </c>
      <c r="AQ27" s="846" t="s">
        <v>194</v>
      </c>
      <c r="AR27" s="846" t="s">
        <v>194</v>
      </c>
      <c r="AS27" s="846" t="s">
        <v>194</v>
      </c>
      <c r="AT27" s="846" t="s">
        <v>194</v>
      </c>
      <c r="AU27" s="846" t="s">
        <v>194</v>
      </c>
      <c r="AV27" s="846" t="s">
        <v>194</v>
      </c>
      <c r="AW27" s="846" t="s">
        <v>194</v>
      </c>
      <c r="AX27" s="846" t="s">
        <v>194</v>
      </c>
      <c r="AY27" s="846" t="s">
        <v>194</v>
      </c>
    </row>
    <row r="28" ht="15.75" customHeight="1" outlineLevel="1">
      <c r="A28" s="849">
        <v>1.0</v>
      </c>
      <c r="B28" s="15"/>
      <c r="C28" s="869" t="str">
        <f>IF(SUBTOTAL(109,A29)=A29,"    Other (Income)/Expense, Operating","    Other (Income)/Expense, Operating")</f>
        <v>    Other (Income)/Expense, Operating</v>
      </c>
      <c r="D28" s="870" t="str">
        <f t="shared" si="1"/>
        <v>#VALUE!</v>
      </c>
      <c r="E28" s="870" t="str">
        <f t="shared" si="2"/>
        <v>#VALUE!</v>
      </c>
      <c r="F28" s="870" t="str">
        <f t="shared" si="3"/>
        <v>#VALUE!</v>
      </c>
      <c r="G28" s="870" t="str">
        <f t="shared" si="4"/>
        <v>#VALUE!</v>
      </c>
      <c r="H28" s="870" t="str">
        <f t="shared" si="5"/>
        <v>#VALUE!</v>
      </c>
      <c r="I28" s="870" t="str">
        <f t="shared" si="6"/>
        <v>#VALUE!</v>
      </c>
      <c r="J28" s="870" t="str">
        <f t="shared" si="7"/>
        <v>#VALUE!</v>
      </c>
      <c r="K28" s="871" t="str">
        <f t="shared" si="8"/>
        <v>#VALUE!</v>
      </c>
      <c r="L28" s="872" t="s">
        <v>194</v>
      </c>
      <c r="M28" s="872" t="str">
        <f>IF(SUBTOTAL(109,#REF!)=#REF!,"",7020)</f>
        <v>#VALUE!</v>
      </c>
      <c r="N28" s="872" t="str">
        <f>IF(SUBTOTAL(109,#REF!)=#REF!,"",15252)</f>
        <v>#VALUE!</v>
      </c>
      <c r="O28" s="904" t="str">
        <f t="shared" ref="O28:P28" si="11">IF(SUBTOTAL(109,#REF!)=#REF!,"","")</f>
        <v>#VALUE!</v>
      </c>
      <c r="P28" s="904" t="str">
        <f t="shared" si="11"/>
        <v>#VALUE!</v>
      </c>
      <c r="Q28" s="872" t="str">
        <f>IF(SUBTOTAL(109,#REF!)=#REF!,"",27474)</f>
        <v>#VALUE!</v>
      </c>
      <c r="R28" s="872" t="str">
        <f t="shared" ref="R28:T28" si="12">IF(SUBTOTAL(109,#REF!)=#REF!,"","")</f>
        <v>#VALUE!</v>
      </c>
      <c r="S28" s="872" t="str">
        <f t="shared" si="12"/>
        <v>#VALUE!</v>
      </c>
      <c r="T28" s="872" t="str">
        <f t="shared" si="12"/>
        <v>#VALUE!</v>
      </c>
      <c r="U28" s="872" t="str">
        <f>IF(SUBTOTAL(109,B29)=B29,"","")</f>
        <v/>
      </c>
      <c r="V28" s="872" t="str">
        <f>IF(SUBTOTAL(109,D29)=D29,"","")</f>
        <v/>
      </c>
      <c r="W28" s="872" t="str">
        <f>IF(SUBTOTAL(109,F29)=F29,"","")</f>
        <v/>
      </c>
      <c r="X28" s="872" t="str">
        <f>IF(SUBTOTAL(109,H29)=H29,"","")</f>
        <v/>
      </c>
      <c r="Y28" s="872" t="str">
        <f>IF(SUBTOTAL(109,J29)=J29,"","")</f>
        <v/>
      </c>
      <c r="Z28" s="872">
        <f>IF(SUBTOTAL(109,L29)=L29,"",8639)</f>
        <v>8639</v>
      </c>
      <c r="AA28" s="872">
        <f>IF(SUBTOTAL(109,N29)=N29,"",31436)</f>
        <v>31436</v>
      </c>
      <c r="AB28" s="872">
        <f>IF(SUBTOTAL(109,P29)=P29,"",14659)</f>
        <v>14659</v>
      </c>
      <c r="AC28" s="15"/>
      <c r="AD28" s="851" t="s">
        <v>194</v>
      </c>
      <c r="AE28" s="846" t="s">
        <v>194</v>
      </c>
      <c r="AF28" s="846" t="s">
        <v>194</v>
      </c>
      <c r="AG28" s="846" t="s">
        <v>194</v>
      </c>
      <c r="AH28" s="846" t="s">
        <v>194</v>
      </c>
      <c r="AI28" s="846" t="s">
        <v>194</v>
      </c>
      <c r="AJ28" s="846" t="s">
        <v>194</v>
      </c>
      <c r="AK28" s="846" t="s">
        <v>194</v>
      </c>
      <c r="AL28" s="846" t="s">
        <v>194</v>
      </c>
      <c r="AM28" s="846" t="s">
        <v>194</v>
      </c>
      <c r="AN28" s="846" t="s">
        <v>194</v>
      </c>
      <c r="AO28" s="846" t="s">
        <v>194</v>
      </c>
      <c r="AP28" s="846" t="s">
        <v>194</v>
      </c>
      <c r="AQ28" s="846" t="s">
        <v>194</v>
      </c>
      <c r="AR28" s="846" t="s">
        <v>194</v>
      </c>
      <c r="AS28" s="846" t="s">
        <v>194</v>
      </c>
      <c r="AT28" s="846" t="s">
        <v>194</v>
      </c>
      <c r="AU28" s="846" t="s">
        <v>194</v>
      </c>
      <c r="AV28" s="846" t="s">
        <v>194</v>
      </c>
      <c r="AW28" s="846" t="s">
        <v>194</v>
      </c>
      <c r="AX28" s="846" t="s">
        <v>194</v>
      </c>
      <c r="AY28" s="846" t="s">
        <v>194</v>
      </c>
    </row>
    <row r="29" ht="15.75" customHeight="1" outlineLevel="2">
      <c r="A29" s="849">
        <v>1.0</v>
      </c>
      <c r="B29" s="15"/>
      <c r="C29" s="869" t="str">
        <f>"        Other Expenses, Operating"</f>
        <v>        Other Expenses, Operating</v>
      </c>
      <c r="D29" s="870">
        <f t="shared" si="1"/>
        <v>14659</v>
      </c>
      <c r="E29" s="870">
        <f t="shared" si="2"/>
        <v>18244.66667</v>
      </c>
      <c r="F29" s="870">
        <f t="shared" si="3"/>
        <v>8639</v>
      </c>
      <c r="G29" s="870">
        <f t="shared" si="4"/>
        <v>31436</v>
      </c>
      <c r="H29" s="870">
        <f t="shared" si="5"/>
        <v>11649</v>
      </c>
      <c r="I29" s="870">
        <f t="shared" si="6"/>
        <v>23047.5</v>
      </c>
      <c r="J29" s="870">
        <f t="shared" si="7"/>
        <v>11813.91368</v>
      </c>
      <c r="K29" s="871">
        <f t="shared" si="8"/>
        <v>0.6475269673</v>
      </c>
      <c r="L29" s="872" t="s">
        <v>194</v>
      </c>
      <c r="M29" s="872" t="s">
        <v>194</v>
      </c>
      <c r="N29" s="872" t="s">
        <v>194</v>
      </c>
      <c r="O29" s="904" t="s">
        <v>194</v>
      </c>
      <c r="P29" s="904" t="s">
        <v>194</v>
      </c>
      <c r="Q29" s="872" t="s">
        <v>194</v>
      </c>
      <c r="R29" s="872" t="s">
        <v>194</v>
      </c>
      <c r="S29" s="872" t="s">
        <v>194</v>
      </c>
      <c r="T29" s="872" t="s">
        <v>194</v>
      </c>
      <c r="U29" s="872" t="s">
        <v>194</v>
      </c>
      <c r="V29" s="872" t="s">
        <v>194</v>
      </c>
      <c r="W29" s="872" t="s">
        <v>194</v>
      </c>
      <c r="X29" s="872" t="s">
        <v>194</v>
      </c>
      <c r="Y29" s="872" t="s">
        <v>194</v>
      </c>
      <c r="Z29" s="872">
        <v>8639.0</v>
      </c>
      <c r="AA29" s="872">
        <v>31436.0</v>
      </c>
      <c r="AB29" s="872">
        <v>14659.0</v>
      </c>
      <c r="AC29" s="15"/>
      <c r="AD29" s="851" t="s">
        <v>194</v>
      </c>
      <c r="AE29" s="846" t="s">
        <v>194</v>
      </c>
      <c r="AF29" s="846" t="s">
        <v>194</v>
      </c>
      <c r="AG29" s="846" t="s">
        <v>194</v>
      </c>
      <c r="AH29" s="846" t="s">
        <v>194</v>
      </c>
      <c r="AI29" s="846" t="s">
        <v>194</v>
      </c>
      <c r="AJ29" s="846" t="s">
        <v>194</v>
      </c>
      <c r="AK29" s="846" t="s">
        <v>194</v>
      </c>
      <c r="AL29" s="846" t="s">
        <v>194</v>
      </c>
      <c r="AM29" s="846" t="s">
        <v>194</v>
      </c>
      <c r="AN29" s="846" t="s">
        <v>194</v>
      </c>
      <c r="AO29" s="846" t="s">
        <v>194</v>
      </c>
      <c r="AP29" s="846" t="s">
        <v>194</v>
      </c>
      <c r="AQ29" s="846" t="s">
        <v>194</v>
      </c>
      <c r="AR29" s="846" t="s">
        <v>194</v>
      </c>
      <c r="AS29" s="846" t="s">
        <v>194</v>
      </c>
      <c r="AT29" s="846" t="s">
        <v>194</v>
      </c>
      <c r="AU29" s="846" t="s">
        <v>194</v>
      </c>
      <c r="AV29" s="846" t="s">
        <v>194</v>
      </c>
      <c r="AW29" s="846" t="s">
        <v>194</v>
      </c>
      <c r="AX29" s="846" t="s">
        <v>194</v>
      </c>
      <c r="AY29" s="846" t="s">
        <v>194</v>
      </c>
    </row>
    <row r="30" ht="15.75" customHeight="1" outlineLevel="2">
      <c r="A30" s="849">
        <v>1.0</v>
      </c>
      <c r="B30" s="15"/>
      <c r="C30" s="881" t="str">
        <f>"        Total Other (Income)/Expense, Operating"</f>
        <v>        Total Other (Income)/Expense, Operating</v>
      </c>
      <c r="D30" s="882">
        <f t="shared" si="1"/>
        <v>14955.5</v>
      </c>
      <c r="E30" s="882">
        <f t="shared" si="2"/>
        <v>17413.33333</v>
      </c>
      <c r="F30" s="882">
        <f t="shared" si="3"/>
        <v>7020</v>
      </c>
      <c r="G30" s="882">
        <f t="shared" si="4"/>
        <v>31436</v>
      </c>
      <c r="H30" s="882">
        <f t="shared" si="5"/>
        <v>10144</v>
      </c>
      <c r="I30" s="882">
        <f t="shared" si="6"/>
        <v>24418.5</v>
      </c>
      <c r="J30" s="882">
        <f t="shared" si="7"/>
        <v>9951.082467</v>
      </c>
      <c r="K30" s="883">
        <f t="shared" si="8"/>
        <v>0.5714633882</v>
      </c>
      <c r="L30" s="884" t="s">
        <v>194</v>
      </c>
      <c r="M30" s="884">
        <v>7020.0</v>
      </c>
      <c r="N30" s="884">
        <v>15252.0</v>
      </c>
      <c r="O30" s="910" t="s">
        <v>194</v>
      </c>
      <c r="P30" s="910" t="s">
        <v>194</v>
      </c>
      <c r="Q30" s="884">
        <v>27474.0</v>
      </c>
      <c r="R30" s="884" t="s">
        <v>194</v>
      </c>
      <c r="S30" s="884" t="s">
        <v>194</v>
      </c>
      <c r="T30" s="884" t="s">
        <v>194</v>
      </c>
      <c r="U30" s="884" t="s">
        <v>194</v>
      </c>
      <c r="V30" s="884" t="s">
        <v>194</v>
      </c>
      <c r="W30" s="884" t="s">
        <v>194</v>
      </c>
      <c r="X30" s="884" t="s">
        <v>194</v>
      </c>
      <c r="Y30" s="884" t="s">
        <v>194</v>
      </c>
      <c r="Z30" s="884">
        <v>8639.0</v>
      </c>
      <c r="AA30" s="884">
        <v>31436.0</v>
      </c>
      <c r="AB30" s="884">
        <v>14659.0</v>
      </c>
      <c r="AC30" s="15"/>
      <c r="AD30" s="851" t="s">
        <v>194</v>
      </c>
      <c r="AE30" s="846" t="s">
        <v>194</v>
      </c>
      <c r="AF30" s="846" t="s">
        <v>194</v>
      </c>
      <c r="AG30" s="846" t="s">
        <v>194</v>
      </c>
      <c r="AH30" s="846" t="s">
        <v>194</v>
      </c>
      <c r="AI30" s="846" t="s">
        <v>194</v>
      </c>
      <c r="AJ30" s="846" t="s">
        <v>194</v>
      </c>
      <c r="AK30" s="846" t="s">
        <v>194</v>
      </c>
      <c r="AL30" s="846" t="s">
        <v>194</v>
      </c>
      <c r="AM30" s="846" t="s">
        <v>194</v>
      </c>
      <c r="AN30" s="846" t="s">
        <v>194</v>
      </c>
      <c r="AO30" s="846" t="s">
        <v>194</v>
      </c>
      <c r="AP30" s="846" t="s">
        <v>194</v>
      </c>
      <c r="AQ30" s="846" t="s">
        <v>194</v>
      </c>
      <c r="AR30" s="846" t="s">
        <v>194</v>
      </c>
      <c r="AS30" s="846" t="s">
        <v>194</v>
      </c>
      <c r="AT30" s="846" t="s">
        <v>194</v>
      </c>
      <c r="AU30" s="846" t="s">
        <v>194</v>
      </c>
      <c r="AV30" s="846" t="s">
        <v>194</v>
      </c>
      <c r="AW30" s="846" t="s">
        <v>194</v>
      </c>
      <c r="AX30" s="846" t="s">
        <v>194</v>
      </c>
      <c r="AY30" s="846" t="s">
        <v>194</v>
      </c>
    </row>
    <row r="31" ht="15.75" customHeight="1" outlineLevel="1">
      <c r="A31" s="905">
        <v>1.0</v>
      </c>
      <c r="B31" s="906"/>
      <c r="C31" s="915" t="str">
        <f>"    Total Operating (Income)/Expenses"</f>
        <v>    Total Operating (Income)/Expenses</v>
      </c>
      <c r="D31" s="908">
        <f t="shared" si="1"/>
        <v>85951</v>
      </c>
      <c r="E31" s="908">
        <f t="shared" si="2"/>
        <v>82753.58127</v>
      </c>
      <c r="F31" s="908">
        <f t="shared" si="3"/>
        <v>14985</v>
      </c>
      <c r="G31" s="908">
        <f t="shared" si="4"/>
        <v>178450</v>
      </c>
      <c r="H31" s="908">
        <f t="shared" si="5"/>
        <v>56597</v>
      </c>
      <c r="I31" s="908">
        <f t="shared" si="6"/>
        <v>98689</v>
      </c>
      <c r="J31" s="908">
        <f t="shared" si="7"/>
        <v>45451.17746</v>
      </c>
      <c r="K31" s="909">
        <f t="shared" si="8"/>
        <v>0.5492351722</v>
      </c>
      <c r="L31" s="908" t="s">
        <v>194</v>
      </c>
      <c r="M31" s="908">
        <v>14985.0</v>
      </c>
      <c r="N31" s="908">
        <v>25359.0</v>
      </c>
      <c r="O31" s="910" t="s">
        <v>194</v>
      </c>
      <c r="P31" s="910">
        <v>25709.719</v>
      </c>
      <c r="Q31" s="908">
        <v>47224.0</v>
      </c>
      <c r="R31" s="908">
        <v>65970.0</v>
      </c>
      <c r="S31" s="908">
        <v>99601.0</v>
      </c>
      <c r="T31" s="908">
        <v>87470.0</v>
      </c>
      <c r="U31" s="908">
        <v>80610.0</v>
      </c>
      <c r="V31" s="908">
        <v>78872.0</v>
      </c>
      <c r="W31" s="908">
        <v>85951.0</v>
      </c>
      <c r="X31" s="908">
        <v>97777.0</v>
      </c>
      <c r="Y31" s="908">
        <v>90976.0</v>
      </c>
      <c r="Z31" s="908">
        <v>101507.0</v>
      </c>
      <c r="AA31" s="908">
        <v>160842.0</v>
      </c>
      <c r="AB31" s="908">
        <v>178450.0</v>
      </c>
      <c r="AC31" s="906"/>
      <c r="AD31" s="911" t="s">
        <v>194</v>
      </c>
      <c r="AE31" s="906" t="s">
        <v>194</v>
      </c>
      <c r="AF31" s="906" t="s">
        <v>194</v>
      </c>
      <c r="AG31" s="906" t="s">
        <v>194</v>
      </c>
      <c r="AH31" s="906" t="s">
        <v>194</v>
      </c>
      <c r="AI31" s="906" t="s">
        <v>194</v>
      </c>
      <c r="AJ31" s="906" t="s">
        <v>194</v>
      </c>
      <c r="AK31" s="906" t="s">
        <v>194</v>
      </c>
      <c r="AL31" s="906" t="s">
        <v>194</v>
      </c>
      <c r="AM31" s="906" t="s">
        <v>194</v>
      </c>
      <c r="AN31" s="906" t="s">
        <v>194</v>
      </c>
      <c r="AO31" s="906" t="s">
        <v>194</v>
      </c>
      <c r="AP31" s="906" t="s">
        <v>194</v>
      </c>
      <c r="AQ31" s="906" t="s">
        <v>194</v>
      </c>
      <c r="AR31" s="906" t="s">
        <v>194</v>
      </c>
      <c r="AS31" s="906" t="s">
        <v>194</v>
      </c>
      <c r="AT31" s="906" t="s">
        <v>194</v>
      </c>
      <c r="AU31" s="906" t="s">
        <v>194</v>
      </c>
      <c r="AV31" s="906" t="s">
        <v>194</v>
      </c>
      <c r="AW31" s="906" t="s">
        <v>194</v>
      </c>
      <c r="AX31" s="906" t="s">
        <v>194</v>
      </c>
      <c r="AY31" s="906" t="s">
        <v>194</v>
      </c>
    </row>
    <row r="32" ht="15.75" customHeight="1">
      <c r="A32" s="849">
        <v>1.0</v>
      </c>
      <c r="B32" s="15"/>
      <c r="C32" s="855" t="str">
        <f>"Total Operating Profit/(Loss)"</f>
        <v>Total Operating Profit/(Loss)</v>
      </c>
      <c r="D32" s="866">
        <f t="shared" si="1"/>
        <v>-4400.458</v>
      </c>
      <c r="E32" s="866">
        <f t="shared" si="2"/>
        <v>4874.42575</v>
      </c>
      <c r="F32" s="866">
        <f t="shared" si="3"/>
        <v>-20099</v>
      </c>
      <c r="G32" s="866">
        <f t="shared" si="4"/>
        <v>72036</v>
      </c>
      <c r="H32" s="866">
        <f t="shared" si="5"/>
        <v>-11179.5</v>
      </c>
      <c r="I32" s="866">
        <f t="shared" si="6"/>
        <v>14823.5</v>
      </c>
      <c r="J32" s="866">
        <f t="shared" si="7"/>
        <v>23599.34164</v>
      </c>
      <c r="K32" s="867">
        <f t="shared" si="8"/>
        <v>4.841460892</v>
      </c>
      <c r="L32" s="866" t="s">
        <v>194</v>
      </c>
      <c r="M32" s="866">
        <v>-12726.0</v>
      </c>
      <c r="N32" s="866">
        <v>-20099.0</v>
      </c>
      <c r="O32" s="903">
        <v>30937.728</v>
      </c>
      <c r="P32" s="903">
        <v>-4487.916</v>
      </c>
      <c r="Q32" s="866">
        <v>242.0</v>
      </c>
      <c r="R32" s="866">
        <v>14571.0</v>
      </c>
      <c r="S32" s="866">
        <v>-7668.0</v>
      </c>
      <c r="T32" s="866">
        <v>-15038.0</v>
      </c>
      <c r="U32" s="866">
        <v>-10664.0</v>
      </c>
      <c r="V32" s="866">
        <v>-12971.0</v>
      </c>
      <c r="W32" s="866">
        <v>-6881.0</v>
      </c>
      <c r="X32" s="866">
        <v>-4313.0</v>
      </c>
      <c r="Y32" s="866">
        <v>15581.0</v>
      </c>
      <c r="Z32" s="866">
        <v>27943.0</v>
      </c>
      <c r="AA32" s="866">
        <v>11528.0</v>
      </c>
      <c r="AB32" s="866">
        <v>72036.0</v>
      </c>
      <c r="AC32" s="15"/>
      <c r="AD32" s="851" t="s">
        <v>194</v>
      </c>
      <c r="AE32" s="846" t="s">
        <v>194</v>
      </c>
      <c r="AF32" s="846" t="s">
        <v>194</v>
      </c>
      <c r="AG32" s="846" t="s">
        <v>194</v>
      </c>
      <c r="AH32" s="846" t="s">
        <v>194</v>
      </c>
      <c r="AI32" s="846" t="s">
        <v>194</v>
      </c>
      <c r="AJ32" s="846" t="s">
        <v>194</v>
      </c>
      <c r="AK32" s="846" t="s">
        <v>194</v>
      </c>
      <c r="AL32" s="846" t="s">
        <v>194</v>
      </c>
      <c r="AM32" s="846" t="s">
        <v>194</v>
      </c>
      <c r="AN32" s="846" t="s">
        <v>194</v>
      </c>
      <c r="AO32" s="846" t="s">
        <v>194</v>
      </c>
      <c r="AP32" s="846" t="s">
        <v>194</v>
      </c>
      <c r="AQ32" s="846" t="s">
        <v>194</v>
      </c>
      <c r="AR32" s="846" t="s">
        <v>194</v>
      </c>
      <c r="AS32" s="846" t="s">
        <v>194</v>
      </c>
      <c r="AT32" s="846" t="s">
        <v>194</v>
      </c>
      <c r="AU32" s="846" t="s">
        <v>194</v>
      </c>
      <c r="AV32" s="846" t="s">
        <v>194</v>
      </c>
      <c r="AW32" s="846" t="s">
        <v>194</v>
      </c>
      <c r="AX32" s="846" t="s">
        <v>194</v>
      </c>
      <c r="AY32" s="846" t="s">
        <v>194</v>
      </c>
    </row>
    <row r="33" ht="15.75" customHeight="1" collapsed="1">
      <c r="A33" s="849">
        <v>1.0</v>
      </c>
      <c r="B33" s="15"/>
      <c r="C33" s="855" t="str">
        <f>IF(SUBTOTAL(109,A34)=A34,"Non-Operating Income/(Expenses)","Non-Operating Income/(Expenses), Total")</f>
        <v>Non-Operating Income/(Expenses), Total</v>
      </c>
      <c r="D33" s="866" t="str">
        <f t="shared" si="1"/>
        <v>#VALUE!</v>
      </c>
      <c r="E33" s="866" t="str">
        <f t="shared" si="2"/>
        <v>#VALUE!</v>
      </c>
      <c r="F33" s="866" t="str">
        <f t="shared" si="3"/>
        <v>#VALUE!</v>
      </c>
      <c r="G33" s="866" t="str">
        <f t="shared" si="4"/>
        <v>#VALUE!</v>
      </c>
      <c r="H33" s="866" t="str">
        <f t="shared" si="5"/>
        <v>#VALUE!</v>
      </c>
      <c r="I33" s="866" t="str">
        <f t="shared" si="6"/>
        <v>#VALUE!</v>
      </c>
      <c r="J33" s="866" t="str">
        <f t="shared" si="7"/>
        <v>#VALUE!</v>
      </c>
      <c r="K33" s="867" t="str">
        <f t="shared" si="8"/>
        <v>#VALUE!</v>
      </c>
      <c r="L33" s="866" t="s">
        <v>194</v>
      </c>
      <c r="M33" s="866" t="str">
        <f t="shared" ref="M33:N33" si="13">IF(SUBTOTAL(109,#REF!)=#REF!,"",0)</f>
        <v>#VALUE!</v>
      </c>
      <c r="N33" s="866" t="str">
        <f t="shared" si="13"/>
        <v>#VALUE!</v>
      </c>
      <c r="O33" s="903" t="str">
        <f t="shared" ref="O33:P33" si="14">IF(SUBTOTAL(109,#REF!)=#REF!,"","")</f>
        <v>#VALUE!</v>
      </c>
      <c r="P33" s="903" t="str">
        <f t="shared" si="14"/>
        <v>#VALUE!</v>
      </c>
      <c r="Q33" s="866" t="str">
        <f>IF(SUBTOTAL(109,#REF!)=#REF!,"",-600)</f>
        <v>#VALUE!</v>
      </c>
      <c r="R33" s="866" t="str">
        <f>IF(SUBTOTAL(109,#REF!)=#REF!,"",-3883)</f>
        <v>#VALUE!</v>
      </c>
      <c r="S33" s="866" t="str">
        <f>IF(SUBTOTAL(109,#REF!)=#REF!,"",-12803)</f>
        <v>#VALUE!</v>
      </c>
      <c r="T33" s="866" t="str">
        <f>IF(SUBTOTAL(109,#REF!)=#REF!,"",-4560)</f>
        <v>#VALUE!</v>
      </c>
      <c r="U33" s="866" t="str">
        <f>IF(SUBTOTAL(109,B34)=B34,"",-50514)</f>
        <v/>
      </c>
      <c r="V33" s="866" t="str">
        <f>IF(SUBTOTAL(109,D34)=D34,"",-136)</f>
        <v>#VALUE!</v>
      </c>
      <c r="W33" s="866" t="str">
        <f>IF(SUBTOTAL(109,F34)=F34,"",-223)</f>
        <v>#VALUE!</v>
      </c>
      <c r="X33" s="866" t="str">
        <f>IF(SUBTOTAL(109,H34)=H34,"",-7793)</f>
        <v>#VALUE!</v>
      </c>
      <c r="Y33" s="866">
        <f>IF(SUBTOTAL(109,J34)=J34,"",-7685)</f>
        <v>-7685</v>
      </c>
      <c r="Z33" s="866">
        <f>IF(SUBTOTAL(109,L34)=L34,"",-12173)</f>
        <v>-12173</v>
      </c>
      <c r="AA33" s="866" t="str">
        <f>IF(SUBTOTAL(109,N34)=N34,"",-21924)</f>
        <v>#VALUE!</v>
      </c>
      <c r="AB33" s="866" t="str">
        <f>IF(SUBTOTAL(109,P34)=P34,"",-30532)</f>
        <v>#VALUE!</v>
      </c>
      <c r="AC33" s="15"/>
      <c r="AD33" s="851" t="s">
        <v>194</v>
      </c>
      <c r="AE33" s="846" t="s">
        <v>194</v>
      </c>
      <c r="AF33" s="846" t="s">
        <v>194</v>
      </c>
      <c r="AG33" s="846" t="s">
        <v>194</v>
      </c>
      <c r="AH33" s="846" t="s">
        <v>194</v>
      </c>
      <c r="AI33" s="846" t="s">
        <v>194</v>
      </c>
      <c r="AJ33" s="846" t="s">
        <v>194</v>
      </c>
      <c r="AK33" s="846" t="s">
        <v>194</v>
      </c>
      <c r="AL33" s="846" t="s">
        <v>194</v>
      </c>
      <c r="AM33" s="846" t="s">
        <v>194</v>
      </c>
      <c r="AN33" s="846" t="s">
        <v>194</v>
      </c>
      <c r="AO33" s="846" t="s">
        <v>194</v>
      </c>
      <c r="AP33" s="846" t="s">
        <v>194</v>
      </c>
      <c r="AQ33" s="846" t="s">
        <v>194</v>
      </c>
      <c r="AR33" s="846" t="s">
        <v>194</v>
      </c>
      <c r="AS33" s="846" t="s">
        <v>194</v>
      </c>
      <c r="AT33" s="846" t="s">
        <v>194</v>
      </c>
      <c r="AU33" s="846" t="s">
        <v>194</v>
      </c>
      <c r="AV33" s="846" t="s">
        <v>194</v>
      </c>
      <c r="AW33" s="846" t="s">
        <v>194</v>
      </c>
      <c r="AX33" s="846" t="s">
        <v>194</v>
      </c>
      <c r="AY33" s="846" t="s">
        <v>194</v>
      </c>
    </row>
    <row r="34" ht="15.75" hidden="1" customHeight="1" outlineLevel="1">
      <c r="A34" s="849">
        <v>1.0</v>
      </c>
      <c r="B34" s="15"/>
      <c r="C34" s="869" t="str">
        <f>IF(SUBTOTAL(109,A35)=A35,"    Net Finance (Income)/Expense","    Total Net Finance (Income)/Expense")</f>
        <v>    Total Net Finance (Income)/Expense</v>
      </c>
      <c r="D34" s="870" t="str">
        <f t="shared" si="1"/>
        <v>#VALUE!</v>
      </c>
      <c r="E34" s="870" t="str">
        <f t="shared" si="2"/>
        <v>#VALUE!</v>
      </c>
      <c r="F34" s="870" t="str">
        <f t="shared" si="3"/>
        <v>#VALUE!</v>
      </c>
      <c r="G34" s="870" t="str">
        <f t="shared" si="4"/>
        <v>#VALUE!</v>
      </c>
      <c r="H34" s="870" t="str">
        <f t="shared" si="5"/>
        <v>#VALUE!</v>
      </c>
      <c r="I34" s="870" t="str">
        <f t="shared" si="6"/>
        <v>#VALUE!</v>
      </c>
      <c r="J34" s="870" t="str">
        <f t="shared" si="7"/>
        <v/>
      </c>
      <c r="K34" s="871" t="str">
        <f t="shared" si="8"/>
        <v/>
      </c>
      <c r="L34" s="872" t="s">
        <v>194</v>
      </c>
      <c r="M34" s="872" t="str">
        <f t="shared" ref="M34:P34" si="15">IF(SUBTOTAL(109,#REF!)=#REF!,"","")</f>
        <v>#VALUE!</v>
      </c>
      <c r="N34" s="872" t="str">
        <f t="shared" si="15"/>
        <v>#VALUE!</v>
      </c>
      <c r="O34" s="904" t="str">
        <f t="shared" si="15"/>
        <v>#VALUE!</v>
      </c>
      <c r="P34" s="904" t="str">
        <f t="shared" si="15"/>
        <v>#VALUE!</v>
      </c>
      <c r="Q34" s="872" t="str">
        <f t="shared" ref="Q34:Q35" si="17">IF(SUBTOTAL(109,#REF!)=#REF!,"",600)</f>
        <v>#VALUE!</v>
      </c>
      <c r="R34" s="872" t="str">
        <f t="shared" ref="R34:R35" si="18">IF(SUBTOTAL(109,#REF!)=#REF!,"",-997)</f>
        <v>#VALUE!</v>
      </c>
      <c r="S34" s="872" t="str">
        <f t="shared" ref="S34:S35" si="19">IF(SUBTOTAL(109,#REF!)=#REF!,"",-178)</f>
        <v>#VALUE!</v>
      </c>
      <c r="T34" s="872" t="str">
        <f t="shared" ref="T34:T35" si="20">IF(SUBTOTAL(109,#REF!)=#REF!,"",-94)</f>
        <v>#VALUE!</v>
      </c>
      <c r="U34" s="872" t="str">
        <f t="shared" ref="U34:U35" si="21">IF(SUBTOTAL(109,B35)=B35,"","")</f>
        <v/>
      </c>
      <c r="V34" s="872" t="str">
        <f t="shared" ref="V34:V35" si="22">IF(SUBTOTAL(109,D35)=D35,"","")</f>
        <v>#VALUE!</v>
      </c>
      <c r="W34" s="872" t="str">
        <f t="shared" ref="W34:W35" si="23">IF(SUBTOTAL(109,F35)=F35,"",223)</f>
        <v>#VALUE!</v>
      </c>
      <c r="X34" s="872" t="str">
        <f t="shared" ref="X34:X35" si="24">IF(SUBTOTAL(109,H35)=H35,"",7793)</f>
        <v>#VALUE!</v>
      </c>
      <c r="Y34" s="872" t="str">
        <f t="shared" ref="Y34:Y35" si="25">IF(SUBTOTAL(109,J35)=J35,"",1534)</f>
        <v>#VALUE!</v>
      </c>
      <c r="Z34" s="872">
        <f t="shared" ref="Z34:Z35" si="26">IF(SUBTOTAL(109,L35)=L35,"",1830)</f>
        <v>1830</v>
      </c>
      <c r="AA34" s="872" t="str">
        <f t="shared" ref="AA34:AA35" si="27">IF(SUBTOTAL(109,N35)=N35,"",4897)</f>
        <v>#VALUE!</v>
      </c>
      <c r="AB34" s="872" t="str">
        <f t="shared" ref="AB34:AB35" si="28">IF(SUBTOTAL(109,P35)=P35,"",9429)</f>
        <v>#VALUE!</v>
      </c>
      <c r="AC34" s="15"/>
      <c r="AD34" s="851" t="s">
        <v>194</v>
      </c>
      <c r="AE34" s="846" t="s">
        <v>194</v>
      </c>
      <c r="AF34" s="846" t="s">
        <v>194</v>
      </c>
      <c r="AG34" s="846" t="s">
        <v>194</v>
      </c>
      <c r="AH34" s="846" t="s">
        <v>194</v>
      </c>
      <c r="AI34" s="846" t="s">
        <v>194</v>
      </c>
      <c r="AJ34" s="846" t="s">
        <v>194</v>
      </c>
      <c r="AK34" s="846" t="s">
        <v>194</v>
      </c>
      <c r="AL34" s="846" t="s">
        <v>194</v>
      </c>
      <c r="AM34" s="846" t="s">
        <v>194</v>
      </c>
      <c r="AN34" s="846" t="s">
        <v>194</v>
      </c>
      <c r="AO34" s="846" t="s">
        <v>194</v>
      </c>
      <c r="AP34" s="846" t="s">
        <v>194</v>
      </c>
      <c r="AQ34" s="846" t="s">
        <v>194</v>
      </c>
      <c r="AR34" s="846" t="s">
        <v>194</v>
      </c>
      <c r="AS34" s="846" t="s">
        <v>194</v>
      </c>
      <c r="AT34" s="846" t="s">
        <v>194</v>
      </c>
      <c r="AU34" s="846" t="s">
        <v>194</v>
      </c>
      <c r="AV34" s="846" t="s">
        <v>194</v>
      </c>
      <c r="AW34" s="846" t="s">
        <v>194</v>
      </c>
      <c r="AX34" s="846" t="s">
        <v>194</v>
      </c>
      <c r="AY34" s="846" t="s">
        <v>194</v>
      </c>
    </row>
    <row r="35" ht="15.75" hidden="1" customHeight="1" outlineLevel="2">
      <c r="A35" s="849">
        <v>1.0</v>
      </c>
      <c r="B35" s="15"/>
      <c r="C35" s="869" t="str">
        <f>IF(SUBTOTAL(109,A36)=A36,"        Net Interest (Income)/Expense","        Net Interest (Income)/Expense")</f>
        <v>        Net Interest (Income)/Expense</v>
      </c>
      <c r="D35" s="870" t="str">
        <f t="shared" si="1"/>
        <v>#VALUE!</v>
      </c>
      <c r="E35" s="870" t="str">
        <f t="shared" si="2"/>
        <v>#VALUE!</v>
      </c>
      <c r="F35" s="870" t="str">
        <f t="shared" si="3"/>
        <v>#VALUE!</v>
      </c>
      <c r="G35" s="870" t="str">
        <f t="shared" si="4"/>
        <v>#VALUE!</v>
      </c>
      <c r="H35" s="870" t="str">
        <f t="shared" si="5"/>
        <v>#VALUE!</v>
      </c>
      <c r="I35" s="870" t="str">
        <f t="shared" si="6"/>
        <v>#VALUE!</v>
      </c>
      <c r="J35" s="870" t="str">
        <f t="shared" si="7"/>
        <v>#VALUE!</v>
      </c>
      <c r="K35" s="871" t="str">
        <f t="shared" si="8"/>
        <v>#VALUE!</v>
      </c>
      <c r="L35" s="872" t="s">
        <v>194</v>
      </c>
      <c r="M35" s="872" t="str">
        <f t="shared" ref="M35:P35" si="16">IF(SUBTOTAL(109,#REF!)=#REF!,"","")</f>
        <v>#VALUE!</v>
      </c>
      <c r="N35" s="872" t="str">
        <f t="shared" si="16"/>
        <v>#VALUE!</v>
      </c>
      <c r="O35" s="904" t="str">
        <f t="shared" si="16"/>
        <v>#VALUE!</v>
      </c>
      <c r="P35" s="904" t="str">
        <f t="shared" si="16"/>
        <v>#VALUE!</v>
      </c>
      <c r="Q35" s="872" t="str">
        <f t="shared" si="17"/>
        <v>#VALUE!</v>
      </c>
      <c r="R35" s="872" t="str">
        <f t="shared" si="18"/>
        <v>#VALUE!</v>
      </c>
      <c r="S35" s="872" t="str">
        <f t="shared" si="19"/>
        <v>#VALUE!</v>
      </c>
      <c r="T35" s="872" t="str">
        <f t="shared" si="20"/>
        <v>#VALUE!</v>
      </c>
      <c r="U35" s="872" t="str">
        <f t="shared" si="21"/>
        <v/>
      </c>
      <c r="V35" s="872" t="str">
        <f t="shared" si="22"/>
        <v/>
      </c>
      <c r="W35" s="872">
        <f t="shared" si="23"/>
        <v>223</v>
      </c>
      <c r="X35" s="872">
        <f t="shared" si="24"/>
        <v>7793</v>
      </c>
      <c r="Y35" s="872">
        <f t="shared" si="25"/>
        <v>1534</v>
      </c>
      <c r="Z35" s="872">
        <f t="shared" si="26"/>
        <v>1830</v>
      </c>
      <c r="AA35" s="872">
        <f t="shared" si="27"/>
        <v>4897</v>
      </c>
      <c r="AB35" s="872">
        <f t="shared" si="28"/>
        <v>9429</v>
      </c>
      <c r="AC35" s="15"/>
      <c r="AD35" s="851" t="s">
        <v>194</v>
      </c>
      <c r="AE35" s="846" t="s">
        <v>194</v>
      </c>
      <c r="AF35" s="846" t="s">
        <v>194</v>
      </c>
      <c r="AG35" s="846" t="s">
        <v>194</v>
      </c>
      <c r="AH35" s="846" t="s">
        <v>194</v>
      </c>
      <c r="AI35" s="846" t="s">
        <v>194</v>
      </c>
      <c r="AJ35" s="846" t="s">
        <v>194</v>
      </c>
      <c r="AK35" s="846" t="s">
        <v>194</v>
      </c>
      <c r="AL35" s="846" t="s">
        <v>194</v>
      </c>
      <c r="AM35" s="846" t="s">
        <v>194</v>
      </c>
      <c r="AN35" s="846" t="s">
        <v>194</v>
      </c>
      <c r="AO35" s="846" t="s">
        <v>194</v>
      </c>
      <c r="AP35" s="846" t="s">
        <v>194</v>
      </c>
      <c r="AQ35" s="846" t="s">
        <v>194</v>
      </c>
      <c r="AR35" s="846" t="s">
        <v>194</v>
      </c>
      <c r="AS35" s="846" t="s">
        <v>194</v>
      </c>
      <c r="AT35" s="846" t="s">
        <v>194</v>
      </c>
      <c r="AU35" s="846" t="s">
        <v>194</v>
      </c>
      <c r="AV35" s="846" t="s">
        <v>194</v>
      </c>
      <c r="AW35" s="846" t="s">
        <v>194</v>
      </c>
      <c r="AX35" s="846" t="s">
        <v>194</v>
      </c>
      <c r="AY35" s="846" t="s">
        <v>194</v>
      </c>
    </row>
    <row r="36" ht="15.75" hidden="1" customHeight="1" outlineLevel="3">
      <c r="A36" s="849">
        <v>1.0</v>
      </c>
      <c r="B36" s="15"/>
      <c r="C36" s="869" t="str">
        <f>"            Interest Expense Net of Capitalized Interest"</f>
        <v>            Interest Expense Net of Capitalized Interest</v>
      </c>
      <c r="D36" s="870">
        <f t="shared" si="1"/>
        <v>1682</v>
      </c>
      <c r="E36" s="870">
        <f t="shared" si="2"/>
        <v>2512</v>
      </c>
      <c r="F36" s="870">
        <f t="shared" si="3"/>
        <v>3</v>
      </c>
      <c r="G36" s="870">
        <f t="shared" si="4"/>
        <v>9429</v>
      </c>
      <c r="H36" s="870">
        <f t="shared" si="5"/>
        <v>130.5</v>
      </c>
      <c r="I36" s="870">
        <f t="shared" si="6"/>
        <v>2890</v>
      </c>
      <c r="J36" s="870">
        <f t="shared" si="7"/>
        <v>3230.865607</v>
      </c>
      <c r="K36" s="871">
        <f t="shared" si="8"/>
        <v>1.286172614</v>
      </c>
      <c r="L36" s="872" t="s">
        <v>194</v>
      </c>
      <c r="M36" s="872" t="s">
        <v>194</v>
      </c>
      <c r="N36" s="872" t="s">
        <v>194</v>
      </c>
      <c r="O36" s="904" t="s">
        <v>194</v>
      </c>
      <c r="P36" s="904" t="s">
        <v>194</v>
      </c>
      <c r="Q36" s="872">
        <v>2221.0</v>
      </c>
      <c r="R36" s="872">
        <v>170.0</v>
      </c>
      <c r="S36" s="872">
        <v>12.0</v>
      </c>
      <c r="T36" s="872">
        <v>3.0</v>
      </c>
      <c r="U36" s="872" t="s">
        <v>194</v>
      </c>
      <c r="V36" s="872" t="s">
        <v>194</v>
      </c>
      <c r="W36" s="872" t="s">
        <v>194</v>
      </c>
      <c r="X36" s="872" t="s">
        <v>194</v>
      </c>
      <c r="Y36" s="872">
        <v>1534.0</v>
      </c>
      <c r="Z36" s="872">
        <v>1830.0</v>
      </c>
      <c r="AA36" s="872">
        <v>4897.0</v>
      </c>
      <c r="AB36" s="872">
        <v>9429.0</v>
      </c>
      <c r="AC36" s="15"/>
      <c r="AD36" s="851" t="s">
        <v>194</v>
      </c>
      <c r="AE36" s="846" t="s">
        <v>194</v>
      </c>
      <c r="AF36" s="846" t="s">
        <v>194</v>
      </c>
      <c r="AG36" s="846" t="s">
        <v>194</v>
      </c>
      <c r="AH36" s="846" t="s">
        <v>194</v>
      </c>
      <c r="AI36" s="846" t="s">
        <v>194</v>
      </c>
      <c r="AJ36" s="846" t="s">
        <v>194</v>
      </c>
      <c r="AK36" s="846" t="s">
        <v>194</v>
      </c>
      <c r="AL36" s="846" t="s">
        <v>194</v>
      </c>
      <c r="AM36" s="846" t="s">
        <v>194</v>
      </c>
      <c r="AN36" s="846" t="s">
        <v>194</v>
      </c>
      <c r="AO36" s="846" t="s">
        <v>194</v>
      </c>
      <c r="AP36" s="846" t="s">
        <v>194</v>
      </c>
      <c r="AQ36" s="846" t="s">
        <v>194</v>
      </c>
      <c r="AR36" s="846" t="s">
        <v>194</v>
      </c>
      <c r="AS36" s="846" t="s">
        <v>194</v>
      </c>
      <c r="AT36" s="846" t="s">
        <v>194</v>
      </c>
      <c r="AU36" s="846" t="s">
        <v>194</v>
      </c>
      <c r="AV36" s="846" t="s">
        <v>194</v>
      </c>
      <c r="AW36" s="846" t="s">
        <v>194</v>
      </c>
      <c r="AX36" s="846" t="s">
        <v>194</v>
      </c>
      <c r="AY36" s="846" t="s">
        <v>194</v>
      </c>
    </row>
    <row r="37" ht="15.75" hidden="1" customHeight="1" outlineLevel="3">
      <c r="A37" s="849">
        <v>1.0</v>
      </c>
      <c r="B37" s="15"/>
      <c r="C37" s="869" t="str">
        <f>"            Interest Income"</f>
        <v>            Interest Income</v>
      </c>
      <c r="D37" s="870">
        <f t="shared" si="1"/>
        <v>678.5</v>
      </c>
      <c r="E37" s="870">
        <f t="shared" si="2"/>
        <v>768.75</v>
      </c>
      <c r="F37" s="870">
        <f t="shared" si="3"/>
        <v>97</v>
      </c>
      <c r="G37" s="870">
        <f t="shared" si="4"/>
        <v>1621</v>
      </c>
      <c r="H37" s="870">
        <f t="shared" si="5"/>
        <v>166.75</v>
      </c>
      <c r="I37" s="870">
        <f t="shared" si="6"/>
        <v>1280.5</v>
      </c>
      <c r="J37" s="870">
        <f t="shared" si="7"/>
        <v>746.353971</v>
      </c>
      <c r="K37" s="871">
        <f t="shared" si="8"/>
        <v>0.9708669541</v>
      </c>
      <c r="L37" s="872" t="s">
        <v>194</v>
      </c>
      <c r="M37" s="872" t="s">
        <v>194</v>
      </c>
      <c r="N37" s="872" t="s">
        <v>194</v>
      </c>
      <c r="O37" s="904" t="s">
        <v>194</v>
      </c>
      <c r="P37" s="904" t="s">
        <v>194</v>
      </c>
      <c r="Q37" s="872">
        <v>1621.0</v>
      </c>
      <c r="R37" s="872">
        <v>1167.0</v>
      </c>
      <c r="S37" s="872">
        <v>190.0</v>
      </c>
      <c r="T37" s="872">
        <v>97.0</v>
      </c>
      <c r="U37" s="872" t="s">
        <v>194</v>
      </c>
      <c r="V37" s="872" t="s">
        <v>194</v>
      </c>
      <c r="W37" s="872" t="s">
        <v>194</v>
      </c>
      <c r="X37" s="872" t="s">
        <v>194</v>
      </c>
      <c r="Y37" s="872" t="s">
        <v>194</v>
      </c>
      <c r="Z37" s="872" t="s">
        <v>194</v>
      </c>
      <c r="AA37" s="872" t="s">
        <v>194</v>
      </c>
      <c r="AB37" s="872" t="s">
        <v>194</v>
      </c>
      <c r="AC37" s="15"/>
      <c r="AD37" s="851" t="s">
        <v>194</v>
      </c>
      <c r="AE37" s="846" t="s">
        <v>194</v>
      </c>
      <c r="AF37" s="846" t="s">
        <v>194</v>
      </c>
      <c r="AG37" s="846" t="s">
        <v>194</v>
      </c>
      <c r="AH37" s="846" t="s">
        <v>194</v>
      </c>
      <c r="AI37" s="846" t="s">
        <v>194</v>
      </c>
      <c r="AJ37" s="846" t="s">
        <v>194</v>
      </c>
      <c r="AK37" s="846" t="s">
        <v>194</v>
      </c>
      <c r="AL37" s="846" t="s">
        <v>194</v>
      </c>
      <c r="AM37" s="846" t="s">
        <v>194</v>
      </c>
      <c r="AN37" s="846" t="s">
        <v>194</v>
      </c>
      <c r="AO37" s="846" t="s">
        <v>194</v>
      </c>
      <c r="AP37" s="846" t="s">
        <v>194</v>
      </c>
      <c r="AQ37" s="846" t="s">
        <v>194</v>
      </c>
      <c r="AR37" s="846" t="s">
        <v>194</v>
      </c>
      <c r="AS37" s="846" t="s">
        <v>194</v>
      </c>
      <c r="AT37" s="846" t="s">
        <v>194</v>
      </c>
      <c r="AU37" s="846" t="s">
        <v>194</v>
      </c>
      <c r="AV37" s="846" t="s">
        <v>194</v>
      </c>
      <c r="AW37" s="846" t="s">
        <v>194</v>
      </c>
      <c r="AX37" s="846" t="s">
        <v>194</v>
      </c>
      <c r="AY37" s="846" t="s">
        <v>194</v>
      </c>
    </row>
    <row r="38" ht="15.75" hidden="1" customHeight="1" outlineLevel="3">
      <c r="A38" s="849">
        <v>1.0</v>
      </c>
      <c r="B38" s="15"/>
      <c r="C38" s="881" t="str">
        <f>"            Total Net Interest (Income)/Expense"</f>
        <v>            Total Net Interest (Income)/Expense</v>
      </c>
      <c r="D38" s="882">
        <f t="shared" si="1"/>
        <v>1067</v>
      </c>
      <c r="E38" s="882">
        <f t="shared" si="2"/>
        <v>2503.7</v>
      </c>
      <c r="F38" s="882">
        <f t="shared" si="3"/>
        <v>-997</v>
      </c>
      <c r="G38" s="882">
        <f t="shared" si="4"/>
        <v>9429</v>
      </c>
      <c r="H38" s="882">
        <f t="shared" si="5"/>
        <v>-14.75</v>
      </c>
      <c r="I38" s="882">
        <f t="shared" si="6"/>
        <v>4130.25</v>
      </c>
      <c r="J38" s="882">
        <f t="shared" si="7"/>
        <v>3622.13375</v>
      </c>
      <c r="K38" s="883">
        <f t="shared" si="8"/>
        <v>1.446712366</v>
      </c>
      <c r="L38" s="884" t="s">
        <v>194</v>
      </c>
      <c r="M38" s="884" t="s">
        <v>194</v>
      </c>
      <c r="N38" s="884" t="s">
        <v>194</v>
      </c>
      <c r="O38" s="910" t="s">
        <v>194</v>
      </c>
      <c r="P38" s="910" t="s">
        <v>194</v>
      </c>
      <c r="Q38" s="884">
        <v>600.0</v>
      </c>
      <c r="R38" s="884">
        <v>-997.0</v>
      </c>
      <c r="S38" s="884">
        <v>-178.0</v>
      </c>
      <c r="T38" s="884">
        <v>-94.0</v>
      </c>
      <c r="U38" s="884" t="s">
        <v>194</v>
      </c>
      <c r="V38" s="884" t="s">
        <v>194</v>
      </c>
      <c r="W38" s="884">
        <v>223.0</v>
      </c>
      <c r="X38" s="884">
        <v>7793.0</v>
      </c>
      <c r="Y38" s="884">
        <v>1534.0</v>
      </c>
      <c r="Z38" s="884">
        <v>1830.0</v>
      </c>
      <c r="AA38" s="884">
        <v>4897.0</v>
      </c>
      <c r="AB38" s="884">
        <v>9429.0</v>
      </c>
      <c r="AC38" s="15"/>
      <c r="AD38" s="851" t="s">
        <v>194</v>
      </c>
      <c r="AE38" s="846" t="s">
        <v>194</v>
      </c>
      <c r="AF38" s="846" t="s">
        <v>194</v>
      </c>
      <c r="AG38" s="846" t="s">
        <v>194</v>
      </c>
      <c r="AH38" s="846" t="s">
        <v>194</v>
      </c>
      <c r="AI38" s="846" t="s">
        <v>194</v>
      </c>
      <c r="AJ38" s="846" t="s">
        <v>194</v>
      </c>
      <c r="AK38" s="846" t="s">
        <v>194</v>
      </c>
      <c r="AL38" s="846" t="s">
        <v>194</v>
      </c>
      <c r="AM38" s="846" t="s">
        <v>194</v>
      </c>
      <c r="AN38" s="846" t="s">
        <v>194</v>
      </c>
      <c r="AO38" s="846" t="s">
        <v>194</v>
      </c>
      <c r="AP38" s="846" t="s">
        <v>194</v>
      </c>
      <c r="AQ38" s="846" t="s">
        <v>194</v>
      </c>
      <c r="AR38" s="846" t="s">
        <v>194</v>
      </c>
      <c r="AS38" s="846" t="s">
        <v>194</v>
      </c>
      <c r="AT38" s="846" t="s">
        <v>194</v>
      </c>
      <c r="AU38" s="846" t="s">
        <v>194</v>
      </c>
      <c r="AV38" s="846" t="s">
        <v>194</v>
      </c>
      <c r="AW38" s="846" t="s">
        <v>194</v>
      </c>
      <c r="AX38" s="846" t="s">
        <v>194</v>
      </c>
      <c r="AY38" s="846" t="s">
        <v>194</v>
      </c>
    </row>
    <row r="39" ht="15.75" hidden="1" customHeight="1" outlineLevel="2">
      <c r="A39" s="849">
        <v>1.0</v>
      </c>
      <c r="B39" s="15"/>
      <c r="C39" s="881" t="str">
        <f>"        Total Net Finance (Income)/Expense"</f>
        <v>        Total Net Finance (Income)/Expense</v>
      </c>
      <c r="D39" s="882">
        <f t="shared" si="1"/>
        <v>1067</v>
      </c>
      <c r="E39" s="882">
        <f t="shared" si="2"/>
        <v>2503.7</v>
      </c>
      <c r="F39" s="882">
        <f t="shared" si="3"/>
        <v>-997</v>
      </c>
      <c r="G39" s="882">
        <f t="shared" si="4"/>
        <v>9429</v>
      </c>
      <c r="H39" s="882">
        <f t="shared" si="5"/>
        <v>-14.75</v>
      </c>
      <c r="I39" s="882">
        <f t="shared" si="6"/>
        <v>4130.25</v>
      </c>
      <c r="J39" s="882">
        <f t="shared" si="7"/>
        <v>3622.13375</v>
      </c>
      <c r="K39" s="883">
        <f t="shared" si="8"/>
        <v>1.446712366</v>
      </c>
      <c r="L39" s="884" t="s">
        <v>194</v>
      </c>
      <c r="M39" s="884" t="s">
        <v>194</v>
      </c>
      <c r="N39" s="884" t="s">
        <v>194</v>
      </c>
      <c r="O39" s="910" t="s">
        <v>194</v>
      </c>
      <c r="P39" s="910" t="s">
        <v>194</v>
      </c>
      <c r="Q39" s="884">
        <v>600.0</v>
      </c>
      <c r="R39" s="884">
        <v>-997.0</v>
      </c>
      <c r="S39" s="884">
        <v>-178.0</v>
      </c>
      <c r="T39" s="884">
        <v>-94.0</v>
      </c>
      <c r="U39" s="884" t="s">
        <v>194</v>
      </c>
      <c r="V39" s="884" t="s">
        <v>194</v>
      </c>
      <c r="W39" s="884">
        <v>223.0</v>
      </c>
      <c r="X39" s="884">
        <v>7793.0</v>
      </c>
      <c r="Y39" s="884">
        <v>1534.0</v>
      </c>
      <c r="Z39" s="884">
        <v>1830.0</v>
      </c>
      <c r="AA39" s="884">
        <v>4897.0</v>
      </c>
      <c r="AB39" s="884">
        <v>9429.0</v>
      </c>
      <c r="AC39" s="15"/>
      <c r="AD39" s="851" t="s">
        <v>194</v>
      </c>
      <c r="AE39" s="846" t="s">
        <v>194</v>
      </c>
      <c r="AF39" s="846" t="s">
        <v>194</v>
      </c>
      <c r="AG39" s="846" t="s">
        <v>194</v>
      </c>
      <c r="AH39" s="846" t="s">
        <v>194</v>
      </c>
      <c r="AI39" s="846" t="s">
        <v>194</v>
      </c>
      <c r="AJ39" s="846" t="s">
        <v>194</v>
      </c>
      <c r="AK39" s="846" t="s">
        <v>194</v>
      </c>
      <c r="AL39" s="846" t="s">
        <v>194</v>
      </c>
      <c r="AM39" s="846" t="s">
        <v>194</v>
      </c>
      <c r="AN39" s="846" t="s">
        <v>194</v>
      </c>
      <c r="AO39" s="846" t="s">
        <v>194</v>
      </c>
      <c r="AP39" s="846" t="s">
        <v>194</v>
      </c>
      <c r="AQ39" s="846" t="s">
        <v>194</v>
      </c>
      <c r="AR39" s="846" t="s">
        <v>194</v>
      </c>
      <c r="AS39" s="846" t="s">
        <v>194</v>
      </c>
      <c r="AT39" s="846" t="s">
        <v>194</v>
      </c>
      <c r="AU39" s="846" t="s">
        <v>194</v>
      </c>
      <c r="AV39" s="846" t="s">
        <v>194</v>
      </c>
      <c r="AW39" s="846" t="s">
        <v>194</v>
      </c>
      <c r="AX39" s="846" t="s">
        <v>194</v>
      </c>
      <c r="AY39" s="846" t="s">
        <v>194</v>
      </c>
    </row>
    <row r="40" ht="15.75" hidden="1" customHeight="1" outlineLevel="1">
      <c r="A40" s="849">
        <v>1.0</v>
      </c>
      <c r="B40" s="15"/>
      <c r="C40" s="869" t="str">
        <f>IF(SUBTOTAL(109,A41)=A41,"    Net Investment Income","    Net Investment Income")</f>
        <v>    Net Investment Income</v>
      </c>
      <c r="D40" s="870" t="str">
        <f t="shared" si="1"/>
        <v>#VALUE!</v>
      </c>
      <c r="E40" s="870" t="str">
        <f t="shared" si="2"/>
        <v>#VALUE!</v>
      </c>
      <c r="F40" s="870" t="str">
        <f t="shared" si="3"/>
        <v>#VALUE!</v>
      </c>
      <c r="G40" s="870" t="str">
        <f t="shared" si="4"/>
        <v>#VALUE!</v>
      </c>
      <c r="H40" s="870" t="str">
        <f t="shared" si="5"/>
        <v>#VALUE!</v>
      </c>
      <c r="I40" s="870" t="str">
        <f t="shared" si="6"/>
        <v>#VALUE!</v>
      </c>
      <c r="J40" s="870" t="str">
        <f t="shared" si="7"/>
        <v>#VALUE!</v>
      </c>
      <c r="K40" s="871" t="str">
        <f t="shared" si="8"/>
        <v>#VALUE!</v>
      </c>
      <c r="L40" s="872" t="s">
        <v>194</v>
      </c>
      <c r="M40" s="872" t="str">
        <f t="shared" ref="M40:T40" si="29">IF(SUBTOTAL(109,#REF!)=#REF!,"","")</f>
        <v>#VALUE!</v>
      </c>
      <c r="N40" s="872" t="str">
        <f t="shared" si="29"/>
        <v>#VALUE!</v>
      </c>
      <c r="O40" s="904" t="str">
        <f t="shared" si="29"/>
        <v>#VALUE!</v>
      </c>
      <c r="P40" s="904" t="str">
        <f t="shared" si="29"/>
        <v>#VALUE!</v>
      </c>
      <c r="Q40" s="872" t="str">
        <f t="shared" si="29"/>
        <v>#VALUE!</v>
      </c>
      <c r="R40" s="872" t="str">
        <f t="shared" si="29"/>
        <v>#VALUE!</v>
      </c>
      <c r="S40" s="872" t="str">
        <f t="shared" si="29"/>
        <v>#VALUE!</v>
      </c>
      <c r="T40" s="872" t="str">
        <f t="shared" si="29"/>
        <v>#VALUE!</v>
      </c>
      <c r="U40" s="872" t="str">
        <f>IF(SUBTOTAL(109,B41)=B41,"","")</f>
        <v/>
      </c>
      <c r="V40" s="872" t="str">
        <f>IF(SUBTOTAL(109,D41)=D41,"","")</f>
        <v/>
      </c>
      <c r="W40" s="872" t="str">
        <f>IF(SUBTOTAL(109,F41)=F41,"","")</f>
        <v/>
      </c>
      <c r="X40" s="872" t="str">
        <f>IF(SUBTOTAL(109,H41)=H41,"","")</f>
        <v/>
      </c>
      <c r="Y40" s="872" t="str">
        <f>IF(SUBTOTAL(109,J41)=J41,"","")</f>
        <v/>
      </c>
      <c r="Z40" s="872">
        <f>IF(SUBTOTAL(109,L41)=L41,"",-287)</f>
        <v>-287</v>
      </c>
      <c r="AA40" s="872">
        <f>IF(SUBTOTAL(109,N41)=N41,"",-384)</f>
        <v>-384</v>
      </c>
      <c r="AB40" s="872">
        <f>IF(SUBTOTAL(109,P41)=P41,"",-246)</f>
        <v>-246</v>
      </c>
      <c r="AC40" s="15"/>
      <c r="AD40" s="851" t="s">
        <v>194</v>
      </c>
      <c r="AE40" s="846" t="s">
        <v>194</v>
      </c>
      <c r="AF40" s="846" t="s">
        <v>194</v>
      </c>
      <c r="AG40" s="846" t="s">
        <v>194</v>
      </c>
      <c r="AH40" s="846" t="s">
        <v>194</v>
      </c>
      <c r="AI40" s="846" t="s">
        <v>194</v>
      </c>
      <c r="AJ40" s="846" t="s">
        <v>194</v>
      </c>
      <c r="AK40" s="846" t="s">
        <v>194</v>
      </c>
      <c r="AL40" s="846" t="s">
        <v>194</v>
      </c>
      <c r="AM40" s="846" t="s">
        <v>194</v>
      </c>
      <c r="AN40" s="846" t="s">
        <v>194</v>
      </c>
      <c r="AO40" s="846" t="s">
        <v>194</v>
      </c>
      <c r="AP40" s="846" t="s">
        <v>194</v>
      </c>
      <c r="AQ40" s="846" t="s">
        <v>194</v>
      </c>
      <c r="AR40" s="846" t="s">
        <v>194</v>
      </c>
      <c r="AS40" s="846" t="s">
        <v>194</v>
      </c>
      <c r="AT40" s="846" t="s">
        <v>194</v>
      </c>
      <c r="AU40" s="846" t="s">
        <v>194</v>
      </c>
      <c r="AV40" s="846" t="s">
        <v>194</v>
      </c>
      <c r="AW40" s="846" t="s">
        <v>194</v>
      </c>
      <c r="AX40" s="846" t="s">
        <v>194</v>
      </c>
      <c r="AY40" s="846" t="s">
        <v>194</v>
      </c>
    </row>
    <row r="41" ht="15.75" hidden="1" customHeight="1" outlineLevel="2">
      <c r="A41" s="849">
        <v>1.0</v>
      </c>
      <c r="B41" s="15"/>
      <c r="C41" s="869" t="str">
        <f>"        Gain/(Loss) on Investments and Other Financial Instruments"</f>
        <v>        Gain/(Loss) on Investments and Other Financial Instruments</v>
      </c>
      <c r="D41" s="870">
        <f t="shared" si="1"/>
        <v>-287</v>
      </c>
      <c r="E41" s="870">
        <f t="shared" si="2"/>
        <v>-305.6666667</v>
      </c>
      <c r="F41" s="870">
        <f t="shared" si="3"/>
        <v>-384</v>
      </c>
      <c r="G41" s="870">
        <f t="shared" si="4"/>
        <v>-246</v>
      </c>
      <c r="H41" s="870">
        <f t="shared" si="5"/>
        <v>-335.5</v>
      </c>
      <c r="I41" s="870">
        <f t="shared" si="6"/>
        <v>-266.5</v>
      </c>
      <c r="J41" s="870">
        <f t="shared" si="7"/>
        <v>70.86842268</v>
      </c>
      <c r="K41" s="871">
        <f t="shared" si="8"/>
        <v>-0.2318487111</v>
      </c>
      <c r="L41" s="872" t="s">
        <v>194</v>
      </c>
      <c r="M41" s="872" t="s">
        <v>194</v>
      </c>
      <c r="N41" s="872" t="s">
        <v>194</v>
      </c>
      <c r="O41" s="904" t="s">
        <v>194</v>
      </c>
      <c r="P41" s="904" t="s">
        <v>194</v>
      </c>
      <c r="Q41" s="872" t="s">
        <v>194</v>
      </c>
      <c r="R41" s="872" t="s">
        <v>194</v>
      </c>
      <c r="S41" s="872" t="s">
        <v>194</v>
      </c>
      <c r="T41" s="872" t="s">
        <v>194</v>
      </c>
      <c r="U41" s="872" t="s">
        <v>194</v>
      </c>
      <c r="V41" s="872" t="s">
        <v>194</v>
      </c>
      <c r="W41" s="872" t="s">
        <v>194</v>
      </c>
      <c r="X41" s="872" t="s">
        <v>194</v>
      </c>
      <c r="Y41" s="872" t="s">
        <v>194</v>
      </c>
      <c r="Z41" s="872">
        <v>-287.0</v>
      </c>
      <c r="AA41" s="872">
        <v>-384.0</v>
      </c>
      <c r="AB41" s="872">
        <v>-246.0</v>
      </c>
      <c r="AC41" s="15"/>
      <c r="AD41" s="851" t="s">
        <v>194</v>
      </c>
      <c r="AE41" s="846" t="s">
        <v>194</v>
      </c>
      <c r="AF41" s="846" t="s">
        <v>194</v>
      </c>
      <c r="AG41" s="846" t="s">
        <v>194</v>
      </c>
      <c r="AH41" s="846" t="s">
        <v>194</v>
      </c>
      <c r="AI41" s="846" t="s">
        <v>194</v>
      </c>
      <c r="AJ41" s="846" t="s">
        <v>194</v>
      </c>
      <c r="AK41" s="846" t="s">
        <v>194</v>
      </c>
      <c r="AL41" s="846" t="s">
        <v>194</v>
      </c>
      <c r="AM41" s="846" t="s">
        <v>194</v>
      </c>
      <c r="AN41" s="846" t="s">
        <v>194</v>
      </c>
      <c r="AO41" s="846" t="s">
        <v>194</v>
      </c>
      <c r="AP41" s="846" t="s">
        <v>194</v>
      </c>
      <c r="AQ41" s="846" t="s">
        <v>194</v>
      </c>
      <c r="AR41" s="846" t="s">
        <v>194</v>
      </c>
      <c r="AS41" s="846" t="s">
        <v>194</v>
      </c>
      <c r="AT41" s="846" t="s">
        <v>194</v>
      </c>
      <c r="AU41" s="846" t="s">
        <v>194</v>
      </c>
      <c r="AV41" s="846" t="s">
        <v>194</v>
      </c>
      <c r="AW41" s="846" t="s">
        <v>194</v>
      </c>
      <c r="AX41" s="846" t="s">
        <v>194</v>
      </c>
      <c r="AY41" s="846" t="s">
        <v>194</v>
      </c>
    </row>
    <row r="42" ht="15.75" hidden="1" customHeight="1" outlineLevel="2">
      <c r="A42" s="849">
        <v>1.0</v>
      </c>
      <c r="B42" s="15"/>
      <c r="C42" s="881" t="str">
        <f>"        Total Net Investment Income"</f>
        <v>        Total Net Investment Income</v>
      </c>
      <c r="D42" s="882">
        <f t="shared" si="1"/>
        <v>-287</v>
      </c>
      <c r="E42" s="882">
        <f t="shared" si="2"/>
        <v>-305.6666667</v>
      </c>
      <c r="F42" s="882">
        <f t="shared" si="3"/>
        <v>-384</v>
      </c>
      <c r="G42" s="882">
        <f t="shared" si="4"/>
        <v>-246</v>
      </c>
      <c r="H42" s="882">
        <f t="shared" si="5"/>
        <v>-335.5</v>
      </c>
      <c r="I42" s="882">
        <f t="shared" si="6"/>
        <v>-266.5</v>
      </c>
      <c r="J42" s="882">
        <f t="shared" si="7"/>
        <v>70.86842268</v>
      </c>
      <c r="K42" s="883">
        <f t="shared" si="8"/>
        <v>-0.2318487111</v>
      </c>
      <c r="L42" s="884" t="s">
        <v>194</v>
      </c>
      <c r="M42" s="884" t="s">
        <v>194</v>
      </c>
      <c r="N42" s="884" t="s">
        <v>194</v>
      </c>
      <c r="O42" s="910" t="s">
        <v>194</v>
      </c>
      <c r="P42" s="910" t="s">
        <v>194</v>
      </c>
      <c r="Q42" s="884" t="s">
        <v>194</v>
      </c>
      <c r="R42" s="884" t="s">
        <v>194</v>
      </c>
      <c r="S42" s="884" t="s">
        <v>194</v>
      </c>
      <c r="T42" s="884" t="s">
        <v>194</v>
      </c>
      <c r="U42" s="884" t="s">
        <v>194</v>
      </c>
      <c r="V42" s="884" t="s">
        <v>194</v>
      </c>
      <c r="W42" s="884" t="s">
        <v>194</v>
      </c>
      <c r="X42" s="884" t="s">
        <v>194</v>
      </c>
      <c r="Y42" s="884" t="s">
        <v>194</v>
      </c>
      <c r="Z42" s="884">
        <v>-287.0</v>
      </c>
      <c r="AA42" s="884">
        <v>-384.0</v>
      </c>
      <c r="AB42" s="884">
        <v>-246.0</v>
      </c>
      <c r="AC42" s="15"/>
      <c r="AD42" s="851" t="s">
        <v>194</v>
      </c>
      <c r="AE42" s="846" t="s">
        <v>194</v>
      </c>
      <c r="AF42" s="846" t="s">
        <v>194</v>
      </c>
      <c r="AG42" s="846" t="s">
        <v>194</v>
      </c>
      <c r="AH42" s="846" t="s">
        <v>194</v>
      </c>
      <c r="AI42" s="846" t="s">
        <v>194</v>
      </c>
      <c r="AJ42" s="846" t="s">
        <v>194</v>
      </c>
      <c r="AK42" s="846" t="s">
        <v>194</v>
      </c>
      <c r="AL42" s="846" t="s">
        <v>194</v>
      </c>
      <c r="AM42" s="846" t="s">
        <v>194</v>
      </c>
      <c r="AN42" s="846" t="s">
        <v>194</v>
      </c>
      <c r="AO42" s="846" t="s">
        <v>194</v>
      </c>
      <c r="AP42" s="846" t="s">
        <v>194</v>
      </c>
      <c r="AQ42" s="846" t="s">
        <v>194</v>
      </c>
      <c r="AR42" s="846" t="s">
        <v>194</v>
      </c>
      <c r="AS42" s="846" t="s">
        <v>194</v>
      </c>
      <c r="AT42" s="846" t="s">
        <v>194</v>
      </c>
      <c r="AU42" s="846" t="s">
        <v>194</v>
      </c>
      <c r="AV42" s="846" t="s">
        <v>194</v>
      </c>
      <c r="AW42" s="846" t="s">
        <v>194</v>
      </c>
      <c r="AX42" s="846" t="s">
        <v>194</v>
      </c>
      <c r="AY42" s="846" t="s">
        <v>194</v>
      </c>
    </row>
    <row r="43" ht="15.75" hidden="1" customHeight="1" outlineLevel="1">
      <c r="A43" s="849">
        <v>1.0</v>
      </c>
      <c r="B43" s="15"/>
      <c r="C43" s="869" t="str">
        <f>IF(SUBTOTAL(109,A44)=A44,"    Irregular (Income)/Expenses","    Irregular (Income)/Expenses")</f>
        <v>    Irregular (Income)/Expenses</v>
      </c>
      <c r="D43" s="870" t="str">
        <f t="shared" si="1"/>
        <v>#VALUE!</v>
      </c>
      <c r="E43" s="870" t="str">
        <f t="shared" si="2"/>
        <v>#VALUE!</v>
      </c>
      <c r="F43" s="870" t="str">
        <f t="shared" si="3"/>
        <v>#VALUE!</v>
      </c>
      <c r="G43" s="870" t="str">
        <f t="shared" si="4"/>
        <v>#VALUE!</v>
      </c>
      <c r="H43" s="870" t="str">
        <f t="shared" si="5"/>
        <v>#VALUE!</v>
      </c>
      <c r="I43" s="870" t="str">
        <f t="shared" si="6"/>
        <v>#VALUE!</v>
      </c>
      <c r="J43" s="870" t="str">
        <f t="shared" si="7"/>
        <v>#VALUE!</v>
      </c>
      <c r="K43" s="871" t="str">
        <f t="shared" si="8"/>
        <v>#VALUE!</v>
      </c>
      <c r="L43" s="872" t="s">
        <v>194</v>
      </c>
      <c r="M43" s="872" t="str">
        <f t="shared" ref="M43:N43" si="30">IF(SUBTOTAL(109,#REF!)=#REF!,"",0)</f>
        <v>#VALUE!</v>
      </c>
      <c r="N43" s="872" t="str">
        <f t="shared" si="30"/>
        <v>#VALUE!</v>
      </c>
      <c r="O43" s="904" t="str">
        <f t="shared" ref="O43:P43" si="31">IF(SUBTOTAL(109,#REF!)=#REF!,"","")</f>
        <v>#VALUE!</v>
      </c>
      <c r="P43" s="904" t="str">
        <f t="shared" si="31"/>
        <v>#VALUE!</v>
      </c>
      <c r="Q43" s="872" t="str">
        <f>IF(SUBTOTAL(109,#REF!)=#REF!,"",0)</f>
        <v>#VALUE!</v>
      </c>
      <c r="R43" s="872" t="str">
        <f>IF(SUBTOTAL(109,#REF!)=#REF!,"",4880)</f>
        <v>#VALUE!</v>
      </c>
      <c r="S43" s="872" t="str">
        <f>IF(SUBTOTAL(109,#REF!)=#REF!,"",12981)</f>
        <v>#VALUE!</v>
      </c>
      <c r="T43" s="872" t="str">
        <f>IF(SUBTOTAL(109,#REF!)=#REF!,"",4654)</f>
        <v>#VALUE!</v>
      </c>
      <c r="U43" s="872" t="str">
        <f>IF(SUBTOTAL(109,B44)=B44,"",50514)</f>
        <v/>
      </c>
      <c r="V43" s="872" t="str">
        <f>IF(SUBTOTAL(109,D44)=D44,"",136)</f>
        <v/>
      </c>
      <c r="W43" s="872" t="str">
        <f>IF(SUBTOTAL(109,F44)=F44,"","")</f>
        <v/>
      </c>
      <c r="X43" s="872" t="str">
        <f>IF(SUBTOTAL(109,H44)=H44,"",0)</f>
        <v/>
      </c>
      <c r="Y43" s="872">
        <f>IF(SUBTOTAL(109,J44)=J44,"",6151)</f>
        <v>6151</v>
      </c>
      <c r="Z43" s="872">
        <f>IF(SUBTOTAL(109,L44)=L44,"",9931)</f>
        <v>9931</v>
      </c>
      <c r="AA43" s="872">
        <f>IF(SUBTOTAL(109,N44)=N44,"",13834)</f>
        <v>13834</v>
      </c>
      <c r="AB43" s="872">
        <f>IF(SUBTOTAL(109,P44)=P44,"",22222)</f>
        <v>22222</v>
      </c>
      <c r="AC43" s="15"/>
      <c r="AD43" s="851" t="s">
        <v>194</v>
      </c>
      <c r="AE43" s="846" t="s">
        <v>194</v>
      </c>
      <c r="AF43" s="846" t="s">
        <v>194</v>
      </c>
      <c r="AG43" s="846" t="s">
        <v>194</v>
      </c>
      <c r="AH43" s="846" t="s">
        <v>194</v>
      </c>
      <c r="AI43" s="846" t="s">
        <v>194</v>
      </c>
      <c r="AJ43" s="846" t="s">
        <v>194</v>
      </c>
      <c r="AK43" s="846" t="s">
        <v>194</v>
      </c>
      <c r="AL43" s="846" t="s">
        <v>194</v>
      </c>
      <c r="AM43" s="846" t="s">
        <v>194</v>
      </c>
      <c r="AN43" s="846" t="s">
        <v>194</v>
      </c>
      <c r="AO43" s="846" t="s">
        <v>194</v>
      </c>
      <c r="AP43" s="846" t="s">
        <v>194</v>
      </c>
      <c r="AQ43" s="846" t="s">
        <v>194</v>
      </c>
      <c r="AR43" s="846" t="s">
        <v>194</v>
      </c>
      <c r="AS43" s="846" t="s">
        <v>194</v>
      </c>
      <c r="AT43" s="846" t="s">
        <v>194</v>
      </c>
      <c r="AU43" s="846" t="s">
        <v>194</v>
      </c>
      <c r="AV43" s="846" t="s">
        <v>194</v>
      </c>
      <c r="AW43" s="846" t="s">
        <v>194</v>
      </c>
      <c r="AX43" s="846" t="s">
        <v>194</v>
      </c>
      <c r="AY43" s="846" t="s">
        <v>194</v>
      </c>
    </row>
    <row r="44" ht="15.75" hidden="1" customHeight="1" outlineLevel="2">
      <c r="A44" s="849">
        <v>1.0</v>
      </c>
      <c r="B44" s="15"/>
      <c r="C44" s="869" t="str">
        <f>"        Impairment/Write Off/Write Down of Capital Assets"</f>
        <v>        Impairment/Write Off/Write Down of Capital Assets</v>
      </c>
      <c r="D44" s="870">
        <f t="shared" si="1"/>
        <v>0</v>
      </c>
      <c r="E44" s="870">
        <f t="shared" si="2"/>
        <v>11499.75</v>
      </c>
      <c r="F44" s="870">
        <f t="shared" si="3"/>
        <v>0</v>
      </c>
      <c r="G44" s="870">
        <f t="shared" si="4"/>
        <v>45999</v>
      </c>
      <c r="H44" s="870">
        <f t="shared" si="5"/>
        <v>0</v>
      </c>
      <c r="I44" s="870">
        <f t="shared" si="6"/>
        <v>11499.75</v>
      </c>
      <c r="J44" s="870">
        <f t="shared" si="7"/>
        <v>22999.5</v>
      </c>
      <c r="K44" s="871">
        <f t="shared" si="8"/>
        <v>2</v>
      </c>
      <c r="L44" s="872" t="s">
        <v>194</v>
      </c>
      <c r="M44" s="872" t="s">
        <v>194</v>
      </c>
      <c r="N44" s="872" t="s">
        <v>194</v>
      </c>
      <c r="O44" s="904" t="s">
        <v>194</v>
      </c>
      <c r="P44" s="904" t="s">
        <v>194</v>
      </c>
      <c r="Q44" s="872" t="s">
        <v>194</v>
      </c>
      <c r="R44" s="872">
        <v>0.0</v>
      </c>
      <c r="S44" s="872">
        <v>0.0</v>
      </c>
      <c r="T44" s="872">
        <v>0.0</v>
      </c>
      <c r="U44" s="872">
        <v>45999.0</v>
      </c>
      <c r="V44" s="872" t="s">
        <v>194</v>
      </c>
      <c r="W44" s="872" t="s">
        <v>194</v>
      </c>
      <c r="X44" s="872" t="s">
        <v>194</v>
      </c>
      <c r="Y44" s="872" t="s">
        <v>194</v>
      </c>
      <c r="Z44" s="872" t="s">
        <v>194</v>
      </c>
      <c r="AA44" s="872" t="s">
        <v>194</v>
      </c>
      <c r="AB44" s="872" t="s">
        <v>194</v>
      </c>
      <c r="AC44" s="15"/>
      <c r="AD44" s="851" t="s">
        <v>194</v>
      </c>
      <c r="AE44" s="846" t="s">
        <v>194</v>
      </c>
      <c r="AF44" s="846" t="s">
        <v>194</v>
      </c>
      <c r="AG44" s="846" t="s">
        <v>194</v>
      </c>
      <c r="AH44" s="846" t="s">
        <v>194</v>
      </c>
      <c r="AI44" s="846" t="s">
        <v>194</v>
      </c>
      <c r="AJ44" s="846" t="s">
        <v>194</v>
      </c>
      <c r="AK44" s="846" t="s">
        <v>194</v>
      </c>
      <c r="AL44" s="846" t="s">
        <v>194</v>
      </c>
      <c r="AM44" s="846" t="s">
        <v>194</v>
      </c>
      <c r="AN44" s="846" t="s">
        <v>194</v>
      </c>
      <c r="AO44" s="846" t="s">
        <v>194</v>
      </c>
      <c r="AP44" s="846" t="s">
        <v>194</v>
      </c>
      <c r="AQ44" s="846" t="s">
        <v>194</v>
      </c>
      <c r="AR44" s="846" t="s">
        <v>194</v>
      </c>
      <c r="AS44" s="846" t="s">
        <v>194</v>
      </c>
      <c r="AT44" s="846" t="s">
        <v>194</v>
      </c>
      <c r="AU44" s="846" t="s">
        <v>194</v>
      </c>
      <c r="AV44" s="846" t="s">
        <v>194</v>
      </c>
      <c r="AW44" s="846" t="s">
        <v>194</v>
      </c>
      <c r="AX44" s="846" t="s">
        <v>194</v>
      </c>
      <c r="AY44" s="846" t="s">
        <v>194</v>
      </c>
    </row>
    <row r="45" ht="15.75" hidden="1" customHeight="1" outlineLevel="2">
      <c r="A45" s="849">
        <v>1.0</v>
      </c>
      <c r="B45" s="15"/>
      <c r="C45" s="869" t="str">
        <f>"        Impairment/Write Off/Write Down of Other Assets"</f>
        <v>        Impairment/Write Off/Write Down of Other Assets</v>
      </c>
      <c r="D45" s="870">
        <f t="shared" si="1"/>
        <v>13291</v>
      </c>
      <c r="E45" s="870">
        <f t="shared" si="2"/>
        <v>15148</v>
      </c>
      <c r="F45" s="870">
        <f t="shared" si="3"/>
        <v>9931</v>
      </c>
      <c r="G45" s="870">
        <f t="shared" si="4"/>
        <v>22222</v>
      </c>
      <c r="H45" s="870">
        <f t="shared" si="5"/>
        <v>11611</v>
      </c>
      <c r="I45" s="870">
        <f t="shared" si="6"/>
        <v>17756.5</v>
      </c>
      <c r="J45" s="870">
        <f t="shared" si="7"/>
        <v>6352.441027</v>
      </c>
      <c r="K45" s="871">
        <f t="shared" si="8"/>
        <v>0.4193583989</v>
      </c>
      <c r="L45" s="872" t="s">
        <v>194</v>
      </c>
      <c r="M45" s="872" t="s">
        <v>194</v>
      </c>
      <c r="N45" s="872" t="s">
        <v>194</v>
      </c>
      <c r="O45" s="904" t="s">
        <v>194</v>
      </c>
      <c r="P45" s="904" t="s">
        <v>194</v>
      </c>
      <c r="Q45" s="872" t="s">
        <v>194</v>
      </c>
      <c r="R45" s="872" t="s">
        <v>194</v>
      </c>
      <c r="S45" s="872" t="s">
        <v>194</v>
      </c>
      <c r="T45" s="872" t="s">
        <v>194</v>
      </c>
      <c r="U45" s="872" t="s">
        <v>194</v>
      </c>
      <c r="V45" s="872" t="s">
        <v>194</v>
      </c>
      <c r="W45" s="872" t="s">
        <v>194</v>
      </c>
      <c r="X45" s="872" t="s">
        <v>194</v>
      </c>
      <c r="Y45" s="872" t="s">
        <v>194</v>
      </c>
      <c r="Z45" s="872">
        <v>9931.0</v>
      </c>
      <c r="AA45" s="872">
        <v>13291.0</v>
      </c>
      <c r="AB45" s="872">
        <v>22222.0</v>
      </c>
      <c r="AC45" s="15"/>
      <c r="AD45" s="851" t="s">
        <v>194</v>
      </c>
      <c r="AE45" s="846" t="s">
        <v>194</v>
      </c>
      <c r="AF45" s="846" t="s">
        <v>194</v>
      </c>
      <c r="AG45" s="846" t="s">
        <v>194</v>
      </c>
      <c r="AH45" s="846" t="s">
        <v>194</v>
      </c>
      <c r="AI45" s="846" t="s">
        <v>194</v>
      </c>
      <c r="AJ45" s="846" t="s">
        <v>194</v>
      </c>
      <c r="AK45" s="846" t="s">
        <v>194</v>
      </c>
      <c r="AL45" s="846" t="s">
        <v>194</v>
      </c>
      <c r="AM45" s="846" t="s">
        <v>194</v>
      </c>
      <c r="AN45" s="846" t="s">
        <v>194</v>
      </c>
      <c r="AO45" s="846" t="s">
        <v>194</v>
      </c>
      <c r="AP45" s="846" t="s">
        <v>194</v>
      </c>
      <c r="AQ45" s="846" t="s">
        <v>194</v>
      </c>
      <c r="AR45" s="846" t="s">
        <v>194</v>
      </c>
      <c r="AS45" s="846" t="s">
        <v>194</v>
      </c>
      <c r="AT45" s="846" t="s">
        <v>194</v>
      </c>
      <c r="AU45" s="846" t="s">
        <v>194</v>
      </c>
      <c r="AV45" s="846" t="s">
        <v>194</v>
      </c>
      <c r="AW45" s="846" t="s">
        <v>194</v>
      </c>
      <c r="AX45" s="846" t="s">
        <v>194</v>
      </c>
      <c r="AY45" s="846" t="s">
        <v>194</v>
      </c>
    </row>
    <row r="46" ht="15.75" hidden="1" customHeight="1" outlineLevel="2">
      <c r="A46" s="849">
        <v>1.0</v>
      </c>
      <c r="B46" s="15"/>
      <c r="C46" s="869" t="str">
        <f>"        (Gain)/Loss on Extinguishment of Debt"</f>
        <v>        (Gain)/Loss on Extinguishment of Debt</v>
      </c>
      <c r="D46" s="870">
        <f t="shared" si="1"/>
        <v>0</v>
      </c>
      <c r="E46" s="870">
        <f t="shared" si="2"/>
        <v>181</v>
      </c>
      <c r="F46" s="870">
        <f t="shared" si="3"/>
        <v>0</v>
      </c>
      <c r="G46" s="870">
        <f t="shared" si="4"/>
        <v>543</v>
      </c>
      <c r="H46" s="870">
        <f t="shared" si="5"/>
        <v>0</v>
      </c>
      <c r="I46" s="870">
        <f t="shared" si="6"/>
        <v>271.5</v>
      </c>
      <c r="J46" s="870">
        <f t="shared" si="7"/>
        <v>313.5011962</v>
      </c>
      <c r="K46" s="871">
        <f t="shared" si="8"/>
        <v>1.732050808</v>
      </c>
      <c r="L46" s="872" t="s">
        <v>194</v>
      </c>
      <c r="M46" s="872" t="s">
        <v>194</v>
      </c>
      <c r="N46" s="872" t="s">
        <v>194</v>
      </c>
      <c r="O46" s="904" t="s">
        <v>194</v>
      </c>
      <c r="P46" s="904" t="s">
        <v>194</v>
      </c>
      <c r="Q46" s="872" t="s">
        <v>194</v>
      </c>
      <c r="R46" s="872" t="s">
        <v>194</v>
      </c>
      <c r="S46" s="872" t="s">
        <v>194</v>
      </c>
      <c r="T46" s="872" t="s">
        <v>194</v>
      </c>
      <c r="U46" s="872" t="s">
        <v>194</v>
      </c>
      <c r="V46" s="872" t="s">
        <v>194</v>
      </c>
      <c r="W46" s="872" t="s">
        <v>194</v>
      </c>
      <c r="X46" s="872" t="s">
        <v>194</v>
      </c>
      <c r="Y46" s="872" t="s">
        <v>194</v>
      </c>
      <c r="Z46" s="872">
        <v>0.0</v>
      </c>
      <c r="AA46" s="872">
        <v>543.0</v>
      </c>
      <c r="AB46" s="872">
        <v>0.0</v>
      </c>
      <c r="AC46" s="15"/>
      <c r="AD46" s="851" t="s">
        <v>194</v>
      </c>
      <c r="AE46" s="846" t="s">
        <v>194</v>
      </c>
      <c r="AF46" s="846" t="s">
        <v>194</v>
      </c>
      <c r="AG46" s="846" t="s">
        <v>194</v>
      </c>
      <c r="AH46" s="846" t="s">
        <v>194</v>
      </c>
      <c r="AI46" s="846" t="s">
        <v>194</v>
      </c>
      <c r="AJ46" s="846" t="s">
        <v>194</v>
      </c>
      <c r="AK46" s="846" t="s">
        <v>194</v>
      </c>
      <c r="AL46" s="846" t="s">
        <v>194</v>
      </c>
      <c r="AM46" s="846" t="s">
        <v>194</v>
      </c>
      <c r="AN46" s="846" t="s">
        <v>194</v>
      </c>
      <c r="AO46" s="846" t="s">
        <v>194</v>
      </c>
      <c r="AP46" s="846" t="s">
        <v>194</v>
      </c>
      <c r="AQ46" s="846" t="s">
        <v>194</v>
      </c>
      <c r="AR46" s="846" t="s">
        <v>194</v>
      </c>
      <c r="AS46" s="846" t="s">
        <v>194</v>
      </c>
      <c r="AT46" s="846" t="s">
        <v>194</v>
      </c>
      <c r="AU46" s="846" t="s">
        <v>194</v>
      </c>
      <c r="AV46" s="846" t="s">
        <v>194</v>
      </c>
      <c r="AW46" s="846" t="s">
        <v>194</v>
      </c>
      <c r="AX46" s="846" t="s">
        <v>194</v>
      </c>
      <c r="AY46" s="846" t="s">
        <v>194</v>
      </c>
    </row>
    <row r="47" ht="15.75" hidden="1" customHeight="1" outlineLevel="2">
      <c r="A47" s="849">
        <v>1.0</v>
      </c>
      <c r="B47" s="15"/>
      <c r="C47" s="869" t="str">
        <f>"        Restructuring and Reorganization (Income)/Expense"</f>
        <v>        Restructuring and Reorganization (Income)/Expense</v>
      </c>
      <c r="D47" s="870">
        <f t="shared" si="1"/>
        <v>4659</v>
      </c>
      <c r="E47" s="870">
        <f t="shared" si="2"/>
        <v>5434.8</v>
      </c>
      <c r="F47" s="870">
        <f t="shared" si="3"/>
        <v>0</v>
      </c>
      <c r="G47" s="870">
        <f t="shared" si="4"/>
        <v>12981</v>
      </c>
      <c r="H47" s="870">
        <f t="shared" si="5"/>
        <v>4654</v>
      </c>
      <c r="I47" s="870">
        <f t="shared" si="6"/>
        <v>4880</v>
      </c>
      <c r="J47" s="870">
        <f t="shared" si="7"/>
        <v>4690.455809</v>
      </c>
      <c r="K47" s="871">
        <f t="shared" si="8"/>
        <v>0.8630411072</v>
      </c>
      <c r="L47" s="872" t="s">
        <v>194</v>
      </c>
      <c r="M47" s="872" t="s">
        <v>194</v>
      </c>
      <c r="N47" s="872" t="s">
        <v>194</v>
      </c>
      <c r="O47" s="904" t="s">
        <v>194</v>
      </c>
      <c r="P47" s="904" t="s">
        <v>194</v>
      </c>
      <c r="Q47" s="872">
        <v>0.0</v>
      </c>
      <c r="R47" s="872">
        <v>4880.0</v>
      </c>
      <c r="S47" s="872">
        <v>12981.0</v>
      </c>
      <c r="T47" s="872">
        <v>4654.0</v>
      </c>
      <c r="U47" s="872">
        <v>4659.0</v>
      </c>
      <c r="V47" s="872" t="s">
        <v>194</v>
      </c>
      <c r="W47" s="872" t="s">
        <v>194</v>
      </c>
      <c r="X47" s="872" t="s">
        <v>194</v>
      </c>
      <c r="Y47" s="872" t="s">
        <v>194</v>
      </c>
      <c r="Z47" s="872" t="s">
        <v>194</v>
      </c>
      <c r="AA47" s="872" t="s">
        <v>194</v>
      </c>
      <c r="AB47" s="872" t="s">
        <v>194</v>
      </c>
      <c r="AC47" s="15"/>
      <c r="AD47" s="851" t="s">
        <v>194</v>
      </c>
      <c r="AE47" s="846" t="s">
        <v>194</v>
      </c>
      <c r="AF47" s="846" t="s">
        <v>194</v>
      </c>
      <c r="AG47" s="846" t="s">
        <v>194</v>
      </c>
      <c r="AH47" s="846" t="s">
        <v>194</v>
      </c>
      <c r="AI47" s="846" t="s">
        <v>194</v>
      </c>
      <c r="AJ47" s="846" t="s">
        <v>194</v>
      </c>
      <c r="AK47" s="846" t="s">
        <v>194</v>
      </c>
      <c r="AL47" s="846" t="s">
        <v>194</v>
      </c>
      <c r="AM47" s="846" t="s">
        <v>194</v>
      </c>
      <c r="AN47" s="846" t="s">
        <v>194</v>
      </c>
      <c r="AO47" s="846" t="s">
        <v>194</v>
      </c>
      <c r="AP47" s="846" t="s">
        <v>194</v>
      </c>
      <c r="AQ47" s="846" t="s">
        <v>194</v>
      </c>
      <c r="AR47" s="846" t="s">
        <v>194</v>
      </c>
      <c r="AS47" s="846" t="s">
        <v>194</v>
      </c>
      <c r="AT47" s="846" t="s">
        <v>194</v>
      </c>
      <c r="AU47" s="846" t="s">
        <v>194</v>
      </c>
      <c r="AV47" s="846" t="s">
        <v>194</v>
      </c>
      <c r="AW47" s="846" t="s">
        <v>194</v>
      </c>
      <c r="AX47" s="846" t="s">
        <v>194</v>
      </c>
      <c r="AY47" s="846" t="s">
        <v>194</v>
      </c>
    </row>
    <row r="48" ht="15.75" hidden="1" customHeight="1" outlineLevel="2">
      <c r="A48" s="849">
        <v>1.0</v>
      </c>
      <c r="B48" s="15"/>
      <c r="C48" s="869" t="str">
        <f>"        Other Irregular Income/(Expenses)"</f>
        <v>        Other Irregular Income/(Expenses)</v>
      </c>
      <c r="D48" s="870">
        <f t="shared" si="1"/>
        <v>-144</v>
      </c>
      <c r="E48" s="870">
        <f t="shared" si="2"/>
        <v>-144</v>
      </c>
      <c r="F48" s="870">
        <f t="shared" si="3"/>
        <v>-144</v>
      </c>
      <c r="G48" s="870">
        <f t="shared" si="4"/>
        <v>-144</v>
      </c>
      <c r="H48" s="870">
        <f t="shared" si="5"/>
        <v>-144</v>
      </c>
      <c r="I48" s="870">
        <f t="shared" si="6"/>
        <v>-144</v>
      </c>
      <c r="J48" s="870" t="str">
        <f t="shared" si="7"/>
        <v/>
      </c>
      <c r="K48" s="871" t="str">
        <f t="shared" si="8"/>
        <v/>
      </c>
      <c r="L48" s="872" t="s">
        <v>194</v>
      </c>
      <c r="M48" s="872" t="s">
        <v>194</v>
      </c>
      <c r="N48" s="872" t="s">
        <v>194</v>
      </c>
      <c r="O48" s="904" t="s">
        <v>194</v>
      </c>
      <c r="P48" s="904" t="s">
        <v>194</v>
      </c>
      <c r="Q48" s="872" t="s">
        <v>194</v>
      </c>
      <c r="R48" s="872" t="s">
        <v>194</v>
      </c>
      <c r="S48" s="872" t="s">
        <v>194</v>
      </c>
      <c r="T48" s="872" t="s">
        <v>194</v>
      </c>
      <c r="U48" s="872">
        <v>-144.0</v>
      </c>
      <c r="V48" s="872" t="s">
        <v>194</v>
      </c>
      <c r="W48" s="872" t="s">
        <v>194</v>
      </c>
      <c r="X48" s="872" t="s">
        <v>194</v>
      </c>
      <c r="Y48" s="872" t="s">
        <v>194</v>
      </c>
      <c r="Z48" s="872" t="s">
        <v>194</v>
      </c>
      <c r="AA48" s="872" t="s">
        <v>194</v>
      </c>
      <c r="AB48" s="872" t="s">
        <v>194</v>
      </c>
      <c r="AC48" s="15"/>
      <c r="AD48" s="851" t="s">
        <v>194</v>
      </c>
      <c r="AE48" s="846" t="s">
        <v>194</v>
      </c>
      <c r="AF48" s="846" t="s">
        <v>194</v>
      </c>
      <c r="AG48" s="846" t="s">
        <v>194</v>
      </c>
      <c r="AH48" s="846" t="s">
        <v>194</v>
      </c>
      <c r="AI48" s="846" t="s">
        <v>194</v>
      </c>
      <c r="AJ48" s="846" t="s">
        <v>194</v>
      </c>
      <c r="AK48" s="846" t="s">
        <v>194</v>
      </c>
      <c r="AL48" s="846" t="s">
        <v>194</v>
      </c>
      <c r="AM48" s="846" t="s">
        <v>194</v>
      </c>
      <c r="AN48" s="846" t="s">
        <v>194</v>
      </c>
      <c r="AO48" s="846" t="s">
        <v>194</v>
      </c>
      <c r="AP48" s="846" t="s">
        <v>194</v>
      </c>
      <c r="AQ48" s="846" t="s">
        <v>194</v>
      </c>
      <c r="AR48" s="846" t="s">
        <v>194</v>
      </c>
      <c r="AS48" s="846" t="s">
        <v>194</v>
      </c>
      <c r="AT48" s="846" t="s">
        <v>194</v>
      </c>
      <c r="AU48" s="846" t="s">
        <v>194</v>
      </c>
      <c r="AV48" s="846" t="s">
        <v>194</v>
      </c>
      <c r="AW48" s="846" t="s">
        <v>194</v>
      </c>
      <c r="AX48" s="846" t="s">
        <v>194</v>
      </c>
      <c r="AY48" s="846" t="s">
        <v>194</v>
      </c>
    </row>
    <row r="49" ht="15.75" hidden="1" customHeight="1" outlineLevel="2">
      <c r="A49" s="849">
        <v>1.0</v>
      </c>
      <c r="B49" s="15"/>
      <c r="C49" s="881" t="str">
        <f>"        Total Irregular (Income)/Expenses"</f>
        <v>        Total Irregular (Income)/Expenses</v>
      </c>
      <c r="D49" s="882">
        <f t="shared" si="1"/>
        <v>4880</v>
      </c>
      <c r="E49" s="882">
        <f t="shared" si="2"/>
        <v>9638.692308</v>
      </c>
      <c r="F49" s="882">
        <f t="shared" si="3"/>
        <v>0</v>
      </c>
      <c r="G49" s="882">
        <f t="shared" si="4"/>
        <v>50514</v>
      </c>
      <c r="H49" s="882">
        <f t="shared" si="5"/>
        <v>0</v>
      </c>
      <c r="I49" s="882">
        <f t="shared" si="6"/>
        <v>12981</v>
      </c>
      <c r="J49" s="882">
        <f t="shared" si="7"/>
        <v>14081.79235</v>
      </c>
      <c r="K49" s="883">
        <f t="shared" si="8"/>
        <v>1.460965025</v>
      </c>
      <c r="L49" s="884" t="s">
        <v>194</v>
      </c>
      <c r="M49" s="884">
        <v>0.0</v>
      </c>
      <c r="N49" s="884">
        <v>0.0</v>
      </c>
      <c r="O49" s="910" t="s">
        <v>194</v>
      </c>
      <c r="P49" s="910" t="s">
        <v>194</v>
      </c>
      <c r="Q49" s="884">
        <v>0.0</v>
      </c>
      <c r="R49" s="884">
        <v>4880.0</v>
      </c>
      <c r="S49" s="884">
        <v>12981.0</v>
      </c>
      <c r="T49" s="884">
        <v>4654.0</v>
      </c>
      <c r="U49" s="884">
        <v>50514.0</v>
      </c>
      <c r="V49" s="884">
        <v>136.0</v>
      </c>
      <c r="W49" s="884" t="s">
        <v>194</v>
      </c>
      <c r="X49" s="884">
        <v>0.0</v>
      </c>
      <c r="Y49" s="884">
        <v>6151.0</v>
      </c>
      <c r="Z49" s="884">
        <v>9931.0</v>
      </c>
      <c r="AA49" s="884">
        <v>13834.0</v>
      </c>
      <c r="AB49" s="884">
        <v>22222.0</v>
      </c>
      <c r="AC49" s="15"/>
      <c r="AD49" s="851" t="s">
        <v>194</v>
      </c>
      <c r="AE49" s="846" t="s">
        <v>194</v>
      </c>
      <c r="AF49" s="846" t="s">
        <v>194</v>
      </c>
      <c r="AG49" s="846" t="s">
        <v>194</v>
      </c>
      <c r="AH49" s="846" t="s">
        <v>194</v>
      </c>
      <c r="AI49" s="846" t="s">
        <v>194</v>
      </c>
      <c r="AJ49" s="846" t="s">
        <v>194</v>
      </c>
      <c r="AK49" s="846" t="s">
        <v>194</v>
      </c>
      <c r="AL49" s="846" t="s">
        <v>194</v>
      </c>
      <c r="AM49" s="846" t="s">
        <v>194</v>
      </c>
      <c r="AN49" s="846" t="s">
        <v>194</v>
      </c>
      <c r="AO49" s="846" t="s">
        <v>194</v>
      </c>
      <c r="AP49" s="846" t="s">
        <v>194</v>
      </c>
      <c r="AQ49" s="846" t="s">
        <v>194</v>
      </c>
      <c r="AR49" s="846" t="s">
        <v>194</v>
      </c>
      <c r="AS49" s="846" t="s">
        <v>194</v>
      </c>
      <c r="AT49" s="846" t="s">
        <v>194</v>
      </c>
      <c r="AU49" s="846" t="s">
        <v>194</v>
      </c>
      <c r="AV49" s="846" t="s">
        <v>194</v>
      </c>
      <c r="AW49" s="846" t="s">
        <v>194</v>
      </c>
      <c r="AX49" s="846" t="s">
        <v>194</v>
      </c>
      <c r="AY49" s="846" t="s">
        <v>194</v>
      </c>
    </row>
    <row r="50" ht="15.75" hidden="1" customHeight="1" outlineLevel="1">
      <c r="A50" s="849">
        <v>1.0</v>
      </c>
      <c r="B50" s="15"/>
      <c r="C50" s="869" t="str">
        <f>"    Other Income/(Expense), Non-Operating"</f>
        <v>    Other Income/(Expense), Non-Operating</v>
      </c>
      <c r="D50" s="870">
        <f t="shared" si="1"/>
        <v>-125</v>
      </c>
      <c r="E50" s="870">
        <f t="shared" si="2"/>
        <v>-523</v>
      </c>
      <c r="F50" s="870">
        <f t="shared" si="3"/>
        <v>-2809</v>
      </c>
      <c r="G50" s="870">
        <f t="shared" si="4"/>
        <v>1365</v>
      </c>
      <c r="H50" s="870">
        <f t="shared" si="5"/>
        <v>-1467</v>
      </c>
      <c r="I50" s="870">
        <f t="shared" si="6"/>
        <v>620</v>
      </c>
      <c r="J50" s="870">
        <f t="shared" si="7"/>
        <v>2115.271141</v>
      </c>
      <c r="K50" s="871">
        <f t="shared" si="8"/>
        <v>-4.04449549</v>
      </c>
      <c r="L50" s="872" t="s">
        <v>194</v>
      </c>
      <c r="M50" s="872" t="s">
        <v>194</v>
      </c>
      <c r="N50" s="872" t="s">
        <v>194</v>
      </c>
      <c r="O50" s="904" t="s">
        <v>194</v>
      </c>
      <c r="P50" s="904" t="s">
        <v>194</v>
      </c>
      <c r="Q50" s="872" t="s">
        <v>194</v>
      </c>
      <c r="R50" s="872" t="s">
        <v>194</v>
      </c>
      <c r="S50" s="872" t="s">
        <v>194</v>
      </c>
      <c r="T50" s="872" t="s">
        <v>194</v>
      </c>
      <c r="U50" s="872" t="s">
        <v>194</v>
      </c>
      <c r="V50" s="872" t="s">
        <v>194</v>
      </c>
      <c r="W50" s="872" t="s">
        <v>194</v>
      </c>
      <c r="X50" s="872" t="s">
        <v>194</v>
      </c>
      <c r="Y50" s="872" t="s">
        <v>194</v>
      </c>
      <c r="Z50" s="872">
        <v>-125.0</v>
      </c>
      <c r="AA50" s="872">
        <v>-2809.0</v>
      </c>
      <c r="AB50" s="872">
        <v>1365.0</v>
      </c>
      <c r="AC50" s="15"/>
      <c r="AD50" s="851" t="s">
        <v>194</v>
      </c>
      <c r="AE50" s="846" t="s">
        <v>194</v>
      </c>
      <c r="AF50" s="846" t="s">
        <v>194</v>
      </c>
      <c r="AG50" s="846" t="s">
        <v>194</v>
      </c>
      <c r="AH50" s="846" t="s">
        <v>194</v>
      </c>
      <c r="AI50" s="846" t="s">
        <v>194</v>
      </c>
      <c r="AJ50" s="846" t="s">
        <v>194</v>
      </c>
      <c r="AK50" s="846" t="s">
        <v>194</v>
      </c>
      <c r="AL50" s="846" t="s">
        <v>194</v>
      </c>
      <c r="AM50" s="846" t="s">
        <v>194</v>
      </c>
      <c r="AN50" s="846" t="s">
        <v>194</v>
      </c>
      <c r="AO50" s="846" t="s">
        <v>194</v>
      </c>
      <c r="AP50" s="846" t="s">
        <v>194</v>
      </c>
      <c r="AQ50" s="846" t="s">
        <v>194</v>
      </c>
      <c r="AR50" s="846" t="s">
        <v>194</v>
      </c>
      <c r="AS50" s="846" t="s">
        <v>194</v>
      </c>
      <c r="AT50" s="846" t="s">
        <v>194</v>
      </c>
      <c r="AU50" s="846" t="s">
        <v>194</v>
      </c>
      <c r="AV50" s="846" t="s">
        <v>194</v>
      </c>
      <c r="AW50" s="846" t="s">
        <v>194</v>
      </c>
      <c r="AX50" s="846" t="s">
        <v>194</v>
      </c>
      <c r="AY50" s="846" t="s">
        <v>194</v>
      </c>
    </row>
    <row r="51" ht="15.75" hidden="1" customHeight="1" outlineLevel="1">
      <c r="A51" s="849">
        <v>1.0</v>
      </c>
      <c r="B51" s="15"/>
      <c r="C51" s="855" t="str">
        <f>"    Total Non-Operating Income/(Expenses), Total"</f>
        <v>    Total Non-Operating Income/(Expenses), Total</v>
      </c>
      <c r="D51" s="882">
        <f t="shared" si="1"/>
        <v>-6122.5</v>
      </c>
      <c r="E51" s="882">
        <f t="shared" si="2"/>
        <v>-10916.14286</v>
      </c>
      <c r="F51" s="882">
        <f t="shared" si="3"/>
        <v>-50514</v>
      </c>
      <c r="G51" s="882">
        <f t="shared" si="4"/>
        <v>0</v>
      </c>
      <c r="H51" s="882">
        <f t="shared" si="5"/>
        <v>-12645.5</v>
      </c>
      <c r="I51" s="882">
        <f t="shared" si="6"/>
        <v>-317.25</v>
      </c>
      <c r="J51" s="882">
        <f t="shared" si="7"/>
        <v>14582.51554</v>
      </c>
      <c r="K51" s="883">
        <f t="shared" si="8"/>
        <v>-1.335867049</v>
      </c>
      <c r="L51" s="882" t="s">
        <v>194</v>
      </c>
      <c r="M51" s="882">
        <v>0.0</v>
      </c>
      <c r="N51" s="882">
        <v>0.0</v>
      </c>
      <c r="O51" s="910" t="s">
        <v>194</v>
      </c>
      <c r="P51" s="910" t="s">
        <v>194</v>
      </c>
      <c r="Q51" s="882">
        <v>-600.0</v>
      </c>
      <c r="R51" s="882">
        <v>-3883.0</v>
      </c>
      <c r="S51" s="882">
        <v>-12803.0</v>
      </c>
      <c r="T51" s="882">
        <v>-4560.0</v>
      </c>
      <c r="U51" s="882">
        <v>-50514.0</v>
      </c>
      <c r="V51" s="882">
        <v>-136.0</v>
      </c>
      <c r="W51" s="882">
        <v>-223.0</v>
      </c>
      <c r="X51" s="882">
        <v>-7793.0</v>
      </c>
      <c r="Y51" s="882">
        <v>-7685.0</v>
      </c>
      <c r="Z51" s="882">
        <v>-12173.0</v>
      </c>
      <c r="AA51" s="882">
        <v>-21924.0</v>
      </c>
      <c r="AB51" s="882">
        <v>-30532.0</v>
      </c>
      <c r="AC51" s="15"/>
      <c r="AD51" s="851" t="s">
        <v>194</v>
      </c>
      <c r="AE51" s="846" t="s">
        <v>194</v>
      </c>
      <c r="AF51" s="846" t="s">
        <v>194</v>
      </c>
      <c r="AG51" s="846" t="s">
        <v>194</v>
      </c>
      <c r="AH51" s="846" t="s">
        <v>194</v>
      </c>
      <c r="AI51" s="846" t="s">
        <v>194</v>
      </c>
      <c r="AJ51" s="846" t="s">
        <v>194</v>
      </c>
      <c r="AK51" s="846" t="s">
        <v>194</v>
      </c>
      <c r="AL51" s="846" t="s">
        <v>194</v>
      </c>
      <c r="AM51" s="846" t="s">
        <v>194</v>
      </c>
      <c r="AN51" s="846" t="s">
        <v>194</v>
      </c>
      <c r="AO51" s="846" t="s">
        <v>194</v>
      </c>
      <c r="AP51" s="846" t="s">
        <v>194</v>
      </c>
      <c r="AQ51" s="846" t="s">
        <v>194</v>
      </c>
      <c r="AR51" s="846" t="s">
        <v>194</v>
      </c>
      <c r="AS51" s="846" t="s">
        <v>194</v>
      </c>
      <c r="AT51" s="846" t="s">
        <v>194</v>
      </c>
      <c r="AU51" s="846" t="s">
        <v>194</v>
      </c>
      <c r="AV51" s="846" t="s">
        <v>194</v>
      </c>
      <c r="AW51" s="846" t="s">
        <v>194</v>
      </c>
      <c r="AX51" s="846" t="s">
        <v>194</v>
      </c>
      <c r="AY51" s="846" t="s">
        <v>194</v>
      </c>
    </row>
    <row r="52" ht="15.75" customHeight="1">
      <c r="A52" s="849">
        <v>1.0</v>
      </c>
      <c r="B52" s="15"/>
      <c r="C52" s="855" t="str">
        <f>"Pretax Income"</f>
        <v>Pretax Income</v>
      </c>
      <c r="D52" s="866">
        <f t="shared" si="1"/>
        <v>-8750</v>
      </c>
      <c r="E52" s="866">
        <f t="shared" si="2"/>
        <v>-5705</v>
      </c>
      <c r="F52" s="866">
        <f t="shared" si="3"/>
        <v>-61178</v>
      </c>
      <c r="G52" s="866">
        <f t="shared" si="4"/>
        <v>41504</v>
      </c>
      <c r="H52" s="866">
        <f t="shared" si="5"/>
        <v>-14729.75</v>
      </c>
      <c r="I52" s="866">
        <f t="shared" si="6"/>
        <v>8594</v>
      </c>
      <c r="J52" s="866">
        <f t="shared" si="7"/>
        <v>24827.04242</v>
      </c>
      <c r="K52" s="867">
        <f t="shared" si="8"/>
        <v>-4.351804104</v>
      </c>
      <c r="L52" s="866" t="s">
        <v>194</v>
      </c>
      <c r="M52" s="866" t="s">
        <v>194</v>
      </c>
      <c r="N52" s="866" t="s">
        <v>194</v>
      </c>
      <c r="O52" s="903" t="s">
        <v>194</v>
      </c>
      <c r="P52" s="903" t="s">
        <v>194</v>
      </c>
      <c r="Q52" s="866">
        <v>-358.0</v>
      </c>
      <c r="R52" s="866">
        <v>10688.0</v>
      </c>
      <c r="S52" s="866">
        <v>-20471.0</v>
      </c>
      <c r="T52" s="866">
        <v>-19598.0</v>
      </c>
      <c r="U52" s="866">
        <v>-61178.0</v>
      </c>
      <c r="V52" s="866">
        <v>-13107.0</v>
      </c>
      <c r="W52" s="866">
        <v>-7104.0</v>
      </c>
      <c r="X52" s="866">
        <v>-12106.0</v>
      </c>
      <c r="Y52" s="866">
        <v>7896.0</v>
      </c>
      <c r="Z52" s="866">
        <v>15770.0</v>
      </c>
      <c r="AA52" s="866">
        <v>-10396.0</v>
      </c>
      <c r="AB52" s="866">
        <v>41504.0</v>
      </c>
      <c r="AC52" s="15"/>
      <c r="AD52" s="851" t="s">
        <v>194</v>
      </c>
      <c r="AE52" s="846" t="s">
        <v>194</v>
      </c>
      <c r="AF52" s="846" t="s">
        <v>194</v>
      </c>
      <c r="AG52" s="846" t="s">
        <v>194</v>
      </c>
      <c r="AH52" s="846" t="s">
        <v>194</v>
      </c>
      <c r="AI52" s="846" t="s">
        <v>194</v>
      </c>
      <c r="AJ52" s="846" t="s">
        <v>194</v>
      </c>
      <c r="AK52" s="846" t="s">
        <v>194</v>
      </c>
      <c r="AL52" s="846" t="s">
        <v>194</v>
      </c>
      <c r="AM52" s="846" t="s">
        <v>194</v>
      </c>
      <c r="AN52" s="846" t="s">
        <v>194</v>
      </c>
      <c r="AO52" s="846" t="s">
        <v>194</v>
      </c>
      <c r="AP52" s="846" t="s">
        <v>194</v>
      </c>
      <c r="AQ52" s="846" t="s">
        <v>194</v>
      </c>
      <c r="AR52" s="846" t="s">
        <v>194</v>
      </c>
      <c r="AS52" s="846" t="s">
        <v>194</v>
      </c>
      <c r="AT52" s="846" t="s">
        <v>194</v>
      </c>
      <c r="AU52" s="846" t="s">
        <v>194</v>
      </c>
      <c r="AV52" s="846" t="s">
        <v>194</v>
      </c>
      <c r="AW52" s="846" t="s">
        <v>194</v>
      </c>
      <c r="AX52" s="846" t="s">
        <v>194</v>
      </c>
      <c r="AY52" s="846" t="s">
        <v>194</v>
      </c>
    </row>
    <row r="53" ht="15.75" customHeight="1">
      <c r="A53" s="849">
        <v>1.0</v>
      </c>
      <c r="B53" s="15"/>
      <c r="C53" s="855" t="str">
        <f>"Provision for Income Tax"</f>
        <v>Provision for Income Tax</v>
      </c>
      <c r="D53" s="866">
        <f t="shared" si="1"/>
        <v>110</v>
      </c>
      <c r="E53" s="866">
        <f t="shared" si="2"/>
        <v>-2652.583333</v>
      </c>
      <c r="F53" s="866">
        <f t="shared" si="3"/>
        <v>-37667</v>
      </c>
      <c r="G53" s="866">
        <f t="shared" si="4"/>
        <v>6747</v>
      </c>
      <c r="H53" s="866">
        <f t="shared" si="5"/>
        <v>-503.75</v>
      </c>
      <c r="I53" s="866">
        <f t="shared" si="6"/>
        <v>313.5</v>
      </c>
      <c r="J53" s="866">
        <f t="shared" si="7"/>
        <v>11236.26092</v>
      </c>
      <c r="K53" s="867">
        <f t="shared" si="8"/>
        <v>-4.235969058</v>
      </c>
      <c r="L53" s="866" t="s">
        <v>194</v>
      </c>
      <c r="M53" s="866" t="s">
        <v>194</v>
      </c>
      <c r="N53" s="866" t="s">
        <v>194</v>
      </c>
      <c r="O53" s="903" t="s">
        <v>194</v>
      </c>
      <c r="P53" s="903" t="s">
        <v>194</v>
      </c>
      <c r="Q53" s="866">
        <v>0.0</v>
      </c>
      <c r="R53" s="866">
        <v>1483.0</v>
      </c>
      <c r="S53" s="866">
        <v>5.0</v>
      </c>
      <c r="T53" s="866">
        <v>262.0</v>
      </c>
      <c r="U53" s="866">
        <v>244.0</v>
      </c>
      <c r="V53" s="866">
        <v>-905.0</v>
      </c>
      <c r="W53" s="866">
        <v>215.0</v>
      </c>
      <c r="X53" s="866">
        <v>-2313.0</v>
      </c>
      <c r="Y53" s="866">
        <v>468.0</v>
      </c>
      <c r="Z53" s="866">
        <v>-37667.0</v>
      </c>
      <c r="AA53" s="866">
        <v>6747.0</v>
      </c>
      <c r="AB53" s="866">
        <v>-370.0</v>
      </c>
      <c r="AC53" s="15"/>
      <c r="AD53" s="851" t="s">
        <v>194</v>
      </c>
      <c r="AE53" s="846" t="s">
        <v>194</v>
      </c>
      <c r="AF53" s="846" t="s">
        <v>194</v>
      </c>
      <c r="AG53" s="846" t="s">
        <v>194</v>
      </c>
      <c r="AH53" s="846" t="s">
        <v>194</v>
      </c>
      <c r="AI53" s="846" t="s">
        <v>194</v>
      </c>
      <c r="AJ53" s="846" t="s">
        <v>194</v>
      </c>
      <c r="AK53" s="846" t="s">
        <v>194</v>
      </c>
      <c r="AL53" s="846" t="s">
        <v>194</v>
      </c>
      <c r="AM53" s="846" t="s">
        <v>194</v>
      </c>
      <c r="AN53" s="846" t="s">
        <v>194</v>
      </c>
      <c r="AO53" s="846" t="s">
        <v>194</v>
      </c>
      <c r="AP53" s="846" t="s">
        <v>194</v>
      </c>
      <c r="AQ53" s="846" t="s">
        <v>194</v>
      </c>
      <c r="AR53" s="846" t="s">
        <v>194</v>
      </c>
      <c r="AS53" s="846" t="s">
        <v>194</v>
      </c>
      <c r="AT53" s="846" t="s">
        <v>194</v>
      </c>
      <c r="AU53" s="846" t="s">
        <v>194</v>
      </c>
      <c r="AV53" s="846" t="s">
        <v>194</v>
      </c>
      <c r="AW53" s="846" t="s">
        <v>194</v>
      </c>
      <c r="AX53" s="846" t="s">
        <v>194</v>
      </c>
      <c r="AY53" s="846" t="s">
        <v>194</v>
      </c>
    </row>
    <row r="54" ht="15.75" customHeight="1">
      <c r="A54" s="849">
        <v>1.0</v>
      </c>
      <c r="B54" s="15"/>
      <c r="C54" s="855" t="str">
        <f>"Net Income from Continuing Operations"</f>
        <v>Net Income from Continuing Operations</v>
      </c>
      <c r="D54" s="866">
        <f t="shared" si="1"/>
        <v>-10628.1285</v>
      </c>
      <c r="E54" s="866">
        <f t="shared" si="2"/>
        <v>-5585.249313</v>
      </c>
      <c r="F54" s="866">
        <f t="shared" si="3"/>
        <v>-61422</v>
      </c>
      <c r="G54" s="866">
        <f t="shared" si="4"/>
        <v>53437</v>
      </c>
      <c r="H54" s="866">
        <f t="shared" si="5"/>
        <v>-17822.25</v>
      </c>
      <c r="I54" s="866">
        <f t="shared" si="6"/>
        <v>1588.5</v>
      </c>
      <c r="J54" s="866">
        <f t="shared" si="7"/>
        <v>26099.62654</v>
      </c>
      <c r="K54" s="867">
        <f t="shared" si="8"/>
        <v>-4.672956403</v>
      </c>
      <c r="L54" s="866" t="s">
        <v>194</v>
      </c>
      <c r="M54" s="866">
        <v>-12680.0</v>
      </c>
      <c r="N54" s="866">
        <v>-20947.0</v>
      </c>
      <c r="O54" s="903">
        <v>-11463.257</v>
      </c>
      <c r="P54" s="903">
        <v>-7644.732</v>
      </c>
      <c r="Q54" s="866">
        <v>-358.0</v>
      </c>
      <c r="R54" s="866">
        <v>9205.0</v>
      </c>
      <c r="S54" s="866">
        <v>-20476.0</v>
      </c>
      <c r="T54" s="866">
        <v>-19860.0</v>
      </c>
      <c r="U54" s="866">
        <v>-61422.0</v>
      </c>
      <c r="V54" s="866">
        <v>-12202.0</v>
      </c>
      <c r="W54" s="866">
        <v>-7319.0</v>
      </c>
      <c r="X54" s="866">
        <v>-9793.0</v>
      </c>
      <c r="Y54" s="866">
        <v>7428.0</v>
      </c>
      <c r="Z54" s="866">
        <v>53437.0</v>
      </c>
      <c r="AA54" s="866">
        <v>-17143.0</v>
      </c>
      <c r="AB54" s="866">
        <v>41874.0</v>
      </c>
      <c r="AC54" s="15"/>
      <c r="AD54" s="851" t="s">
        <v>194</v>
      </c>
      <c r="AE54" s="846" t="s">
        <v>194</v>
      </c>
      <c r="AF54" s="846" t="s">
        <v>194</v>
      </c>
      <c r="AG54" s="846" t="s">
        <v>194</v>
      </c>
      <c r="AH54" s="846" t="s">
        <v>194</v>
      </c>
      <c r="AI54" s="846" t="s">
        <v>194</v>
      </c>
      <c r="AJ54" s="846" t="s">
        <v>194</v>
      </c>
      <c r="AK54" s="846" t="s">
        <v>194</v>
      </c>
      <c r="AL54" s="846" t="s">
        <v>194</v>
      </c>
      <c r="AM54" s="846" t="s">
        <v>194</v>
      </c>
      <c r="AN54" s="846" t="s">
        <v>194</v>
      </c>
      <c r="AO54" s="846" t="s">
        <v>194</v>
      </c>
      <c r="AP54" s="846" t="s">
        <v>194</v>
      </c>
      <c r="AQ54" s="846" t="s">
        <v>194</v>
      </c>
      <c r="AR54" s="846" t="s">
        <v>194</v>
      </c>
      <c r="AS54" s="846" t="s">
        <v>194</v>
      </c>
      <c r="AT54" s="846" t="s">
        <v>194</v>
      </c>
      <c r="AU54" s="846" t="s">
        <v>194</v>
      </c>
      <c r="AV54" s="846" t="s">
        <v>194</v>
      </c>
      <c r="AW54" s="846" t="s">
        <v>194</v>
      </c>
      <c r="AX54" s="846" t="s">
        <v>194</v>
      </c>
      <c r="AY54" s="846" t="s">
        <v>194</v>
      </c>
    </row>
    <row r="55" ht="15.75" customHeight="1">
      <c r="A55" s="849">
        <v>1.0</v>
      </c>
      <c r="B55" s="15"/>
      <c r="C55" s="855" t="str">
        <f>"Net Income after Extraordinary Items and Discontinued Operations"</f>
        <v>Net Income after Extraordinary Items and Discontinued Operations</v>
      </c>
      <c r="D55" s="866">
        <f t="shared" si="1"/>
        <v>-9793</v>
      </c>
      <c r="E55" s="866">
        <f t="shared" si="2"/>
        <v>-3297.363636</v>
      </c>
      <c r="F55" s="866">
        <f t="shared" si="3"/>
        <v>-61422</v>
      </c>
      <c r="G55" s="866">
        <f t="shared" si="4"/>
        <v>53437</v>
      </c>
      <c r="H55" s="866">
        <f t="shared" si="5"/>
        <v>-18501.5</v>
      </c>
      <c r="I55" s="866">
        <f t="shared" si="6"/>
        <v>8316.5</v>
      </c>
      <c r="J55" s="866">
        <f t="shared" si="7"/>
        <v>31317.47675</v>
      </c>
      <c r="K55" s="867">
        <f t="shared" si="8"/>
        <v>-9.49773219</v>
      </c>
      <c r="L55" s="866" t="s">
        <v>194</v>
      </c>
      <c r="M55" s="866" t="s">
        <v>194</v>
      </c>
      <c r="N55" s="866" t="s">
        <v>194</v>
      </c>
      <c r="O55" s="903" t="s">
        <v>194</v>
      </c>
      <c r="P55" s="903" t="s">
        <v>194</v>
      </c>
      <c r="Q55" s="866" t="s">
        <v>194</v>
      </c>
      <c r="R55" s="866">
        <v>9205.0</v>
      </c>
      <c r="S55" s="866">
        <v>-20476.0</v>
      </c>
      <c r="T55" s="866">
        <v>-19860.0</v>
      </c>
      <c r="U55" s="866">
        <v>-61422.0</v>
      </c>
      <c r="V55" s="866">
        <v>-12202.0</v>
      </c>
      <c r="W55" s="866">
        <v>-7319.0</v>
      </c>
      <c r="X55" s="866">
        <v>-9793.0</v>
      </c>
      <c r="Y55" s="866">
        <v>7428.0</v>
      </c>
      <c r="Z55" s="866">
        <v>53437.0</v>
      </c>
      <c r="AA55" s="866">
        <v>-17143.0</v>
      </c>
      <c r="AB55" s="866">
        <v>41874.0</v>
      </c>
      <c r="AC55" s="15"/>
      <c r="AD55" s="851" t="s">
        <v>194</v>
      </c>
      <c r="AE55" s="846" t="s">
        <v>194</v>
      </c>
      <c r="AF55" s="846" t="s">
        <v>194</v>
      </c>
      <c r="AG55" s="846" t="s">
        <v>194</v>
      </c>
      <c r="AH55" s="846" t="s">
        <v>194</v>
      </c>
      <c r="AI55" s="846" t="s">
        <v>194</v>
      </c>
      <c r="AJ55" s="846" t="s">
        <v>194</v>
      </c>
      <c r="AK55" s="846" t="s">
        <v>194</v>
      </c>
      <c r="AL55" s="846" t="s">
        <v>194</v>
      </c>
      <c r="AM55" s="846" t="s">
        <v>194</v>
      </c>
      <c r="AN55" s="846" t="s">
        <v>194</v>
      </c>
      <c r="AO55" s="846" t="s">
        <v>194</v>
      </c>
      <c r="AP55" s="846" t="s">
        <v>194</v>
      </c>
      <c r="AQ55" s="846" t="s">
        <v>194</v>
      </c>
      <c r="AR55" s="846" t="s">
        <v>194</v>
      </c>
      <c r="AS55" s="846" t="s">
        <v>194</v>
      </c>
      <c r="AT55" s="846" t="s">
        <v>194</v>
      </c>
      <c r="AU55" s="846" t="s">
        <v>194</v>
      </c>
      <c r="AV55" s="846" t="s">
        <v>194</v>
      </c>
      <c r="AW55" s="846" t="s">
        <v>194</v>
      </c>
      <c r="AX55" s="846" t="s">
        <v>194</v>
      </c>
      <c r="AY55" s="846" t="s">
        <v>194</v>
      </c>
    </row>
    <row r="56" ht="15.75" customHeight="1">
      <c r="A56" s="849">
        <v>1.0</v>
      </c>
      <c r="B56" s="15"/>
      <c r="C56" s="855" t="str">
        <f>"Non-Controlling/Minority Interests"</f>
        <v>Non-Controlling/Minority Interests</v>
      </c>
      <c r="D56" s="866">
        <f t="shared" si="1"/>
        <v>-946</v>
      </c>
      <c r="E56" s="866">
        <f t="shared" si="2"/>
        <v>-711</v>
      </c>
      <c r="F56" s="866">
        <f t="shared" si="3"/>
        <v>-1187</v>
      </c>
      <c r="G56" s="866">
        <f t="shared" si="4"/>
        <v>0</v>
      </c>
      <c r="H56" s="866">
        <f t="shared" si="5"/>
        <v>-1066.5</v>
      </c>
      <c r="I56" s="866">
        <f t="shared" si="6"/>
        <v>-473</v>
      </c>
      <c r="J56" s="866">
        <f t="shared" si="7"/>
        <v>627.424099</v>
      </c>
      <c r="K56" s="867">
        <f t="shared" si="8"/>
        <v>-0.8824530225</v>
      </c>
      <c r="L56" s="866" t="s">
        <v>194</v>
      </c>
      <c r="M56" s="866" t="s">
        <v>194</v>
      </c>
      <c r="N56" s="866" t="s">
        <v>194</v>
      </c>
      <c r="O56" s="903" t="s">
        <v>194</v>
      </c>
      <c r="P56" s="903" t="s">
        <v>194</v>
      </c>
      <c r="Q56" s="866" t="s">
        <v>194</v>
      </c>
      <c r="R56" s="866" t="s">
        <v>194</v>
      </c>
      <c r="S56" s="866" t="s">
        <v>194</v>
      </c>
      <c r="T56" s="866" t="s">
        <v>194</v>
      </c>
      <c r="U56" s="866" t="s">
        <v>194</v>
      </c>
      <c r="V56" s="866" t="s">
        <v>194</v>
      </c>
      <c r="W56" s="866" t="s">
        <v>194</v>
      </c>
      <c r="X56" s="866" t="s">
        <v>194</v>
      </c>
      <c r="Y56" s="866" t="s">
        <v>194</v>
      </c>
      <c r="Z56" s="866">
        <v>0.0</v>
      </c>
      <c r="AA56" s="866">
        <v>-1187.0</v>
      </c>
      <c r="AB56" s="866">
        <v>-946.0</v>
      </c>
      <c r="AC56" s="15"/>
      <c r="AD56" s="851" t="s">
        <v>194</v>
      </c>
      <c r="AE56" s="846" t="s">
        <v>194</v>
      </c>
      <c r="AF56" s="846" t="s">
        <v>194</v>
      </c>
      <c r="AG56" s="846" t="s">
        <v>194</v>
      </c>
      <c r="AH56" s="846" t="s">
        <v>194</v>
      </c>
      <c r="AI56" s="846" t="s">
        <v>194</v>
      </c>
      <c r="AJ56" s="846" t="s">
        <v>194</v>
      </c>
      <c r="AK56" s="846" t="s">
        <v>194</v>
      </c>
      <c r="AL56" s="846" t="s">
        <v>194</v>
      </c>
      <c r="AM56" s="846" t="s">
        <v>194</v>
      </c>
      <c r="AN56" s="846" t="s">
        <v>194</v>
      </c>
      <c r="AO56" s="846" t="s">
        <v>194</v>
      </c>
      <c r="AP56" s="846" t="s">
        <v>194</v>
      </c>
      <c r="AQ56" s="846" t="s">
        <v>194</v>
      </c>
      <c r="AR56" s="846" t="s">
        <v>194</v>
      </c>
      <c r="AS56" s="846" t="s">
        <v>194</v>
      </c>
      <c r="AT56" s="846" t="s">
        <v>194</v>
      </c>
      <c r="AU56" s="846" t="s">
        <v>194</v>
      </c>
      <c r="AV56" s="846" t="s">
        <v>194</v>
      </c>
      <c r="AW56" s="846" t="s">
        <v>194</v>
      </c>
      <c r="AX56" s="846" t="s">
        <v>194</v>
      </c>
      <c r="AY56" s="846" t="s">
        <v>194</v>
      </c>
    </row>
    <row r="57" ht="15.75" customHeight="1">
      <c r="A57" s="849">
        <v>1.0</v>
      </c>
      <c r="B57" s="15"/>
      <c r="C57" s="855" t="str">
        <f>"Net Income after Non-Controlling/Minority Interests"</f>
        <v>Net Income after Non-Controlling/Minority Interests</v>
      </c>
      <c r="D57" s="866">
        <f t="shared" si="1"/>
        <v>-10628.1285</v>
      </c>
      <c r="E57" s="866">
        <f t="shared" si="2"/>
        <v>-5451.936813</v>
      </c>
      <c r="F57" s="866">
        <f t="shared" si="3"/>
        <v>-61422</v>
      </c>
      <c r="G57" s="866">
        <f t="shared" si="4"/>
        <v>53437</v>
      </c>
      <c r="H57" s="866">
        <f t="shared" si="5"/>
        <v>-16932</v>
      </c>
      <c r="I57" s="866">
        <f t="shared" si="6"/>
        <v>1588.5</v>
      </c>
      <c r="J57" s="866">
        <f t="shared" si="7"/>
        <v>26181.7136</v>
      </c>
      <c r="K57" s="867">
        <f t="shared" si="8"/>
        <v>-4.802277522</v>
      </c>
      <c r="L57" s="866" t="s">
        <v>194</v>
      </c>
      <c r="M57" s="866">
        <v>-12680.0</v>
      </c>
      <c r="N57" s="866">
        <v>-20947.0</v>
      </c>
      <c r="O57" s="903">
        <v>-11463.257</v>
      </c>
      <c r="P57" s="903">
        <v>-7644.732</v>
      </c>
      <c r="Q57" s="866">
        <v>-358.0</v>
      </c>
      <c r="R57" s="866">
        <v>9205.0</v>
      </c>
      <c r="S57" s="866">
        <v>-20476.0</v>
      </c>
      <c r="T57" s="866">
        <v>-19860.0</v>
      </c>
      <c r="U57" s="866">
        <v>-61422.0</v>
      </c>
      <c r="V57" s="866">
        <v>-12202.0</v>
      </c>
      <c r="W57" s="866">
        <v>-7319.0</v>
      </c>
      <c r="X57" s="866">
        <v>-9793.0</v>
      </c>
      <c r="Y57" s="866">
        <v>7428.0</v>
      </c>
      <c r="Z57" s="866">
        <v>53437.0</v>
      </c>
      <c r="AA57" s="866">
        <v>-15956.0</v>
      </c>
      <c r="AB57" s="866">
        <v>42820.0</v>
      </c>
      <c r="AC57" s="15"/>
      <c r="AD57" s="851" t="s">
        <v>194</v>
      </c>
      <c r="AE57" s="846" t="s">
        <v>194</v>
      </c>
      <c r="AF57" s="846" t="s">
        <v>194</v>
      </c>
      <c r="AG57" s="846" t="s">
        <v>194</v>
      </c>
      <c r="AH57" s="846" t="s">
        <v>194</v>
      </c>
      <c r="AI57" s="846" t="s">
        <v>194</v>
      </c>
      <c r="AJ57" s="846" t="s">
        <v>194</v>
      </c>
      <c r="AK57" s="846" t="s">
        <v>194</v>
      </c>
      <c r="AL57" s="846" t="s">
        <v>194</v>
      </c>
      <c r="AM57" s="846" t="s">
        <v>194</v>
      </c>
      <c r="AN57" s="846" t="s">
        <v>194</v>
      </c>
      <c r="AO57" s="846" t="s">
        <v>194</v>
      </c>
      <c r="AP57" s="846" t="s">
        <v>194</v>
      </c>
      <c r="AQ57" s="846" t="s">
        <v>194</v>
      </c>
      <c r="AR57" s="846" t="s">
        <v>194</v>
      </c>
      <c r="AS57" s="846" t="s">
        <v>194</v>
      </c>
      <c r="AT57" s="846" t="s">
        <v>194</v>
      </c>
      <c r="AU57" s="846" t="s">
        <v>194</v>
      </c>
      <c r="AV57" s="846" t="s">
        <v>194</v>
      </c>
      <c r="AW57" s="846" t="s">
        <v>194</v>
      </c>
      <c r="AX57" s="846" t="s">
        <v>194</v>
      </c>
      <c r="AY57" s="846" t="s">
        <v>194</v>
      </c>
    </row>
    <row r="58" ht="15.75" customHeight="1">
      <c r="A58" s="849">
        <v>1.0</v>
      </c>
      <c r="B58" s="15"/>
      <c r="C58" s="855" t="str">
        <f>"Preferred/Other Stock Distribution"</f>
        <v>Preferred/Other Stock Distribution</v>
      </c>
      <c r="D58" s="866">
        <f t="shared" si="1"/>
        <v>1298.5</v>
      </c>
      <c r="E58" s="866">
        <f t="shared" si="2"/>
        <v>2735.75</v>
      </c>
      <c r="F58" s="866">
        <f t="shared" si="3"/>
        <v>0</v>
      </c>
      <c r="G58" s="866">
        <f t="shared" si="4"/>
        <v>8346</v>
      </c>
      <c r="H58" s="866">
        <f t="shared" si="5"/>
        <v>0</v>
      </c>
      <c r="I58" s="866">
        <f t="shared" si="6"/>
        <v>4034.25</v>
      </c>
      <c r="J58" s="866">
        <f t="shared" si="7"/>
        <v>3935.42936</v>
      </c>
      <c r="K58" s="867">
        <f t="shared" si="8"/>
        <v>1.438519368</v>
      </c>
      <c r="L58" s="866" t="s">
        <v>194</v>
      </c>
      <c r="M58" s="866" t="s">
        <v>194</v>
      </c>
      <c r="N58" s="866" t="s">
        <v>194</v>
      </c>
      <c r="O58" s="903" t="s">
        <v>194</v>
      </c>
      <c r="P58" s="903" t="s">
        <v>194</v>
      </c>
      <c r="Q58" s="866">
        <v>8346.0</v>
      </c>
      <c r="R58" s="866">
        <v>2597.0</v>
      </c>
      <c r="S58" s="866">
        <v>0.0</v>
      </c>
      <c r="T58" s="866">
        <v>0.0</v>
      </c>
      <c r="U58" s="866" t="s">
        <v>194</v>
      </c>
      <c r="V58" s="866" t="s">
        <v>194</v>
      </c>
      <c r="W58" s="866" t="s">
        <v>194</v>
      </c>
      <c r="X58" s="866" t="s">
        <v>194</v>
      </c>
      <c r="Y58" s="866" t="s">
        <v>194</v>
      </c>
      <c r="Z58" s="866" t="s">
        <v>194</v>
      </c>
      <c r="AA58" s="866" t="s">
        <v>194</v>
      </c>
      <c r="AB58" s="866" t="s">
        <v>194</v>
      </c>
      <c r="AC58" s="15"/>
      <c r="AD58" s="851" t="s">
        <v>194</v>
      </c>
      <c r="AE58" s="846" t="s">
        <v>194</v>
      </c>
      <c r="AF58" s="846" t="s">
        <v>194</v>
      </c>
      <c r="AG58" s="846" t="s">
        <v>194</v>
      </c>
      <c r="AH58" s="846" t="s">
        <v>194</v>
      </c>
      <c r="AI58" s="846" t="s">
        <v>194</v>
      </c>
      <c r="AJ58" s="846" t="s">
        <v>194</v>
      </c>
      <c r="AK58" s="846" t="s">
        <v>194</v>
      </c>
      <c r="AL58" s="846" t="s">
        <v>194</v>
      </c>
      <c r="AM58" s="846" t="s">
        <v>194</v>
      </c>
      <c r="AN58" s="846" t="s">
        <v>194</v>
      </c>
      <c r="AO58" s="846" t="s">
        <v>194</v>
      </c>
      <c r="AP58" s="846" t="s">
        <v>194</v>
      </c>
      <c r="AQ58" s="846" t="s">
        <v>194</v>
      </c>
      <c r="AR58" s="846" t="s">
        <v>194</v>
      </c>
      <c r="AS58" s="846" t="s">
        <v>194</v>
      </c>
      <c r="AT58" s="846" t="s">
        <v>194</v>
      </c>
      <c r="AU58" s="846" t="s">
        <v>194</v>
      </c>
      <c r="AV58" s="846" t="s">
        <v>194</v>
      </c>
      <c r="AW58" s="846" t="s">
        <v>194</v>
      </c>
      <c r="AX58" s="846" t="s">
        <v>194</v>
      </c>
      <c r="AY58" s="846" t="s">
        <v>194</v>
      </c>
    </row>
    <row r="59" ht="15.75" customHeight="1">
      <c r="A59" s="849">
        <v>1.0</v>
      </c>
      <c r="B59" s="15"/>
      <c r="C59" s="855" t="str">
        <f>"Net Income Available to Common Stockholders"</f>
        <v>Net Income Available to Common Stockholders</v>
      </c>
      <c r="D59" s="866">
        <f t="shared" si="1"/>
        <v>-10628.1285</v>
      </c>
      <c r="E59" s="866">
        <f t="shared" si="2"/>
        <v>-6135.874313</v>
      </c>
      <c r="F59" s="866">
        <f t="shared" si="3"/>
        <v>-61422</v>
      </c>
      <c r="G59" s="866">
        <f t="shared" si="4"/>
        <v>53437</v>
      </c>
      <c r="H59" s="866">
        <f t="shared" si="5"/>
        <v>-16932</v>
      </c>
      <c r="I59" s="866">
        <f t="shared" si="6"/>
        <v>-3837.25</v>
      </c>
      <c r="J59" s="866">
        <f t="shared" si="7"/>
        <v>26064.01297</v>
      </c>
      <c r="K59" s="867">
        <f t="shared" si="8"/>
        <v>-4.247807508</v>
      </c>
      <c r="L59" s="866" t="s">
        <v>194</v>
      </c>
      <c r="M59" s="866">
        <v>-12680.0</v>
      </c>
      <c r="N59" s="866">
        <v>-20947.0</v>
      </c>
      <c r="O59" s="903">
        <v>-11463.257</v>
      </c>
      <c r="P59" s="903">
        <v>-7644.732</v>
      </c>
      <c r="Q59" s="866">
        <v>-8704.0</v>
      </c>
      <c r="R59" s="866">
        <v>6608.0</v>
      </c>
      <c r="S59" s="866">
        <v>-20476.0</v>
      </c>
      <c r="T59" s="866">
        <v>-19860.0</v>
      </c>
      <c r="U59" s="866">
        <v>-61422.0</v>
      </c>
      <c r="V59" s="866">
        <v>-12202.0</v>
      </c>
      <c r="W59" s="866">
        <v>-7319.0</v>
      </c>
      <c r="X59" s="866">
        <v>-9793.0</v>
      </c>
      <c r="Y59" s="866">
        <v>7428.0</v>
      </c>
      <c r="Z59" s="866">
        <v>53437.0</v>
      </c>
      <c r="AA59" s="866">
        <v>-15956.0</v>
      </c>
      <c r="AB59" s="866">
        <v>42820.0</v>
      </c>
      <c r="AC59" s="15"/>
      <c r="AD59" s="851" t="s">
        <v>194</v>
      </c>
      <c r="AE59" s="846" t="s">
        <v>194</v>
      </c>
      <c r="AF59" s="846" t="s">
        <v>194</v>
      </c>
      <c r="AG59" s="846" t="s">
        <v>194</v>
      </c>
      <c r="AH59" s="846" t="s">
        <v>194</v>
      </c>
      <c r="AI59" s="846" t="s">
        <v>194</v>
      </c>
      <c r="AJ59" s="846" t="s">
        <v>194</v>
      </c>
      <c r="AK59" s="846" t="s">
        <v>194</v>
      </c>
      <c r="AL59" s="846" t="s">
        <v>194</v>
      </c>
      <c r="AM59" s="846" t="s">
        <v>194</v>
      </c>
      <c r="AN59" s="846" t="s">
        <v>194</v>
      </c>
      <c r="AO59" s="846" t="s">
        <v>194</v>
      </c>
      <c r="AP59" s="846" t="s">
        <v>194</v>
      </c>
      <c r="AQ59" s="846" t="s">
        <v>194</v>
      </c>
      <c r="AR59" s="846" t="s">
        <v>194</v>
      </c>
      <c r="AS59" s="846" t="s">
        <v>194</v>
      </c>
      <c r="AT59" s="846" t="s">
        <v>194</v>
      </c>
      <c r="AU59" s="846" t="s">
        <v>194</v>
      </c>
      <c r="AV59" s="846" t="s">
        <v>194</v>
      </c>
      <c r="AW59" s="846" t="s">
        <v>194</v>
      </c>
      <c r="AX59" s="846" t="s">
        <v>194</v>
      </c>
      <c r="AY59" s="846" t="s">
        <v>194</v>
      </c>
    </row>
    <row r="60" ht="15.75" customHeight="1">
      <c r="A60" s="849">
        <v>1.0</v>
      </c>
      <c r="B60" s="15"/>
      <c r="C60" s="855" t="str">
        <f>"Diluted Net Income Available to Common Stockholders"</f>
        <v>Diluted Net Income Available to Common Stockholders</v>
      </c>
      <c r="D60" s="866">
        <f t="shared" si="1"/>
        <v>-10628.1285</v>
      </c>
      <c r="E60" s="866">
        <f t="shared" si="2"/>
        <v>-6135.874313</v>
      </c>
      <c r="F60" s="866">
        <f t="shared" si="3"/>
        <v>-61422</v>
      </c>
      <c r="G60" s="866">
        <f t="shared" si="4"/>
        <v>53437</v>
      </c>
      <c r="H60" s="866">
        <f t="shared" si="5"/>
        <v>-16932</v>
      </c>
      <c r="I60" s="866">
        <f t="shared" si="6"/>
        <v>-3837.25</v>
      </c>
      <c r="J60" s="866">
        <f t="shared" si="7"/>
        <v>26064.01297</v>
      </c>
      <c r="K60" s="867">
        <f t="shared" si="8"/>
        <v>-4.247807508</v>
      </c>
      <c r="L60" s="866" t="s">
        <v>194</v>
      </c>
      <c r="M60" s="866">
        <v>-12680.0</v>
      </c>
      <c r="N60" s="866">
        <v>-20947.0</v>
      </c>
      <c r="O60" s="903">
        <v>-11463.257</v>
      </c>
      <c r="P60" s="903">
        <v>-7644.732</v>
      </c>
      <c r="Q60" s="866">
        <v>-8704.0</v>
      </c>
      <c r="R60" s="866">
        <v>6608.0</v>
      </c>
      <c r="S60" s="866">
        <v>-20476.0</v>
      </c>
      <c r="T60" s="866">
        <v>-19860.0</v>
      </c>
      <c r="U60" s="866">
        <v>-61422.0</v>
      </c>
      <c r="V60" s="866">
        <v>-12202.0</v>
      </c>
      <c r="W60" s="866">
        <v>-7319.0</v>
      </c>
      <c r="X60" s="866">
        <v>-9793.0</v>
      </c>
      <c r="Y60" s="866">
        <v>7428.0</v>
      </c>
      <c r="Z60" s="866">
        <v>53437.0</v>
      </c>
      <c r="AA60" s="866">
        <v>-15956.0</v>
      </c>
      <c r="AB60" s="866">
        <v>42820.0</v>
      </c>
      <c r="AC60" s="15"/>
      <c r="AD60" s="851" t="s">
        <v>194</v>
      </c>
      <c r="AE60" s="846" t="s">
        <v>194</v>
      </c>
      <c r="AF60" s="846" t="s">
        <v>194</v>
      </c>
      <c r="AG60" s="846" t="s">
        <v>194</v>
      </c>
      <c r="AH60" s="846" t="s">
        <v>194</v>
      </c>
      <c r="AI60" s="846" t="s">
        <v>194</v>
      </c>
      <c r="AJ60" s="846" t="s">
        <v>194</v>
      </c>
      <c r="AK60" s="846" t="s">
        <v>194</v>
      </c>
      <c r="AL60" s="846" t="s">
        <v>194</v>
      </c>
      <c r="AM60" s="846" t="s">
        <v>194</v>
      </c>
      <c r="AN60" s="846" t="s">
        <v>194</v>
      </c>
      <c r="AO60" s="846" t="s">
        <v>194</v>
      </c>
      <c r="AP60" s="846" t="s">
        <v>194</v>
      </c>
      <c r="AQ60" s="846" t="s">
        <v>194</v>
      </c>
      <c r="AR60" s="846" t="s">
        <v>194</v>
      </c>
      <c r="AS60" s="846" t="s">
        <v>194</v>
      </c>
      <c r="AT60" s="846" t="s">
        <v>194</v>
      </c>
      <c r="AU60" s="846" t="s">
        <v>194</v>
      </c>
      <c r="AV60" s="846" t="s">
        <v>194</v>
      </c>
      <c r="AW60" s="846" t="s">
        <v>194</v>
      </c>
      <c r="AX60" s="846" t="s">
        <v>194</v>
      </c>
      <c r="AY60" s="846" t="s">
        <v>194</v>
      </c>
    </row>
    <row r="61" ht="15.75" customHeight="1">
      <c r="A61" s="849">
        <v>1.0</v>
      </c>
      <c r="B61" s="15"/>
      <c r="C61" s="855" t="str">
        <f>IF(SUBTOTAL(109,A62)=A62,"Basic EPS","Basic EPS")</f>
        <v>Basic EPS</v>
      </c>
      <c r="D61" s="867" t="str">
        <f t="shared" si="1"/>
        <v>#VALUE!</v>
      </c>
      <c r="E61" s="867" t="str">
        <f t="shared" si="2"/>
        <v>#VALUE!</v>
      </c>
      <c r="F61" s="867" t="str">
        <f t="shared" si="3"/>
        <v>#VALUE!</v>
      </c>
      <c r="G61" s="867" t="str">
        <f t="shared" si="4"/>
        <v>#VALUE!</v>
      </c>
      <c r="H61" s="867" t="str">
        <f t="shared" si="5"/>
        <v>#VALUE!</v>
      </c>
      <c r="I61" s="867" t="str">
        <f t="shared" si="6"/>
        <v>#VALUE!</v>
      </c>
      <c r="J61" s="867" t="str">
        <f t="shared" si="7"/>
        <v/>
      </c>
      <c r="K61" s="867" t="str">
        <f t="shared" si="8"/>
        <v/>
      </c>
      <c r="L61" s="867" t="s">
        <v>194</v>
      </c>
      <c r="M61" s="867" t="str">
        <f>IF(SUBTOTAL(109,#REF!)=#REF!,"",-5.23)</f>
        <v>#VALUE!</v>
      </c>
      <c r="N61" s="867" t="str">
        <f>IF(SUBTOTAL(109,#REF!)=#REF!,"",-7.33)</f>
        <v>#VALUE!</v>
      </c>
      <c r="O61" s="927" t="str">
        <f>IF(SUBTOTAL(109,#REF!)=#REF!,"",-4.04)</f>
        <v>#VALUE!</v>
      </c>
      <c r="P61" s="927" t="str">
        <f>IF(SUBTOTAL(109,#REF!)=#REF!,"",-2.63)</f>
        <v>#VALUE!</v>
      </c>
      <c r="Q61" s="867" t="str">
        <f>IF(SUBTOTAL(109,#REF!)=#REF!,"",-2.89)</f>
        <v>#VALUE!</v>
      </c>
      <c r="R61" s="867" t="str">
        <f>IF(SUBTOTAL(109,#REF!)=#REF!,"",0.36)</f>
        <v>#VALUE!</v>
      </c>
      <c r="S61" s="867" t="str">
        <f>IF(SUBTOTAL(109,#REF!)=#REF!,"",-0.86)</f>
        <v>#VALUE!</v>
      </c>
      <c r="T61" s="867" t="str">
        <f>IF(SUBTOTAL(109,#REF!)=#REF!,"",-0.82)</f>
        <v>#VALUE!</v>
      </c>
      <c r="U61" s="867" t="str">
        <f>IF(SUBTOTAL(109,B62)=B62,"",-2.51)</f>
        <v/>
      </c>
      <c r="V61" s="867" t="str">
        <f>IF(SUBTOTAL(109,D62)=D62,"",-0.49)</f>
        <v/>
      </c>
      <c r="W61" s="867" t="str">
        <f>IF(SUBTOTAL(109,F62)=F62,"",-0.29)</f>
        <v/>
      </c>
      <c r="X61" s="867" t="str">
        <f>IF(SUBTOTAL(109,H62)=H62,"",-0.37)</f>
        <v/>
      </c>
      <c r="Y61" s="867" t="str">
        <f>IF(SUBTOTAL(109,J62)=J62,"",0.27)</f>
        <v/>
      </c>
      <c r="Z61" s="867">
        <f>IF(SUBTOTAL(109,L62)=L62,"",1.91)</f>
        <v>1.91</v>
      </c>
      <c r="AA61" s="867" t="str">
        <f>IF(SUBTOTAL(109,N62)=N62,"",-0.53)</f>
        <v/>
      </c>
      <c r="AB61" s="867" t="str">
        <f>IF(SUBTOTAL(109,P62)=P62,"",1.31)</f>
        <v/>
      </c>
      <c r="AC61" s="15"/>
      <c r="AD61" s="851" t="s">
        <v>194</v>
      </c>
      <c r="AE61" s="846" t="s">
        <v>194</v>
      </c>
      <c r="AF61" s="846" t="s">
        <v>194</v>
      </c>
      <c r="AG61" s="846" t="s">
        <v>194</v>
      </c>
      <c r="AH61" s="846" t="s">
        <v>194</v>
      </c>
      <c r="AI61" s="846" t="s">
        <v>194</v>
      </c>
      <c r="AJ61" s="846" t="s">
        <v>194</v>
      </c>
      <c r="AK61" s="846" t="s">
        <v>194</v>
      </c>
      <c r="AL61" s="846" t="s">
        <v>194</v>
      </c>
      <c r="AM61" s="846" t="s">
        <v>194</v>
      </c>
      <c r="AN61" s="846" t="s">
        <v>194</v>
      </c>
      <c r="AO61" s="846" t="s">
        <v>194</v>
      </c>
      <c r="AP61" s="846" t="s">
        <v>194</v>
      </c>
      <c r="AQ61" s="846" t="s">
        <v>194</v>
      </c>
      <c r="AR61" s="846" t="s">
        <v>194</v>
      </c>
      <c r="AS61" s="846" t="s">
        <v>194</v>
      </c>
      <c r="AT61" s="846" t="s">
        <v>194</v>
      </c>
      <c r="AU61" s="846" t="s">
        <v>194</v>
      </c>
      <c r="AV61" s="846" t="s">
        <v>194</v>
      </c>
      <c r="AW61" s="846" t="s">
        <v>194</v>
      </c>
      <c r="AX61" s="846" t="s">
        <v>194</v>
      </c>
      <c r="AY61" s="846" t="s">
        <v>194</v>
      </c>
    </row>
    <row r="62" ht="15.75" customHeight="1" outlineLevel="1">
      <c r="A62" s="849">
        <v>1.0</v>
      </c>
      <c r="B62" s="15"/>
      <c r="C62" s="869" t="str">
        <f>"    Basic EPS from Continuing Operations"</f>
        <v>    Basic EPS from Continuing Operations</v>
      </c>
      <c r="D62" s="871">
        <f t="shared" si="1"/>
        <v>-0.675</v>
      </c>
      <c r="E62" s="871">
        <f t="shared" si="2"/>
        <v>-1.50875</v>
      </c>
      <c r="F62" s="871">
        <f t="shared" si="3"/>
        <v>-7.33</v>
      </c>
      <c r="G62" s="871">
        <f t="shared" si="4"/>
        <v>1.91</v>
      </c>
      <c r="H62" s="871">
        <f t="shared" si="5"/>
        <v>-2.695</v>
      </c>
      <c r="I62" s="871">
        <f t="shared" si="6"/>
        <v>-0.15</v>
      </c>
      <c r="J62" s="871">
        <f t="shared" si="7"/>
        <v>2.453188062</v>
      </c>
      <c r="K62" s="871">
        <f t="shared" si="8"/>
        <v>-1.62597386</v>
      </c>
      <c r="L62" s="928" t="s">
        <v>194</v>
      </c>
      <c r="M62" s="928">
        <v>-5.23</v>
      </c>
      <c r="N62" s="928">
        <v>-7.33</v>
      </c>
      <c r="O62" s="929">
        <v>-4.04</v>
      </c>
      <c r="P62" s="929">
        <v>-2.63</v>
      </c>
      <c r="Q62" s="928">
        <v>-2.89</v>
      </c>
      <c r="R62" s="928">
        <v>0.36</v>
      </c>
      <c r="S62" s="928">
        <v>-0.86</v>
      </c>
      <c r="T62" s="928">
        <v>-0.82</v>
      </c>
      <c r="U62" s="928">
        <v>-2.51</v>
      </c>
      <c r="V62" s="928">
        <v>-0.49</v>
      </c>
      <c r="W62" s="928">
        <v>-0.29</v>
      </c>
      <c r="X62" s="928">
        <v>-0.37</v>
      </c>
      <c r="Y62" s="928">
        <v>0.27</v>
      </c>
      <c r="Z62" s="928">
        <v>1.91</v>
      </c>
      <c r="AA62" s="928">
        <v>-0.53</v>
      </c>
      <c r="AB62" s="928">
        <v>1.31</v>
      </c>
      <c r="AC62" s="15"/>
      <c r="AD62" s="851" t="s">
        <v>194</v>
      </c>
      <c r="AE62" s="846" t="s">
        <v>194</v>
      </c>
      <c r="AF62" s="846" t="s">
        <v>194</v>
      </c>
      <c r="AG62" s="846" t="s">
        <v>194</v>
      </c>
      <c r="AH62" s="846" t="s">
        <v>194</v>
      </c>
      <c r="AI62" s="846" t="s">
        <v>194</v>
      </c>
      <c r="AJ62" s="846" t="s">
        <v>194</v>
      </c>
      <c r="AK62" s="846" t="s">
        <v>194</v>
      </c>
      <c r="AL62" s="846" t="s">
        <v>194</v>
      </c>
      <c r="AM62" s="846" t="s">
        <v>194</v>
      </c>
      <c r="AN62" s="846" t="s">
        <v>194</v>
      </c>
      <c r="AO62" s="846" t="s">
        <v>194</v>
      </c>
      <c r="AP62" s="846" t="s">
        <v>194</v>
      </c>
      <c r="AQ62" s="846" t="s">
        <v>194</v>
      </c>
      <c r="AR62" s="846" t="s">
        <v>194</v>
      </c>
      <c r="AS62" s="846" t="s">
        <v>194</v>
      </c>
      <c r="AT62" s="846" t="s">
        <v>194</v>
      </c>
      <c r="AU62" s="846" t="s">
        <v>194</v>
      </c>
      <c r="AV62" s="846" t="s">
        <v>194</v>
      </c>
      <c r="AW62" s="846" t="s">
        <v>194</v>
      </c>
      <c r="AX62" s="846" t="s">
        <v>194</v>
      </c>
      <c r="AY62" s="846" t="s">
        <v>194</v>
      </c>
    </row>
    <row r="63" ht="15.75" customHeight="1" outlineLevel="1">
      <c r="A63" s="849">
        <v>1.0</v>
      </c>
      <c r="B63" s="15"/>
      <c r="C63" s="869" t="str">
        <f>"    Basic EPS from Discontinued Operations"</f>
        <v>    Basic EPS from Discontinued Operations</v>
      </c>
      <c r="D63" s="871">
        <f t="shared" si="1"/>
        <v>0</v>
      </c>
      <c r="E63" s="871">
        <f t="shared" si="2"/>
        <v>0</v>
      </c>
      <c r="F63" s="871">
        <f t="shared" si="3"/>
        <v>0</v>
      </c>
      <c r="G63" s="871">
        <f t="shared" si="4"/>
        <v>0</v>
      </c>
      <c r="H63" s="871">
        <f t="shared" si="5"/>
        <v>0</v>
      </c>
      <c r="I63" s="871">
        <f t="shared" si="6"/>
        <v>0</v>
      </c>
      <c r="J63" s="871">
        <f t="shared" si="7"/>
        <v>0</v>
      </c>
      <c r="K63" s="871" t="str">
        <f t="shared" si="8"/>
        <v>#DIV/0!</v>
      </c>
      <c r="L63" s="928" t="s">
        <v>194</v>
      </c>
      <c r="M63" s="928">
        <v>0.0</v>
      </c>
      <c r="N63" s="928">
        <v>0.0</v>
      </c>
      <c r="O63" s="929">
        <v>0.0</v>
      </c>
      <c r="P63" s="929">
        <v>0.0</v>
      </c>
      <c r="Q63" s="928">
        <v>0.0</v>
      </c>
      <c r="R63" s="928">
        <v>0.0</v>
      </c>
      <c r="S63" s="928">
        <v>0.0</v>
      </c>
      <c r="T63" s="928">
        <v>0.0</v>
      </c>
      <c r="U63" s="928">
        <v>0.0</v>
      </c>
      <c r="V63" s="928">
        <v>0.0</v>
      </c>
      <c r="W63" s="928">
        <v>0.0</v>
      </c>
      <c r="X63" s="928">
        <v>0.0</v>
      </c>
      <c r="Y63" s="928">
        <v>0.0</v>
      </c>
      <c r="Z63" s="928">
        <v>0.0</v>
      </c>
      <c r="AA63" s="928">
        <v>0.0</v>
      </c>
      <c r="AB63" s="928" t="s">
        <v>194</v>
      </c>
      <c r="AC63" s="15"/>
      <c r="AD63" s="851" t="s">
        <v>194</v>
      </c>
      <c r="AE63" s="846" t="s">
        <v>194</v>
      </c>
      <c r="AF63" s="846" t="s">
        <v>194</v>
      </c>
      <c r="AG63" s="846" t="s">
        <v>194</v>
      </c>
      <c r="AH63" s="846" t="s">
        <v>194</v>
      </c>
      <c r="AI63" s="846" t="s">
        <v>194</v>
      </c>
      <c r="AJ63" s="846" t="s">
        <v>194</v>
      </c>
      <c r="AK63" s="846" t="s">
        <v>194</v>
      </c>
      <c r="AL63" s="846" t="s">
        <v>194</v>
      </c>
      <c r="AM63" s="846" t="s">
        <v>194</v>
      </c>
      <c r="AN63" s="846" t="s">
        <v>194</v>
      </c>
      <c r="AO63" s="846" t="s">
        <v>194</v>
      </c>
      <c r="AP63" s="846" t="s">
        <v>194</v>
      </c>
      <c r="AQ63" s="846" t="s">
        <v>194</v>
      </c>
      <c r="AR63" s="846" t="s">
        <v>194</v>
      </c>
      <c r="AS63" s="846" t="s">
        <v>194</v>
      </c>
      <c r="AT63" s="846" t="s">
        <v>194</v>
      </c>
      <c r="AU63" s="846" t="s">
        <v>194</v>
      </c>
      <c r="AV63" s="846" t="s">
        <v>194</v>
      </c>
      <c r="AW63" s="846" t="s">
        <v>194</v>
      </c>
      <c r="AX63" s="846" t="s">
        <v>194</v>
      </c>
      <c r="AY63" s="846" t="s">
        <v>194</v>
      </c>
    </row>
    <row r="64" ht="15.75" customHeight="1" outlineLevel="1">
      <c r="A64" s="849">
        <v>1.0</v>
      </c>
      <c r="B64" s="15"/>
      <c r="C64" s="855" t="str">
        <f>"    Total Basic EPS"</f>
        <v>    Total Basic EPS</v>
      </c>
      <c r="D64" s="883">
        <f t="shared" si="1"/>
        <v>-0.675</v>
      </c>
      <c r="E64" s="883">
        <f t="shared" si="2"/>
        <v>-1.50875</v>
      </c>
      <c r="F64" s="883">
        <f t="shared" si="3"/>
        <v>-7.33</v>
      </c>
      <c r="G64" s="883">
        <f t="shared" si="4"/>
        <v>1.91</v>
      </c>
      <c r="H64" s="883">
        <f t="shared" si="5"/>
        <v>-2.695</v>
      </c>
      <c r="I64" s="883">
        <f t="shared" si="6"/>
        <v>-0.15</v>
      </c>
      <c r="J64" s="883">
        <f t="shared" si="7"/>
        <v>2.453188062</v>
      </c>
      <c r="K64" s="883">
        <f t="shared" si="8"/>
        <v>-1.62597386</v>
      </c>
      <c r="L64" s="883" t="s">
        <v>194</v>
      </c>
      <c r="M64" s="883">
        <v>-5.23</v>
      </c>
      <c r="N64" s="883">
        <v>-7.33</v>
      </c>
      <c r="O64" s="930">
        <v>-4.04</v>
      </c>
      <c r="P64" s="930">
        <v>-2.63</v>
      </c>
      <c r="Q64" s="883">
        <v>-2.89</v>
      </c>
      <c r="R64" s="883">
        <v>0.36</v>
      </c>
      <c r="S64" s="883">
        <v>-0.86</v>
      </c>
      <c r="T64" s="883">
        <v>-0.82</v>
      </c>
      <c r="U64" s="883">
        <v>-2.51</v>
      </c>
      <c r="V64" s="883">
        <v>-0.49</v>
      </c>
      <c r="W64" s="883">
        <v>-0.29</v>
      </c>
      <c r="X64" s="883">
        <v>-0.37</v>
      </c>
      <c r="Y64" s="883">
        <v>0.27</v>
      </c>
      <c r="Z64" s="883">
        <v>1.91</v>
      </c>
      <c r="AA64" s="883">
        <v>-0.53</v>
      </c>
      <c r="AB64" s="883">
        <v>1.31</v>
      </c>
      <c r="AC64" s="15"/>
      <c r="AD64" s="851" t="s">
        <v>194</v>
      </c>
      <c r="AE64" s="846" t="s">
        <v>194</v>
      </c>
      <c r="AF64" s="846" t="s">
        <v>194</v>
      </c>
      <c r="AG64" s="846" t="s">
        <v>194</v>
      </c>
      <c r="AH64" s="846" t="s">
        <v>194</v>
      </c>
      <c r="AI64" s="846" t="s">
        <v>194</v>
      </c>
      <c r="AJ64" s="846" t="s">
        <v>194</v>
      </c>
      <c r="AK64" s="846" t="s">
        <v>194</v>
      </c>
      <c r="AL64" s="846" t="s">
        <v>194</v>
      </c>
      <c r="AM64" s="846" t="s">
        <v>194</v>
      </c>
      <c r="AN64" s="846" t="s">
        <v>194</v>
      </c>
      <c r="AO64" s="846" t="s">
        <v>194</v>
      </c>
      <c r="AP64" s="846" t="s">
        <v>194</v>
      </c>
      <c r="AQ64" s="846" t="s">
        <v>194</v>
      </c>
      <c r="AR64" s="846" t="s">
        <v>194</v>
      </c>
      <c r="AS64" s="846" t="s">
        <v>194</v>
      </c>
      <c r="AT64" s="846" t="s">
        <v>194</v>
      </c>
      <c r="AU64" s="846" t="s">
        <v>194</v>
      </c>
      <c r="AV64" s="846" t="s">
        <v>194</v>
      </c>
      <c r="AW64" s="846" t="s">
        <v>194</v>
      </c>
      <c r="AX64" s="846" t="s">
        <v>194</v>
      </c>
      <c r="AY64" s="846" t="s">
        <v>194</v>
      </c>
    </row>
    <row r="65" ht="15.75" customHeight="1">
      <c r="A65" s="849">
        <v>1.0</v>
      </c>
      <c r="B65" s="15"/>
      <c r="C65" s="855" t="str">
        <f>IF(SUBTOTAL(109,A66)=A66,"Diluted EPS","Diluted EPS")</f>
        <v>Diluted EPS</v>
      </c>
      <c r="D65" s="867" t="str">
        <f t="shared" si="1"/>
        <v>#VALUE!</v>
      </c>
      <c r="E65" s="867" t="str">
        <f t="shared" si="2"/>
        <v>#VALUE!</v>
      </c>
      <c r="F65" s="867" t="str">
        <f t="shared" si="3"/>
        <v>#VALUE!</v>
      </c>
      <c r="G65" s="867" t="str">
        <f t="shared" si="4"/>
        <v>#VALUE!</v>
      </c>
      <c r="H65" s="867" t="str">
        <f t="shared" si="5"/>
        <v>#VALUE!</v>
      </c>
      <c r="I65" s="867" t="str">
        <f t="shared" si="6"/>
        <v>#VALUE!</v>
      </c>
      <c r="J65" s="867" t="str">
        <f t="shared" si="7"/>
        <v/>
      </c>
      <c r="K65" s="867" t="str">
        <f t="shared" si="8"/>
        <v/>
      </c>
      <c r="L65" s="867" t="s">
        <v>194</v>
      </c>
      <c r="M65" s="867" t="str">
        <f>IF(SUBTOTAL(109,#REF!)=#REF!,"",-5.233027)</f>
        <v>#VALUE!</v>
      </c>
      <c r="N65" s="867" t="str">
        <f>IF(SUBTOTAL(109,#REF!)=#REF!,"",-7.334199)</f>
        <v>#VALUE!</v>
      </c>
      <c r="O65" s="927" t="str">
        <f>IF(SUBTOTAL(109,#REF!)=#REF!,"",-4.04)</f>
        <v>#VALUE!</v>
      </c>
      <c r="P65" s="927" t="str">
        <f>IF(SUBTOTAL(109,#REF!)=#REF!,"",-2.63)</f>
        <v>#VALUE!</v>
      </c>
      <c r="Q65" s="867" t="str">
        <f>IF(SUBTOTAL(109,#REF!)=#REF!,"",-2.89)</f>
        <v>#VALUE!</v>
      </c>
      <c r="R65" s="867" t="str">
        <f>IF(SUBTOTAL(109,#REF!)=#REF!,"",0.29)</f>
        <v>#VALUE!</v>
      </c>
      <c r="S65" s="867" t="str">
        <f>IF(SUBTOTAL(109,#REF!)=#REF!,"",-0.86)</f>
        <v>#VALUE!</v>
      </c>
      <c r="T65" s="867" t="str">
        <f>IF(SUBTOTAL(109,#REF!)=#REF!,"",-0.82)</f>
        <v>#VALUE!</v>
      </c>
      <c r="U65" s="867" t="str">
        <f>IF(SUBTOTAL(109,B66)=B66,"",-2.51)</f>
        <v/>
      </c>
      <c r="V65" s="867" t="str">
        <f>IF(SUBTOTAL(109,D66)=D66,"",-0.49)</f>
        <v/>
      </c>
      <c r="W65" s="867" t="str">
        <f>IF(SUBTOTAL(109,F66)=F66,"",-0.29)</f>
        <v/>
      </c>
      <c r="X65" s="867" t="str">
        <f>IF(SUBTOTAL(109,H66)=H66,"",-0.37)</f>
        <v/>
      </c>
      <c r="Y65" s="867" t="str">
        <f>IF(SUBTOTAL(109,J66)=J66,"",0.26)</f>
        <v/>
      </c>
      <c r="Z65" s="867">
        <f>IF(SUBTOTAL(109,L66)=L66,"",1.75)</f>
        <v>1.75</v>
      </c>
      <c r="AA65" s="867" t="str">
        <f>IF(SUBTOTAL(109,N66)=N66,"",-0.53)</f>
        <v/>
      </c>
      <c r="AB65" s="867" t="str">
        <f>IF(SUBTOTAL(109,P66)=P66,"",1.2)</f>
        <v/>
      </c>
      <c r="AC65" s="15"/>
      <c r="AD65" s="851" t="s">
        <v>194</v>
      </c>
      <c r="AE65" s="846" t="s">
        <v>194</v>
      </c>
      <c r="AF65" s="846" t="s">
        <v>194</v>
      </c>
      <c r="AG65" s="846" t="s">
        <v>194</v>
      </c>
      <c r="AH65" s="846" t="s">
        <v>194</v>
      </c>
      <c r="AI65" s="846" t="s">
        <v>194</v>
      </c>
      <c r="AJ65" s="846" t="s">
        <v>194</v>
      </c>
      <c r="AK65" s="846" t="s">
        <v>194</v>
      </c>
      <c r="AL65" s="846" t="s">
        <v>194</v>
      </c>
      <c r="AM65" s="846" t="s">
        <v>194</v>
      </c>
      <c r="AN65" s="846" t="s">
        <v>194</v>
      </c>
      <c r="AO65" s="846" t="s">
        <v>194</v>
      </c>
      <c r="AP65" s="846" t="s">
        <v>194</v>
      </c>
      <c r="AQ65" s="846" t="s">
        <v>194</v>
      </c>
      <c r="AR65" s="846" t="s">
        <v>194</v>
      </c>
      <c r="AS65" s="846" t="s">
        <v>194</v>
      </c>
      <c r="AT65" s="846" t="s">
        <v>194</v>
      </c>
      <c r="AU65" s="846" t="s">
        <v>194</v>
      </c>
      <c r="AV65" s="846" t="s">
        <v>194</v>
      </c>
      <c r="AW65" s="846" t="s">
        <v>194</v>
      </c>
      <c r="AX65" s="846" t="s">
        <v>194</v>
      </c>
      <c r="AY65" s="846" t="s">
        <v>194</v>
      </c>
    </row>
    <row r="66" ht="15.75" customHeight="1" outlineLevel="1">
      <c r="A66" s="849">
        <v>1.0</v>
      </c>
      <c r="B66" s="15"/>
      <c r="C66" s="869" t="str">
        <f>"    Diluted EPS from Continuing Operations"</f>
        <v>    Diluted EPS from Continuing Operations</v>
      </c>
      <c r="D66" s="871">
        <f t="shared" si="1"/>
        <v>-0.675</v>
      </c>
      <c r="E66" s="871">
        <f t="shared" si="2"/>
        <v>-1.531076625</v>
      </c>
      <c r="F66" s="871">
        <f t="shared" si="3"/>
        <v>-7.334199</v>
      </c>
      <c r="G66" s="871">
        <f t="shared" si="4"/>
        <v>1.75</v>
      </c>
      <c r="H66" s="871">
        <f t="shared" si="5"/>
        <v>-2.695</v>
      </c>
      <c r="I66" s="871">
        <f t="shared" si="6"/>
        <v>-0.1525</v>
      </c>
      <c r="J66" s="871">
        <f t="shared" si="7"/>
        <v>2.427163179</v>
      </c>
      <c r="K66" s="871">
        <f t="shared" si="8"/>
        <v>-1.585265648</v>
      </c>
      <c r="L66" s="928" t="s">
        <v>194</v>
      </c>
      <c r="M66" s="928">
        <v>-5.233027</v>
      </c>
      <c r="N66" s="928">
        <v>-7.334199</v>
      </c>
      <c r="O66" s="929">
        <v>-4.04</v>
      </c>
      <c r="P66" s="929">
        <v>-2.63</v>
      </c>
      <c r="Q66" s="928">
        <v>-2.89</v>
      </c>
      <c r="R66" s="928">
        <v>0.29</v>
      </c>
      <c r="S66" s="928">
        <v>-0.86</v>
      </c>
      <c r="T66" s="928">
        <v>-0.82</v>
      </c>
      <c r="U66" s="928">
        <v>-2.51</v>
      </c>
      <c r="V66" s="928">
        <v>-0.49</v>
      </c>
      <c r="W66" s="928">
        <v>-0.29</v>
      </c>
      <c r="X66" s="928">
        <v>-0.37</v>
      </c>
      <c r="Y66" s="928">
        <v>0.26</v>
      </c>
      <c r="Z66" s="928">
        <v>1.75</v>
      </c>
      <c r="AA66" s="928">
        <v>-0.53</v>
      </c>
      <c r="AB66" s="928">
        <v>1.2</v>
      </c>
      <c r="AC66" s="15"/>
      <c r="AD66" s="851" t="s">
        <v>194</v>
      </c>
      <c r="AE66" s="846" t="s">
        <v>194</v>
      </c>
      <c r="AF66" s="846" t="s">
        <v>194</v>
      </c>
      <c r="AG66" s="846" t="s">
        <v>194</v>
      </c>
      <c r="AH66" s="846" t="s">
        <v>194</v>
      </c>
      <c r="AI66" s="846" t="s">
        <v>194</v>
      </c>
      <c r="AJ66" s="846" t="s">
        <v>194</v>
      </c>
      <c r="AK66" s="846" t="s">
        <v>194</v>
      </c>
      <c r="AL66" s="846" t="s">
        <v>194</v>
      </c>
      <c r="AM66" s="846" t="s">
        <v>194</v>
      </c>
      <c r="AN66" s="846" t="s">
        <v>194</v>
      </c>
      <c r="AO66" s="846" t="s">
        <v>194</v>
      </c>
      <c r="AP66" s="846" t="s">
        <v>194</v>
      </c>
      <c r="AQ66" s="846" t="s">
        <v>194</v>
      </c>
      <c r="AR66" s="846" t="s">
        <v>194</v>
      </c>
      <c r="AS66" s="846" t="s">
        <v>194</v>
      </c>
      <c r="AT66" s="846" t="s">
        <v>194</v>
      </c>
      <c r="AU66" s="846" t="s">
        <v>194</v>
      </c>
      <c r="AV66" s="846" t="s">
        <v>194</v>
      </c>
      <c r="AW66" s="846" t="s">
        <v>194</v>
      </c>
      <c r="AX66" s="846" t="s">
        <v>194</v>
      </c>
      <c r="AY66" s="846" t="s">
        <v>194</v>
      </c>
    </row>
    <row r="67" ht="15.75" customHeight="1" outlineLevel="1">
      <c r="A67" s="849">
        <v>1.0</v>
      </c>
      <c r="B67" s="15"/>
      <c r="C67" s="869" t="str">
        <f>"    Diluted EPS from Discontinued Operations"</f>
        <v>    Diluted EPS from Discontinued Operations</v>
      </c>
      <c r="D67" s="871">
        <f t="shared" si="1"/>
        <v>0</v>
      </c>
      <c r="E67" s="871">
        <f t="shared" si="2"/>
        <v>0</v>
      </c>
      <c r="F67" s="871">
        <f t="shared" si="3"/>
        <v>0</v>
      </c>
      <c r="G67" s="871">
        <f t="shared" si="4"/>
        <v>0</v>
      </c>
      <c r="H67" s="871">
        <f t="shared" si="5"/>
        <v>0</v>
      </c>
      <c r="I67" s="871">
        <f t="shared" si="6"/>
        <v>0</v>
      </c>
      <c r="J67" s="871">
        <f t="shared" si="7"/>
        <v>0</v>
      </c>
      <c r="K67" s="871" t="str">
        <f t="shared" si="8"/>
        <v>#DIV/0!</v>
      </c>
      <c r="L67" s="928" t="s">
        <v>194</v>
      </c>
      <c r="M67" s="928">
        <v>0.0</v>
      </c>
      <c r="N67" s="928">
        <v>0.0</v>
      </c>
      <c r="O67" s="929">
        <v>0.0</v>
      </c>
      <c r="P67" s="929">
        <v>0.0</v>
      </c>
      <c r="Q67" s="928">
        <v>0.0</v>
      </c>
      <c r="R67" s="928">
        <v>0.0</v>
      </c>
      <c r="S67" s="928">
        <v>0.0</v>
      </c>
      <c r="T67" s="928">
        <v>0.0</v>
      </c>
      <c r="U67" s="928">
        <v>0.0</v>
      </c>
      <c r="V67" s="928">
        <v>0.0</v>
      </c>
      <c r="W67" s="928">
        <v>0.0</v>
      </c>
      <c r="X67" s="928">
        <v>0.0</v>
      </c>
      <c r="Y67" s="928">
        <v>0.0</v>
      </c>
      <c r="Z67" s="928">
        <v>0.0</v>
      </c>
      <c r="AA67" s="928">
        <v>0.0</v>
      </c>
      <c r="AB67" s="928" t="s">
        <v>194</v>
      </c>
      <c r="AC67" s="15"/>
      <c r="AD67" s="851" t="s">
        <v>194</v>
      </c>
      <c r="AE67" s="846" t="s">
        <v>194</v>
      </c>
      <c r="AF67" s="846" t="s">
        <v>194</v>
      </c>
      <c r="AG67" s="846" t="s">
        <v>194</v>
      </c>
      <c r="AH67" s="846" t="s">
        <v>194</v>
      </c>
      <c r="AI67" s="846" t="s">
        <v>194</v>
      </c>
      <c r="AJ67" s="846" t="s">
        <v>194</v>
      </c>
      <c r="AK67" s="846" t="s">
        <v>194</v>
      </c>
      <c r="AL67" s="846" t="s">
        <v>194</v>
      </c>
      <c r="AM67" s="846" t="s">
        <v>194</v>
      </c>
      <c r="AN67" s="846" t="s">
        <v>194</v>
      </c>
      <c r="AO67" s="846" t="s">
        <v>194</v>
      </c>
      <c r="AP67" s="846" t="s">
        <v>194</v>
      </c>
      <c r="AQ67" s="846" t="s">
        <v>194</v>
      </c>
      <c r="AR67" s="846" t="s">
        <v>194</v>
      </c>
      <c r="AS67" s="846" t="s">
        <v>194</v>
      </c>
      <c r="AT67" s="846" t="s">
        <v>194</v>
      </c>
      <c r="AU67" s="846" t="s">
        <v>194</v>
      </c>
      <c r="AV67" s="846" t="s">
        <v>194</v>
      </c>
      <c r="AW67" s="846" t="s">
        <v>194</v>
      </c>
      <c r="AX67" s="846" t="s">
        <v>194</v>
      </c>
      <c r="AY67" s="846" t="s">
        <v>194</v>
      </c>
    </row>
    <row r="68" ht="15.75" customHeight="1" outlineLevel="1">
      <c r="A68" s="849">
        <v>1.0</v>
      </c>
      <c r="B68" s="15"/>
      <c r="C68" s="855" t="str">
        <f>"    Total Diluted EPS"</f>
        <v>    Total Diluted EPS</v>
      </c>
      <c r="D68" s="883">
        <f t="shared" si="1"/>
        <v>-0.675</v>
      </c>
      <c r="E68" s="883">
        <f t="shared" si="2"/>
        <v>-1.531076625</v>
      </c>
      <c r="F68" s="883">
        <f t="shared" si="3"/>
        <v>-7.334199</v>
      </c>
      <c r="G68" s="883">
        <f t="shared" si="4"/>
        <v>1.75</v>
      </c>
      <c r="H68" s="883">
        <f t="shared" si="5"/>
        <v>-2.695</v>
      </c>
      <c r="I68" s="883">
        <f t="shared" si="6"/>
        <v>-0.1525</v>
      </c>
      <c r="J68" s="883">
        <f t="shared" si="7"/>
        <v>2.427163179</v>
      </c>
      <c r="K68" s="883">
        <f t="shared" si="8"/>
        <v>-1.585265648</v>
      </c>
      <c r="L68" s="883" t="s">
        <v>194</v>
      </c>
      <c r="M68" s="883">
        <v>-5.233027</v>
      </c>
      <c r="N68" s="883">
        <v>-7.334199</v>
      </c>
      <c r="O68" s="930">
        <v>-4.04</v>
      </c>
      <c r="P68" s="930">
        <v>-2.63</v>
      </c>
      <c r="Q68" s="883">
        <v>-2.89</v>
      </c>
      <c r="R68" s="883">
        <v>0.29</v>
      </c>
      <c r="S68" s="883">
        <v>-0.86</v>
      </c>
      <c r="T68" s="883">
        <v>-0.82</v>
      </c>
      <c r="U68" s="883">
        <v>-2.51</v>
      </c>
      <c r="V68" s="883">
        <v>-0.49</v>
      </c>
      <c r="W68" s="883">
        <v>-0.29</v>
      </c>
      <c r="X68" s="883">
        <v>-0.37</v>
      </c>
      <c r="Y68" s="883">
        <v>0.26</v>
      </c>
      <c r="Z68" s="883">
        <v>1.75</v>
      </c>
      <c r="AA68" s="883">
        <v>-0.53</v>
      </c>
      <c r="AB68" s="883">
        <v>1.2</v>
      </c>
      <c r="AC68" s="15"/>
      <c r="AD68" s="851" t="s">
        <v>194</v>
      </c>
      <c r="AE68" s="846" t="s">
        <v>194</v>
      </c>
      <c r="AF68" s="846" t="s">
        <v>194</v>
      </c>
      <c r="AG68" s="846" t="s">
        <v>194</v>
      </c>
      <c r="AH68" s="846" t="s">
        <v>194</v>
      </c>
      <c r="AI68" s="846" t="s">
        <v>194</v>
      </c>
      <c r="AJ68" s="846" t="s">
        <v>194</v>
      </c>
      <c r="AK68" s="846" t="s">
        <v>194</v>
      </c>
      <c r="AL68" s="846" t="s">
        <v>194</v>
      </c>
      <c r="AM68" s="846" t="s">
        <v>194</v>
      </c>
      <c r="AN68" s="846" t="s">
        <v>194</v>
      </c>
      <c r="AO68" s="846" t="s">
        <v>194</v>
      </c>
      <c r="AP68" s="846" t="s">
        <v>194</v>
      </c>
      <c r="AQ68" s="846" t="s">
        <v>194</v>
      </c>
      <c r="AR68" s="846" t="s">
        <v>194</v>
      </c>
      <c r="AS68" s="846" t="s">
        <v>194</v>
      </c>
      <c r="AT68" s="846" t="s">
        <v>194</v>
      </c>
      <c r="AU68" s="846" t="s">
        <v>194</v>
      </c>
      <c r="AV68" s="846" t="s">
        <v>194</v>
      </c>
      <c r="AW68" s="846" t="s">
        <v>194</v>
      </c>
      <c r="AX68" s="846" t="s">
        <v>194</v>
      </c>
      <c r="AY68" s="846" t="s">
        <v>194</v>
      </c>
    </row>
    <row r="69" ht="15.75" customHeight="1">
      <c r="A69" s="849">
        <v>1.0</v>
      </c>
      <c r="B69" s="15"/>
      <c r="C69" s="855" t="str">
        <f>"Basic Weighted Average Shares Outstanding"</f>
        <v>Basic Weighted Average Shares Outstanding</v>
      </c>
      <c r="D69" s="866">
        <f t="shared" si="1"/>
        <v>24267201.5</v>
      </c>
      <c r="E69" s="866">
        <f t="shared" si="2"/>
        <v>18734016.75</v>
      </c>
      <c r="F69" s="866">
        <f t="shared" si="3"/>
        <v>2423072</v>
      </c>
      <c r="G69" s="866">
        <f t="shared" si="4"/>
        <v>32709000</v>
      </c>
      <c r="H69" s="866">
        <f t="shared" si="5"/>
        <v>2985864.25</v>
      </c>
      <c r="I69" s="866">
        <f t="shared" si="6"/>
        <v>26612469.5</v>
      </c>
      <c r="J69" s="866">
        <f t="shared" si="7"/>
        <v>11504387.38</v>
      </c>
      <c r="K69" s="867">
        <f t="shared" si="8"/>
        <v>0.6140908023</v>
      </c>
      <c r="L69" s="866" t="s">
        <v>194</v>
      </c>
      <c r="M69" s="866">
        <v>2423072.0</v>
      </c>
      <c r="N69" s="866">
        <v>2856072.0</v>
      </c>
      <c r="O69" s="903">
        <v>2837772.0</v>
      </c>
      <c r="P69" s="903">
        <v>2908360.0</v>
      </c>
      <c r="Q69" s="866">
        <v>3011699.0</v>
      </c>
      <c r="R69" s="866">
        <v>1.8348594E7</v>
      </c>
      <c r="S69" s="866">
        <v>2.3771368E7</v>
      </c>
      <c r="T69" s="866">
        <v>2.4109085E7</v>
      </c>
      <c r="U69" s="866">
        <v>2.4425318E7</v>
      </c>
      <c r="V69" s="866">
        <v>2.4933656E7</v>
      </c>
      <c r="W69" s="866">
        <v>2.5543646E7</v>
      </c>
      <c r="X69" s="866">
        <v>2.6444626E7</v>
      </c>
      <c r="Y69" s="866">
        <v>2.7116E7</v>
      </c>
      <c r="Z69" s="866">
        <v>2.792E7</v>
      </c>
      <c r="AA69" s="866">
        <v>3.0386E7</v>
      </c>
      <c r="AB69" s="866">
        <v>3.2709E7</v>
      </c>
      <c r="AC69" s="15"/>
      <c r="AD69" s="851" t="s">
        <v>194</v>
      </c>
      <c r="AE69" s="846" t="s">
        <v>194</v>
      </c>
      <c r="AF69" s="846" t="s">
        <v>194</v>
      </c>
      <c r="AG69" s="846" t="s">
        <v>194</v>
      </c>
      <c r="AH69" s="846" t="s">
        <v>194</v>
      </c>
      <c r="AI69" s="846" t="s">
        <v>194</v>
      </c>
      <c r="AJ69" s="846" t="s">
        <v>194</v>
      </c>
      <c r="AK69" s="846" t="s">
        <v>194</v>
      </c>
      <c r="AL69" s="846" t="s">
        <v>194</v>
      </c>
      <c r="AM69" s="846" t="s">
        <v>194</v>
      </c>
      <c r="AN69" s="846" t="s">
        <v>194</v>
      </c>
      <c r="AO69" s="846" t="s">
        <v>194</v>
      </c>
      <c r="AP69" s="846" t="s">
        <v>194</v>
      </c>
      <c r="AQ69" s="846" t="s">
        <v>194</v>
      </c>
      <c r="AR69" s="846" t="s">
        <v>194</v>
      </c>
      <c r="AS69" s="846" t="s">
        <v>194</v>
      </c>
      <c r="AT69" s="846" t="s">
        <v>194</v>
      </c>
      <c r="AU69" s="846" t="s">
        <v>194</v>
      </c>
      <c r="AV69" s="846" t="s">
        <v>194</v>
      </c>
      <c r="AW69" s="846" t="s">
        <v>194</v>
      </c>
      <c r="AX69" s="846" t="s">
        <v>194</v>
      </c>
      <c r="AY69" s="846" t="s">
        <v>194</v>
      </c>
    </row>
    <row r="70" ht="15.75" customHeight="1">
      <c r="A70" s="849">
        <v>1.0</v>
      </c>
      <c r="B70" s="15"/>
      <c r="C70" s="855" t="str">
        <f>"Diluted Weighted Average Shares Outstanding"</f>
        <v>Diluted Weighted Average Shares Outstanding</v>
      </c>
      <c r="D70" s="866">
        <f t="shared" si="1"/>
        <v>24267201.5</v>
      </c>
      <c r="E70" s="866">
        <f t="shared" si="2"/>
        <v>19479405.44</v>
      </c>
      <c r="F70" s="866">
        <f t="shared" si="3"/>
        <v>2423072</v>
      </c>
      <c r="G70" s="866">
        <f t="shared" si="4"/>
        <v>35783000</v>
      </c>
      <c r="H70" s="866">
        <f t="shared" si="5"/>
        <v>2985864.25</v>
      </c>
      <c r="I70" s="866">
        <f t="shared" si="6"/>
        <v>27105719.5</v>
      </c>
      <c r="J70" s="866">
        <f t="shared" si="7"/>
        <v>12049240.06</v>
      </c>
      <c r="K70" s="867">
        <f t="shared" si="8"/>
        <v>0.6185630305</v>
      </c>
      <c r="L70" s="866" t="s">
        <v>194</v>
      </c>
      <c r="M70" s="866">
        <v>2423072.0</v>
      </c>
      <c r="N70" s="866">
        <v>2856072.0</v>
      </c>
      <c r="O70" s="903">
        <v>2837772.0</v>
      </c>
      <c r="P70" s="903">
        <v>2908360.0</v>
      </c>
      <c r="Q70" s="866">
        <v>3011699.0</v>
      </c>
      <c r="R70" s="866">
        <v>2.2658813E7</v>
      </c>
      <c r="S70" s="866">
        <v>2.3771368E7</v>
      </c>
      <c r="T70" s="866">
        <v>2.4109085E7</v>
      </c>
      <c r="U70" s="866">
        <v>2.4425318E7</v>
      </c>
      <c r="V70" s="866">
        <v>2.4933656E7</v>
      </c>
      <c r="W70" s="866">
        <v>2.5543646E7</v>
      </c>
      <c r="X70" s="866">
        <v>2.6444626E7</v>
      </c>
      <c r="Y70" s="866">
        <v>2.9089E7</v>
      </c>
      <c r="Z70" s="866">
        <v>3.0489E7</v>
      </c>
      <c r="AA70" s="866">
        <v>3.0386E7</v>
      </c>
      <c r="AB70" s="866">
        <v>3.5783E7</v>
      </c>
      <c r="AC70" s="15"/>
      <c r="AD70" s="851" t="s">
        <v>194</v>
      </c>
      <c r="AE70" s="846" t="s">
        <v>194</v>
      </c>
      <c r="AF70" s="846" t="s">
        <v>194</v>
      </c>
      <c r="AG70" s="846" t="s">
        <v>194</v>
      </c>
      <c r="AH70" s="846" t="s">
        <v>194</v>
      </c>
      <c r="AI70" s="846" t="s">
        <v>194</v>
      </c>
      <c r="AJ70" s="846" t="s">
        <v>194</v>
      </c>
      <c r="AK70" s="846" t="s">
        <v>194</v>
      </c>
      <c r="AL70" s="846" t="s">
        <v>194</v>
      </c>
      <c r="AM70" s="846" t="s">
        <v>194</v>
      </c>
      <c r="AN70" s="846" t="s">
        <v>194</v>
      </c>
      <c r="AO70" s="846" t="s">
        <v>194</v>
      </c>
      <c r="AP70" s="846" t="s">
        <v>194</v>
      </c>
      <c r="AQ70" s="846" t="s">
        <v>194</v>
      </c>
      <c r="AR70" s="846" t="s">
        <v>194</v>
      </c>
      <c r="AS70" s="846" t="s">
        <v>194</v>
      </c>
      <c r="AT70" s="846" t="s">
        <v>194</v>
      </c>
      <c r="AU70" s="846" t="s">
        <v>194</v>
      </c>
      <c r="AV70" s="846" t="s">
        <v>194</v>
      </c>
      <c r="AW70" s="846" t="s">
        <v>194</v>
      </c>
      <c r="AX70" s="846" t="s">
        <v>194</v>
      </c>
      <c r="AY70" s="846" t="s">
        <v>194</v>
      </c>
    </row>
    <row r="71" ht="15.75" customHeight="1">
      <c r="A71" s="849">
        <v>1.0</v>
      </c>
      <c r="B71" s="15"/>
      <c r="C71" s="855" t="str">
        <f>"Income Statement Supplemental Section"</f>
        <v>Income Statement Supplemental Section</v>
      </c>
      <c r="D71" s="867" t="s">
        <v>194</v>
      </c>
      <c r="E71" s="867" t="s">
        <v>194</v>
      </c>
      <c r="F71" s="867" t="s">
        <v>194</v>
      </c>
      <c r="G71" s="867" t="s">
        <v>194</v>
      </c>
      <c r="H71" s="867" t="s">
        <v>194</v>
      </c>
      <c r="I71" s="867" t="s">
        <v>194</v>
      </c>
      <c r="J71" s="867" t="s">
        <v>194</v>
      </c>
      <c r="K71" s="867" t="s">
        <v>194</v>
      </c>
      <c r="L71" s="867" t="s">
        <v>194</v>
      </c>
      <c r="M71" s="867" t="s">
        <v>194</v>
      </c>
      <c r="N71" s="867" t="s">
        <v>194</v>
      </c>
      <c r="O71" s="927" t="s">
        <v>194</v>
      </c>
      <c r="P71" s="927" t="s">
        <v>194</v>
      </c>
      <c r="Q71" s="867" t="s">
        <v>194</v>
      </c>
      <c r="R71" s="867" t="s">
        <v>194</v>
      </c>
      <c r="S71" s="867" t="s">
        <v>194</v>
      </c>
      <c r="T71" s="867" t="s">
        <v>194</v>
      </c>
      <c r="U71" s="867" t="s">
        <v>194</v>
      </c>
      <c r="V71" s="867" t="s">
        <v>194</v>
      </c>
      <c r="W71" s="867" t="s">
        <v>194</v>
      </c>
      <c r="X71" s="867" t="s">
        <v>194</v>
      </c>
      <c r="Y71" s="867" t="s">
        <v>194</v>
      </c>
      <c r="Z71" s="867" t="s">
        <v>194</v>
      </c>
      <c r="AA71" s="867" t="s">
        <v>194</v>
      </c>
      <c r="AB71" s="867" t="s">
        <v>194</v>
      </c>
      <c r="AC71" s="15"/>
      <c r="AD71" s="851" t="s">
        <v>194</v>
      </c>
      <c r="AE71" s="846" t="s">
        <v>194</v>
      </c>
      <c r="AF71" s="846" t="s">
        <v>194</v>
      </c>
      <c r="AG71" s="846" t="s">
        <v>194</v>
      </c>
      <c r="AH71" s="846" t="s">
        <v>194</v>
      </c>
      <c r="AI71" s="846" t="s">
        <v>194</v>
      </c>
      <c r="AJ71" s="846" t="s">
        <v>194</v>
      </c>
      <c r="AK71" s="846" t="s">
        <v>194</v>
      </c>
      <c r="AL71" s="846" t="s">
        <v>194</v>
      </c>
      <c r="AM71" s="846" t="s">
        <v>194</v>
      </c>
      <c r="AN71" s="846" t="s">
        <v>194</v>
      </c>
      <c r="AO71" s="846" t="s">
        <v>194</v>
      </c>
      <c r="AP71" s="846" t="s">
        <v>194</v>
      </c>
      <c r="AQ71" s="846" t="s">
        <v>194</v>
      </c>
      <c r="AR71" s="846" t="s">
        <v>194</v>
      </c>
      <c r="AS71" s="846" t="s">
        <v>194</v>
      </c>
      <c r="AT71" s="846" t="s">
        <v>194</v>
      </c>
      <c r="AU71" s="846" t="s">
        <v>194</v>
      </c>
      <c r="AV71" s="846" t="s">
        <v>194</v>
      </c>
      <c r="AW71" s="846" t="s">
        <v>194</v>
      </c>
      <c r="AX71" s="846" t="s">
        <v>194</v>
      </c>
      <c r="AY71" s="846" t="s">
        <v>194</v>
      </c>
    </row>
    <row r="72" ht="15.75" customHeight="1" outlineLevel="1">
      <c r="A72" s="849">
        <v>1.0</v>
      </c>
      <c r="B72" s="15"/>
      <c r="C72" s="869" t="str">
        <f>"    Reported Normalized and Operating Income/Expense Supplemental Section"</f>
        <v>    Reported Normalized and Operating Income/Expense Supplemental Section</v>
      </c>
      <c r="D72" s="889" t="s">
        <v>194</v>
      </c>
      <c r="E72" s="889" t="s">
        <v>194</v>
      </c>
      <c r="F72" s="889" t="s">
        <v>194</v>
      </c>
      <c r="G72" s="889" t="s">
        <v>194</v>
      </c>
      <c r="H72" s="889" t="s">
        <v>194</v>
      </c>
      <c r="I72" s="889" t="s">
        <v>194</v>
      </c>
      <c r="J72" s="889" t="s">
        <v>194</v>
      </c>
      <c r="K72" s="889" t="s">
        <v>194</v>
      </c>
      <c r="L72" s="890" t="s">
        <v>194</v>
      </c>
      <c r="M72" s="890" t="s">
        <v>194</v>
      </c>
      <c r="N72" s="890" t="s">
        <v>194</v>
      </c>
      <c r="O72" s="931" t="s">
        <v>194</v>
      </c>
      <c r="P72" s="931" t="s">
        <v>194</v>
      </c>
      <c r="Q72" s="890" t="s">
        <v>194</v>
      </c>
      <c r="R72" s="890" t="s">
        <v>194</v>
      </c>
      <c r="S72" s="890" t="s">
        <v>194</v>
      </c>
      <c r="T72" s="890" t="s">
        <v>194</v>
      </c>
      <c r="U72" s="890" t="s">
        <v>194</v>
      </c>
      <c r="V72" s="890" t="s">
        <v>194</v>
      </c>
      <c r="W72" s="890" t="s">
        <v>194</v>
      </c>
      <c r="X72" s="890" t="s">
        <v>194</v>
      </c>
      <c r="Y72" s="890" t="s">
        <v>194</v>
      </c>
      <c r="Z72" s="890" t="s">
        <v>194</v>
      </c>
      <c r="AA72" s="890" t="s">
        <v>194</v>
      </c>
      <c r="AB72" s="890" t="s">
        <v>194</v>
      </c>
      <c r="AC72" s="15"/>
      <c r="AD72" s="851" t="s">
        <v>194</v>
      </c>
      <c r="AE72" s="846" t="s">
        <v>194</v>
      </c>
      <c r="AF72" s="846" t="s">
        <v>194</v>
      </c>
      <c r="AG72" s="846" t="s">
        <v>194</v>
      </c>
      <c r="AH72" s="846" t="s">
        <v>194</v>
      </c>
      <c r="AI72" s="846" t="s">
        <v>194</v>
      </c>
      <c r="AJ72" s="846" t="s">
        <v>194</v>
      </c>
      <c r="AK72" s="846" t="s">
        <v>194</v>
      </c>
      <c r="AL72" s="846" t="s">
        <v>194</v>
      </c>
      <c r="AM72" s="846" t="s">
        <v>194</v>
      </c>
      <c r="AN72" s="846" t="s">
        <v>194</v>
      </c>
      <c r="AO72" s="846" t="s">
        <v>194</v>
      </c>
      <c r="AP72" s="846" t="s">
        <v>194</v>
      </c>
      <c r="AQ72" s="846" t="s">
        <v>194</v>
      </c>
      <c r="AR72" s="846" t="s">
        <v>194</v>
      </c>
      <c r="AS72" s="846" t="s">
        <v>194</v>
      </c>
      <c r="AT72" s="846" t="s">
        <v>194</v>
      </c>
      <c r="AU72" s="846" t="s">
        <v>194</v>
      </c>
      <c r="AV72" s="846" t="s">
        <v>194</v>
      </c>
      <c r="AW72" s="846" t="s">
        <v>194</v>
      </c>
      <c r="AX72" s="846" t="s">
        <v>194</v>
      </c>
      <c r="AY72" s="846" t="s">
        <v>194</v>
      </c>
    </row>
    <row r="73" ht="15.75" customHeight="1" outlineLevel="2">
      <c r="A73" s="849">
        <v>1.0</v>
      </c>
      <c r="B73" s="15"/>
      <c r="C73" s="869" t="str">
        <f>"        Reported Total Revenue"</f>
        <v>        Reported Total Revenue</v>
      </c>
      <c r="D73" s="870">
        <f t="shared" ref="D73:D79" si="32">IF(COUNT(M73:AB73)&gt;0,MEDIAN(M73:AB73),"")</f>
        <v>120189</v>
      </c>
      <c r="E73" s="870">
        <f t="shared" ref="E73:E79" si="33">IF(COUNT(M73:AB73)&gt;0,AVERAGE(M73:AB73),"")</f>
        <v>134293.3456</v>
      </c>
      <c r="F73" s="870">
        <f t="shared" ref="F73:F79" si="34">IF(COUNT(M73:AB73)&gt;0,MIN(M73:AB73),"")</f>
        <v>7923</v>
      </c>
      <c r="G73" s="870">
        <f t="shared" ref="G73:G79" si="35">IF(COUNT(M73:AB73)&gt;0,MAX(M73:AB73),"")</f>
        <v>399472</v>
      </c>
      <c r="H73" s="870">
        <f t="shared" ref="H73:H79" si="36">IF(COUNT(M73:AB73)&gt;0,QUARTILE(M73:AB73,1),"")</f>
        <v>63224.70025</v>
      </c>
      <c r="I73" s="870">
        <f t="shared" ref="I73:I79" si="37">IF(COUNT(M73:AB73)&gt;0,QUARTILE(M73:AB73,3),"")</f>
        <v>169561.75</v>
      </c>
      <c r="J73" s="870">
        <f t="shared" ref="J73:J79" si="38">IF(COUNT(M73:AB73)&gt;1,STDEV(M73:AB73),"")</f>
        <v>102080.3708</v>
      </c>
      <c r="K73" s="871">
        <f t="shared" ref="K73:K79" si="39">IF(COUNT(M73:AB73)&gt;1,STDEV(M73:AB73)/AVERAGE(M73:AB73),"")</f>
        <v>0.7601297772</v>
      </c>
      <c r="L73" s="872" t="s">
        <v>194</v>
      </c>
      <c r="M73" s="872">
        <v>7923.0</v>
      </c>
      <c r="N73" s="872">
        <v>22231.0</v>
      </c>
      <c r="O73" s="904">
        <v>30937.728</v>
      </c>
      <c r="P73" s="904">
        <v>33922.801</v>
      </c>
      <c r="Q73" s="872">
        <v>72992.0</v>
      </c>
      <c r="R73" s="872">
        <v>120454.0</v>
      </c>
      <c r="S73" s="872">
        <v>140621.0</v>
      </c>
      <c r="T73" s="872">
        <v>119924.0</v>
      </c>
      <c r="U73" s="872">
        <v>119022.0</v>
      </c>
      <c r="V73" s="872">
        <v>111494.0</v>
      </c>
      <c r="W73" s="872">
        <v>129501.0</v>
      </c>
      <c r="X73" s="872">
        <v>166578.0</v>
      </c>
      <c r="Y73" s="872">
        <v>178513.0</v>
      </c>
      <c r="Z73" s="872">
        <v>208332.0</v>
      </c>
      <c r="AA73" s="872">
        <v>286776.0</v>
      </c>
      <c r="AB73" s="872">
        <v>399472.0</v>
      </c>
      <c r="AC73" s="15"/>
      <c r="AD73" s="851" t="s">
        <v>194</v>
      </c>
      <c r="AE73" s="846" t="s">
        <v>194</v>
      </c>
      <c r="AF73" s="846" t="s">
        <v>194</v>
      </c>
      <c r="AG73" s="846" t="s">
        <v>194</v>
      </c>
      <c r="AH73" s="846" t="s">
        <v>194</v>
      </c>
      <c r="AI73" s="846" t="s">
        <v>194</v>
      </c>
      <c r="AJ73" s="846" t="s">
        <v>194</v>
      </c>
      <c r="AK73" s="846" t="s">
        <v>194</v>
      </c>
      <c r="AL73" s="846" t="s">
        <v>194</v>
      </c>
      <c r="AM73" s="846" t="s">
        <v>194</v>
      </c>
      <c r="AN73" s="846" t="s">
        <v>194</v>
      </c>
      <c r="AO73" s="846" t="s">
        <v>194</v>
      </c>
      <c r="AP73" s="846" t="s">
        <v>194</v>
      </c>
      <c r="AQ73" s="846" t="s">
        <v>194</v>
      </c>
      <c r="AR73" s="846" t="s">
        <v>194</v>
      </c>
      <c r="AS73" s="846" t="s">
        <v>194</v>
      </c>
      <c r="AT73" s="846" t="s">
        <v>194</v>
      </c>
      <c r="AU73" s="846" t="s">
        <v>194</v>
      </c>
      <c r="AV73" s="846" t="s">
        <v>194</v>
      </c>
      <c r="AW73" s="846" t="s">
        <v>194</v>
      </c>
      <c r="AX73" s="846" t="s">
        <v>194</v>
      </c>
      <c r="AY73" s="846" t="s">
        <v>194</v>
      </c>
    </row>
    <row r="74" ht="15.75" customHeight="1" outlineLevel="2">
      <c r="A74" s="849">
        <v>1.0</v>
      </c>
      <c r="B74" s="15"/>
      <c r="C74" s="869" t="str">
        <f>"        Reported Operating Expense"</f>
        <v>        Reported Operating Expense</v>
      </c>
      <c r="D74" s="870">
        <f t="shared" si="32"/>
        <v>-92124</v>
      </c>
      <c r="E74" s="870">
        <f t="shared" si="33"/>
        <v>-91078.1146</v>
      </c>
      <c r="F74" s="870">
        <f t="shared" si="34"/>
        <v>-200672</v>
      </c>
      <c r="G74" s="870">
        <f t="shared" si="35"/>
        <v>-14985</v>
      </c>
      <c r="H74" s="870">
        <f t="shared" si="36"/>
        <v>-112010</v>
      </c>
      <c r="I74" s="870">
        <f t="shared" si="37"/>
        <v>-59037</v>
      </c>
      <c r="J74" s="870">
        <f t="shared" si="38"/>
        <v>52350.38364</v>
      </c>
      <c r="K74" s="871">
        <f t="shared" si="39"/>
        <v>-0.5747855439</v>
      </c>
      <c r="L74" s="872" t="s">
        <v>194</v>
      </c>
      <c r="M74" s="872">
        <v>-14985.0</v>
      </c>
      <c r="N74" s="872">
        <v>-25359.0</v>
      </c>
      <c r="O74" s="904" t="s">
        <v>194</v>
      </c>
      <c r="P74" s="904">
        <v>-25709.719</v>
      </c>
      <c r="Q74" s="872">
        <v>-47224.0</v>
      </c>
      <c r="R74" s="872">
        <v>-70850.0</v>
      </c>
      <c r="S74" s="872">
        <v>-112582.0</v>
      </c>
      <c r="T74" s="872">
        <v>-92124.0</v>
      </c>
      <c r="U74" s="872">
        <v>-131268.0</v>
      </c>
      <c r="V74" s="872">
        <v>-79060.0</v>
      </c>
      <c r="W74" s="872">
        <v>-85951.0</v>
      </c>
      <c r="X74" s="872">
        <v>-97777.0</v>
      </c>
      <c r="Y74" s="872">
        <v>-97039.0</v>
      </c>
      <c r="Z74" s="872">
        <v>-111438.0</v>
      </c>
      <c r="AA74" s="872">
        <v>-174133.0</v>
      </c>
      <c r="AB74" s="872">
        <v>-200672.0</v>
      </c>
      <c r="AC74" s="15"/>
      <c r="AD74" s="851" t="s">
        <v>194</v>
      </c>
      <c r="AE74" s="846" t="s">
        <v>194</v>
      </c>
      <c r="AF74" s="846" t="s">
        <v>194</v>
      </c>
      <c r="AG74" s="846" t="s">
        <v>194</v>
      </c>
      <c r="AH74" s="846" t="s">
        <v>194</v>
      </c>
      <c r="AI74" s="846" t="s">
        <v>194</v>
      </c>
      <c r="AJ74" s="846" t="s">
        <v>194</v>
      </c>
      <c r="AK74" s="846" t="s">
        <v>194</v>
      </c>
      <c r="AL74" s="846" t="s">
        <v>194</v>
      </c>
      <c r="AM74" s="846" t="s">
        <v>194</v>
      </c>
      <c r="AN74" s="846" t="s">
        <v>194</v>
      </c>
      <c r="AO74" s="846" t="s">
        <v>194</v>
      </c>
      <c r="AP74" s="846" t="s">
        <v>194</v>
      </c>
      <c r="AQ74" s="846" t="s">
        <v>194</v>
      </c>
      <c r="AR74" s="846" t="s">
        <v>194</v>
      </c>
      <c r="AS74" s="846" t="s">
        <v>194</v>
      </c>
      <c r="AT74" s="846" t="s">
        <v>194</v>
      </c>
      <c r="AU74" s="846" t="s">
        <v>194</v>
      </c>
      <c r="AV74" s="846" t="s">
        <v>194</v>
      </c>
      <c r="AW74" s="846" t="s">
        <v>194</v>
      </c>
      <c r="AX74" s="846" t="s">
        <v>194</v>
      </c>
      <c r="AY74" s="846" t="s">
        <v>194</v>
      </c>
    </row>
    <row r="75" ht="15.75" customHeight="1" outlineLevel="2">
      <c r="A75" s="932">
        <v>1.0</v>
      </c>
      <c r="B75" s="933"/>
      <c r="C75" s="934" t="str">
        <f>"        Reported Total Operating Profit/Loss"</f>
        <v>        Reported Total Operating Profit/Loss</v>
      </c>
      <c r="D75" s="935">
        <f t="shared" si="32"/>
        <v>-4487.916</v>
      </c>
      <c r="E75" s="935">
        <f t="shared" si="33"/>
        <v>-5187.661067</v>
      </c>
      <c r="F75" s="935">
        <f t="shared" si="34"/>
        <v>-61322</v>
      </c>
      <c r="G75" s="935">
        <f t="shared" si="35"/>
        <v>49814</v>
      </c>
      <c r="H75" s="935">
        <f t="shared" si="36"/>
        <v>-16425.5</v>
      </c>
      <c r="I75" s="935">
        <f t="shared" si="37"/>
        <v>4880</v>
      </c>
      <c r="J75" s="935">
        <f t="shared" si="38"/>
        <v>23888.99821</v>
      </c>
      <c r="K75" s="936">
        <f t="shared" si="39"/>
        <v>-4.604965109</v>
      </c>
      <c r="L75" s="935" t="s">
        <v>194</v>
      </c>
      <c r="M75" s="935">
        <v>-12726.0</v>
      </c>
      <c r="N75" s="935">
        <v>-20099.0</v>
      </c>
      <c r="O75" s="904" t="s">
        <v>194</v>
      </c>
      <c r="P75" s="904">
        <v>-4487.916</v>
      </c>
      <c r="Q75" s="935">
        <v>242.0</v>
      </c>
      <c r="R75" s="935">
        <v>9691.0</v>
      </c>
      <c r="S75" s="935">
        <v>-20649.0</v>
      </c>
      <c r="T75" s="935">
        <v>-19692.0</v>
      </c>
      <c r="U75" s="935">
        <v>-61322.0</v>
      </c>
      <c r="V75" s="935">
        <v>-13159.0</v>
      </c>
      <c r="W75" s="935">
        <v>-6881.0</v>
      </c>
      <c r="X75" s="935">
        <v>-4313.0</v>
      </c>
      <c r="Y75" s="935">
        <v>9518.0</v>
      </c>
      <c r="Z75" s="935">
        <v>18012.0</v>
      </c>
      <c r="AA75" s="935">
        <v>-1763.0</v>
      </c>
      <c r="AB75" s="935">
        <v>49814.0</v>
      </c>
      <c r="AC75" s="933"/>
      <c r="AD75" s="937" t="s">
        <v>194</v>
      </c>
      <c r="AE75" s="933" t="s">
        <v>194</v>
      </c>
      <c r="AF75" s="933" t="s">
        <v>194</v>
      </c>
      <c r="AG75" s="933" t="s">
        <v>194</v>
      </c>
      <c r="AH75" s="933" t="s">
        <v>194</v>
      </c>
      <c r="AI75" s="933" t="s">
        <v>194</v>
      </c>
      <c r="AJ75" s="933" t="s">
        <v>194</v>
      </c>
      <c r="AK75" s="933" t="s">
        <v>194</v>
      </c>
      <c r="AL75" s="933" t="s">
        <v>194</v>
      </c>
      <c r="AM75" s="933" t="s">
        <v>194</v>
      </c>
      <c r="AN75" s="933" t="s">
        <v>194</v>
      </c>
      <c r="AO75" s="933" t="s">
        <v>194</v>
      </c>
      <c r="AP75" s="933" t="s">
        <v>194</v>
      </c>
      <c r="AQ75" s="933" t="s">
        <v>194</v>
      </c>
      <c r="AR75" s="933" t="s">
        <v>194</v>
      </c>
      <c r="AS75" s="933" t="s">
        <v>194</v>
      </c>
      <c r="AT75" s="933" t="s">
        <v>194</v>
      </c>
      <c r="AU75" s="933" t="s">
        <v>194</v>
      </c>
      <c r="AV75" s="933" t="s">
        <v>194</v>
      </c>
      <c r="AW75" s="933" t="s">
        <v>194</v>
      </c>
      <c r="AX75" s="933" t="s">
        <v>194</v>
      </c>
      <c r="AY75" s="933" t="s">
        <v>194</v>
      </c>
    </row>
    <row r="76" ht="15.75" customHeight="1" outlineLevel="2">
      <c r="A76" s="849">
        <v>1.0</v>
      </c>
      <c r="B76" s="15"/>
      <c r="C76" s="869" t="str">
        <f>"        Reported Normalized Income"</f>
        <v>        Reported Normalized Income</v>
      </c>
      <c r="D76" s="870">
        <f t="shared" si="32"/>
        <v>2688</v>
      </c>
      <c r="E76" s="870">
        <f t="shared" si="33"/>
        <v>8687.571429</v>
      </c>
      <c r="F76" s="870">
        <f t="shared" si="34"/>
        <v>-7895</v>
      </c>
      <c r="G76" s="870">
        <f t="shared" si="35"/>
        <v>32077</v>
      </c>
      <c r="H76" s="870">
        <f t="shared" si="36"/>
        <v>-2683.5</v>
      </c>
      <c r="I76" s="870">
        <f t="shared" si="37"/>
        <v>19655</v>
      </c>
      <c r="J76" s="870">
        <f t="shared" si="38"/>
        <v>15649.94126</v>
      </c>
      <c r="K76" s="871">
        <f t="shared" si="39"/>
        <v>1.801417276</v>
      </c>
      <c r="L76" s="872" t="s">
        <v>194</v>
      </c>
      <c r="M76" s="872" t="s">
        <v>194</v>
      </c>
      <c r="N76" s="872" t="s">
        <v>194</v>
      </c>
      <c r="O76" s="904" t="s">
        <v>194</v>
      </c>
      <c r="P76" s="904" t="s">
        <v>194</v>
      </c>
      <c r="Q76" s="872" t="s">
        <v>194</v>
      </c>
      <c r="R76" s="872" t="s">
        <v>194</v>
      </c>
      <c r="S76" s="872" t="s">
        <v>194</v>
      </c>
      <c r="T76" s="872" t="s">
        <v>194</v>
      </c>
      <c r="U76" s="872">
        <v>-7895.0</v>
      </c>
      <c r="V76" s="872">
        <v>-6945.0</v>
      </c>
      <c r="W76" s="872">
        <v>1578.0</v>
      </c>
      <c r="X76" s="872">
        <v>2688.0</v>
      </c>
      <c r="Y76" s="872">
        <v>13491.0</v>
      </c>
      <c r="Z76" s="872">
        <v>25819.0</v>
      </c>
      <c r="AA76" s="872">
        <v>32077.0</v>
      </c>
      <c r="AB76" s="872" t="s">
        <v>194</v>
      </c>
      <c r="AC76" s="15"/>
      <c r="AD76" s="851" t="s">
        <v>194</v>
      </c>
      <c r="AE76" s="846" t="s">
        <v>194</v>
      </c>
      <c r="AF76" s="846" t="s">
        <v>194</v>
      </c>
      <c r="AG76" s="846" t="s">
        <v>194</v>
      </c>
      <c r="AH76" s="846" t="s">
        <v>194</v>
      </c>
      <c r="AI76" s="846" t="s">
        <v>194</v>
      </c>
      <c r="AJ76" s="846" t="s">
        <v>194</v>
      </c>
      <c r="AK76" s="846" t="s">
        <v>194</v>
      </c>
      <c r="AL76" s="846" t="s">
        <v>194</v>
      </c>
      <c r="AM76" s="846" t="s">
        <v>194</v>
      </c>
      <c r="AN76" s="846" t="s">
        <v>194</v>
      </c>
      <c r="AO76" s="846" t="s">
        <v>194</v>
      </c>
      <c r="AP76" s="846" t="s">
        <v>194</v>
      </c>
      <c r="AQ76" s="846" t="s">
        <v>194</v>
      </c>
      <c r="AR76" s="846" t="s">
        <v>194</v>
      </c>
      <c r="AS76" s="846" t="s">
        <v>194</v>
      </c>
      <c r="AT76" s="846" t="s">
        <v>194</v>
      </c>
      <c r="AU76" s="846" t="s">
        <v>194</v>
      </c>
      <c r="AV76" s="846" t="s">
        <v>194</v>
      </c>
      <c r="AW76" s="846" t="s">
        <v>194</v>
      </c>
      <c r="AX76" s="846" t="s">
        <v>194</v>
      </c>
      <c r="AY76" s="846" t="s">
        <v>194</v>
      </c>
    </row>
    <row r="77" ht="15.75" customHeight="1" outlineLevel="2">
      <c r="A77" s="849">
        <v>1.0</v>
      </c>
      <c r="B77" s="15"/>
      <c r="C77" s="869" t="str">
        <f>"        Reported Effective Tax Rate"</f>
        <v>        Reported Effective Tax Rate</v>
      </c>
      <c r="D77" s="938">
        <f t="shared" si="32"/>
        <v>-0.0134</v>
      </c>
      <c r="E77" s="938">
        <f t="shared" si="33"/>
        <v>-0.3214888889</v>
      </c>
      <c r="F77" s="938">
        <f t="shared" si="34"/>
        <v>-2.389</v>
      </c>
      <c r="G77" s="938">
        <f t="shared" si="35"/>
        <v>0.191</v>
      </c>
      <c r="H77" s="938">
        <f t="shared" si="36"/>
        <v>-0.059</v>
      </c>
      <c r="I77" s="938">
        <f t="shared" si="37"/>
        <v>-0.004</v>
      </c>
      <c r="J77" s="938">
        <f t="shared" si="38"/>
        <v>0.8096469608</v>
      </c>
      <c r="K77" s="871">
        <f t="shared" si="39"/>
        <v>-2.518429062</v>
      </c>
      <c r="L77" s="939" t="s">
        <v>194</v>
      </c>
      <c r="M77" s="939" t="s">
        <v>194</v>
      </c>
      <c r="N77" s="939" t="s">
        <v>194</v>
      </c>
      <c r="O77" s="940" t="s">
        <v>194</v>
      </c>
      <c r="P77" s="940" t="s">
        <v>194</v>
      </c>
      <c r="Q77" s="939" t="s">
        <v>194</v>
      </c>
      <c r="R77" s="939" t="s">
        <v>194</v>
      </c>
      <c r="S77" s="939" t="s">
        <v>194</v>
      </c>
      <c r="T77" s="939">
        <v>-0.0134</v>
      </c>
      <c r="U77" s="939">
        <v>-0.004</v>
      </c>
      <c r="V77" s="939">
        <v>0.069</v>
      </c>
      <c r="W77" s="939">
        <v>-0.03</v>
      </c>
      <c r="X77" s="939">
        <v>0.191</v>
      </c>
      <c r="Y77" s="939">
        <v>-0.059</v>
      </c>
      <c r="Z77" s="939">
        <v>-2.389</v>
      </c>
      <c r="AA77" s="939">
        <v>-0.649</v>
      </c>
      <c r="AB77" s="939">
        <v>-0.009</v>
      </c>
      <c r="AC77" s="15"/>
      <c r="AD77" s="851" t="s">
        <v>194</v>
      </c>
      <c r="AE77" s="846" t="s">
        <v>194</v>
      </c>
      <c r="AF77" s="846" t="s">
        <v>194</v>
      </c>
      <c r="AG77" s="846" t="s">
        <v>194</v>
      </c>
      <c r="AH77" s="846" t="s">
        <v>194</v>
      </c>
      <c r="AI77" s="846" t="s">
        <v>194</v>
      </c>
      <c r="AJ77" s="846" t="s">
        <v>194</v>
      </c>
      <c r="AK77" s="846" t="s">
        <v>194</v>
      </c>
      <c r="AL77" s="846" t="s">
        <v>194</v>
      </c>
      <c r="AM77" s="846" t="s">
        <v>194</v>
      </c>
      <c r="AN77" s="846" t="s">
        <v>194</v>
      </c>
      <c r="AO77" s="846" t="s">
        <v>194</v>
      </c>
      <c r="AP77" s="846" t="s">
        <v>194</v>
      </c>
      <c r="AQ77" s="846" t="s">
        <v>194</v>
      </c>
      <c r="AR77" s="846" t="s">
        <v>194</v>
      </c>
      <c r="AS77" s="846" t="s">
        <v>194</v>
      </c>
      <c r="AT77" s="846" t="s">
        <v>194</v>
      </c>
      <c r="AU77" s="846" t="s">
        <v>194</v>
      </c>
      <c r="AV77" s="846" t="s">
        <v>194</v>
      </c>
      <c r="AW77" s="846" t="s">
        <v>194</v>
      </c>
      <c r="AX77" s="846" t="s">
        <v>194</v>
      </c>
      <c r="AY77" s="846" t="s">
        <v>194</v>
      </c>
    </row>
    <row r="78" ht="15.75" customHeight="1" outlineLevel="2">
      <c r="A78" s="941">
        <v>1.0</v>
      </c>
      <c r="B78" s="787"/>
      <c r="C78" s="869" t="str">
        <f>"        Reported Normalized Operating Profit"</f>
        <v>        Reported Normalized Operating Profit</v>
      </c>
      <c r="D78" s="872">
        <f t="shared" si="32"/>
        <v>3895</v>
      </c>
      <c r="E78" s="872">
        <f t="shared" si="33"/>
        <v>10279.14286</v>
      </c>
      <c r="F78" s="872">
        <f t="shared" si="34"/>
        <v>-7795</v>
      </c>
      <c r="G78" s="872">
        <f t="shared" si="35"/>
        <v>37188</v>
      </c>
      <c r="H78" s="872">
        <f t="shared" si="36"/>
        <v>-2431.5</v>
      </c>
      <c r="I78" s="872">
        <f t="shared" si="37"/>
        <v>21764.5</v>
      </c>
      <c r="J78" s="872">
        <f t="shared" si="38"/>
        <v>17294.01684</v>
      </c>
      <c r="K78" s="928">
        <f t="shared" si="39"/>
        <v>1.682437639</v>
      </c>
      <c r="L78" s="872" t="s">
        <v>194</v>
      </c>
      <c r="M78" s="872" t="s">
        <v>194</v>
      </c>
      <c r="N78" s="872" t="s">
        <v>194</v>
      </c>
      <c r="O78" s="904" t="s">
        <v>194</v>
      </c>
      <c r="P78" s="904" t="s">
        <v>194</v>
      </c>
      <c r="Q78" s="872" t="s">
        <v>194</v>
      </c>
      <c r="R78" s="872" t="s">
        <v>194</v>
      </c>
      <c r="S78" s="872" t="s">
        <v>194</v>
      </c>
      <c r="T78" s="872" t="s">
        <v>194</v>
      </c>
      <c r="U78" s="872">
        <v>-7795.0</v>
      </c>
      <c r="V78" s="872">
        <v>-6879.0</v>
      </c>
      <c r="W78" s="872">
        <v>2016.0</v>
      </c>
      <c r="X78" s="872">
        <v>3895.0</v>
      </c>
      <c r="Y78" s="872">
        <v>15581.0</v>
      </c>
      <c r="Z78" s="872">
        <v>27948.0</v>
      </c>
      <c r="AA78" s="872">
        <v>37188.0</v>
      </c>
      <c r="AB78" s="872" t="s">
        <v>194</v>
      </c>
      <c r="AC78" s="787"/>
      <c r="AD78" s="942" t="s">
        <v>194</v>
      </c>
      <c r="AE78" s="787" t="s">
        <v>194</v>
      </c>
      <c r="AF78" s="787" t="s">
        <v>194</v>
      </c>
      <c r="AG78" s="787" t="s">
        <v>194</v>
      </c>
      <c r="AH78" s="787" t="s">
        <v>194</v>
      </c>
      <c r="AI78" s="787" t="s">
        <v>194</v>
      </c>
      <c r="AJ78" s="787" t="s">
        <v>194</v>
      </c>
      <c r="AK78" s="787" t="s">
        <v>194</v>
      </c>
      <c r="AL78" s="787" t="s">
        <v>194</v>
      </c>
      <c r="AM78" s="787" t="s">
        <v>194</v>
      </c>
      <c r="AN78" s="787" t="s">
        <v>194</v>
      </c>
      <c r="AO78" s="787" t="s">
        <v>194</v>
      </c>
      <c r="AP78" s="787" t="s">
        <v>194</v>
      </c>
      <c r="AQ78" s="787" t="s">
        <v>194</v>
      </c>
      <c r="AR78" s="787" t="s">
        <v>194</v>
      </c>
      <c r="AS78" s="787" t="s">
        <v>194</v>
      </c>
      <c r="AT78" s="787" t="s">
        <v>194</v>
      </c>
      <c r="AU78" s="787" t="s">
        <v>194</v>
      </c>
      <c r="AV78" s="787" t="s">
        <v>194</v>
      </c>
      <c r="AW78" s="787" t="s">
        <v>194</v>
      </c>
      <c r="AX78" s="787" t="s">
        <v>194</v>
      </c>
      <c r="AY78" s="787" t="s">
        <v>194</v>
      </c>
    </row>
    <row r="79" ht="15.75" customHeight="1" outlineLevel="2">
      <c r="A79" s="943">
        <v>1.0</v>
      </c>
      <c r="B79" s="944"/>
      <c r="C79" s="945" t="str">
        <f>"        Reported Normalized EBITDA"</f>
        <v>        Reported Normalized EBITDA</v>
      </c>
      <c r="D79" s="946">
        <f t="shared" si="32"/>
        <v>20482</v>
      </c>
      <c r="E79" s="946">
        <f t="shared" si="33"/>
        <v>27452.14286</v>
      </c>
      <c r="F79" s="946">
        <f t="shared" si="34"/>
        <v>3637</v>
      </c>
      <c r="G79" s="946">
        <f t="shared" si="35"/>
        <v>65253</v>
      </c>
      <c r="H79" s="946">
        <f t="shared" si="36"/>
        <v>11175</v>
      </c>
      <c r="I79" s="946">
        <f t="shared" si="37"/>
        <v>40221.5</v>
      </c>
      <c r="J79" s="946">
        <f t="shared" si="38"/>
        <v>22622.80609</v>
      </c>
      <c r="K79" s="947">
        <f t="shared" si="39"/>
        <v>0.8240816103</v>
      </c>
      <c r="L79" s="946" t="s">
        <v>194</v>
      </c>
      <c r="M79" s="946" t="s">
        <v>194</v>
      </c>
      <c r="N79" s="946" t="s">
        <v>194</v>
      </c>
      <c r="O79" s="904" t="s">
        <v>194</v>
      </c>
      <c r="P79" s="904" t="s">
        <v>194</v>
      </c>
      <c r="Q79" s="946" t="s">
        <v>194</v>
      </c>
      <c r="R79" s="946" t="s">
        <v>194</v>
      </c>
      <c r="S79" s="946" t="s">
        <v>194</v>
      </c>
      <c r="T79" s="946" t="s">
        <v>194</v>
      </c>
      <c r="U79" s="946">
        <v>3637.0</v>
      </c>
      <c r="V79" s="946">
        <v>5413.0</v>
      </c>
      <c r="W79" s="946">
        <v>16937.0</v>
      </c>
      <c r="X79" s="946">
        <v>20482.0</v>
      </c>
      <c r="Y79" s="946">
        <v>33021.0</v>
      </c>
      <c r="Z79" s="946">
        <v>47422.0</v>
      </c>
      <c r="AA79" s="946">
        <v>65253.0</v>
      </c>
      <c r="AB79" s="946" t="s">
        <v>194</v>
      </c>
      <c r="AC79" s="944"/>
      <c r="AD79" s="948" t="s">
        <v>194</v>
      </c>
      <c r="AE79" s="944" t="s">
        <v>194</v>
      </c>
      <c r="AF79" s="944" t="s">
        <v>194</v>
      </c>
      <c r="AG79" s="944" t="s">
        <v>194</v>
      </c>
      <c r="AH79" s="944" t="s">
        <v>194</v>
      </c>
      <c r="AI79" s="944" t="s">
        <v>194</v>
      </c>
      <c r="AJ79" s="944" t="s">
        <v>194</v>
      </c>
      <c r="AK79" s="944" t="s">
        <v>194</v>
      </c>
      <c r="AL79" s="944" t="s">
        <v>194</v>
      </c>
      <c r="AM79" s="944" t="s">
        <v>194</v>
      </c>
      <c r="AN79" s="944" t="s">
        <v>194</v>
      </c>
      <c r="AO79" s="944" t="s">
        <v>194</v>
      </c>
      <c r="AP79" s="944" t="s">
        <v>194</v>
      </c>
      <c r="AQ79" s="944" t="s">
        <v>194</v>
      </c>
      <c r="AR79" s="944" t="s">
        <v>194</v>
      </c>
      <c r="AS79" s="944" t="s">
        <v>194</v>
      </c>
      <c r="AT79" s="944" t="s">
        <v>194</v>
      </c>
      <c r="AU79" s="944" t="s">
        <v>194</v>
      </c>
      <c r="AV79" s="944" t="s">
        <v>194</v>
      </c>
      <c r="AW79" s="944" t="s">
        <v>194</v>
      </c>
      <c r="AX79" s="944" t="s">
        <v>194</v>
      </c>
      <c r="AY79" s="944" t="s">
        <v>194</v>
      </c>
    </row>
    <row r="80" ht="15.75" customHeight="1">
      <c r="A80" s="849">
        <v>1.0</v>
      </c>
      <c r="B80" s="15"/>
      <c r="C80" s="855" t="str">
        <f>"Profitability Metrics"</f>
        <v>Profitability Metrics</v>
      </c>
      <c r="D80" s="867" t="s">
        <v>194</v>
      </c>
      <c r="E80" s="867" t="s">
        <v>194</v>
      </c>
      <c r="F80" s="867" t="s">
        <v>194</v>
      </c>
      <c r="G80" s="867" t="s">
        <v>194</v>
      </c>
      <c r="H80" s="867" t="s">
        <v>194</v>
      </c>
      <c r="I80" s="867" t="s">
        <v>194</v>
      </c>
      <c r="J80" s="867" t="s">
        <v>194</v>
      </c>
      <c r="K80" s="867" t="s">
        <v>194</v>
      </c>
      <c r="L80" s="867" t="s">
        <v>194</v>
      </c>
      <c r="M80" s="867" t="s">
        <v>194</v>
      </c>
      <c r="N80" s="867" t="s">
        <v>194</v>
      </c>
      <c r="O80" s="927" t="s">
        <v>194</v>
      </c>
      <c r="P80" s="927" t="s">
        <v>194</v>
      </c>
      <c r="Q80" s="867" t="s">
        <v>194</v>
      </c>
      <c r="R80" s="867" t="s">
        <v>194</v>
      </c>
      <c r="S80" s="867" t="s">
        <v>194</v>
      </c>
      <c r="T80" s="867" t="s">
        <v>194</v>
      </c>
      <c r="U80" s="867" t="s">
        <v>194</v>
      </c>
      <c r="V80" s="867" t="s">
        <v>194</v>
      </c>
      <c r="W80" s="867" t="s">
        <v>194</v>
      </c>
      <c r="X80" s="867" t="s">
        <v>194</v>
      </c>
      <c r="Y80" s="867" t="s">
        <v>194</v>
      </c>
      <c r="Z80" s="867" t="s">
        <v>194</v>
      </c>
      <c r="AA80" s="867" t="s">
        <v>194</v>
      </c>
      <c r="AB80" s="867" t="s">
        <v>194</v>
      </c>
      <c r="AC80" s="15"/>
      <c r="AD80" s="851" t="s">
        <v>194</v>
      </c>
      <c r="AE80" s="846" t="s">
        <v>194</v>
      </c>
      <c r="AF80" s="846" t="s">
        <v>194</v>
      </c>
      <c r="AG80" s="846" t="s">
        <v>194</v>
      </c>
      <c r="AH80" s="846" t="s">
        <v>194</v>
      </c>
      <c r="AI80" s="846" t="s">
        <v>194</v>
      </c>
      <c r="AJ80" s="846" t="s">
        <v>194</v>
      </c>
      <c r="AK80" s="846" t="s">
        <v>194</v>
      </c>
      <c r="AL80" s="846" t="s">
        <v>194</v>
      </c>
      <c r="AM80" s="846" t="s">
        <v>194</v>
      </c>
      <c r="AN80" s="846" t="s">
        <v>194</v>
      </c>
      <c r="AO80" s="846" t="s">
        <v>194</v>
      </c>
      <c r="AP80" s="846" t="s">
        <v>194</v>
      </c>
      <c r="AQ80" s="846" t="s">
        <v>194</v>
      </c>
      <c r="AR80" s="846" t="s">
        <v>194</v>
      </c>
      <c r="AS80" s="846" t="s">
        <v>194</v>
      </c>
      <c r="AT80" s="846" t="s">
        <v>194</v>
      </c>
      <c r="AU80" s="846" t="s">
        <v>194</v>
      </c>
      <c r="AV80" s="846" t="s">
        <v>194</v>
      </c>
      <c r="AW80" s="846" t="s">
        <v>194</v>
      </c>
      <c r="AX80" s="846" t="s">
        <v>194</v>
      </c>
      <c r="AY80" s="846" t="s">
        <v>194</v>
      </c>
    </row>
    <row r="81" ht="15.75" customHeight="1" outlineLevel="1">
      <c r="A81" s="949">
        <v>1.0</v>
      </c>
      <c r="B81" s="950"/>
      <c r="C81" s="951" t="str">
        <f>"    Earnings Before Interest, Tax, Depreciation, &amp; Amortization (EBITDA)"</f>
        <v>    Earnings Before Interest, Tax, Depreciation, &amp; Amortization (EBITDA)</v>
      </c>
      <c r="D81" s="952">
        <f t="shared" ref="D81:D98" si="40">IF(COUNT(M81:AB81)&gt;0,MEDIAN(M81:AB81),"")</f>
        <v>6837</v>
      </c>
      <c r="E81" s="952">
        <f t="shared" ref="E81:E98" si="41">IF(COUNT(M81:AB81)&gt;0,AVERAGE(M81:AB81),"")</f>
        <v>11224.25</v>
      </c>
      <c r="F81" s="952">
        <f t="shared" ref="F81:F98" si="42">IF(COUNT(M81:AB81)&gt;0,MIN(M81:AB81),"")</f>
        <v>-49046</v>
      </c>
      <c r="G81" s="952">
        <f t="shared" ref="G81:G98" si="43">IF(COUNT(M81:AB81)&gt;0,MAX(M81:AB81),"")</f>
        <v>91101</v>
      </c>
      <c r="H81" s="952">
        <f t="shared" ref="H81:H98" si="44">IF(COUNT(M81:AB81)&gt;0,QUARTILE(M81:AB81,1),"")</f>
        <v>-4702</v>
      </c>
      <c r="I81" s="952">
        <f t="shared" ref="I81:I98" si="45">IF(COUNT(M81:AB81)&gt;0,QUARTILE(M81:AB81,3),"")</f>
        <v>22204</v>
      </c>
      <c r="J81" s="952">
        <f t="shared" ref="J81:J98" si="46">IF(COUNT(M81:AB81)&gt;1,STDEV(M81:AB81),"")</f>
        <v>32815.77626</v>
      </c>
      <c r="K81" s="953">
        <f t="shared" ref="K81:K98" si="47">IF(COUNT(M81:AB81)&gt;1,STDEV(M81:AB81)/AVERAGE(M81:AB81),"")</f>
        <v>2.9236498</v>
      </c>
      <c r="L81" s="952" t="s">
        <v>194</v>
      </c>
      <c r="M81" s="952" t="s">
        <v>194</v>
      </c>
      <c r="N81" s="952" t="s">
        <v>194</v>
      </c>
      <c r="O81" s="904" t="s">
        <v>194</v>
      </c>
      <c r="P81" s="904" t="s">
        <v>194</v>
      </c>
      <c r="Q81" s="952">
        <v>4791.0</v>
      </c>
      <c r="R81" s="952">
        <v>18384.0</v>
      </c>
      <c r="S81" s="952">
        <v>-9712.0</v>
      </c>
      <c r="T81" s="952">
        <v>-7621.0</v>
      </c>
      <c r="U81" s="952">
        <v>-49046.0</v>
      </c>
      <c r="V81" s="952">
        <v>-3729.0</v>
      </c>
      <c r="W81" s="952">
        <v>5437.0</v>
      </c>
      <c r="X81" s="952">
        <v>8237.0</v>
      </c>
      <c r="Y81" s="952">
        <v>21918.0</v>
      </c>
      <c r="Z81" s="952">
        <v>31869.0</v>
      </c>
      <c r="AA81" s="952">
        <v>23062.0</v>
      </c>
      <c r="AB81" s="952">
        <v>91101.0</v>
      </c>
      <c r="AC81" s="950"/>
      <c r="AD81" s="954" t="s">
        <v>194</v>
      </c>
      <c r="AE81" s="950" t="s">
        <v>194</v>
      </c>
      <c r="AF81" s="950" t="s">
        <v>194</v>
      </c>
      <c r="AG81" s="950" t="s">
        <v>194</v>
      </c>
      <c r="AH81" s="950" t="s">
        <v>194</v>
      </c>
      <c r="AI81" s="950" t="s">
        <v>194</v>
      </c>
      <c r="AJ81" s="950" t="s">
        <v>194</v>
      </c>
      <c r="AK81" s="950" t="s">
        <v>194</v>
      </c>
      <c r="AL81" s="950" t="s">
        <v>194</v>
      </c>
      <c r="AM81" s="950" t="s">
        <v>194</v>
      </c>
      <c r="AN81" s="950" t="s">
        <v>194</v>
      </c>
      <c r="AO81" s="950" t="s">
        <v>194</v>
      </c>
      <c r="AP81" s="950" t="s">
        <v>194</v>
      </c>
      <c r="AQ81" s="950" t="s">
        <v>194</v>
      </c>
      <c r="AR81" s="950" t="s">
        <v>194</v>
      </c>
      <c r="AS81" s="950" t="s">
        <v>194</v>
      </c>
      <c r="AT81" s="950" t="s">
        <v>194</v>
      </c>
      <c r="AU81" s="950" t="s">
        <v>194</v>
      </c>
      <c r="AV81" s="950" t="s">
        <v>194</v>
      </c>
      <c r="AW81" s="950" t="s">
        <v>194</v>
      </c>
      <c r="AX81" s="950" t="s">
        <v>194</v>
      </c>
      <c r="AY81" s="950" t="s">
        <v>194</v>
      </c>
    </row>
    <row r="82" ht="15.75" customHeight="1" outlineLevel="1">
      <c r="A82" s="955">
        <v>1.0</v>
      </c>
      <c r="B82" s="956"/>
      <c r="C82" s="957" t="str">
        <f>"    Normalized EBITDA"</f>
        <v>    Normalized EBITDA</v>
      </c>
      <c r="D82" s="958">
        <f t="shared" si="40"/>
        <v>6938.5</v>
      </c>
      <c r="E82" s="958">
        <f t="shared" si="41"/>
        <v>22490.16667</v>
      </c>
      <c r="F82" s="958">
        <f t="shared" si="42"/>
        <v>-3729</v>
      </c>
      <c r="G82" s="958">
        <f t="shared" si="43"/>
        <v>113569</v>
      </c>
      <c r="H82" s="958">
        <f t="shared" si="44"/>
        <v>3124.75</v>
      </c>
      <c r="I82" s="958">
        <f t="shared" si="45"/>
        <v>28287</v>
      </c>
      <c r="J82" s="958">
        <f t="shared" si="46"/>
        <v>33526.93587</v>
      </c>
      <c r="K82" s="959">
        <f t="shared" si="47"/>
        <v>1.490737546</v>
      </c>
      <c r="L82" s="958" t="s">
        <v>194</v>
      </c>
      <c r="M82" s="958" t="s">
        <v>194</v>
      </c>
      <c r="N82" s="958" t="s">
        <v>194</v>
      </c>
      <c r="O82" s="904" t="s">
        <v>194</v>
      </c>
      <c r="P82" s="904" t="s">
        <v>194</v>
      </c>
      <c r="Q82" s="958">
        <v>4841.0</v>
      </c>
      <c r="R82" s="958">
        <v>23687.0</v>
      </c>
      <c r="S82" s="958">
        <v>3677.0</v>
      </c>
      <c r="T82" s="958">
        <v>-2160.0</v>
      </c>
      <c r="U82" s="958">
        <v>1468.0</v>
      </c>
      <c r="V82" s="958">
        <v>-3729.0</v>
      </c>
      <c r="W82" s="958">
        <v>5437.0</v>
      </c>
      <c r="X82" s="958">
        <v>8440.0</v>
      </c>
      <c r="Y82" s="958">
        <v>21918.0</v>
      </c>
      <c r="Z82" s="958">
        <v>42087.0</v>
      </c>
      <c r="AA82" s="958">
        <v>50647.0</v>
      </c>
      <c r="AB82" s="958">
        <v>113569.0</v>
      </c>
      <c r="AC82" s="956"/>
      <c r="AD82" s="960" t="s">
        <v>194</v>
      </c>
      <c r="AE82" s="956" t="s">
        <v>194</v>
      </c>
      <c r="AF82" s="956" t="s">
        <v>194</v>
      </c>
      <c r="AG82" s="956" t="s">
        <v>194</v>
      </c>
      <c r="AH82" s="956" t="s">
        <v>194</v>
      </c>
      <c r="AI82" s="956" t="s">
        <v>194</v>
      </c>
      <c r="AJ82" s="956" t="s">
        <v>194</v>
      </c>
      <c r="AK82" s="956" t="s">
        <v>194</v>
      </c>
      <c r="AL82" s="956" t="s">
        <v>194</v>
      </c>
      <c r="AM82" s="956" t="s">
        <v>194</v>
      </c>
      <c r="AN82" s="956" t="s">
        <v>194</v>
      </c>
      <c r="AO82" s="956" t="s">
        <v>194</v>
      </c>
      <c r="AP82" s="956" t="s">
        <v>194</v>
      </c>
      <c r="AQ82" s="956" t="s">
        <v>194</v>
      </c>
      <c r="AR82" s="956" t="s">
        <v>194</v>
      </c>
      <c r="AS82" s="956" t="s">
        <v>194</v>
      </c>
      <c r="AT82" s="956" t="s">
        <v>194</v>
      </c>
      <c r="AU82" s="956" t="s">
        <v>194</v>
      </c>
      <c r="AV82" s="956" t="s">
        <v>194</v>
      </c>
      <c r="AW82" s="956" t="s">
        <v>194</v>
      </c>
      <c r="AX82" s="956" t="s">
        <v>194</v>
      </c>
      <c r="AY82" s="956" t="s">
        <v>194</v>
      </c>
    </row>
    <row r="83" ht="15.75" customHeight="1" outlineLevel="1">
      <c r="A83" s="849">
        <v>1.0</v>
      </c>
      <c r="B83" s="15"/>
      <c r="C83" s="869" t="str">
        <f>"    Earnings Before Interest, Tax and Amortization (EBITA)"</f>
        <v>    Earnings Before Interest, Tax and Amortization (EBITA)</v>
      </c>
      <c r="D83" s="870">
        <f t="shared" si="40"/>
        <v>0</v>
      </c>
      <c r="E83" s="870">
        <f t="shared" si="41"/>
        <v>178.9375</v>
      </c>
      <c r="F83" s="870">
        <f t="shared" si="42"/>
        <v>-59959</v>
      </c>
      <c r="G83" s="870">
        <f t="shared" si="43"/>
        <v>68138</v>
      </c>
      <c r="H83" s="870">
        <f t="shared" si="44"/>
        <v>-6347.25</v>
      </c>
      <c r="I83" s="870">
        <f t="shared" si="45"/>
        <v>6212.5</v>
      </c>
      <c r="J83" s="870">
        <f t="shared" si="46"/>
        <v>25716.15134</v>
      </c>
      <c r="K83" s="871">
        <f t="shared" si="47"/>
        <v>143.71583</v>
      </c>
      <c r="L83" s="872" t="s">
        <v>194</v>
      </c>
      <c r="M83" s="872">
        <v>0.0</v>
      </c>
      <c r="N83" s="872">
        <v>0.0</v>
      </c>
      <c r="O83" s="904">
        <v>0.0</v>
      </c>
      <c r="P83" s="904">
        <v>0.0</v>
      </c>
      <c r="Q83" s="872">
        <v>1041.0</v>
      </c>
      <c r="R83" s="872">
        <v>10675.0</v>
      </c>
      <c r="S83" s="872">
        <v>-19765.0</v>
      </c>
      <c r="T83" s="872">
        <v>-19317.0</v>
      </c>
      <c r="U83" s="872">
        <v>-59959.0</v>
      </c>
      <c r="V83" s="872">
        <v>-11766.0</v>
      </c>
      <c r="W83" s="872">
        <v>-4541.0</v>
      </c>
      <c r="X83" s="872">
        <v>-621.0</v>
      </c>
      <c r="Y83" s="872">
        <v>12931.0</v>
      </c>
      <c r="Z83" s="872">
        <v>21322.0</v>
      </c>
      <c r="AA83" s="872">
        <v>4725.0</v>
      </c>
      <c r="AB83" s="872">
        <v>68138.0</v>
      </c>
      <c r="AC83" s="15"/>
      <c r="AD83" s="851" t="s">
        <v>194</v>
      </c>
      <c r="AE83" s="846" t="s">
        <v>194</v>
      </c>
      <c r="AF83" s="846" t="s">
        <v>194</v>
      </c>
      <c r="AG83" s="846" t="s">
        <v>194</v>
      </c>
      <c r="AH83" s="846" t="s">
        <v>194</v>
      </c>
      <c r="AI83" s="846" t="s">
        <v>194</v>
      </c>
      <c r="AJ83" s="846" t="s">
        <v>194</v>
      </c>
      <c r="AK83" s="846" t="s">
        <v>194</v>
      </c>
      <c r="AL83" s="846" t="s">
        <v>194</v>
      </c>
      <c r="AM83" s="846" t="s">
        <v>194</v>
      </c>
      <c r="AN83" s="846" t="s">
        <v>194</v>
      </c>
      <c r="AO83" s="846" t="s">
        <v>194</v>
      </c>
      <c r="AP83" s="846" t="s">
        <v>194</v>
      </c>
      <c r="AQ83" s="846" t="s">
        <v>194</v>
      </c>
      <c r="AR83" s="846" t="s">
        <v>194</v>
      </c>
      <c r="AS83" s="846" t="s">
        <v>194</v>
      </c>
      <c r="AT83" s="846" t="s">
        <v>194</v>
      </c>
      <c r="AU83" s="846" t="s">
        <v>194</v>
      </c>
      <c r="AV83" s="846" t="s">
        <v>194</v>
      </c>
      <c r="AW83" s="846" t="s">
        <v>194</v>
      </c>
      <c r="AX83" s="846" t="s">
        <v>194</v>
      </c>
      <c r="AY83" s="846" t="s">
        <v>194</v>
      </c>
    </row>
    <row r="84" ht="15.75" customHeight="1" outlineLevel="1">
      <c r="A84" s="961">
        <v>1.0</v>
      </c>
      <c r="B84" s="962"/>
      <c r="C84" s="963" t="str">
        <f>"    Earnings Before Interest and Tax (EBIT)"</f>
        <v>    Earnings Before Interest and Tax (EBIT)</v>
      </c>
      <c r="D84" s="964">
        <f t="shared" si="40"/>
        <v>-4906</v>
      </c>
      <c r="E84" s="964">
        <f t="shared" si="41"/>
        <v>-3618.583333</v>
      </c>
      <c r="F84" s="964">
        <f t="shared" si="42"/>
        <v>-61178</v>
      </c>
      <c r="G84" s="964">
        <f t="shared" si="43"/>
        <v>50933</v>
      </c>
      <c r="H84" s="964">
        <f t="shared" si="44"/>
        <v>-14753.25</v>
      </c>
      <c r="I84" s="964">
        <f t="shared" si="45"/>
        <v>9495.25</v>
      </c>
      <c r="J84" s="964">
        <f t="shared" si="46"/>
        <v>26551.12738</v>
      </c>
      <c r="K84" s="965">
        <f t="shared" si="47"/>
        <v>-7.33743704</v>
      </c>
      <c r="L84" s="964" t="s">
        <v>194</v>
      </c>
      <c r="M84" s="964" t="s">
        <v>194</v>
      </c>
      <c r="N84" s="964" t="s">
        <v>194</v>
      </c>
      <c r="O84" s="904" t="s">
        <v>194</v>
      </c>
      <c r="P84" s="904" t="s">
        <v>194</v>
      </c>
      <c r="Q84" s="964">
        <v>242.0</v>
      </c>
      <c r="R84" s="964">
        <v>9691.0</v>
      </c>
      <c r="S84" s="964">
        <v>-20649.0</v>
      </c>
      <c r="T84" s="964">
        <v>-19692.0</v>
      </c>
      <c r="U84" s="964">
        <v>-61178.0</v>
      </c>
      <c r="V84" s="964">
        <v>-13107.0</v>
      </c>
      <c r="W84" s="964">
        <v>-6881.0</v>
      </c>
      <c r="X84" s="964">
        <v>-4313.0</v>
      </c>
      <c r="Y84" s="964">
        <v>9430.0</v>
      </c>
      <c r="Z84" s="964">
        <v>17600.0</v>
      </c>
      <c r="AA84" s="964">
        <v>-5499.0</v>
      </c>
      <c r="AB84" s="964">
        <v>50933.0</v>
      </c>
      <c r="AC84" s="962"/>
      <c r="AD84" s="966" t="s">
        <v>194</v>
      </c>
      <c r="AE84" s="962" t="s">
        <v>194</v>
      </c>
      <c r="AF84" s="962" t="s">
        <v>194</v>
      </c>
      <c r="AG84" s="962" t="s">
        <v>194</v>
      </c>
      <c r="AH84" s="962" t="s">
        <v>194</v>
      </c>
      <c r="AI84" s="962" t="s">
        <v>194</v>
      </c>
      <c r="AJ84" s="962" t="s">
        <v>194</v>
      </c>
      <c r="AK84" s="962" t="s">
        <v>194</v>
      </c>
      <c r="AL84" s="962" t="s">
        <v>194</v>
      </c>
      <c r="AM84" s="962" t="s">
        <v>194</v>
      </c>
      <c r="AN84" s="962" t="s">
        <v>194</v>
      </c>
      <c r="AO84" s="962" t="s">
        <v>194</v>
      </c>
      <c r="AP84" s="962" t="s">
        <v>194</v>
      </c>
      <c r="AQ84" s="962" t="s">
        <v>194</v>
      </c>
      <c r="AR84" s="962" t="s">
        <v>194</v>
      </c>
      <c r="AS84" s="962" t="s">
        <v>194</v>
      </c>
      <c r="AT84" s="962" t="s">
        <v>194</v>
      </c>
      <c r="AU84" s="962" t="s">
        <v>194</v>
      </c>
      <c r="AV84" s="962" t="s">
        <v>194</v>
      </c>
      <c r="AW84" s="962" t="s">
        <v>194</v>
      </c>
      <c r="AX84" s="962" t="s">
        <v>194</v>
      </c>
      <c r="AY84" s="962" t="s">
        <v>194</v>
      </c>
    </row>
    <row r="85" ht="15.75" customHeight="1" outlineLevel="1">
      <c r="A85" s="955">
        <v>1.0</v>
      </c>
      <c r="B85" s="956"/>
      <c r="C85" s="957" t="str">
        <f>"    Normalized EBIT"</f>
        <v>    Normalized EBIT</v>
      </c>
      <c r="D85" s="958">
        <f t="shared" si="40"/>
        <v>-1909</v>
      </c>
      <c r="E85" s="958">
        <f t="shared" si="41"/>
        <v>7647.333333</v>
      </c>
      <c r="F85" s="958">
        <f t="shared" si="42"/>
        <v>-14231</v>
      </c>
      <c r="G85" s="958">
        <f t="shared" si="43"/>
        <v>73401</v>
      </c>
      <c r="H85" s="958">
        <f t="shared" si="44"/>
        <v>-8111</v>
      </c>
      <c r="I85" s="958">
        <f t="shared" si="45"/>
        <v>16767</v>
      </c>
      <c r="J85" s="958">
        <f t="shared" si="46"/>
        <v>24984.3089</v>
      </c>
      <c r="K85" s="959">
        <f t="shared" si="47"/>
        <v>3.267061577</v>
      </c>
      <c r="L85" s="958" t="s">
        <v>194</v>
      </c>
      <c r="M85" s="958" t="s">
        <v>194</v>
      </c>
      <c r="N85" s="958" t="s">
        <v>194</v>
      </c>
      <c r="O85" s="904" t="s">
        <v>194</v>
      </c>
      <c r="P85" s="904" t="s">
        <v>194</v>
      </c>
      <c r="Q85" s="958">
        <v>292.0</v>
      </c>
      <c r="R85" s="958">
        <v>14994.0</v>
      </c>
      <c r="S85" s="958">
        <v>-7260.0</v>
      </c>
      <c r="T85" s="958">
        <v>-14231.0</v>
      </c>
      <c r="U85" s="958">
        <v>-10664.0</v>
      </c>
      <c r="V85" s="958">
        <v>-13107.0</v>
      </c>
      <c r="W85" s="958">
        <v>-6881.0</v>
      </c>
      <c r="X85" s="958">
        <v>-4110.0</v>
      </c>
      <c r="Y85" s="958">
        <v>9430.0</v>
      </c>
      <c r="Z85" s="958">
        <v>27818.0</v>
      </c>
      <c r="AA85" s="958">
        <v>22086.0</v>
      </c>
      <c r="AB85" s="958">
        <v>73401.0</v>
      </c>
      <c r="AC85" s="956"/>
      <c r="AD85" s="960" t="s">
        <v>194</v>
      </c>
      <c r="AE85" s="956" t="s">
        <v>194</v>
      </c>
      <c r="AF85" s="956" t="s">
        <v>194</v>
      </c>
      <c r="AG85" s="956" t="s">
        <v>194</v>
      </c>
      <c r="AH85" s="956" t="s">
        <v>194</v>
      </c>
      <c r="AI85" s="956" t="s">
        <v>194</v>
      </c>
      <c r="AJ85" s="956" t="s">
        <v>194</v>
      </c>
      <c r="AK85" s="956" t="s">
        <v>194</v>
      </c>
      <c r="AL85" s="956" t="s">
        <v>194</v>
      </c>
      <c r="AM85" s="956" t="s">
        <v>194</v>
      </c>
      <c r="AN85" s="956" t="s">
        <v>194</v>
      </c>
      <c r="AO85" s="956" t="s">
        <v>194</v>
      </c>
      <c r="AP85" s="956" t="s">
        <v>194</v>
      </c>
      <c r="AQ85" s="956" t="s">
        <v>194</v>
      </c>
      <c r="AR85" s="956" t="s">
        <v>194</v>
      </c>
      <c r="AS85" s="956" t="s">
        <v>194</v>
      </c>
      <c r="AT85" s="956" t="s">
        <v>194</v>
      </c>
      <c r="AU85" s="956" t="s">
        <v>194</v>
      </c>
      <c r="AV85" s="956" t="s">
        <v>194</v>
      </c>
      <c r="AW85" s="956" t="s">
        <v>194</v>
      </c>
      <c r="AX85" s="956" t="s">
        <v>194</v>
      </c>
      <c r="AY85" s="956" t="s">
        <v>194</v>
      </c>
    </row>
    <row r="86" ht="15.75" customHeight="1" outlineLevel="1">
      <c r="A86" s="849">
        <v>1.0</v>
      </c>
      <c r="B86" s="15"/>
      <c r="C86" s="869" t="str">
        <f>"    Earnings Before Interest, Tax, Depreciation, Amortization and Rent Expenses (EBITDAR)"</f>
        <v>    Earnings Before Interest, Tax, Depreciation, Amortization and Rent Expenses (EBITDAR)</v>
      </c>
      <c r="D86" s="870">
        <f t="shared" si="40"/>
        <v>6837</v>
      </c>
      <c r="E86" s="870">
        <f t="shared" si="41"/>
        <v>11224.25</v>
      </c>
      <c r="F86" s="870">
        <f t="shared" si="42"/>
        <v>-49046</v>
      </c>
      <c r="G86" s="870">
        <f t="shared" si="43"/>
        <v>91101</v>
      </c>
      <c r="H86" s="870">
        <f t="shared" si="44"/>
        <v>-4702</v>
      </c>
      <c r="I86" s="870">
        <f t="shared" si="45"/>
        <v>22204</v>
      </c>
      <c r="J86" s="870">
        <f t="shared" si="46"/>
        <v>32815.77626</v>
      </c>
      <c r="K86" s="871">
        <f t="shared" si="47"/>
        <v>2.9236498</v>
      </c>
      <c r="L86" s="872" t="s">
        <v>194</v>
      </c>
      <c r="M86" s="872" t="s">
        <v>194</v>
      </c>
      <c r="N86" s="872" t="s">
        <v>194</v>
      </c>
      <c r="O86" s="904" t="s">
        <v>194</v>
      </c>
      <c r="P86" s="904" t="s">
        <v>194</v>
      </c>
      <c r="Q86" s="872">
        <v>4791.0</v>
      </c>
      <c r="R86" s="872">
        <v>18384.0</v>
      </c>
      <c r="S86" s="872">
        <v>-9712.0</v>
      </c>
      <c r="T86" s="872">
        <v>-7621.0</v>
      </c>
      <c r="U86" s="872">
        <v>-49046.0</v>
      </c>
      <c r="V86" s="872">
        <v>-3729.0</v>
      </c>
      <c r="W86" s="872">
        <v>5437.0</v>
      </c>
      <c r="X86" s="872">
        <v>8237.0</v>
      </c>
      <c r="Y86" s="872">
        <v>21918.0</v>
      </c>
      <c r="Z86" s="872">
        <v>31869.0</v>
      </c>
      <c r="AA86" s="872">
        <v>23062.0</v>
      </c>
      <c r="AB86" s="872">
        <v>91101.0</v>
      </c>
      <c r="AC86" s="15"/>
      <c r="AD86" s="851" t="s">
        <v>194</v>
      </c>
      <c r="AE86" s="846" t="s">
        <v>194</v>
      </c>
      <c r="AF86" s="846" t="s">
        <v>194</v>
      </c>
      <c r="AG86" s="846" t="s">
        <v>194</v>
      </c>
      <c r="AH86" s="846" t="s">
        <v>194</v>
      </c>
      <c r="AI86" s="846" t="s">
        <v>194</v>
      </c>
      <c r="AJ86" s="846" t="s">
        <v>194</v>
      </c>
      <c r="AK86" s="846" t="s">
        <v>194</v>
      </c>
      <c r="AL86" s="846" t="s">
        <v>194</v>
      </c>
      <c r="AM86" s="846" t="s">
        <v>194</v>
      </c>
      <c r="AN86" s="846" t="s">
        <v>194</v>
      </c>
      <c r="AO86" s="846" t="s">
        <v>194</v>
      </c>
      <c r="AP86" s="846" t="s">
        <v>194</v>
      </c>
      <c r="AQ86" s="846" t="s">
        <v>194</v>
      </c>
      <c r="AR86" s="846" t="s">
        <v>194</v>
      </c>
      <c r="AS86" s="846" t="s">
        <v>194</v>
      </c>
      <c r="AT86" s="846" t="s">
        <v>194</v>
      </c>
      <c r="AU86" s="846" t="s">
        <v>194</v>
      </c>
      <c r="AV86" s="846" t="s">
        <v>194</v>
      </c>
      <c r="AW86" s="846" t="s">
        <v>194</v>
      </c>
      <c r="AX86" s="846" t="s">
        <v>194</v>
      </c>
      <c r="AY86" s="846" t="s">
        <v>194</v>
      </c>
    </row>
    <row r="87" ht="15.75" customHeight="1" outlineLevel="1">
      <c r="A87" s="849">
        <v>1.0</v>
      </c>
      <c r="B87" s="15"/>
      <c r="C87" s="869" t="str">
        <f>"    Normalized EBITDAR"</f>
        <v>    Normalized EBITDAR</v>
      </c>
      <c r="D87" s="870">
        <f t="shared" si="40"/>
        <v>6938.5</v>
      </c>
      <c r="E87" s="870">
        <f t="shared" si="41"/>
        <v>22490.16667</v>
      </c>
      <c r="F87" s="870">
        <f t="shared" si="42"/>
        <v>-3729</v>
      </c>
      <c r="G87" s="870">
        <f t="shared" si="43"/>
        <v>113569</v>
      </c>
      <c r="H87" s="870">
        <f t="shared" si="44"/>
        <v>3124.75</v>
      </c>
      <c r="I87" s="870">
        <f t="shared" si="45"/>
        <v>28287</v>
      </c>
      <c r="J87" s="870">
        <f t="shared" si="46"/>
        <v>33526.93587</v>
      </c>
      <c r="K87" s="871">
        <f t="shared" si="47"/>
        <v>1.490737546</v>
      </c>
      <c r="L87" s="872" t="s">
        <v>194</v>
      </c>
      <c r="M87" s="872" t="s">
        <v>194</v>
      </c>
      <c r="N87" s="872" t="s">
        <v>194</v>
      </c>
      <c r="O87" s="904" t="s">
        <v>194</v>
      </c>
      <c r="P87" s="904" t="s">
        <v>194</v>
      </c>
      <c r="Q87" s="872">
        <v>4841.0</v>
      </c>
      <c r="R87" s="872">
        <v>23687.0</v>
      </c>
      <c r="S87" s="872">
        <v>3677.0</v>
      </c>
      <c r="T87" s="872">
        <v>-2160.0</v>
      </c>
      <c r="U87" s="872">
        <v>1468.0</v>
      </c>
      <c r="V87" s="872">
        <v>-3729.0</v>
      </c>
      <c r="W87" s="872">
        <v>5437.0</v>
      </c>
      <c r="X87" s="872">
        <v>8440.0</v>
      </c>
      <c r="Y87" s="872">
        <v>21918.0</v>
      </c>
      <c r="Z87" s="872">
        <v>42087.0</v>
      </c>
      <c r="AA87" s="872">
        <v>50647.0</v>
      </c>
      <c r="AB87" s="872">
        <v>113569.0</v>
      </c>
      <c r="AC87" s="15"/>
      <c r="AD87" s="851" t="s">
        <v>194</v>
      </c>
      <c r="AE87" s="846" t="s">
        <v>194</v>
      </c>
      <c r="AF87" s="846" t="s">
        <v>194</v>
      </c>
      <c r="AG87" s="846" t="s">
        <v>194</v>
      </c>
      <c r="AH87" s="846" t="s">
        <v>194</v>
      </c>
      <c r="AI87" s="846" t="s">
        <v>194</v>
      </c>
      <c r="AJ87" s="846" t="s">
        <v>194</v>
      </c>
      <c r="AK87" s="846" t="s">
        <v>194</v>
      </c>
      <c r="AL87" s="846" t="s">
        <v>194</v>
      </c>
      <c r="AM87" s="846" t="s">
        <v>194</v>
      </c>
      <c r="AN87" s="846" t="s">
        <v>194</v>
      </c>
      <c r="AO87" s="846" t="s">
        <v>194</v>
      </c>
      <c r="AP87" s="846" t="s">
        <v>194</v>
      </c>
      <c r="AQ87" s="846" t="s">
        <v>194</v>
      </c>
      <c r="AR87" s="846" t="s">
        <v>194</v>
      </c>
      <c r="AS87" s="846" t="s">
        <v>194</v>
      </c>
      <c r="AT87" s="846" t="s">
        <v>194</v>
      </c>
      <c r="AU87" s="846" t="s">
        <v>194</v>
      </c>
      <c r="AV87" s="846" t="s">
        <v>194</v>
      </c>
      <c r="AW87" s="846" t="s">
        <v>194</v>
      </c>
      <c r="AX87" s="846" t="s">
        <v>194</v>
      </c>
      <c r="AY87" s="846" t="s">
        <v>194</v>
      </c>
    </row>
    <row r="88" ht="15.75" customHeight="1" outlineLevel="1">
      <c r="A88" s="849">
        <v>1.0</v>
      </c>
      <c r="B88" s="15"/>
      <c r="C88" s="869" t="str">
        <f>"    Interest and Dividend Income"</f>
        <v>    Interest and Dividend Income</v>
      </c>
      <c r="D88" s="870">
        <f t="shared" si="40"/>
        <v>678.5</v>
      </c>
      <c r="E88" s="870">
        <f t="shared" si="41"/>
        <v>768.75</v>
      </c>
      <c r="F88" s="870">
        <f t="shared" si="42"/>
        <v>97</v>
      </c>
      <c r="G88" s="870">
        <f t="shared" si="43"/>
        <v>1621</v>
      </c>
      <c r="H88" s="870">
        <f t="shared" si="44"/>
        <v>166.75</v>
      </c>
      <c r="I88" s="870">
        <f t="shared" si="45"/>
        <v>1280.5</v>
      </c>
      <c r="J88" s="870">
        <f t="shared" si="46"/>
        <v>746.353971</v>
      </c>
      <c r="K88" s="871">
        <f t="shared" si="47"/>
        <v>0.9708669541</v>
      </c>
      <c r="L88" s="872" t="s">
        <v>194</v>
      </c>
      <c r="M88" s="872" t="s">
        <v>194</v>
      </c>
      <c r="N88" s="872" t="s">
        <v>194</v>
      </c>
      <c r="O88" s="904" t="s">
        <v>194</v>
      </c>
      <c r="P88" s="904" t="s">
        <v>194</v>
      </c>
      <c r="Q88" s="872">
        <v>1621.0</v>
      </c>
      <c r="R88" s="872">
        <v>1167.0</v>
      </c>
      <c r="S88" s="872">
        <v>190.0</v>
      </c>
      <c r="T88" s="872">
        <v>97.0</v>
      </c>
      <c r="U88" s="872" t="s">
        <v>194</v>
      </c>
      <c r="V88" s="872" t="s">
        <v>194</v>
      </c>
      <c r="W88" s="872" t="s">
        <v>194</v>
      </c>
      <c r="X88" s="872" t="s">
        <v>194</v>
      </c>
      <c r="Y88" s="872" t="s">
        <v>194</v>
      </c>
      <c r="Z88" s="872" t="s">
        <v>194</v>
      </c>
      <c r="AA88" s="872" t="s">
        <v>194</v>
      </c>
      <c r="AB88" s="872" t="s">
        <v>194</v>
      </c>
      <c r="AC88" s="15"/>
      <c r="AD88" s="851" t="s">
        <v>194</v>
      </c>
      <c r="AE88" s="846" t="s">
        <v>194</v>
      </c>
      <c r="AF88" s="846" t="s">
        <v>194</v>
      </c>
      <c r="AG88" s="846" t="s">
        <v>194</v>
      </c>
      <c r="AH88" s="846" t="s">
        <v>194</v>
      </c>
      <c r="AI88" s="846" t="s">
        <v>194</v>
      </c>
      <c r="AJ88" s="846" t="s">
        <v>194</v>
      </c>
      <c r="AK88" s="846" t="s">
        <v>194</v>
      </c>
      <c r="AL88" s="846" t="s">
        <v>194</v>
      </c>
      <c r="AM88" s="846" t="s">
        <v>194</v>
      </c>
      <c r="AN88" s="846" t="s">
        <v>194</v>
      </c>
      <c r="AO88" s="846" t="s">
        <v>194</v>
      </c>
      <c r="AP88" s="846" t="s">
        <v>194</v>
      </c>
      <c r="AQ88" s="846" t="s">
        <v>194</v>
      </c>
      <c r="AR88" s="846" t="s">
        <v>194</v>
      </c>
      <c r="AS88" s="846" t="s">
        <v>194</v>
      </c>
      <c r="AT88" s="846" t="s">
        <v>194</v>
      </c>
      <c r="AU88" s="846" t="s">
        <v>194</v>
      </c>
      <c r="AV88" s="846" t="s">
        <v>194</v>
      </c>
      <c r="AW88" s="846" t="s">
        <v>194</v>
      </c>
      <c r="AX88" s="846" t="s">
        <v>194</v>
      </c>
      <c r="AY88" s="846" t="s">
        <v>194</v>
      </c>
    </row>
    <row r="89" ht="15.75" customHeight="1" outlineLevel="1">
      <c r="A89" s="849">
        <v>1.0</v>
      </c>
      <c r="B89" s="15"/>
      <c r="C89" s="869" t="str">
        <f>"    Normalized Basic EPS"</f>
        <v>    Normalized Basic EPS</v>
      </c>
      <c r="D89" s="871">
        <f t="shared" si="40"/>
        <v>-0.4919467992</v>
      </c>
      <c r="E89" s="871">
        <f t="shared" si="41"/>
        <v>-1.296559626</v>
      </c>
      <c r="F89" s="871">
        <f t="shared" si="42"/>
        <v>-7.33</v>
      </c>
      <c r="G89" s="871">
        <f t="shared" si="43"/>
        <v>2.129584527</v>
      </c>
      <c r="H89" s="871">
        <f t="shared" si="44"/>
        <v>-2.690849519</v>
      </c>
      <c r="I89" s="871">
        <f t="shared" si="45"/>
        <v>0.07851872573</v>
      </c>
      <c r="J89" s="871">
        <f t="shared" si="46"/>
        <v>2.535770936</v>
      </c>
      <c r="K89" s="871">
        <f t="shared" si="47"/>
        <v>-1.955768855</v>
      </c>
      <c r="L89" s="928" t="s">
        <v>194</v>
      </c>
      <c r="M89" s="928">
        <v>-5.23</v>
      </c>
      <c r="N89" s="928">
        <v>-7.33</v>
      </c>
      <c r="O89" s="929">
        <v>-4.04</v>
      </c>
      <c r="P89" s="929">
        <v>-2.63</v>
      </c>
      <c r="Q89" s="928">
        <v>-2.8733980753056665</v>
      </c>
      <c r="R89" s="928">
        <v>0.6089122002177995</v>
      </c>
      <c r="S89" s="928">
        <v>-0.4938935983827266</v>
      </c>
      <c r="T89" s="928">
        <v>-0.6727671207762551</v>
      </c>
      <c r="U89" s="928">
        <v>-1.1657350041461074</v>
      </c>
      <c r="V89" s="928">
        <v>-0.49</v>
      </c>
      <c r="W89" s="928">
        <v>-0.29</v>
      </c>
      <c r="X89" s="928">
        <v>-0.3637897779306843</v>
      </c>
      <c r="Y89" s="928">
        <v>0.27</v>
      </c>
      <c r="Z89" s="928">
        <v>2.12958452722063</v>
      </c>
      <c r="AA89" s="928">
        <v>0.014691634305272094</v>
      </c>
      <c r="AB89" s="928">
        <v>1.8114411935552908</v>
      </c>
      <c r="AC89" s="15"/>
      <c r="AD89" s="851" t="s">
        <v>194</v>
      </c>
      <c r="AE89" s="846" t="s">
        <v>194</v>
      </c>
      <c r="AF89" s="846" t="s">
        <v>194</v>
      </c>
      <c r="AG89" s="846" t="s">
        <v>194</v>
      </c>
      <c r="AH89" s="846" t="s">
        <v>194</v>
      </c>
      <c r="AI89" s="846" t="s">
        <v>194</v>
      </c>
      <c r="AJ89" s="846" t="s">
        <v>194</v>
      </c>
      <c r="AK89" s="846" t="s">
        <v>194</v>
      </c>
      <c r="AL89" s="846" t="s">
        <v>194</v>
      </c>
      <c r="AM89" s="846" t="s">
        <v>194</v>
      </c>
      <c r="AN89" s="846" t="s">
        <v>194</v>
      </c>
      <c r="AO89" s="846" t="s">
        <v>194</v>
      </c>
      <c r="AP89" s="846" t="s">
        <v>194</v>
      </c>
      <c r="AQ89" s="846" t="s">
        <v>194</v>
      </c>
      <c r="AR89" s="846" t="s">
        <v>194</v>
      </c>
      <c r="AS89" s="846" t="s">
        <v>194</v>
      </c>
      <c r="AT89" s="846" t="s">
        <v>194</v>
      </c>
      <c r="AU89" s="846" t="s">
        <v>194</v>
      </c>
      <c r="AV89" s="846" t="s">
        <v>194</v>
      </c>
      <c r="AW89" s="846" t="s">
        <v>194</v>
      </c>
      <c r="AX89" s="846" t="s">
        <v>194</v>
      </c>
      <c r="AY89" s="846" t="s">
        <v>194</v>
      </c>
    </row>
    <row r="90" ht="15.75" customHeight="1" outlineLevel="1">
      <c r="A90" s="849">
        <v>1.0</v>
      </c>
      <c r="B90" s="15"/>
      <c r="C90" s="869" t="str">
        <f>"    Recommended Normalized Basic EPS"</f>
        <v>    Recommended Normalized Basic EPS</v>
      </c>
      <c r="D90" s="871">
        <f t="shared" si="40"/>
        <v>-0.4919467992</v>
      </c>
      <c r="E90" s="871">
        <f t="shared" si="41"/>
        <v>-1.296559626</v>
      </c>
      <c r="F90" s="871">
        <f t="shared" si="42"/>
        <v>-7.33</v>
      </c>
      <c r="G90" s="871">
        <f t="shared" si="43"/>
        <v>2.129584527</v>
      </c>
      <c r="H90" s="871">
        <f t="shared" si="44"/>
        <v>-2.690849519</v>
      </c>
      <c r="I90" s="871">
        <f t="shared" si="45"/>
        <v>0.07851872573</v>
      </c>
      <c r="J90" s="871">
        <f t="shared" si="46"/>
        <v>2.535770936</v>
      </c>
      <c r="K90" s="871">
        <f t="shared" si="47"/>
        <v>-1.955768855</v>
      </c>
      <c r="L90" s="928" t="s">
        <v>194</v>
      </c>
      <c r="M90" s="928">
        <v>-5.23</v>
      </c>
      <c r="N90" s="928">
        <v>-7.33</v>
      </c>
      <c r="O90" s="929">
        <v>-4.04</v>
      </c>
      <c r="P90" s="929">
        <v>-2.63</v>
      </c>
      <c r="Q90" s="928">
        <v>-2.8733980753056665</v>
      </c>
      <c r="R90" s="928">
        <v>0.6089122002177995</v>
      </c>
      <c r="S90" s="928">
        <v>-0.4938935983827266</v>
      </c>
      <c r="T90" s="928">
        <v>-0.6727671207762551</v>
      </c>
      <c r="U90" s="928">
        <v>-1.1657350041461074</v>
      </c>
      <c r="V90" s="928">
        <v>-0.49</v>
      </c>
      <c r="W90" s="928">
        <v>-0.29</v>
      </c>
      <c r="X90" s="928">
        <v>-0.3637897779306843</v>
      </c>
      <c r="Y90" s="928">
        <v>0.27</v>
      </c>
      <c r="Z90" s="928">
        <v>2.12958452722063</v>
      </c>
      <c r="AA90" s="928">
        <v>0.014691634305272094</v>
      </c>
      <c r="AB90" s="928">
        <v>1.8114411935552908</v>
      </c>
      <c r="AC90" s="15"/>
      <c r="AD90" s="851" t="s">
        <v>194</v>
      </c>
      <c r="AE90" s="846" t="s">
        <v>194</v>
      </c>
      <c r="AF90" s="846" t="s">
        <v>194</v>
      </c>
      <c r="AG90" s="846" t="s">
        <v>194</v>
      </c>
      <c r="AH90" s="846" t="s">
        <v>194</v>
      </c>
      <c r="AI90" s="846" t="s">
        <v>194</v>
      </c>
      <c r="AJ90" s="846" t="s">
        <v>194</v>
      </c>
      <c r="AK90" s="846" t="s">
        <v>194</v>
      </c>
      <c r="AL90" s="846" t="s">
        <v>194</v>
      </c>
      <c r="AM90" s="846" t="s">
        <v>194</v>
      </c>
      <c r="AN90" s="846" t="s">
        <v>194</v>
      </c>
      <c r="AO90" s="846" t="s">
        <v>194</v>
      </c>
      <c r="AP90" s="846" t="s">
        <v>194</v>
      </c>
      <c r="AQ90" s="846" t="s">
        <v>194</v>
      </c>
      <c r="AR90" s="846" t="s">
        <v>194</v>
      </c>
      <c r="AS90" s="846" t="s">
        <v>194</v>
      </c>
      <c r="AT90" s="846" t="s">
        <v>194</v>
      </c>
      <c r="AU90" s="846" t="s">
        <v>194</v>
      </c>
      <c r="AV90" s="846" t="s">
        <v>194</v>
      </c>
      <c r="AW90" s="846" t="s">
        <v>194</v>
      </c>
      <c r="AX90" s="846" t="s">
        <v>194</v>
      </c>
      <c r="AY90" s="846" t="s">
        <v>194</v>
      </c>
    </row>
    <row r="91" ht="15.75" customHeight="1" outlineLevel="1">
      <c r="A91" s="849">
        <v>1.0</v>
      </c>
      <c r="B91" s="15"/>
      <c r="C91" s="869" t="str">
        <f>"    Normalized Diluted EPS"</f>
        <v>    Normalized Diluted EPS</v>
      </c>
      <c r="D91" s="871">
        <f t="shared" si="40"/>
        <v>-0.4919467992</v>
      </c>
      <c r="E91" s="871">
        <f t="shared" si="41"/>
        <v>-1.325694256</v>
      </c>
      <c r="F91" s="871">
        <f t="shared" si="42"/>
        <v>-7.334199</v>
      </c>
      <c r="G91" s="871">
        <f t="shared" si="43"/>
        <v>1.951082358</v>
      </c>
      <c r="H91" s="871">
        <f t="shared" si="44"/>
        <v>-2.690849519</v>
      </c>
      <c r="I91" s="871">
        <f t="shared" si="45"/>
        <v>0.07601872573</v>
      </c>
      <c r="J91" s="871">
        <f t="shared" si="46"/>
        <v>2.502384071</v>
      </c>
      <c r="K91" s="871">
        <f t="shared" si="47"/>
        <v>-1.887602711</v>
      </c>
      <c r="L91" s="928" t="s">
        <v>194</v>
      </c>
      <c r="M91" s="928">
        <v>-5.233027</v>
      </c>
      <c r="N91" s="928">
        <v>-7.334199</v>
      </c>
      <c r="O91" s="929">
        <v>-4.04</v>
      </c>
      <c r="P91" s="929">
        <v>-2.63</v>
      </c>
      <c r="Q91" s="928">
        <v>-2.8733980753056665</v>
      </c>
      <c r="R91" s="928">
        <v>0.49156346687018043</v>
      </c>
      <c r="S91" s="928">
        <v>-0.4938935983827266</v>
      </c>
      <c r="T91" s="928">
        <v>-0.6727671207762551</v>
      </c>
      <c r="U91" s="928">
        <v>-1.1657350041461074</v>
      </c>
      <c r="V91" s="928">
        <v>-0.49</v>
      </c>
      <c r="W91" s="928">
        <v>-0.29</v>
      </c>
      <c r="X91" s="928">
        <v>-0.3637897779306843</v>
      </c>
      <c r="Y91" s="928">
        <v>0.26</v>
      </c>
      <c r="Z91" s="928">
        <v>1.9510823575715832</v>
      </c>
      <c r="AA91" s="928">
        <v>0.014691634305272094</v>
      </c>
      <c r="AB91" s="928">
        <v>1.6583640276108766</v>
      </c>
      <c r="AC91" s="15"/>
      <c r="AD91" s="851" t="s">
        <v>194</v>
      </c>
      <c r="AE91" s="846" t="s">
        <v>194</v>
      </c>
      <c r="AF91" s="846" t="s">
        <v>194</v>
      </c>
      <c r="AG91" s="846" t="s">
        <v>194</v>
      </c>
      <c r="AH91" s="846" t="s">
        <v>194</v>
      </c>
      <c r="AI91" s="846" t="s">
        <v>194</v>
      </c>
      <c r="AJ91" s="846" t="s">
        <v>194</v>
      </c>
      <c r="AK91" s="846" t="s">
        <v>194</v>
      </c>
      <c r="AL91" s="846" t="s">
        <v>194</v>
      </c>
      <c r="AM91" s="846" t="s">
        <v>194</v>
      </c>
      <c r="AN91" s="846" t="s">
        <v>194</v>
      </c>
      <c r="AO91" s="846" t="s">
        <v>194</v>
      </c>
      <c r="AP91" s="846" t="s">
        <v>194</v>
      </c>
      <c r="AQ91" s="846" t="s">
        <v>194</v>
      </c>
      <c r="AR91" s="846" t="s">
        <v>194</v>
      </c>
      <c r="AS91" s="846" t="s">
        <v>194</v>
      </c>
      <c r="AT91" s="846" t="s">
        <v>194</v>
      </c>
      <c r="AU91" s="846" t="s">
        <v>194</v>
      </c>
      <c r="AV91" s="846" t="s">
        <v>194</v>
      </c>
      <c r="AW91" s="846" t="s">
        <v>194</v>
      </c>
      <c r="AX91" s="846" t="s">
        <v>194</v>
      </c>
      <c r="AY91" s="846" t="s">
        <v>194</v>
      </c>
    </row>
    <row r="92" ht="15.75" customHeight="1" outlineLevel="1">
      <c r="A92" s="849">
        <v>1.0</v>
      </c>
      <c r="B92" s="15"/>
      <c r="C92" s="869" t="str">
        <f>"    Recommended Normalized Diluted EPS"</f>
        <v>    Recommended Normalized Diluted EPS</v>
      </c>
      <c r="D92" s="871">
        <f t="shared" si="40"/>
        <v>-0.4919467992</v>
      </c>
      <c r="E92" s="871">
        <f t="shared" si="41"/>
        <v>-1.325694256</v>
      </c>
      <c r="F92" s="871">
        <f t="shared" si="42"/>
        <v>-7.334199</v>
      </c>
      <c r="G92" s="871">
        <f t="shared" si="43"/>
        <v>1.951082358</v>
      </c>
      <c r="H92" s="871">
        <f t="shared" si="44"/>
        <v>-2.690849519</v>
      </c>
      <c r="I92" s="871">
        <f t="shared" si="45"/>
        <v>0.07601872573</v>
      </c>
      <c r="J92" s="871">
        <f t="shared" si="46"/>
        <v>2.502384071</v>
      </c>
      <c r="K92" s="871">
        <f t="shared" si="47"/>
        <v>-1.887602711</v>
      </c>
      <c r="L92" s="928" t="s">
        <v>194</v>
      </c>
      <c r="M92" s="928">
        <v>-5.233027</v>
      </c>
      <c r="N92" s="928">
        <v>-7.334199</v>
      </c>
      <c r="O92" s="929">
        <v>-4.04</v>
      </c>
      <c r="P92" s="929">
        <v>-2.63</v>
      </c>
      <c r="Q92" s="928">
        <v>-2.8733980753056665</v>
      </c>
      <c r="R92" s="928">
        <v>0.49156346687018043</v>
      </c>
      <c r="S92" s="928">
        <v>-0.4938935983827266</v>
      </c>
      <c r="T92" s="928">
        <v>-0.6727671207762551</v>
      </c>
      <c r="U92" s="928">
        <v>-1.1657350041461074</v>
      </c>
      <c r="V92" s="928">
        <v>-0.49</v>
      </c>
      <c r="W92" s="928">
        <v>-0.29</v>
      </c>
      <c r="X92" s="928">
        <v>-0.3637897779306843</v>
      </c>
      <c r="Y92" s="928">
        <v>0.26</v>
      </c>
      <c r="Z92" s="928">
        <v>1.9510823575715832</v>
      </c>
      <c r="AA92" s="928">
        <v>0.014691634305272094</v>
      </c>
      <c r="AB92" s="928">
        <v>1.6583640276108766</v>
      </c>
      <c r="AC92" s="15"/>
      <c r="AD92" s="851" t="s">
        <v>194</v>
      </c>
      <c r="AE92" s="846" t="s">
        <v>194</v>
      </c>
      <c r="AF92" s="846" t="s">
        <v>194</v>
      </c>
      <c r="AG92" s="846" t="s">
        <v>194</v>
      </c>
      <c r="AH92" s="846" t="s">
        <v>194</v>
      </c>
      <c r="AI92" s="846" t="s">
        <v>194</v>
      </c>
      <c r="AJ92" s="846" t="s">
        <v>194</v>
      </c>
      <c r="AK92" s="846" t="s">
        <v>194</v>
      </c>
      <c r="AL92" s="846" t="s">
        <v>194</v>
      </c>
      <c r="AM92" s="846" t="s">
        <v>194</v>
      </c>
      <c r="AN92" s="846" t="s">
        <v>194</v>
      </c>
      <c r="AO92" s="846" t="s">
        <v>194</v>
      </c>
      <c r="AP92" s="846" t="s">
        <v>194</v>
      </c>
      <c r="AQ92" s="846" t="s">
        <v>194</v>
      </c>
      <c r="AR92" s="846" t="s">
        <v>194</v>
      </c>
      <c r="AS92" s="846" t="s">
        <v>194</v>
      </c>
      <c r="AT92" s="846" t="s">
        <v>194</v>
      </c>
      <c r="AU92" s="846" t="s">
        <v>194</v>
      </c>
      <c r="AV92" s="846" t="s">
        <v>194</v>
      </c>
      <c r="AW92" s="846" t="s">
        <v>194</v>
      </c>
      <c r="AX92" s="846" t="s">
        <v>194</v>
      </c>
      <c r="AY92" s="846" t="s">
        <v>194</v>
      </c>
    </row>
    <row r="93" ht="15.75" customHeight="1" outlineLevel="1">
      <c r="A93" s="849">
        <v>1.0</v>
      </c>
      <c r="B93" s="15"/>
      <c r="C93" s="869" t="str">
        <f>"    Normalized Income"</f>
        <v>    Normalized Income</v>
      </c>
      <c r="D93" s="870">
        <f t="shared" si="40"/>
        <v>-8636.7525</v>
      </c>
      <c r="E93" s="870">
        <f t="shared" si="41"/>
        <v>-25.78331853</v>
      </c>
      <c r="F93" s="870">
        <f t="shared" si="42"/>
        <v>-28587.9</v>
      </c>
      <c r="G93" s="870">
        <f t="shared" si="43"/>
        <v>59567.8</v>
      </c>
      <c r="H93" s="870">
        <f t="shared" si="44"/>
        <v>-12321.5</v>
      </c>
      <c r="I93" s="870">
        <f t="shared" si="45"/>
        <v>1626</v>
      </c>
      <c r="J93" s="870">
        <f t="shared" si="46"/>
        <v>25160.99616</v>
      </c>
      <c r="K93" s="871">
        <f t="shared" si="47"/>
        <v>-975.8633716</v>
      </c>
      <c r="L93" s="872" t="s">
        <v>194</v>
      </c>
      <c r="M93" s="872">
        <v>-12680.0</v>
      </c>
      <c r="N93" s="872">
        <v>-20947.0</v>
      </c>
      <c r="O93" s="904">
        <v>-11463.257</v>
      </c>
      <c r="P93" s="904">
        <v>-7644.732</v>
      </c>
      <c r="Q93" s="872">
        <v>-308.0</v>
      </c>
      <c r="R93" s="872">
        <v>13772.188903443113</v>
      </c>
      <c r="S93" s="872">
        <v>-11773.15</v>
      </c>
      <c r="T93" s="872">
        <v>-16310.35</v>
      </c>
      <c r="U93" s="872">
        <v>-28587.9</v>
      </c>
      <c r="V93" s="872">
        <v>-12202.0</v>
      </c>
      <c r="W93" s="872">
        <v>-7319.0</v>
      </c>
      <c r="X93" s="872">
        <v>-9628.773</v>
      </c>
      <c r="Y93" s="872">
        <v>7428.0</v>
      </c>
      <c r="Z93" s="872">
        <v>59567.8</v>
      </c>
      <c r="AA93" s="872">
        <v>-592.0</v>
      </c>
      <c r="AB93" s="872">
        <v>58275.64</v>
      </c>
      <c r="AC93" s="15"/>
      <c r="AD93" s="851" t="s">
        <v>194</v>
      </c>
      <c r="AE93" s="846" t="s">
        <v>194</v>
      </c>
      <c r="AF93" s="846" t="s">
        <v>194</v>
      </c>
      <c r="AG93" s="846" t="s">
        <v>194</v>
      </c>
      <c r="AH93" s="846" t="s">
        <v>194</v>
      </c>
      <c r="AI93" s="846" t="s">
        <v>194</v>
      </c>
      <c r="AJ93" s="846" t="s">
        <v>194</v>
      </c>
      <c r="AK93" s="846" t="s">
        <v>194</v>
      </c>
      <c r="AL93" s="846" t="s">
        <v>194</v>
      </c>
      <c r="AM93" s="846" t="s">
        <v>194</v>
      </c>
      <c r="AN93" s="846" t="s">
        <v>194</v>
      </c>
      <c r="AO93" s="846" t="s">
        <v>194</v>
      </c>
      <c r="AP93" s="846" t="s">
        <v>194</v>
      </c>
      <c r="AQ93" s="846" t="s">
        <v>194</v>
      </c>
      <c r="AR93" s="846" t="s">
        <v>194</v>
      </c>
      <c r="AS93" s="846" t="s">
        <v>194</v>
      </c>
      <c r="AT93" s="846" t="s">
        <v>194</v>
      </c>
      <c r="AU93" s="846" t="s">
        <v>194</v>
      </c>
      <c r="AV93" s="846" t="s">
        <v>194</v>
      </c>
      <c r="AW93" s="846" t="s">
        <v>194</v>
      </c>
      <c r="AX93" s="846" t="s">
        <v>194</v>
      </c>
      <c r="AY93" s="846" t="s">
        <v>194</v>
      </c>
    </row>
    <row r="94" ht="15.75" customHeight="1" outlineLevel="1">
      <c r="A94" s="849">
        <v>1.0</v>
      </c>
      <c r="B94" s="15"/>
      <c r="C94" s="869" t="str">
        <f>"    Tax Effect of Unusual Items"</f>
        <v>    Tax Effect of Unusual Items</v>
      </c>
      <c r="D94" s="870">
        <f t="shared" si="40"/>
        <v>2999.275</v>
      </c>
      <c r="E94" s="870">
        <f t="shared" si="41"/>
        <v>4623.95441</v>
      </c>
      <c r="F94" s="870">
        <f t="shared" si="42"/>
        <v>0</v>
      </c>
      <c r="G94" s="870">
        <f t="shared" si="43"/>
        <v>17679.9</v>
      </c>
      <c r="H94" s="870">
        <f t="shared" si="44"/>
        <v>213.0325241</v>
      </c>
      <c r="I94" s="870">
        <f t="shared" si="45"/>
        <v>5721.3075</v>
      </c>
      <c r="J94" s="870">
        <f t="shared" si="46"/>
        <v>5775.240117</v>
      </c>
      <c r="K94" s="871">
        <f t="shared" si="47"/>
        <v>1.248982928</v>
      </c>
      <c r="L94" s="872" t="s">
        <v>194</v>
      </c>
      <c r="M94" s="872" t="s">
        <v>194</v>
      </c>
      <c r="N94" s="872" t="s">
        <v>194</v>
      </c>
      <c r="O94" s="904" t="s">
        <v>194</v>
      </c>
      <c r="P94" s="904" t="s">
        <v>194</v>
      </c>
      <c r="Q94" s="872">
        <v>0.0</v>
      </c>
      <c r="R94" s="872">
        <v>735.8110965568862</v>
      </c>
      <c r="S94" s="872">
        <v>4686.15</v>
      </c>
      <c r="T94" s="872">
        <v>1911.3499999999997</v>
      </c>
      <c r="U94" s="872">
        <v>17679.9</v>
      </c>
      <c r="V94" s="872">
        <v>0.0</v>
      </c>
      <c r="W94" s="872" t="s">
        <v>194</v>
      </c>
      <c r="X94" s="872">
        <v>38.773</v>
      </c>
      <c r="Y94" s="872" t="s">
        <v>194</v>
      </c>
      <c r="Z94" s="872">
        <v>4087.2</v>
      </c>
      <c r="AA94" s="872">
        <v>11034.0</v>
      </c>
      <c r="AB94" s="872">
        <v>6066.36</v>
      </c>
      <c r="AC94" s="15"/>
      <c r="AD94" s="851" t="s">
        <v>194</v>
      </c>
      <c r="AE94" s="846" t="s">
        <v>194</v>
      </c>
      <c r="AF94" s="846" t="s">
        <v>194</v>
      </c>
      <c r="AG94" s="846" t="s">
        <v>194</v>
      </c>
      <c r="AH94" s="846" t="s">
        <v>194</v>
      </c>
      <c r="AI94" s="846" t="s">
        <v>194</v>
      </c>
      <c r="AJ94" s="846" t="s">
        <v>194</v>
      </c>
      <c r="AK94" s="846" t="s">
        <v>194</v>
      </c>
      <c r="AL94" s="846" t="s">
        <v>194</v>
      </c>
      <c r="AM94" s="846" t="s">
        <v>194</v>
      </c>
      <c r="AN94" s="846" t="s">
        <v>194</v>
      </c>
      <c r="AO94" s="846" t="s">
        <v>194</v>
      </c>
      <c r="AP94" s="846" t="s">
        <v>194</v>
      </c>
      <c r="AQ94" s="846" t="s">
        <v>194</v>
      </c>
      <c r="AR94" s="846" t="s">
        <v>194</v>
      </c>
      <c r="AS94" s="846" t="s">
        <v>194</v>
      </c>
      <c r="AT94" s="846" t="s">
        <v>194</v>
      </c>
      <c r="AU94" s="846" t="s">
        <v>194</v>
      </c>
      <c r="AV94" s="846" t="s">
        <v>194</v>
      </c>
      <c r="AW94" s="846" t="s">
        <v>194</v>
      </c>
      <c r="AX94" s="846" t="s">
        <v>194</v>
      </c>
      <c r="AY94" s="846" t="s">
        <v>194</v>
      </c>
    </row>
    <row r="95" ht="13.5" customHeight="1" outlineLevel="1">
      <c r="A95" s="849">
        <v>1.0</v>
      </c>
      <c r="B95" s="15"/>
      <c r="C95" s="869" t="str">
        <f>"    Total Unusual Items"</f>
        <v>    Total Unusual Items</v>
      </c>
      <c r="D95" s="870">
        <f t="shared" si="40"/>
        <v>7839.5</v>
      </c>
      <c r="E95" s="870">
        <f t="shared" si="41"/>
        <v>13519.1</v>
      </c>
      <c r="F95" s="870">
        <f t="shared" si="42"/>
        <v>0</v>
      </c>
      <c r="G95" s="870">
        <f t="shared" si="43"/>
        <v>50514</v>
      </c>
      <c r="H95" s="870">
        <f t="shared" si="44"/>
        <v>1478</v>
      </c>
      <c r="I95" s="870">
        <f t="shared" si="45"/>
        <v>20198.25</v>
      </c>
      <c r="J95" s="870">
        <f t="shared" si="46"/>
        <v>16094.88421</v>
      </c>
      <c r="K95" s="871">
        <f t="shared" si="47"/>
        <v>1.190529267</v>
      </c>
      <c r="L95" s="872" t="s">
        <v>194</v>
      </c>
      <c r="M95" s="872" t="s">
        <v>194</v>
      </c>
      <c r="N95" s="872" t="s">
        <v>194</v>
      </c>
      <c r="O95" s="904" t="s">
        <v>194</v>
      </c>
      <c r="P95" s="904" t="s">
        <v>194</v>
      </c>
      <c r="Q95" s="872">
        <v>50.0</v>
      </c>
      <c r="R95" s="872">
        <v>5303.0</v>
      </c>
      <c r="S95" s="872">
        <v>13389.0</v>
      </c>
      <c r="T95" s="872">
        <v>5461.0</v>
      </c>
      <c r="U95" s="872">
        <v>50514.0</v>
      </c>
      <c r="V95" s="872">
        <v>0.0</v>
      </c>
      <c r="W95" s="872" t="s">
        <v>194</v>
      </c>
      <c r="X95" s="872">
        <v>203.0</v>
      </c>
      <c r="Y95" s="872" t="s">
        <v>194</v>
      </c>
      <c r="Z95" s="872">
        <v>10218.0</v>
      </c>
      <c r="AA95" s="872">
        <v>27585.0</v>
      </c>
      <c r="AB95" s="872">
        <v>22468.0</v>
      </c>
      <c r="AC95" s="15"/>
      <c r="AD95" s="851" t="s">
        <v>194</v>
      </c>
      <c r="AE95" s="846" t="s">
        <v>194</v>
      </c>
      <c r="AF95" s="846" t="s">
        <v>194</v>
      </c>
      <c r="AG95" s="846" t="s">
        <v>194</v>
      </c>
      <c r="AH95" s="846" t="s">
        <v>194</v>
      </c>
      <c r="AI95" s="846" t="s">
        <v>194</v>
      </c>
      <c r="AJ95" s="846" t="s">
        <v>194</v>
      </c>
      <c r="AK95" s="846" t="s">
        <v>194</v>
      </c>
      <c r="AL95" s="846" t="s">
        <v>194</v>
      </c>
      <c r="AM95" s="846" t="s">
        <v>194</v>
      </c>
      <c r="AN95" s="846" t="s">
        <v>194</v>
      </c>
      <c r="AO95" s="846" t="s">
        <v>194</v>
      </c>
      <c r="AP95" s="846" t="s">
        <v>194</v>
      </c>
      <c r="AQ95" s="846" t="s">
        <v>194</v>
      </c>
      <c r="AR95" s="846" t="s">
        <v>194</v>
      </c>
      <c r="AS95" s="846" t="s">
        <v>194</v>
      </c>
      <c r="AT95" s="846" t="s">
        <v>194</v>
      </c>
      <c r="AU95" s="846" t="s">
        <v>194</v>
      </c>
      <c r="AV95" s="846" t="s">
        <v>194</v>
      </c>
      <c r="AW95" s="846" t="s">
        <v>194</v>
      </c>
      <c r="AX95" s="846" t="s">
        <v>194</v>
      </c>
      <c r="AY95" s="846" t="s">
        <v>194</v>
      </c>
    </row>
    <row r="96" ht="15.75" customHeight="1" outlineLevel="1">
      <c r="A96" s="967">
        <v>1.0</v>
      </c>
      <c r="B96" s="968"/>
      <c r="C96" s="969" t="str">
        <f>"    Total Unusual Items Excluding Goodwill"</f>
        <v>    Total Unusual Items Excluding Goodwill</v>
      </c>
      <c r="D96" s="970">
        <f t="shared" si="40"/>
        <v>7839.5</v>
      </c>
      <c r="E96" s="970">
        <f t="shared" si="41"/>
        <v>13519.1</v>
      </c>
      <c r="F96" s="970">
        <f t="shared" si="42"/>
        <v>0</v>
      </c>
      <c r="G96" s="970">
        <f t="shared" si="43"/>
        <v>50514</v>
      </c>
      <c r="H96" s="970">
        <f t="shared" si="44"/>
        <v>1478</v>
      </c>
      <c r="I96" s="970">
        <f t="shared" si="45"/>
        <v>20198.25</v>
      </c>
      <c r="J96" s="970">
        <f t="shared" si="46"/>
        <v>16094.88421</v>
      </c>
      <c r="K96" s="971">
        <f t="shared" si="47"/>
        <v>1.190529267</v>
      </c>
      <c r="L96" s="970" t="s">
        <v>194</v>
      </c>
      <c r="M96" s="970" t="s">
        <v>194</v>
      </c>
      <c r="N96" s="970" t="s">
        <v>194</v>
      </c>
      <c r="O96" s="904" t="s">
        <v>194</v>
      </c>
      <c r="P96" s="904" t="s">
        <v>194</v>
      </c>
      <c r="Q96" s="970">
        <v>50.0</v>
      </c>
      <c r="R96" s="970">
        <v>5303.0</v>
      </c>
      <c r="S96" s="970">
        <v>13389.0</v>
      </c>
      <c r="T96" s="970">
        <v>5461.0</v>
      </c>
      <c r="U96" s="970">
        <v>50514.0</v>
      </c>
      <c r="V96" s="970">
        <v>0.0</v>
      </c>
      <c r="W96" s="970" t="s">
        <v>194</v>
      </c>
      <c r="X96" s="970">
        <v>203.0</v>
      </c>
      <c r="Y96" s="970" t="s">
        <v>194</v>
      </c>
      <c r="Z96" s="970">
        <v>10218.0</v>
      </c>
      <c r="AA96" s="970">
        <v>27585.0</v>
      </c>
      <c r="AB96" s="970">
        <v>22468.0</v>
      </c>
      <c r="AC96" s="968"/>
      <c r="AD96" s="972" t="s">
        <v>194</v>
      </c>
      <c r="AE96" s="968" t="s">
        <v>194</v>
      </c>
      <c r="AF96" s="968" t="s">
        <v>194</v>
      </c>
      <c r="AG96" s="968" t="s">
        <v>194</v>
      </c>
      <c r="AH96" s="968" t="s">
        <v>194</v>
      </c>
      <c r="AI96" s="968" t="s">
        <v>194</v>
      </c>
      <c r="AJ96" s="968" t="s">
        <v>194</v>
      </c>
      <c r="AK96" s="968" t="s">
        <v>194</v>
      </c>
      <c r="AL96" s="968" t="s">
        <v>194</v>
      </c>
      <c r="AM96" s="968" t="s">
        <v>194</v>
      </c>
      <c r="AN96" s="968" t="s">
        <v>194</v>
      </c>
      <c r="AO96" s="968" t="s">
        <v>194</v>
      </c>
      <c r="AP96" s="968" t="s">
        <v>194</v>
      </c>
      <c r="AQ96" s="968" t="s">
        <v>194</v>
      </c>
      <c r="AR96" s="968" t="s">
        <v>194</v>
      </c>
      <c r="AS96" s="968" t="s">
        <v>194</v>
      </c>
      <c r="AT96" s="968" t="s">
        <v>194</v>
      </c>
      <c r="AU96" s="968" t="s">
        <v>194</v>
      </c>
      <c r="AV96" s="968" t="s">
        <v>194</v>
      </c>
      <c r="AW96" s="968" t="s">
        <v>194</v>
      </c>
      <c r="AX96" s="968" t="s">
        <v>194</v>
      </c>
      <c r="AY96" s="968" t="s">
        <v>194</v>
      </c>
    </row>
    <row r="97" ht="15.75" customHeight="1" outlineLevel="1">
      <c r="A97" s="849">
        <v>1.0</v>
      </c>
      <c r="B97" s="15"/>
      <c r="C97" s="869" t="str">
        <f>"    Cost of Revenue and Operating Expense"</f>
        <v>    Cost of Revenue and Operating Expense</v>
      </c>
      <c r="D97" s="870">
        <f t="shared" si="40"/>
        <v>134962</v>
      </c>
      <c r="E97" s="870">
        <f t="shared" si="41"/>
        <v>138046.8478</v>
      </c>
      <c r="F97" s="870">
        <f t="shared" si="42"/>
        <v>20649</v>
      </c>
      <c r="G97" s="870">
        <f t="shared" si="43"/>
        <v>327436</v>
      </c>
      <c r="H97" s="870">
        <f t="shared" si="44"/>
        <v>89316.5</v>
      </c>
      <c r="I97" s="870">
        <f t="shared" si="45"/>
        <v>166911.5</v>
      </c>
      <c r="J97" s="870">
        <f t="shared" si="46"/>
        <v>83119.68728</v>
      </c>
      <c r="K97" s="871">
        <f t="shared" si="47"/>
        <v>0.6021121714</v>
      </c>
      <c r="L97" s="872" t="s">
        <v>194</v>
      </c>
      <c r="M97" s="872">
        <v>20649.0</v>
      </c>
      <c r="N97" s="872">
        <v>42330.0</v>
      </c>
      <c r="O97" s="904" t="s">
        <v>194</v>
      </c>
      <c r="P97" s="904">
        <v>38410.717</v>
      </c>
      <c r="Q97" s="872">
        <v>72750.0</v>
      </c>
      <c r="R97" s="872">
        <v>105883.0</v>
      </c>
      <c r="S97" s="872">
        <v>148289.0</v>
      </c>
      <c r="T97" s="872">
        <v>134962.0</v>
      </c>
      <c r="U97" s="872">
        <v>129686.0</v>
      </c>
      <c r="V97" s="872">
        <v>124465.0</v>
      </c>
      <c r="W97" s="872">
        <v>136382.0</v>
      </c>
      <c r="X97" s="872">
        <v>170891.0</v>
      </c>
      <c r="Y97" s="872">
        <v>162932.0</v>
      </c>
      <c r="Z97" s="872">
        <v>180389.0</v>
      </c>
      <c r="AA97" s="872">
        <v>275248.0</v>
      </c>
      <c r="AB97" s="872">
        <v>327436.0</v>
      </c>
      <c r="AC97" s="15"/>
      <c r="AD97" s="851" t="s">
        <v>194</v>
      </c>
      <c r="AE97" s="846" t="s">
        <v>194</v>
      </c>
      <c r="AF97" s="846" t="s">
        <v>194</v>
      </c>
      <c r="AG97" s="846" t="s">
        <v>194</v>
      </c>
      <c r="AH97" s="846" t="s">
        <v>194</v>
      </c>
      <c r="AI97" s="846" t="s">
        <v>194</v>
      </c>
      <c r="AJ97" s="846" t="s">
        <v>194</v>
      </c>
      <c r="AK97" s="846" t="s">
        <v>194</v>
      </c>
      <c r="AL97" s="846" t="s">
        <v>194</v>
      </c>
      <c r="AM97" s="846" t="s">
        <v>194</v>
      </c>
      <c r="AN97" s="846" t="s">
        <v>194</v>
      </c>
      <c r="AO97" s="846" t="s">
        <v>194</v>
      </c>
      <c r="AP97" s="846" t="s">
        <v>194</v>
      </c>
      <c r="AQ97" s="846" t="s">
        <v>194</v>
      </c>
      <c r="AR97" s="846" t="s">
        <v>194</v>
      </c>
      <c r="AS97" s="846" t="s">
        <v>194</v>
      </c>
      <c r="AT97" s="846" t="s">
        <v>194</v>
      </c>
      <c r="AU97" s="846" t="s">
        <v>194</v>
      </c>
      <c r="AV97" s="846" t="s">
        <v>194</v>
      </c>
      <c r="AW97" s="846" t="s">
        <v>194</v>
      </c>
      <c r="AX97" s="846" t="s">
        <v>194</v>
      </c>
      <c r="AY97" s="846" t="s">
        <v>194</v>
      </c>
    </row>
    <row r="98" ht="15.75" customHeight="1" outlineLevel="1">
      <c r="A98" s="849">
        <v>1.0</v>
      </c>
      <c r="B98" s="15"/>
      <c r="C98" s="869" t="str">
        <f>"    Net Operating Profit After Tax (NOPAT)"</f>
        <v>    Net Operating Profit After Tax (NOPAT)</v>
      </c>
      <c r="D98" s="870">
        <f t="shared" si="40"/>
        <v>-9553.9945</v>
      </c>
      <c r="E98" s="870">
        <f t="shared" si="41"/>
        <v>-4436.719718</v>
      </c>
      <c r="F98" s="870">
        <f t="shared" si="42"/>
        <v>-61422</v>
      </c>
      <c r="G98" s="870">
        <f t="shared" si="43"/>
        <v>54535</v>
      </c>
      <c r="H98" s="870">
        <f t="shared" si="44"/>
        <v>-15633.875</v>
      </c>
      <c r="I98" s="870">
        <f t="shared" si="45"/>
        <v>2268.08437</v>
      </c>
      <c r="J98" s="870">
        <f t="shared" si="46"/>
        <v>27058.00119</v>
      </c>
      <c r="K98" s="871">
        <f t="shared" si="47"/>
        <v>-6.098650109</v>
      </c>
      <c r="L98" s="872" t="s">
        <v>194</v>
      </c>
      <c r="M98" s="872">
        <v>-12680.0</v>
      </c>
      <c r="N98" s="872">
        <v>-20947.0</v>
      </c>
      <c r="O98" s="904">
        <v>-11463.257</v>
      </c>
      <c r="P98" s="904">
        <v>-7644.732</v>
      </c>
      <c r="Q98" s="872">
        <v>242.0</v>
      </c>
      <c r="R98" s="872">
        <v>8346.337481287426</v>
      </c>
      <c r="S98" s="872">
        <v>-20591.7</v>
      </c>
      <c r="T98" s="872">
        <v>-19921.1</v>
      </c>
      <c r="U98" s="872">
        <v>-61422.0</v>
      </c>
      <c r="V98" s="872">
        <v>-12202.0</v>
      </c>
      <c r="W98" s="872">
        <v>-7174.05</v>
      </c>
      <c r="X98" s="872">
        <v>-3488.463</v>
      </c>
      <c r="Y98" s="872">
        <v>8871.079027355623</v>
      </c>
      <c r="Z98" s="872">
        <v>54535.0</v>
      </c>
      <c r="AA98" s="872">
        <v>-14204.8</v>
      </c>
      <c r="AB98" s="872">
        <v>48757.17</v>
      </c>
      <c r="AC98" s="15"/>
      <c r="AD98" s="851" t="s">
        <v>194</v>
      </c>
      <c r="AE98" s="846" t="s">
        <v>194</v>
      </c>
      <c r="AF98" s="846" t="s">
        <v>194</v>
      </c>
      <c r="AG98" s="846" t="s">
        <v>194</v>
      </c>
      <c r="AH98" s="846" t="s">
        <v>194</v>
      </c>
      <c r="AI98" s="846" t="s">
        <v>194</v>
      </c>
      <c r="AJ98" s="846" t="s">
        <v>194</v>
      </c>
      <c r="AK98" s="846" t="s">
        <v>194</v>
      </c>
      <c r="AL98" s="846" t="s">
        <v>194</v>
      </c>
      <c r="AM98" s="846" t="s">
        <v>194</v>
      </c>
      <c r="AN98" s="846" t="s">
        <v>194</v>
      </c>
      <c r="AO98" s="846" t="s">
        <v>194</v>
      </c>
      <c r="AP98" s="846" t="s">
        <v>194</v>
      </c>
      <c r="AQ98" s="846" t="s">
        <v>194</v>
      </c>
      <c r="AR98" s="846" t="s">
        <v>194</v>
      </c>
      <c r="AS98" s="846" t="s">
        <v>194</v>
      </c>
      <c r="AT98" s="846" t="s">
        <v>194</v>
      </c>
      <c r="AU98" s="846" t="s">
        <v>194</v>
      </c>
      <c r="AV98" s="846" t="s">
        <v>194</v>
      </c>
      <c r="AW98" s="846" t="s">
        <v>194</v>
      </c>
      <c r="AX98" s="846" t="s">
        <v>194</v>
      </c>
      <c r="AY98" s="846" t="s">
        <v>194</v>
      </c>
    </row>
    <row r="99" ht="15.75" customHeight="1">
      <c r="A99" s="849">
        <v>1.0</v>
      </c>
      <c r="B99" s="15"/>
      <c r="C99" s="855" t="str">
        <f>"Data Origination"</f>
        <v>Data Origination</v>
      </c>
      <c r="D99" s="867" t="s">
        <v>194</v>
      </c>
      <c r="E99" s="867" t="s">
        <v>194</v>
      </c>
      <c r="F99" s="867" t="s">
        <v>194</v>
      </c>
      <c r="G99" s="867" t="s">
        <v>194</v>
      </c>
      <c r="H99" s="867" t="s">
        <v>194</v>
      </c>
      <c r="I99" s="867" t="s">
        <v>194</v>
      </c>
      <c r="J99" s="867" t="s">
        <v>194</v>
      </c>
      <c r="K99" s="867" t="s">
        <v>194</v>
      </c>
      <c r="L99" s="867" t="s">
        <v>194</v>
      </c>
      <c r="M99" s="867" t="s">
        <v>194</v>
      </c>
      <c r="N99" s="867" t="s">
        <v>194</v>
      </c>
      <c r="O99" s="927" t="s">
        <v>194</v>
      </c>
      <c r="P99" s="927" t="s">
        <v>194</v>
      </c>
      <c r="Q99" s="867" t="s">
        <v>194</v>
      </c>
      <c r="R99" s="867" t="s">
        <v>194</v>
      </c>
      <c r="S99" s="867" t="s">
        <v>194</v>
      </c>
      <c r="T99" s="867" t="s">
        <v>194</v>
      </c>
      <c r="U99" s="867" t="s">
        <v>194</v>
      </c>
      <c r="V99" s="867" t="s">
        <v>194</v>
      </c>
      <c r="W99" s="867" t="s">
        <v>194</v>
      </c>
      <c r="X99" s="867" t="s">
        <v>194</v>
      </c>
      <c r="Y99" s="867" t="s">
        <v>194</v>
      </c>
      <c r="Z99" s="867" t="s">
        <v>194</v>
      </c>
      <c r="AA99" s="867" t="s">
        <v>194</v>
      </c>
      <c r="AB99" s="867" t="s">
        <v>194</v>
      </c>
      <c r="AC99" s="15"/>
      <c r="AD99" s="851" t="s">
        <v>194</v>
      </c>
      <c r="AE99" s="846" t="s">
        <v>194</v>
      </c>
      <c r="AF99" s="846" t="s">
        <v>194</v>
      </c>
      <c r="AG99" s="846" t="s">
        <v>194</v>
      </c>
      <c r="AH99" s="846" t="s">
        <v>194</v>
      </c>
      <c r="AI99" s="846" t="s">
        <v>194</v>
      </c>
      <c r="AJ99" s="846" t="s">
        <v>194</v>
      </c>
      <c r="AK99" s="846" t="s">
        <v>194</v>
      </c>
      <c r="AL99" s="846" t="s">
        <v>194</v>
      </c>
      <c r="AM99" s="846" t="s">
        <v>194</v>
      </c>
      <c r="AN99" s="846" t="s">
        <v>194</v>
      </c>
      <c r="AO99" s="846" t="s">
        <v>194</v>
      </c>
      <c r="AP99" s="846" t="s">
        <v>194</v>
      </c>
      <c r="AQ99" s="846" t="s">
        <v>194</v>
      </c>
      <c r="AR99" s="846" t="s">
        <v>194</v>
      </c>
      <c r="AS99" s="846" t="s">
        <v>194</v>
      </c>
      <c r="AT99" s="846" t="s">
        <v>194</v>
      </c>
      <c r="AU99" s="846" t="s">
        <v>194</v>
      </c>
      <c r="AV99" s="846" t="s">
        <v>194</v>
      </c>
      <c r="AW99" s="846" t="s">
        <v>194</v>
      </c>
      <c r="AX99" s="846" t="s">
        <v>194</v>
      </c>
      <c r="AY99" s="846" t="s">
        <v>194</v>
      </c>
    </row>
    <row r="100" ht="15.75" customHeight="1">
      <c r="A100" s="849">
        <v>1.0</v>
      </c>
      <c r="B100" s="15"/>
      <c r="C100" s="869" t="str">
        <f>"    Preliminary"</f>
        <v>    Preliminary</v>
      </c>
      <c r="D100" s="889" t="s">
        <v>194</v>
      </c>
      <c r="E100" s="889" t="s">
        <v>194</v>
      </c>
      <c r="F100" s="889" t="s">
        <v>194</v>
      </c>
      <c r="G100" s="889" t="s">
        <v>194</v>
      </c>
      <c r="H100" s="889" t="s">
        <v>194</v>
      </c>
      <c r="I100" s="889" t="s">
        <v>194</v>
      </c>
      <c r="J100" s="889" t="s">
        <v>194</v>
      </c>
      <c r="K100" s="889" t="s">
        <v>194</v>
      </c>
      <c r="L100" s="890" t="s">
        <v>194</v>
      </c>
      <c r="M100" s="890" t="s">
        <v>340</v>
      </c>
      <c r="N100" s="890" t="s">
        <v>340</v>
      </c>
      <c r="O100" s="931" t="s">
        <v>340</v>
      </c>
      <c r="P100" s="931" t="s">
        <v>340</v>
      </c>
      <c r="Q100" s="890" t="s">
        <v>340</v>
      </c>
      <c r="R100" s="890" t="s">
        <v>340</v>
      </c>
      <c r="S100" s="890" t="s">
        <v>340</v>
      </c>
      <c r="T100" s="890" t="s">
        <v>340</v>
      </c>
      <c r="U100" s="890" t="s">
        <v>340</v>
      </c>
      <c r="V100" s="890" t="s">
        <v>340</v>
      </c>
      <c r="W100" s="890" t="s">
        <v>340</v>
      </c>
      <c r="X100" s="890" t="s">
        <v>340</v>
      </c>
      <c r="Y100" s="890" t="s">
        <v>340</v>
      </c>
      <c r="Z100" s="890" t="s">
        <v>340</v>
      </c>
      <c r="AA100" s="890" t="s">
        <v>340</v>
      </c>
      <c r="AB100" s="890" t="s">
        <v>340</v>
      </c>
      <c r="AC100" s="15"/>
      <c r="AD100" s="851" t="s">
        <v>194</v>
      </c>
      <c r="AE100" s="846" t="s">
        <v>194</v>
      </c>
      <c r="AF100" s="846" t="s">
        <v>194</v>
      </c>
      <c r="AG100" s="846" t="s">
        <v>194</v>
      </c>
      <c r="AH100" s="846" t="s">
        <v>194</v>
      </c>
      <c r="AI100" s="846" t="s">
        <v>194</v>
      </c>
      <c r="AJ100" s="846" t="s">
        <v>194</v>
      </c>
      <c r="AK100" s="846" t="s">
        <v>194</v>
      </c>
      <c r="AL100" s="846" t="s">
        <v>194</v>
      </c>
      <c r="AM100" s="846" t="s">
        <v>194</v>
      </c>
      <c r="AN100" s="846" t="s">
        <v>194</v>
      </c>
      <c r="AO100" s="846" t="s">
        <v>194</v>
      </c>
      <c r="AP100" s="846" t="s">
        <v>194</v>
      </c>
      <c r="AQ100" s="846" t="s">
        <v>194</v>
      </c>
      <c r="AR100" s="846" t="s">
        <v>194</v>
      </c>
      <c r="AS100" s="846" t="s">
        <v>194</v>
      </c>
      <c r="AT100" s="846" t="s">
        <v>194</v>
      </c>
      <c r="AU100" s="846" t="s">
        <v>194</v>
      </c>
      <c r="AV100" s="846" t="s">
        <v>194</v>
      </c>
      <c r="AW100" s="846" t="s">
        <v>194</v>
      </c>
      <c r="AX100" s="846" t="s">
        <v>194</v>
      </c>
      <c r="AY100" s="846" t="s">
        <v>194</v>
      </c>
    </row>
    <row r="101" ht="15.75" customHeight="1">
      <c r="A101" s="849">
        <v>1.0</v>
      </c>
      <c r="B101" s="15"/>
      <c r="C101" s="869" t="str">
        <f>"    Original"</f>
        <v>    Original</v>
      </c>
      <c r="D101" s="889" t="s">
        <v>194</v>
      </c>
      <c r="E101" s="889" t="s">
        <v>194</v>
      </c>
      <c r="F101" s="889" t="s">
        <v>194</v>
      </c>
      <c r="G101" s="889" t="s">
        <v>194</v>
      </c>
      <c r="H101" s="889" t="s">
        <v>194</v>
      </c>
      <c r="I101" s="889" t="s">
        <v>194</v>
      </c>
      <c r="J101" s="889" t="s">
        <v>194</v>
      </c>
      <c r="K101" s="889" t="s">
        <v>194</v>
      </c>
      <c r="L101" s="890" t="s">
        <v>194</v>
      </c>
      <c r="M101" s="890" t="s">
        <v>340</v>
      </c>
      <c r="N101" s="890" t="s">
        <v>340</v>
      </c>
      <c r="O101" s="931" t="s">
        <v>340</v>
      </c>
      <c r="P101" s="931" t="s">
        <v>340</v>
      </c>
      <c r="Q101" s="890" t="s">
        <v>340</v>
      </c>
      <c r="R101" s="890" t="s">
        <v>340</v>
      </c>
      <c r="S101" s="890" t="s">
        <v>340</v>
      </c>
      <c r="T101" s="890" t="s">
        <v>340</v>
      </c>
      <c r="U101" s="890" t="s">
        <v>340</v>
      </c>
      <c r="V101" s="890" t="s">
        <v>340</v>
      </c>
      <c r="W101" s="890" t="s">
        <v>340</v>
      </c>
      <c r="X101" s="890" t="s">
        <v>340</v>
      </c>
      <c r="Y101" s="890" t="s">
        <v>340</v>
      </c>
      <c r="Z101" s="890" t="s">
        <v>340</v>
      </c>
      <c r="AA101" s="890" t="s">
        <v>340</v>
      </c>
      <c r="AB101" s="890" t="s">
        <v>340</v>
      </c>
      <c r="AC101" s="15"/>
      <c r="AD101" s="851" t="s">
        <v>194</v>
      </c>
      <c r="AE101" s="846" t="s">
        <v>194</v>
      </c>
      <c r="AF101" s="846" t="s">
        <v>194</v>
      </c>
      <c r="AG101" s="846" t="s">
        <v>194</v>
      </c>
      <c r="AH101" s="846" t="s">
        <v>194</v>
      </c>
      <c r="AI101" s="846" t="s">
        <v>194</v>
      </c>
      <c r="AJ101" s="846" t="s">
        <v>194</v>
      </c>
      <c r="AK101" s="846" t="s">
        <v>194</v>
      </c>
      <c r="AL101" s="846" t="s">
        <v>194</v>
      </c>
      <c r="AM101" s="846" t="s">
        <v>194</v>
      </c>
      <c r="AN101" s="846" t="s">
        <v>194</v>
      </c>
      <c r="AO101" s="846" t="s">
        <v>194</v>
      </c>
      <c r="AP101" s="846" t="s">
        <v>194</v>
      </c>
      <c r="AQ101" s="846" t="s">
        <v>194</v>
      </c>
      <c r="AR101" s="846" t="s">
        <v>194</v>
      </c>
      <c r="AS101" s="846" t="s">
        <v>194</v>
      </c>
      <c r="AT101" s="846" t="s">
        <v>194</v>
      </c>
      <c r="AU101" s="846" t="s">
        <v>194</v>
      </c>
      <c r="AV101" s="846" t="s">
        <v>194</v>
      </c>
      <c r="AW101" s="846" t="s">
        <v>194</v>
      </c>
      <c r="AX101" s="846" t="s">
        <v>194</v>
      </c>
      <c r="AY101" s="846" t="s">
        <v>194</v>
      </c>
    </row>
    <row r="102" ht="15.75" customHeight="1">
      <c r="A102" s="849">
        <v>1.0</v>
      </c>
      <c r="B102" s="15"/>
      <c r="C102" s="869" t="str">
        <f>"    Restated"</f>
        <v>    Restated</v>
      </c>
      <c r="D102" s="889" t="s">
        <v>194</v>
      </c>
      <c r="E102" s="889" t="s">
        <v>194</v>
      </c>
      <c r="F102" s="889" t="s">
        <v>194</v>
      </c>
      <c r="G102" s="889" t="s">
        <v>194</v>
      </c>
      <c r="H102" s="889" t="s">
        <v>194</v>
      </c>
      <c r="I102" s="889" t="s">
        <v>194</v>
      </c>
      <c r="J102" s="889" t="s">
        <v>194</v>
      </c>
      <c r="K102" s="889" t="s">
        <v>194</v>
      </c>
      <c r="L102" s="890" t="s">
        <v>194</v>
      </c>
      <c r="M102" s="890" t="s">
        <v>340</v>
      </c>
      <c r="N102" s="890" t="s">
        <v>340</v>
      </c>
      <c r="O102" s="931" t="s">
        <v>340</v>
      </c>
      <c r="P102" s="931" t="s">
        <v>340</v>
      </c>
      <c r="Q102" s="890" t="s">
        <v>340</v>
      </c>
      <c r="R102" s="890" t="s">
        <v>340</v>
      </c>
      <c r="S102" s="890" t="s">
        <v>340</v>
      </c>
      <c r="T102" s="890" t="s">
        <v>340</v>
      </c>
      <c r="U102" s="890" t="s">
        <v>340</v>
      </c>
      <c r="V102" s="890" t="s">
        <v>340</v>
      </c>
      <c r="W102" s="890" t="s">
        <v>340</v>
      </c>
      <c r="X102" s="890" t="s">
        <v>340</v>
      </c>
      <c r="Y102" s="890" t="s">
        <v>340</v>
      </c>
      <c r="Z102" s="890" t="s">
        <v>340</v>
      </c>
      <c r="AA102" s="890" t="s">
        <v>340</v>
      </c>
      <c r="AB102" s="890" t="s">
        <v>340</v>
      </c>
      <c r="AC102" s="15"/>
      <c r="AD102" s="851" t="s">
        <v>194</v>
      </c>
      <c r="AE102" s="846" t="s">
        <v>194</v>
      </c>
      <c r="AF102" s="846" t="s">
        <v>194</v>
      </c>
      <c r="AG102" s="846" t="s">
        <v>194</v>
      </c>
      <c r="AH102" s="846" t="s">
        <v>194</v>
      </c>
      <c r="AI102" s="846" t="s">
        <v>194</v>
      </c>
      <c r="AJ102" s="846" t="s">
        <v>194</v>
      </c>
      <c r="AK102" s="846" t="s">
        <v>194</v>
      </c>
      <c r="AL102" s="846" t="s">
        <v>194</v>
      </c>
      <c r="AM102" s="846" t="s">
        <v>194</v>
      </c>
      <c r="AN102" s="846" t="s">
        <v>194</v>
      </c>
      <c r="AO102" s="846" t="s">
        <v>194</v>
      </c>
      <c r="AP102" s="846" t="s">
        <v>194</v>
      </c>
      <c r="AQ102" s="846" t="s">
        <v>194</v>
      </c>
      <c r="AR102" s="846" t="s">
        <v>194</v>
      </c>
      <c r="AS102" s="846" t="s">
        <v>194</v>
      </c>
      <c r="AT102" s="846" t="s">
        <v>194</v>
      </c>
      <c r="AU102" s="846" t="s">
        <v>194</v>
      </c>
      <c r="AV102" s="846" t="s">
        <v>194</v>
      </c>
      <c r="AW102" s="846" t="s">
        <v>194</v>
      </c>
      <c r="AX102" s="846" t="s">
        <v>194</v>
      </c>
      <c r="AY102" s="846" t="s">
        <v>194</v>
      </c>
    </row>
    <row r="103" ht="15.75" customHeight="1">
      <c r="A103" s="849">
        <v>1.0</v>
      </c>
      <c r="B103" s="15"/>
      <c r="C103" s="869" t="str">
        <f>"    Calculated"</f>
        <v>    Calculated</v>
      </c>
      <c r="D103" s="889" t="s">
        <v>194</v>
      </c>
      <c r="E103" s="889" t="s">
        <v>194</v>
      </c>
      <c r="F103" s="889" t="s">
        <v>194</v>
      </c>
      <c r="G103" s="889" t="s">
        <v>194</v>
      </c>
      <c r="H103" s="889" t="s">
        <v>194</v>
      </c>
      <c r="I103" s="889" t="s">
        <v>194</v>
      </c>
      <c r="J103" s="889" t="s">
        <v>194</v>
      </c>
      <c r="K103" s="889" t="s">
        <v>194</v>
      </c>
      <c r="L103" s="890" t="s">
        <v>194</v>
      </c>
      <c r="M103" s="890" t="s">
        <v>340</v>
      </c>
      <c r="N103" s="890" t="s">
        <v>340</v>
      </c>
      <c r="O103" s="931" t="s">
        <v>340</v>
      </c>
      <c r="P103" s="931" t="s">
        <v>340</v>
      </c>
      <c r="Q103" s="890" t="s">
        <v>340</v>
      </c>
      <c r="R103" s="890" t="s">
        <v>340</v>
      </c>
      <c r="S103" s="890" t="s">
        <v>340</v>
      </c>
      <c r="T103" s="890" t="s">
        <v>340</v>
      </c>
      <c r="U103" s="890" t="s">
        <v>340</v>
      </c>
      <c r="V103" s="890" t="s">
        <v>340</v>
      </c>
      <c r="W103" s="890" t="s">
        <v>340</v>
      </c>
      <c r="X103" s="890" t="s">
        <v>340</v>
      </c>
      <c r="Y103" s="890" t="s">
        <v>340</v>
      </c>
      <c r="Z103" s="890" t="s">
        <v>340</v>
      </c>
      <c r="AA103" s="890" t="s">
        <v>340</v>
      </c>
      <c r="AB103" s="890" t="s">
        <v>340</v>
      </c>
      <c r="AC103" s="15"/>
      <c r="AD103" s="851" t="s">
        <v>194</v>
      </c>
      <c r="AE103" s="846" t="s">
        <v>194</v>
      </c>
      <c r="AF103" s="846" t="s">
        <v>194</v>
      </c>
      <c r="AG103" s="846" t="s">
        <v>194</v>
      </c>
      <c r="AH103" s="846" t="s">
        <v>194</v>
      </c>
      <c r="AI103" s="846" t="s">
        <v>194</v>
      </c>
      <c r="AJ103" s="846" t="s">
        <v>194</v>
      </c>
      <c r="AK103" s="846" t="s">
        <v>194</v>
      </c>
      <c r="AL103" s="846" t="s">
        <v>194</v>
      </c>
      <c r="AM103" s="846" t="s">
        <v>194</v>
      </c>
      <c r="AN103" s="846" t="s">
        <v>194</v>
      </c>
      <c r="AO103" s="846" t="s">
        <v>194</v>
      </c>
      <c r="AP103" s="846" t="s">
        <v>194</v>
      </c>
      <c r="AQ103" s="846" t="s">
        <v>194</v>
      </c>
      <c r="AR103" s="846" t="s">
        <v>194</v>
      </c>
      <c r="AS103" s="846" t="s">
        <v>194</v>
      </c>
      <c r="AT103" s="846" t="s">
        <v>194</v>
      </c>
      <c r="AU103" s="846" t="s">
        <v>194</v>
      </c>
      <c r="AV103" s="846" t="s">
        <v>194</v>
      </c>
      <c r="AW103" s="846" t="s">
        <v>194</v>
      </c>
      <c r="AX103" s="846" t="s">
        <v>194</v>
      </c>
      <c r="AY103" s="846" t="s">
        <v>194</v>
      </c>
    </row>
    <row r="104" ht="15.75" customHeight="1">
      <c r="A104" s="849" t="s">
        <v>194</v>
      </c>
      <c r="B104" s="15"/>
      <c r="C104" s="15"/>
      <c r="D104" s="15"/>
      <c r="E104" s="15"/>
      <c r="F104" s="15"/>
      <c r="G104" s="15"/>
      <c r="H104" s="15"/>
      <c r="I104" s="15"/>
      <c r="J104" s="15"/>
      <c r="K104" s="15"/>
      <c r="L104" s="15"/>
      <c r="M104" s="15"/>
      <c r="N104" s="15"/>
      <c r="O104" s="896"/>
      <c r="P104" s="896"/>
      <c r="Q104" s="15"/>
      <c r="R104" s="15"/>
      <c r="S104" s="15"/>
      <c r="T104" s="15"/>
      <c r="U104" s="15"/>
      <c r="V104" s="15"/>
      <c r="W104" s="15"/>
      <c r="X104" s="15"/>
      <c r="Y104" s="15"/>
      <c r="Z104" s="15"/>
      <c r="AA104" s="15"/>
      <c r="AB104" s="15"/>
      <c r="AC104" s="15"/>
      <c r="AD104" s="851" t="s">
        <v>194</v>
      </c>
      <c r="AE104" s="846" t="s">
        <v>194</v>
      </c>
      <c r="AF104" s="846" t="s">
        <v>194</v>
      </c>
      <c r="AG104" s="846" t="s">
        <v>194</v>
      </c>
      <c r="AH104" s="846" t="s">
        <v>194</v>
      </c>
      <c r="AI104" s="846" t="s">
        <v>194</v>
      </c>
      <c r="AJ104" s="846" t="s">
        <v>194</v>
      </c>
      <c r="AK104" s="846" t="s">
        <v>194</v>
      </c>
      <c r="AL104" s="846" t="s">
        <v>194</v>
      </c>
      <c r="AM104" s="846" t="s">
        <v>194</v>
      </c>
      <c r="AN104" s="846" t="s">
        <v>194</v>
      </c>
      <c r="AO104" s="846" t="s">
        <v>194</v>
      </c>
      <c r="AP104" s="846" t="s">
        <v>194</v>
      </c>
      <c r="AQ104" s="846" t="s">
        <v>194</v>
      </c>
      <c r="AR104" s="846" t="s">
        <v>194</v>
      </c>
      <c r="AS104" s="846" t="s">
        <v>194</v>
      </c>
      <c r="AT104" s="846" t="s">
        <v>194</v>
      </c>
      <c r="AU104" s="846" t="s">
        <v>194</v>
      </c>
      <c r="AV104" s="846" t="s">
        <v>194</v>
      </c>
      <c r="AW104" s="846" t="s">
        <v>194</v>
      </c>
      <c r="AX104" s="846" t="s">
        <v>194</v>
      </c>
      <c r="AY104" s="846" t="s">
        <v>194</v>
      </c>
    </row>
    <row r="105" ht="15.75" customHeight="1">
      <c r="A105" s="849" t="s">
        <v>194</v>
      </c>
      <c r="B105" s="15"/>
      <c r="C105" s="15"/>
      <c r="D105" s="15"/>
      <c r="E105" s="15"/>
      <c r="F105" s="15"/>
      <c r="G105" s="15"/>
      <c r="H105" s="15"/>
      <c r="I105" s="15"/>
      <c r="J105" s="15"/>
      <c r="K105" s="15"/>
      <c r="L105" s="15"/>
      <c r="M105" s="15"/>
      <c r="N105" s="15"/>
      <c r="O105" s="896"/>
      <c r="P105" s="896"/>
      <c r="Q105" s="15"/>
      <c r="R105" s="15"/>
      <c r="S105" s="15"/>
      <c r="T105" s="15"/>
      <c r="U105" s="15"/>
      <c r="V105" s="15"/>
      <c r="W105" s="15"/>
      <c r="X105" s="15"/>
      <c r="Y105" s="15"/>
      <c r="Z105" s="15"/>
      <c r="AA105" s="15"/>
      <c r="AB105" s="15"/>
      <c r="AC105" s="15"/>
      <c r="AD105" s="851" t="s">
        <v>194</v>
      </c>
      <c r="AE105" s="846" t="s">
        <v>194</v>
      </c>
      <c r="AF105" s="846" t="s">
        <v>194</v>
      </c>
      <c r="AG105" s="846" t="s">
        <v>194</v>
      </c>
      <c r="AH105" s="846" t="s">
        <v>194</v>
      </c>
      <c r="AI105" s="846" t="s">
        <v>194</v>
      </c>
      <c r="AJ105" s="846" t="s">
        <v>194</v>
      </c>
      <c r="AK105" s="846" t="s">
        <v>194</v>
      </c>
      <c r="AL105" s="846" t="s">
        <v>194</v>
      </c>
      <c r="AM105" s="846" t="s">
        <v>194</v>
      </c>
      <c r="AN105" s="846" t="s">
        <v>194</v>
      </c>
      <c r="AO105" s="846" t="s">
        <v>194</v>
      </c>
      <c r="AP105" s="846" t="s">
        <v>194</v>
      </c>
      <c r="AQ105" s="846" t="s">
        <v>194</v>
      </c>
      <c r="AR105" s="846" t="s">
        <v>194</v>
      </c>
      <c r="AS105" s="846" t="s">
        <v>194</v>
      </c>
      <c r="AT105" s="846" t="s">
        <v>194</v>
      </c>
      <c r="AU105" s="846" t="s">
        <v>194</v>
      </c>
      <c r="AV105" s="846" t="s">
        <v>194</v>
      </c>
      <c r="AW105" s="846" t="s">
        <v>194</v>
      </c>
      <c r="AX105" s="846" t="s">
        <v>194</v>
      </c>
      <c r="AY105" s="846" t="s">
        <v>194</v>
      </c>
    </row>
    <row r="106" ht="15.75" customHeight="1">
      <c r="A106" s="849" t="s">
        <v>194</v>
      </c>
      <c r="B106" s="15"/>
      <c r="C106" s="892" t="s">
        <v>344</v>
      </c>
      <c r="D106" s="15"/>
      <c r="E106" s="15"/>
      <c r="F106" s="15"/>
      <c r="G106" s="15"/>
      <c r="H106" s="15"/>
      <c r="I106" s="15"/>
      <c r="J106" s="15"/>
      <c r="K106" s="15"/>
      <c r="L106" s="15"/>
      <c r="M106" s="15"/>
      <c r="N106" s="15"/>
      <c r="O106" s="896"/>
      <c r="P106" s="896"/>
      <c r="Q106" s="15"/>
      <c r="R106" s="15"/>
      <c r="S106" s="15"/>
      <c r="T106" s="15"/>
      <c r="U106" s="15"/>
      <c r="V106" s="15"/>
      <c r="W106" s="15"/>
      <c r="X106" s="15"/>
      <c r="Y106" s="15"/>
      <c r="Z106" s="15"/>
      <c r="AA106" s="15"/>
      <c r="AB106" s="15"/>
      <c r="AC106" s="15"/>
      <c r="AD106" s="851" t="s">
        <v>194</v>
      </c>
      <c r="AE106" s="846" t="s">
        <v>194</v>
      </c>
      <c r="AF106" s="846" t="s">
        <v>194</v>
      </c>
      <c r="AG106" s="846" t="s">
        <v>194</v>
      </c>
      <c r="AH106" s="846" t="s">
        <v>194</v>
      </c>
      <c r="AI106" s="846" t="s">
        <v>194</v>
      </c>
      <c r="AJ106" s="846" t="s">
        <v>194</v>
      </c>
      <c r="AK106" s="846" t="s">
        <v>194</v>
      </c>
      <c r="AL106" s="846" t="s">
        <v>194</v>
      </c>
      <c r="AM106" s="846" t="s">
        <v>194</v>
      </c>
      <c r="AN106" s="846" t="s">
        <v>194</v>
      </c>
      <c r="AO106" s="846" t="s">
        <v>194</v>
      </c>
      <c r="AP106" s="846" t="s">
        <v>194</v>
      </c>
      <c r="AQ106" s="846" t="s">
        <v>194</v>
      </c>
      <c r="AR106" s="846" t="s">
        <v>194</v>
      </c>
      <c r="AS106" s="846" t="s">
        <v>194</v>
      </c>
      <c r="AT106" s="846" t="s">
        <v>194</v>
      </c>
      <c r="AU106" s="846" t="s">
        <v>194</v>
      </c>
      <c r="AV106" s="846" t="s">
        <v>194</v>
      </c>
      <c r="AW106" s="846" t="s">
        <v>194</v>
      </c>
      <c r="AX106" s="846" t="s">
        <v>194</v>
      </c>
      <c r="AY106" s="846" t="s">
        <v>194</v>
      </c>
    </row>
    <row r="107" ht="15.75" customHeight="1">
      <c r="A107" s="849" t="s">
        <v>194</v>
      </c>
      <c r="B107" s="15"/>
      <c r="C107" s="892" t="s">
        <v>345</v>
      </c>
      <c r="D107" s="15"/>
      <c r="E107" s="15"/>
      <c r="F107" s="15"/>
      <c r="G107" s="15"/>
      <c r="H107" s="15"/>
      <c r="I107" s="15"/>
      <c r="J107" s="15"/>
      <c r="K107" s="15"/>
      <c r="L107" s="15"/>
      <c r="M107" s="15"/>
      <c r="N107" s="15"/>
      <c r="O107" s="896"/>
      <c r="P107" s="896"/>
      <c r="Q107" s="15"/>
      <c r="R107" s="15"/>
      <c r="S107" s="15"/>
      <c r="T107" s="15"/>
      <c r="U107" s="15"/>
      <c r="V107" s="15"/>
      <c r="W107" s="15"/>
      <c r="X107" s="15"/>
      <c r="Y107" s="15"/>
      <c r="Z107" s="15"/>
      <c r="AA107" s="15"/>
      <c r="AB107" s="15"/>
      <c r="AC107" s="15"/>
      <c r="AD107" s="851" t="s">
        <v>194</v>
      </c>
      <c r="AE107" s="846" t="s">
        <v>194</v>
      </c>
      <c r="AF107" s="846" t="s">
        <v>194</v>
      </c>
      <c r="AG107" s="846" t="s">
        <v>194</v>
      </c>
      <c r="AH107" s="846" t="s">
        <v>194</v>
      </c>
      <c r="AI107" s="846" t="s">
        <v>194</v>
      </c>
      <c r="AJ107" s="846" t="s">
        <v>194</v>
      </c>
      <c r="AK107" s="846" t="s">
        <v>194</v>
      </c>
      <c r="AL107" s="846" t="s">
        <v>194</v>
      </c>
      <c r="AM107" s="846" t="s">
        <v>194</v>
      </c>
      <c r="AN107" s="846" t="s">
        <v>194</v>
      </c>
      <c r="AO107" s="846" t="s">
        <v>194</v>
      </c>
      <c r="AP107" s="846" t="s">
        <v>194</v>
      </c>
      <c r="AQ107" s="846" t="s">
        <v>194</v>
      </c>
      <c r="AR107" s="846" t="s">
        <v>194</v>
      </c>
      <c r="AS107" s="846" t="s">
        <v>194</v>
      </c>
      <c r="AT107" s="846" t="s">
        <v>194</v>
      </c>
      <c r="AU107" s="846" t="s">
        <v>194</v>
      </c>
      <c r="AV107" s="846" t="s">
        <v>194</v>
      </c>
      <c r="AW107" s="846" t="s">
        <v>194</v>
      </c>
      <c r="AX107" s="846" t="s">
        <v>194</v>
      </c>
      <c r="AY107" s="846" t="s">
        <v>194</v>
      </c>
    </row>
    <row r="108" ht="15.75" customHeight="1">
      <c r="A108" s="849" t="s">
        <v>194</v>
      </c>
      <c r="B108" s="15"/>
      <c r="C108" s="15"/>
      <c r="D108" s="15"/>
      <c r="E108" s="15"/>
      <c r="F108" s="15"/>
      <c r="G108" s="15"/>
      <c r="H108" s="15"/>
      <c r="I108" s="15"/>
      <c r="J108" s="15"/>
      <c r="K108" s="15"/>
      <c r="L108" s="15"/>
      <c r="M108" s="15"/>
      <c r="N108" s="15"/>
      <c r="O108" s="896"/>
      <c r="P108" s="896"/>
      <c r="Q108" s="15"/>
      <c r="R108" s="15"/>
      <c r="S108" s="15"/>
      <c r="T108" s="15"/>
      <c r="U108" s="15"/>
      <c r="V108" s="15"/>
      <c r="W108" s="15"/>
      <c r="X108" s="15"/>
      <c r="Y108" s="15"/>
      <c r="Z108" s="15"/>
      <c r="AA108" s="15"/>
      <c r="AB108" s="15"/>
      <c r="AC108" s="15"/>
      <c r="AD108" s="851" t="s">
        <v>194</v>
      </c>
      <c r="AE108" s="846" t="s">
        <v>194</v>
      </c>
      <c r="AF108" s="846" t="s">
        <v>194</v>
      </c>
      <c r="AG108" s="846" t="s">
        <v>194</v>
      </c>
      <c r="AH108" s="846" t="s">
        <v>194</v>
      </c>
      <c r="AI108" s="846" t="s">
        <v>194</v>
      </c>
      <c r="AJ108" s="846" t="s">
        <v>194</v>
      </c>
      <c r="AK108" s="846" t="s">
        <v>194</v>
      </c>
      <c r="AL108" s="846" t="s">
        <v>194</v>
      </c>
      <c r="AM108" s="846" t="s">
        <v>194</v>
      </c>
      <c r="AN108" s="846" t="s">
        <v>194</v>
      </c>
      <c r="AO108" s="846" t="s">
        <v>194</v>
      </c>
      <c r="AP108" s="846" t="s">
        <v>194</v>
      </c>
      <c r="AQ108" s="846" t="s">
        <v>194</v>
      </c>
      <c r="AR108" s="846" t="s">
        <v>194</v>
      </c>
      <c r="AS108" s="846" t="s">
        <v>194</v>
      </c>
      <c r="AT108" s="846" t="s">
        <v>194</v>
      </c>
      <c r="AU108" s="846" t="s">
        <v>194</v>
      </c>
      <c r="AV108" s="846" t="s">
        <v>194</v>
      </c>
      <c r="AW108" s="846" t="s">
        <v>194</v>
      </c>
      <c r="AX108" s="846" t="s">
        <v>194</v>
      </c>
      <c r="AY108" s="846" t="s">
        <v>194</v>
      </c>
    </row>
    <row r="109" ht="15.75" customHeight="1">
      <c r="A109" s="846" t="s">
        <v>194</v>
      </c>
      <c r="B109" s="893" t="s">
        <v>194</v>
      </c>
      <c r="C109" s="893" t="s">
        <v>194</v>
      </c>
      <c r="D109" s="893" t="s">
        <v>194</v>
      </c>
      <c r="E109" s="893" t="s">
        <v>194</v>
      </c>
      <c r="F109" s="893" t="s">
        <v>194</v>
      </c>
      <c r="G109" s="893" t="s">
        <v>194</v>
      </c>
      <c r="H109" s="893" t="s">
        <v>194</v>
      </c>
      <c r="I109" s="893" t="s">
        <v>194</v>
      </c>
      <c r="J109" s="893" t="s">
        <v>194</v>
      </c>
      <c r="K109" s="893" t="s">
        <v>194</v>
      </c>
      <c r="L109" s="893" t="s">
        <v>194</v>
      </c>
      <c r="M109" s="893" t="s">
        <v>194</v>
      </c>
      <c r="N109" s="893" t="s">
        <v>194</v>
      </c>
      <c r="O109" s="973" t="s">
        <v>194</v>
      </c>
      <c r="P109" s="973" t="s">
        <v>194</v>
      </c>
      <c r="Q109" s="893" t="s">
        <v>194</v>
      </c>
      <c r="R109" s="893" t="s">
        <v>194</v>
      </c>
      <c r="S109" s="893" t="s">
        <v>194</v>
      </c>
      <c r="T109" s="893" t="s">
        <v>194</v>
      </c>
      <c r="U109" s="893" t="s">
        <v>194</v>
      </c>
      <c r="V109" s="893" t="s">
        <v>194</v>
      </c>
      <c r="W109" s="893" t="s">
        <v>194</v>
      </c>
      <c r="X109" s="893" t="s">
        <v>194</v>
      </c>
      <c r="Y109" s="893" t="s">
        <v>194</v>
      </c>
      <c r="Z109" s="893" t="s">
        <v>194</v>
      </c>
      <c r="AA109" s="893" t="s">
        <v>194</v>
      </c>
      <c r="AB109" s="893" t="s">
        <v>194</v>
      </c>
      <c r="AC109" s="893" t="s">
        <v>194</v>
      </c>
      <c r="AD109" s="846" t="s">
        <v>194</v>
      </c>
      <c r="AE109" s="846" t="s">
        <v>194</v>
      </c>
      <c r="AF109" s="846" t="s">
        <v>194</v>
      </c>
      <c r="AG109" s="846" t="s">
        <v>194</v>
      </c>
      <c r="AH109" s="846" t="s">
        <v>194</v>
      </c>
      <c r="AI109" s="846" t="s">
        <v>194</v>
      </c>
      <c r="AJ109" s="846" t="s">
        <v>194</v>
      </c>
      <c r="AK109" s="846" t="s">
        <v>194</v>
      </c>
      <c r="AL109" s="846" t="s">
        <v>194</v>
      </c>
      <c r="AM109" s="846" t="s">
        <v>194</v>
      </c>
      <c r="AN109" s="846" t="s">
        <v>194</v>
      </c>
      <c r="AO109" s="846" t="s">
        <v>194</v>
      </c>
      <c r="AP109" s="846" t="s">
        <v>194</v>
      </c>
      <c r="AQ109" s="846" t="s">
        <v>194</v>
      </c>
      <c r="AR109" s="846" t="s">
        <v>194</v>
      </c>
      <c r="AS109" s="846" t="s">
        <v>194</v>
      </c>
      <c r="AT109" s="846" t="s">
        <v>194</v>
      </c>
      <c r="AU109" s="846" t="s">
        <v>194</v>
      </c>
      <c r="AV109" s="846" t="s">
        <v>194</v>
      </c>
      <c r="AW109" s="846" t="s">
        <v>194</v>
      </c>
      <c r="AX109" s="846" t="s">
        <v>194</v>
      </c>
      <c r="AY109" s="846" t="s">
        <v>194</v>
      </c>
    </row>
    <row r="110" ht="15.75" customHeight="1">
      <c r="A110" s="846" t="s">
        <v>194</v>
      </c>
      <c r="B110" s="846" t="s">
        <v>194</v>
      </c>
      <c r="C110" s="846" t="s">
        <v>194</v>
      </c>
      <c r="D110" s="846" t="s">
        <v>194</v>
      </c>
      <c r="E110" s="846" t="s">
        <v>194</v>
      </c>
      <c r="F110" s="846" t="s">
        <v>194</v>
      </c>
      <c r="G110" s="846" t="s">
        <v>194</v>
      </c>
      <c r="H110" s="846" t="s">
        <v>194</v>
      </c>
      <c r="I110" s="846" t="s">
        <v>194</v>
      </c>
      <c r="J110" s="846" t="s">
        <v>194</v>
      </c>
      <c r="K110" s="846" t="s">
        <v>194</v>
      </c>
      <c r="L110" s="846" t="s">
        <v>194</v>
      </c>
      <c r="M110" s="846" t="s">
        <v>194</v>
      </c>
      <c r="N110" s="846" t="s">
        <v>194</v>
      </c>
      <c r="O110" s="896" t="s">
        <v>194</v>
      </c>
      <c r="P110" s="896" t="s">
        <v>194</v>
      </c>
      <c r="Q110" s="846" t="s">
        <v>194</v>
      </c>
      <c r="R110" s="846" t="s">
        <v>194</v>
      </c>
      <c r="S110" s="846" t="s">
        <v>194</v>
      </c>
      <c r="T110" s="846" t="s">
        <v>194</v>
      </c>
      <c r="U110" s="846" t="s">
        <v>194</v>
      </c>
      <c r="V110" s="846" t="s">
        <v>194</v>
      </c>
      <c r="W110" s="846" t="s">
        <v>194</v>
      </c>
      <c r="X110" s="846" t="s">
        <v>194</v>
      </c>
      <c r="Y110" s="846" t="s">
        <v>194</v>
      </c>
      <c r="Z110" s="846" t="s">
        <v>194</v>
      </c>
      <c r="AA110" s="846" t="s">
        <v>194</v>
      </c>
      <c r="AB110" s="846" t="s">
        <v>194</v>
      </c>
      <c r="AC110" s="846" t="s">
        <v>194</v>
      </c>
      <c r="AD110" s="846" t="s">
        <v>194</v>
      </c>
      <c r="AE110" s="846" t="s">
        <v>194</v>
      </c>
      <c r="AF110" s="846" t="s">
        <v>194</v>
      </c>
      <c r="AG110" s="846" t="s">
        <v>194</v>
      </c>
      <c r="AH110" s="846" t="s">
        <v>194</v>
      </c>
      <c r="AI110" s="846" t="s">
        <v>194</v>
      </c>
      <c r="AJ110" s="846" t="s">
        <v>194</v>
      </c>
      <c r="AK110" s="846" t="s">
        <v>194</v>
      </c>
      <c r="AL110" s="846" t="s">
        <v>194</v>
      </c>
      <c r="AM110" s="846" t="s">
        <v>194</v>
      </c>
      <c r="AN110" s="846" t="s">
        <v>194</v>
      </c>
      <c r="AO110" s="846" t="s">
        <v>194</v>
      </c>
      <c r="AP110" s="846" t="s">
        <v>194</v>
      </c>
      <c r="AQ110" s="846" t="s">
        <v>194</v>
      </c>
      <c r="AR110" s="846" t="s">
        <v>194</v>
      </c>
      <c r="AS110" s="846" t="s">
        <v>194</v>
      </c>
      <c r="AT110" s="846" t="s">
        <v>194</v>
      </c>
      <c r="AU110" s="846" t="s">
        <v>194</v>
      </c>
      <c r="AV110" s="846" t="s">
        <v>194</v>
      </c>
      <c r="AW110" s="846" t="s">
        <v>194</v>
      </c>
      <c r="AX110" s="846" t="s">
        <v>194</v>
      </c>
      <c r="AY110" s="846" t="s">
        <v>194</v>
      </c>
    </row>
    <row r="111" ht="15.75" customHeight="1">
      <c r="A111" s="846" t="s">
        <v>194</v>
      </c>
      <c r="B111" s="846" t="s">
        <v>194</v>
      </c>
      <c r="C111" s="846" t="s">
        <v>194</v>
      </c>
      <c r="D111" s="846" t="s">
        <v>194</v>
      </c>
      <c r="E111" s="846" t="s">
        <v>194</v>
      </c>
      <c r="F111" s="846" t="s">
        <v>194</v>
      </c>
      <c r="G111" s="846" t="s">
        <v>194</v>
      </c>
      <c r="H111" s="846" t="s">
        <v>194</v>
      </c>
      <c r="I111" s="846" t="s">
        <v>194</v>
      </c>
      <c r="J111" s="846" t="s">
        <v>194</v>
      </c>
      <c r="K111" s="846" t="s">
        <v>194</v>
      </c>
      <c r="L111" s="846" t="s">
        <v>194</v>
      </c>
      <c r="M111" s="846" t="s">
        <v>194</v>
      </c>
      <c r="N111" s="846" t="s">
        <v>194</v>
      </c>
      <c r="O111" s="896" t="s">
        <v>194</v>
      </c>
      <c r="P111" s="896" t="s">
        <v>194</v>
      </c>
      <c r="Q111" s="846" t="s">
        <v>194</v>
      </c>
      <c r="R111" s="846" t="s">
        <v>194</v>
      </c>
      <c r="S111" s="846" t="s">
        <v>194</v>
      </c>
      <c r="T111" s="846" t="s">
        <v>194</v>
      </c>
      <c r="U111" s="846" t="s">
        <v>194</v>
      </c>
      <c r="V111" s="846" t="s">
        <v>194</v>
      </c>
      <c r="W111" s="846" t="s">
        <v>194</v>
      </c>
      <c r="X111" s="846" t="s">
        <v>194</v>
      </c>
      <c r="Y111" s="846" t="s">
        <v>194</v>
      </c>
      <c r="Z111" s="846" t="s">
        <v>194</v>
      </c>
      <c r="AA111" s="846" t="s">
        <v>194</v>
      </c>
      <c r="AB111" s="846" t="s">
        <v>194</v>
      </c>
      <c r="AC111" s="846" t="s">
        <v>194</v>
      </c>
      <c r="AD111" s="846" t="s">
        <v>194</v>
      </c>
      <c r="AE111" s="846" t="s">
        <v>194</v>
      </c>
      <c r="AF111" s="846" t="s">
        <v>194</v>
      </c>
      <c r="AG111" s="846" t="s">
        <v>194</v>
      </c>
      <c r="AH111" s="846" t="s">
        <v>194</v>
      </c>
      <c r="AI111" s="846" t="s">
        <v>194</v>
      </c>
      <c r="AJ111" s="846" t="s">
        <v>194</v>
      </c>
      <c r="AK111" s="846" t="s">
        <v>194</v>
      </c>
      <c r="AL111" s="846" t="s">
        <v>194</v>
      </c>
      <c r="AM111" s="846" t="s">
        <v>194</v>
      </c>
      <c r="AN111" s="846" t="s">
        <v>194</v>
      </c>
      <c r="AO111" s="846" t="s">
        <v>194</v>
      </c>
      <c r="AP111" s="846" t="s">
        <v>194</v>
      </c>
      <c r="AQ111" s="846" t="s">
        <v>194</v>
      </c>
      <c r="AR111" s="846" t="s">
        <v>194</v>
      </c>
      <c r="AS111" s="846" t="s">
        <v>194</v>
      </c>
      <c r="AT111" s="846" t="s">
        <v>194</v>
      </c>
      <c r="AU111" s="846" t="s">
        <v>194</v>
      </c>
      <c r="AV111" s="846" t="s">
        <v>194</v>
      </c>
      <c r="AW111" s="846" t="s">
        <v>194</v>
      </c>
      <c r="AX111" s="846" t="s">
        <v>194</v>
      </c>
      <c r="AY111" s="846" t="s">
        <v>194</v>
      </c>
    </row>
    <row r="112" ht="15.75" customHeight="1">
      <c r="A112" s="846" t="s">
        <v>194</v>
      </c>
      <c r="B112" s="846" t="s">
        <v>194</v>
      </c>
      <c r="C112" s="846" t="s">
        <v>194</v>
      </c>
      <c r="D112" s="846" t="s">
        <v>194</v>
      </c>
      <c r="E112" s="846" t="s">
        <v>194</v>
      </c>
      <c r="F112" s="846" t="s">
        <v>194</v>
      </c>
      <c r="G112" s="846" t="s">
        <v>194</v>
      </c>
      <c r="H112" s="846" t="s">
        <v>194</v>
      </c>
      <c r="I112" s="846" t="s">
        <v>194</v>
      </c>
      <c r="J112" s="846" t="s">
        <v>194</v>
      </c>
      <c r="K112" s="846" t="s">
        <v>194</v>
      </c>
      <c r="L112" s="846" t="s">
        <v>194</v>
      </c>
      <c r="M112" s="846" t="s">
        <v>194</v>
      </c>
      <c r="N112" s="846" t="s">
        <v>194</v>
      </c>
      <c r="O112" s="896" t="s">
        <v>194</v>
      </c>
      <c r="P112" s="896" t="s">
        <v>194</v>
      </c>
      <c r="Q112" s="846" t="s">
        <v>194</v>
      </c>
      <c r="R112" s="846" t="s">
        <v>194</v>
      </c>
      <c r="S112" s="846" t="s">
        <v>194</v>
      </c>
      <c r="T112" s="846" t="s">
        <v>194</v>
      </c>
      <c r="U112" s="846" t="s">
        <v>194</v>
      </c>
      <c r="V112" s="846" t="s">
        <v>194</v>
      </c>
      <c r="W112" s="846" t="s">
        <v>194</v>
      </c>
      <c r="X112" s="846" t="s">
        <v>194</v>
      </c>
      <c r="Y112" s="846" t="s">
        <v>194</v>
      </c>
      <c r="Z112" s="846" t="s">
        <v>194</v>
      </c>
      <c r="AA112" s="846" t="s">
        <v>194</v>
      </c>
      <c r="AB112" s="846" t="s">
        <v>194</v>
      </c>
      <c r="AC112" s="846" t="s">
        <v>194</v>
      </c>
      <c r="AD112" s="846" t="s">
        <v>194</v>
      </c>
      <c r="AE112" s="846" t="s">
        <v>194</v>
      </c>
      <c r="AF112" s="846" t="s">
        <v>194</v>
      </c>
      <c r="AG112" s="846" t="s">
        <v>194</v>
      </c>
      <c r="AH112" s="846" t="s">
        <v>194</v>
      </c>
      <c r="AI112" s="846" t="s">
        <v>194</v>
      </c>
      <c r="AJ112" s="846" t="s">
        <v>194</v>
      </c>
      <c r="AK112" s="846" t="s">
        <v>194</v>
      </c>
      <c r="AL112" s="846" t="s">
        <v>194</v>
      </c>
      <c r="AM112" s="846" t="s">
        <v>194</v>
      </c>
      <c r="AN112" s="846" t="s">
        <v>194</v>
      </c>
      <c r="AO112" s="846" t="s">
        <v>194</v>
      </c>
      <c r="AP112" s="846" t="s">
        <v>194</v>
      </c>
      <c r="AQ112" s="846" t="s">
        <v>194</v>
      </c>
      <c r="AR112" s="846" t="s">
        <v>194</v>
      </c>
      <c r="AS112" s="846" t="s">
        <v>194</v>
      </c>
      <c r="AT112" s="846" t="s">
        <v>194</v>
      </c>
      <c r="AU112" s="846" t="s">
        <v>194</v>
      </c>
      <c r="AV112" s="846" t="s">
        <v>194</v>
      </c>
      <c r="AW112" s="846" t="s">
        <v>194</v>
      </c>
      <c r="AX112" s="846" t="s">
        <v>194</v>
      </c>
      <c r="AY112" s="846" t="s">
        <v>194</v>
      </c>
    </row>
    <row r="113" ht="15.75" customHeight="1">
      <c r="A113" s="846" t="s">
        <v>194</v>
      </c>
      <c r="B113" s="846" t="s">
        <v>194</v>
      </c>
      <c r="C113" s="846" t="s">
        <v>194</v>
      </c>
      <c r="D113" s="846" t="s">
        <v>194</v>
      </c>
      <c r="E113" s="846" t="s">
        <v>194</v>
      </c>
      <c r="F113" s="846" t="s">
        <v>194</v>
      </c>
      <c r="G113" s="846" t="s">
        <v>194</v>
      </c>
      <c r="H113" s="846" t="s">
        <v>194</v>
      </c>
      <c r="I113" s="846" t="s">
        <v>194</v>
      </c>
      <c r="J113" s="846" t="s">
        <v>194</v>
      </c>
      <c r="K113" s="846" t="s">
        <v>194</v>
      </c>
      <c r="L113" s="846" t="s">
        <v>194</v>
      </c>
      <c r="M113" s="846" t="s">
        <v>194</v>
      </c>
      <c r="N113" s="846" t="s">
        <v>194</v>
      </c>
      <c r="O113" s="896" t="s">
        <v>194</v>
      </c>
      <c r="P113" s="896" t="s">
        <v>194</v>
      </c>
      <c r="Q113" s="846" t="s">
        <v>194</v>
      </c>
      <c r="R113" s="846" t="s">
        <v>194</v>
      </c>
      <c r="S113" s="846" t="s">
        <v>194</v>
      </c>
      <c r="T113" s="846" t="s">
        <v>194</v>
      </c>
      <c r="U113" s="846" t="s">
        <v>194</v>
      </c>
      <c r="V113" s="846" t="s">
        <v>194</v>
      </c>
      <c r="W113" s="846" t="s">
        <v>194</v>
      </c>
      <c r="X113" s="846" t="s">
        <v>194</v>
      </c>
      <c r="Y113" s="846" t="s">
        <v>194</v>
      </c>
      <c r="Z113" s="846" t="s">
        <v>194</v>
      </c>
      <c r="AA113" s="846" t="s">
        <v>194</v>
      </c>
      <c r="AB113" s="846" t="s">
        <v>194</v>
      </c>
      <c r="AC113" s="846" t="s">
        <v>194</v>
      </c>
      <c r="AD113" s="846" t="s">
        <v>194</v>
      </c>
      <c r="AE113" s="846" t="s">
        <v>194</v>
      </c>
      <c r="AF113" s="846" t="s">
        <v>194</v>
      </c>
      <c r="AG113" s="846" t="s">
        <v>194</v>
      </c>
      <c r="AH113" s="846" t="s">
        <v>194</v>
      </c>
      <c r="AI113" s="846" t="s">
        <v>194</v>
      </c>
      <c r="AJ113" s="846" t="s">
        <v>194</v>
      </c>
      <c r="AK113" s="846" t="s">
        <v>194</v>
      </c>
      <c r="AL113" s="846" t="s">
        <v>194</v>
      </c>
      <c r="AM113" s="846" t="s">
        <v>194</v>
      </c>
      <c r="AN113" s="846" t="s">
        <v>194</v>
      </c>
      <c r="AO113" s="846" t="s">
        <v>194</v>
      </c>
      <c r="AP113" s="846" t="s">
        <v>194</v>
      </c>
      <c r="AQ113" s="846" t="s">
        <v>194</v>
      </c>
      <c r="AR113" s="846" t="s">
        <v>194</v>
      </c>
      <c r="AS113" s="846" t="s">
        <v>194</v>
      </c>
      <c r="AT113" s="846" t="s">
        <v>194</v>
      </c>
      <c r="AU113" s="846" t="s">
        <v>194</v>
      </c>
      <c r="AV113" s="846" t="s">
        <v>194</v>
      </c>
      <c r="AW113" s="846" t="s">
        <v>194</v>
      </c>
      <c r="AX113" s="846" t="s">
        <v>194</v>
      </c>
      <c r="AY113" s="846" t="s">
        <v>194</v>
      </c>
    </row>
    <row r="114" ht="15.75" customHeight="1">
      <c r="A114" s="846" t="s">
        <v>194</v>
      </c>
      <c r="B114" s="846" t="s">
        <v>194</v>
      </c>
      <c r="C114" s="846" t="s">
        <v>194</v>
      </c>
      <c r="D114" s="846" t="s">
        <v>194</v>
      </c>
      <c r="E114" s="846" t="s">
        <v>194</v>
      </c>
      <c r="F114" s="846" t="s">
        <v>194</v>
      </c>
      <c r="G114" s="846" t="s">
        <v>194</v>
      </c>
      <c r="H114" s="846" t="s">
        <v>194</v>
      </c>
      <c r="I114" s="846" t="s">
        <v>194</v>
      </c>
      <c r="J114" s="846" t="s">
        <v>194</v>
      </c>
      <c r="K114" s="846" t="s">
        <v>194</v>
      </c>
      <c r="L114" s="846" t="s">
        <v>194</v>
      </c>
      <c r="M114" s="846" t="s">
        <v>194</v>
      </c>
      <c r="N114" s="846" t="s">
        <v>194</v>
      </c>
      <c r="O114" s="896" t="s">
        <v>194</v>
      </c>
      <c r="P114" s="896" t="s">
        <v>194</v>
      </c>
      <c r="Q114" s="846" t="s">
        <v>194</v>
      </c>
      <c r="R114" s="846" t="s">
        <v>194</v>
      </c>
      <c r="S114" s="846" t="s">
        <v>194</v>
      </c>
      <c r="T114" s="846" t="s">
        <v>194</v>
      </c>
      <c r="U114" s="846" t="s">
        <v>194</v>
      </c>
      <c r="V114" s="846" t="s">
        <v>194</v>
      </c>
      <c r="W114" s="846" t="s">
        <v>194</v>
      </c>
      <c r="X114" s="846" t="s">
        <v>194</v>
      </c>
      <c r="Y114" s="846" t="s">
        <v>194</v>
      </c>
      <c r="Z114" s="846" t="s">
        <v>194</v>
      </c>
      <c r="AA114" s="846" t="s">
        <v>194</v>
      </c>
      <c r="AB114" s="846" t="s">
        <v>194</v>
      </c>
      <c r="AC114" s="846" t="s">
        <v>194</v>
      </c>
      <c r="AD114" s="846" t="s">
        <v>194</v>
      </c>
      <c r="AE114" s="846" t="s">
        <v>194</v>
      </c>
      <c r="AF114" s="846" t="s">
        <v>194</v>
      </c>
      <c r="AG114" s="846" t="s">
        <v>194</v>
      </c>
      <c r="AH114" s="846" t="s">
        <v>194</v>
      </c>
      <c r="AI114" s="846" t="s">
        <v>194</v>
      </c>
      <c r="AJ114" s="846" t="s">
        <v>194</v>
      </c>
      <c r="AK114" s="846" t="s">
        <v>194</v>
      </c>
      <c r="AL114" s="846" t="s">
        <v>194</v>
      </c>
      <c r="AM114" s="846" t="s">
        <v>194</v>
      </c>
      <c r="AN114" s="846" t="s">
        <v>194</v>
      </c>
      <c r="AO114" s="846" t="s">
        <v>194</v>
      </c>
      <c r="AP114" s="846" t="s">
        <v>194</v>
      </c>
      <c r="AQ114" s="846" t="s">
        <v>194</v>
      </c>
      <c r="AR114" s="846" t="s">
        <v>194</v>
      </c>
      <c r="AS114" s="846" t="s">
        <v>194</v>
      </c>
      <c r="AT114" s="846" t="s">
        <v>194</v>
      </c>
      <c r="AU114" s="846" t="s">
        <v>194</v>
      </c>
      <c r="AV114" s="846" t="s">
        <v>194</v>
      </c>
      <c r="AW114" s="846" t="s">
        <v>194</v>
      </c>
      <c r="AX114" s="846" t="s">
        <v>194</v>
      </c>
      <c r="AY114" s="846" t="s">
        <v>194</v>
      </c>
    </row>
    <row r="115" ht="15.75" customHeight="1">
      <c r="A115" s="846" t="s">
        <v>194</v>
      </c>
      <c r="B115" s="846" t="s">
        <v>194</v>
      </c>
      <c r="C115" s="846" t="s">
        <v>194</v>
      </c>
      <c r="D115" s="846" t="s">
        <v>194</v>
      </c>
      <c r="E115" s="846" t="s">
        <v>194</v>
      </c>
      <c r="F115" s="846" t="s">
        <v>194</v>
      </c>
      <c r="G115" s="846" t="s">
        <v>194</v>
      </c>
      <c r="H115" s="846" t="s">
        <v>194</v>
      </c>
      <c r="I115" s="846" t="s">
        <v>194</v>
      </c>
      <c r="J115" s="846" t="s">
        <v>194</v>
      </c>
      <c r="K115" s="846" t="s">
        <v>194</v>
      </c>
      <c r="L115" s="846" t="s">
        <v>194</v>
      </c>
      <c r="M115" s="846" t="s">
        <v>194</v>
      </c>
      <c r="N115" s="846" t="s">
        <v>194</v>
      </c>
      <c r="O115" s="896" t="s">
        <v>194</v>
      </c>
      <c r="P115" s="896" t="s">
        <v>194</v>
      </c>
      <c r="Q115" s="846" t="s">
        <v>194</v>
      </c>
      <c r="R115" s="846" t="s">
        <v>194</v>
      </c>
      <c r="S115" s="846" t="s">
        <v>194</v>
      </c>
      <c r="T115" s="846" t="s">
        <v>194</v>
      </c>
      <c r="U115" s="846" t="s">
        <v>194</v>
      </c>
      <c r="V115" s="846" t="s">
        <v>194</v>
      </c>
      <c r="W115" s="846" t="s">
        <v>194</v>
      </c>
      <c r="X115" s="846" t="s">
        <v>194</v>
      </c>
      <c r="Y115" s="846" t="s">
        <v>194</v>
      </c>
      <c r="Z115" s="846" t="s">
        <v>194</v>
      </c>
      <c r="AA115" s="846" t="s">
        <v>194</v>
      </c>
      <c r="AB115" s="846" t="s">
        <v>194</v>
      </c>
      <c r="AC115" s="846" t="s">
        <v>194</v>
      </c>
      <c r="AD115" s="846" t="s">
        <v>194</v>
      </c>
      <c r="AE115" s="846" t="s">
        <v>194</v>
      </c>
      <c r="AF115" s="846" t="s">
        <v>194</v>
      </c>
      <c r="AG115" s="846" t="s">
        <v>194</v>
      </c>
      <c r="AH115" s="846" t="s">
        <v>194</v>
      </c>
      <c r="AI115" s="846" t="s">
        <v>194</v>
      </c>
      <c r="AJ115" s="846" t="s">
        <v>194</v>
      </c>
      <c r="AK115" s="846" t="s">
        <v>194</v>
      </c>
      <c r="AL115" s="846" t="s">
        <v>194</v>
      </c>
      <c r="AM115" s="846" t="s">
        <v>194</v>
      </c>
      <c r="AN115" s="846" t="s">
        <v>194</v>
      </c>
      <c r="AO115" s="846" t="s">
        <v>194</v>
      </c>
      <c r="AP115" s="846" t="s">
        <v>194</v>
      </c>
      <c r="AQ115" s="846" t="s">
        <v>194</v>
      </c>
      <c r="AR115" s="846" t="s">
        <v>194</v>
      </c>
      <c r="AS115" s="846" t="s">
        <v>194</v>
      </c>
      <c r="AT115" s="846" t="s">
        <v>194</v>
      </c>
      <c r="AU115" s="846" t="s">
        <v>194</v>
      </c>
      <c r="AV115" s="846" t="s">
        <v>194</v>
      </c>
      <c r="AW115" s="846" t="s">
        <v>194</v>
      </c>
      <c r="AX115" s="846" t="s">
        <v>194</v>
      </c>
      <c r="AY115" s="846" t="s">
        <v>194</v>
      </c>
    </row>
    <row r="116" ht="15.75" customHeight="1">
      <c r="A116" s="846" t="s">
        <v>194</v>
      </c>
      <c r="B116" s="846" t="s">
        <v>194</v>
      </c>
      <c r="C116" s="846" t="s">
        <v>194</v>
      </c>
      <c r="D116" s="846" t="s">
        <v>194</v>
      </c>
      <c r="E116" s="846" t="s">
        <v>194</v>
      </c>
      <c r="F116" s="846" t="s">
        <v>194</v>
      </c>
      <c r="G116" s="846" t="s">
        <v>194</v>
      </c>
      <c r="H116" s="846" t="s">
        <v>194</v>
      </c>
      <c r="I116" s="846" t="s">
        <v>194</v>
      </c>
      <c r="J116" s="846" t="s">
        <v>194</v>
      </c>
      <c r="K116" s="846" t="s">
        <v>194</v>
      </c>
      <c r="L116" s="846" t="s">
        <v>194</v>
      </c>
      <c r="M116" s="846" t="s">
        <v>194</v>
      </c>
      <c r="N116" s="846" t="s">
        <v>194</v>
      </c>
      <c r="O116" s="896" t="s">
        <v>194</v>
      </c>
      <c r="P116" s="896" t="s">
        <v>194</v>
      </c>
      <c r="Q116" s="846" t="s">
        <v>194</v>
      </c>
      <c r="R116" s="846" t="s">
        <v>194</v>
      </c>
      <c r="S116" s="846" t="s">
        <v>194</v>
      </c>
      <c r="T116" s="846" t="s">
        <v>194</v>
      </c>
      <c r="U116" s="846" t="s">
        <v>194</v>
      </c>
      <c r="V116" s="846" t="s">
        <v>194</v>
      </c>
      <c r="W116" s="846" t="s">
        <v>194</v>
      </c>
      <c r="X116" s="846" t="s">
        <v>194</v>
      </c>
      <c r="Y116" s="846" t="s">
        <v>194</v>
      </c>
      <c r="Z116" s="846" t="s">
        <v>194</v>
      </c>
      <c r="AA116" s="846" t="s">
        <v>194</v>
      </c>
      <c r="AB116" s="846" t="s">
        <v>194</v>
      </c>
      <c r="AC116" s="846" t="s">
        <v>194</v>
      </c>
      <c r="AD116" s="846" t="s">
        <v>194</v>
      </c>
      <c r="AE116" s="846" t="s">
        <v>194</v>
      </c>
      <c r="AF116" s="846" t="s">
        <v>194</v>
      </c>
      <c r="AG116" s="846" t="s">
        <v>194</v>
      </c>
      <c r="AH116" s="846" t="s">
        <v>194</v>
      </c>
      <c r="AI116" s="846" t="s">
        <v>194</v>
      </c>
      <c r="AJ116" s="846" t="s">
        <v>194</v>
      </c>
      <c r="AK116" s="846" t="s">
        <v>194</v>
      </c>
      <c r="AL116" s="846" t="s">
        <v>194</v>
      </c>
      <c r="AM116" s="846" t="s">
        <v>194</v>
      </c>
      <c r="AN116" s="846" t="s">
        <v>194</v>
      </c>
      <c r="AO116" s="846" t="s">
        <v>194</v>
      </c>
      <c r="AP116" s="846" t="s">
        <v>194</v>
      </c>
      <c r="AQ116" s="846" t="s">
        <v>194</v>
      </c>
      <c r="AR116" s="846" t="s">
        <v>194</v>
      </c>
      <c r="AS116" s="846" t="s">
        <v>194</v>
      </c>
      <c r="AT116" s="846" t="s">
        <v>194</v>
      </c>
      <c r="AU116" s="846" t="s">
        <v>194</v>
      </c>
      <c r="AV116" s="846" t="s">
        <v>194</v>
      </c>
      <c r="AW116" s="846" t="s">
        <v>194</v>
      </c>
      <c r="AX116" s="846" t="s">
        <v>194</v>
      </c>
      <c r="AY116" s="846" t="s">
        <v>194</v>
      </c>
    </row>
    <row r="117" ht="15.75" customHeight="1">
      <c r="A117" s="846" t="s">
        <v>194</v>
      </c>
      <c r="B117" s="846" t="s">
        <v>194</v>
      </c>
      <c r="C117" s="846" t="s">
        <v>194</v>
      </c>
      <c r="D117" s="846" t="s">
        <v>194</v>
      </c>
      <c r="E117" s="846" t="s">
        <v>194</v>
      </c>
      <c r="F117" s="846" t="s">
        <v>194</v>
      </c>
      <c r="G117" s="846" t="s">
        <v>194</v>
      </c>
      <c r="H117" s="846" t="s">
        <v>194</v>
      </c>
      <c r="I117" s="846" t="s">
        <v>194</v>
      </c>
      <c r="J117" s="846" t="s">
        <v>194</v>
      </c>
      <c r="K117" s="846" t="s">
        <v>194</v>
      </c>
      <c r="L117" s="846" t="s">
        <v>194</v>
      </c>
      <c r="M117" s="846" t="s">
        <v>194</v>
      </c>
      <c r="N117" s="846" t="s">
        <v>194</v>
      </c>
      <c r="O117" s="896" t="s">
        <v>194</v>
      </c>
      <c r="P117" s="896" t="s">
        <v>194</v>
      </c>
      <c r="Q117" s="846" t="s">
        <v>194</v>
      </c>
      <c r="R117" s="846" t="s">
        <v>194</v>
      </c>
      <c r="S117" s="846" t="s">
        <v>194</v>
      </c>
      <c r="T117" s="846" t="s">
        <v>194</v>
      </c>
      <c r="U117" s="846" t="s">
        <v>194</v>
      </c>
      <c r="V117" s="846" t="s">
        <v>194</v>
      </c>
      <c r="W117" s="846" t="s">
        <v>194</v>
      </c>
      <c r="X117" s="846" t="s">
        <v>194</v>
      </c>
      <c r="Y117" s="846" t="s">
        <v>194</v>
      </c>
      <c r="Z117" s="846" t="s">
        <v>194</v>
      </c>
      <c r="AA117" s="846" t="s">
        <v>194</v>
      </c>
      <c r="AB117" s="846" t="s">
        <v>194</v>
      </c>
      <c r="AC117" s="846" t="s">
        <v>194</v>
      </c>
      <c r="AD117" s="846" t="s">
        <v>194</v>
      </c>
      <c r="AE117" s="846" t="s">
        <v>194</v>
      </c>
      <c r="AF117" s="846" t="s">
        <v>194</v>
      </c>
      <c r="AG117" s="846" t="s">
        <v>194</v>
      </c>
      <c r="AH117" s="846" t="s">
        <v>194</v>
      </c>
      <c r="AI117" s="846" t="s">
        <v>194</v>
      </c>
      <c r="AJ117" s="846" t="s">
        <v>194</v>
      </c>
      <c r="AK117" s="846" t="s">
        <v>194</v>
      </c>
      <c r="AL117" s="846" t="s">
        <v>194</v>
      </c>
      <c r="AM117" s="846" t="s">
        <v>194</v>
      </c>
      <c r="AN117" s="846" t="s">
        <v>194</v>
      </c>
      <c r="AO117" s="846" t="s">
        <v>194</v>
      </c>
      <c r="AP117" s="846" t="s">
        <v>194</v>
      </c>
      <c r="AQ117" s="846" t="s">
        <v>194</v>
      </c>
      <c r="AR117" s="846" t="s">
        <v>194</v>
      </c>
      <c r="AS117" s="846" t="s">
        <v>194</v>
      </c>
      <c r="AT117" s="846" t="s">
        <v>194</v>
      </c>
      <c r="AU117" s="846" t="s">
        <v>194</v>
      </c>
      <c r="AV117" s="846" t="s">
        <v>194</v>
      </c>
      <c r="AW117" s="846" t="s">
        <v>194</v>
      </c>
      <c r="AX117" s="846" t="s">
        <v>194</v>
      </c>
      <c r="AY117" s="846" t="s">
        <v>194</v>
      </c>
    </row>
    <row r="118" ht="15.75" customHeight="1">
      <c r="A118" s="846" t="s">
        <v>194</v>
      </c>
      <c r="B118" s="846" t="s">
        <v>194</v>
      </c>
      <c r="C118" s="846" t="s">
        <v>194</v>
      </c>
      <c r="D118" s="846" t="s">
        <v>194</v>
      </c>
      <c r="E118" s="846" t="s">
        <v>194</v>
      </c>
      <c r="F118" s="846" t="s">
        <v>194</v>
      </c>
      <c r="G118" s="846" t="s">
        <v>194</v>
      </c>
      <c r="H118" s="846" t="s">
        <v>194</v>
      </c>
      <c r="I118" s="846" t="s">
        <v>194</v>
      </c>
      <c r="J118" s="846" t="s">
        <v>194</v>
      </c>
      <c r="K118" s="846" t="s">
        <v>194</v>
      </c>
      <c r="L118" s="846" t="s">
        <v>194</v>
      </c>
      <c r="M118" s="846" t="s">
        <v>194</v>
      </c>
      <c r="N118" s="846" t="s">
        <v>194</v>
      </c>
      <c r="O118" s="896" t="s">
        <v>194</v>
      </c>
      <c r="P118" s="896" t="s">
        <v>194</v>
      </c>
      <c r="Q118" s="846" t="s">
        <v>194</v>
      </c>
      <c r="R118" s="846" t="s">
        <v>194</v>
      </c>
      <c r="S118" s="846" t="s">
        <v>194</v>
      </c>
      <c r="T118" s="846" t="s">
        <v>194</v>
      </c>
      <c r="U118" s="846" t="s">
        <v>194</v>
      </c>
      <c r="V118" s="846" t="s">
        <v>194</v>
      </c>
      <c r="W118" s="846" t="s">
        <v>194</v>
      </c>
      <c r="X118" s="846" t="s">
        <v>194</v>
      </c>
      <c r="Y118" s="846" t="s">
        <v>194</v>
      </c>
      <c r="Z118" s="846" t="s">
        <v>194</v>
      </c>
      <c r="AA118" s="846" t="s">
        <v>194</v>
      </c>
      <c r="AB118" s="846" t="s">
        <v>194</v>
      </c>
      <c r="AC118" s="846" t="s">
        <v>194</v>
      </c>
      <c r="AD118" s="846" t="s">
        <v>194</v>
      </c>
      <c r="AE118" s="846" t="s">
        <v>194</v>
      </c>
      <c r="AF118" s="846" t="s">
        <v>194</v>
      </c>
      <c r="AG118" s="846" t="s">
        <v>194</v>
      </c>
      <c r="AH118" s="846" t="s">
        <v>194</v>
      </c>
      <c r="AI118" s="846" t="s">
        <v>194</v>
      </c>
      <c r="AJ118" s="846" t="s">
        <v>194</v>
      </c>
      <c r="AK118" s="846" t="s">
        <v>194</v>
      </c>
      <c r="AL118" s="846" t="s">
        <v>194</v>
      </c>
      <c r="AM118" s="846" t="s">
        <v>194</v>
      </c>
      <c r="AN118" s="846" t="s">
        <v>194</v>
      </c>
      <c r="AO118" s="846" t="s">
        <v>194</v>
      </c>
      <c r="AP118" s="846" t="s">
        <v>194</v>
      </c>
      <c r="AQ118" s="846" t="s">
        <v>194</v>
      </c>
      <c r="AR118" s="846" t="s">
        <v>194</v>
      </c>
      <c r="AS118" s="846" t="s">
        <v>194</v>
      </c>
      <c r="AT118" s="846" t="s">
        <v>194</v>
      </c>
      <c r="AU118" s="846" t="s">
        <v>194</v>
      </c>
      <c r="AV118" s="846" t="s">
        <v>194</v>
      </c>
      <c r="AW118" s="846" t="s">
        <v>194</v>
      </c>
      <c r="AX118" s="846" t="s">
        <v>194</v>
      </c>
      <c r="AY118" s="846" t="s">
        <v>194</v>
      </c>
    </row>
    <row r="119" ht="15.75" customHeight="1">
      <c r="A119" s="846" t="s">
        <v>194</v>
      </c>
      <c r="B119" s="846" t="s">
        <v>194</v>
      </c>
      <c r="C119" s="846" t="s">
        <v>194</v>
      </c>
      <c r="D119" s="846" t="s">
        <v>194</v>
      </c>
      <c r="E119" s="846" t="s">
        <v>194</v>
      </c>
      <c r="F119" s="846" t="s">
        <v>194</v>
      </c>
      <c r="G119" s="846" t="s">
        <v>194</v>
      </c>
      <c r="H119" s="846" t="s">
        <v>194</v>
      </c>
      <c r="I119" s="846" t="s">
        <v>194</v>
      </c>
      <c r="J119" s="846" t="s">
        <v>194</v>
      </c>
      <c r="K119" s="846" t="s">
        <v>194</v>
      </c>
      <c r="L119" s="846" t="s">
        <v>194</v>
      </c>
      <c r="M119" s="846" t="s">
        <v>194</v>
      </c>
      <c r="N119" s="846" t="s">
        <v>194</v>
      </c>
      <c r="O119" s="896" t="s">
        <v>194</v>
      </c>
      <c r="P119" s="896" t="s">
        <v>194</v>
      </c>
      <c r="Q119" s="846" t="s">
        <v>194</v>
      </c>
      <c r="R119" s="846" t="s">
        <v>194</v>
      </c>
      <c r="S119" s="846" t="s">
        <v>194</v>
      </c>
      <c r="T119" s="846" t="s">
        <v>194</v>
      </c>
      <c r="U119" s="846" t="s">
        <v>194</v>
      </c>
      <c r="V119" s="846" t="s">
        <v>194</v>
      </c>
      <c r="W119" s="846" t="s">
        <v>194</v>
      </c>
      <c r="X119" s="846" t="s">
        <v>194</v>
      </c>
      <c r="Y119" s="846" t="s">
        <v>194</v>
      </c>
      <c r="Z119" s="846" t="s">
        <v>194</v>
      </c>
      <c r="AA119" s="846" t="s">
        <v>194</v>
      </c>
      <c r="AB119" s="846" t="s">
        <v>194</v>
      </c>
      <c r="AC119" s="846" t="s">
        <v>194</v>
      </c>
      <c r="AD119" s="846" t="s">
        <v>194</v>
      </c>
      <c r="AE119" s="846" t="s">
        <v>194</v>
      </c>
      <c r="AF119" s="846" t="s">
        <v>194</v>
      </c>
      <c r="AG119" s="846" t="s">
        <v>194</v>
      </c>
      <c r="AH119" s="846" t="s">
        <v>194</v>
      </c>
      <c r="AI119" s="846" t="s">
        <v>194</v>
      </c>
      <c r="AJ119" s="846" t="s">
        <v>194</v>
      </c>
      <c r="AK119" s="846" t="s">
        <v>194</v>
      </c>
      <c r="AL119" s="846" t="s">
        <v>194</v>
      </c>
      <c r="AM119" s="846" t="s">
        <v>194</v>
      </c>
      <c r="AN119" s="846" t="s">
        <v>194</v>
      </c>
      <c r="AO119" s="846" t="s">
        <v>194</v>
      </c>
      <c r="AP119" s="846" t="s">
        <v>194</v>
      </c>
      <c r="AQ119" s="846" t="s">
        <v>194</v>
      </c>
      <c r="AR119" s="846" t="s">
        <v>194</v>
      </c>
      <c r="AS119" s="846" t="s">
        <v>194</v>
      </c>
      <c r="AT119" s="846" t="s">
        <v>194</v>
      </c>
      <c r="AU119" s="846" t="s">
        <v>194</v>
      </c>
      <c r="AV119" s="846" t="s">
        <v>194</v>
      </c>
      <c r="AW119" s="846" t="s">
        <v>194</v>
      </c>
      <c r="AX119" s="846" t="s">
        <v>194</v>
      </c>
      <c r="AY119" s="846" t="s">
        <v>194</v>
      </c>
    </row>
    <row r="120" ht="15.75" customHeight="1">
      <c r="A120" s="846" t="s">
        <v>194</v>
      </c>
      <c r="B120" s="846" t="s">
        <v>194</v>
      </c>
      <c r="C120" s="846" t="s">
        <v>194</v>
      </c>
      <c r="D120" s="846" t="s">
        <v>194</v>
      </c>
      <c r="E120" s="846" t="s">
        <v>194</v>
      </c>
      <c r="F120" s="846" t="s">
        <v>194</v>
      </c>
      <c r="G120" s="846" t="s">
        <v>194</v>
      </c>
      <c r="H120" s="846" t="s">
        <v>194</v>
      </c>
      <c r="I120" s="846" t="s">
        <v>194</v>
      </c>
      <c r="J120" s="846" t="s">
        <v>194</v>
      </c>
      <c r="K120" s="846" t="s">
        <v>194</v>
      </c>
      <c r="L120" s="846" t="s">
        <v>194</v>
      </c>
      <c r="M120" s="846" t="s">
        <v>194</v>
      </c>
      <c r="N120" s="846" t="s">
        <v>194</v>
      </c>
      <c r="O120" s="896" t="s">
        <v>194</v>
      </c>
      <c r="P120" s="896" t="s">
        <v>194</v>
      </c>
      <c r="Q120" s="846" t="s">
        <v>194</v>
      </c>
      <c r="R120" s="846" t="s">
        <v>194</v>
      </c>
      <c r="S120" s="846" t="s">
        <v>194</v>
      </c>
      <c r="T120" s="846" t="s">
        <v>194</v>
      </c>
      <c r="U120" s="846" t="s">
        <v>194</v>
      </c>
      <c r="V120" s="846" t="s">
        <v>194</v>
      </c>
      <c r="W120" s="846" t="s">
        <v>194</v>
      </c>
      <c r="X120" s="846" t="s">
        <v>194</v>
      </c>
      <c r="Y120" s="846" t="s">
        <v>194</v>
      </c>
      <c r="Z120" s="846" t="s">
        <v>194</v>
      </c>
      <c r="AA120" s="846" t="s">
        <v>194</v>
      </c>
      <c r="AB120" s="846" t="s">
        <v>194</v>
      </c>
      <c r="AC120" s="846" t="s">
        <v>194</v>
      </c>
      <c r="AD120" s="846" t="s">
        <v>194</v>
      </c>
      <c r="AE120" s="846" t="s">
        <v>194</v>
      </c>
      <c r="AF120" s="846" t="s">
        <v>194</v>
      </c>
      <c r="AG120" s="846" t="s">
        <v>194</v>
      </c>
      <c r="AH120" s="846" t="s">
        <v>194</v>
      </c>
      <c r="AI120" s="846" t="s">
        <v>194</v>
      </c>
      <c r="AJ120" s="846" t="s">
        <v>194</v>
      </c>
      <c r="AK120" s="846" t="s">
        <v>194</v>
      </c>
      <c r="AL120" s="846" t="s">
        <v>194</v>
      </c>
      <c r="AM120" s="846" t="s">
        <v>194</v>
      </c>
      <c r="AN120" s="846" t="s">
        <v>194</v>
      </c>
      <c r="AO120" s="846" t="s">
        <v>194</v>
      </c>
      <c r="AP120" s="846" t="s">
        <v>194</v>
      </c>
      <c r="AQ120" s="846" t="s">
        <v>194</v>
      </c>
      <c r="AR120" s="846" t="s">
        <v>194</v>
      </c>
      <c r="AS120" s="846" t="s">
        <v>194</v>
      </c>
      <c r="AT120" s="846" t="s">
        <v>194</v>
      </c>
      <c r="AU120" s="846" t="s">
        <v>194</v>
      </c>
      <c r="AV120" s="846" t="s">
        <v>194</v>
      </c>
      <c r="AW120" s="846" t="s">
        <v>194</v>
      </c>
      <c r="AX120" s="846" t="s">
        <v>194</v>
      </c>
      <c r="AY120" s="846" t="s">
        <v>194</v>
      </c>
    </row>
    <row r="121" ht="15.75" customHeight="1">
      <c r="A121" s="846" t="s">
        <v>194</v>
      </c>
      <c r="B121" s="846" t="s">
        <v>194</v>
      </c>
      <c r="C121" s="846" t="s">
        <v>194</v>
      </c>
      <c r="D121" s="846" t="s">
        <v>194</v>
      </c>
      <c r="E121" s="846" t="s">
        <v>194</v>
      </c>
      <c r="F121" s="846" t="s">
        <v>194</v>
      </c>
      <c r="G121" s="846" t="s">
        <v>194</v>
      </c>
      <c r="H121" s="846" t="s">
        <v>194</v>
      </c>
      <c r="I121" s="846" t="s">
        <v>194</v>
      </c>
      <c r="J121" s="846" t="s">
        <v>194</v>
      </c>
      <c r="K121" s="846" t="s">
        <v>194</v>
      </c>
      <c r="L121" s="846" t="s">
        <v>194</v>
      </c>
      <c r="M121" s="846" t="s">
        <v>194</v>
      </c>
      <c r="N121" s="846" t="s">
        <v>194</v>
      </c>
      <c r="O121" s="896" t="s">
        <v>194</v>
      </c>
      <c r="P121" s="896" t="s">
        <v>194</v>
      </c>
      <c r="Q121" s="846" t="s">
        <v>194</v>
      </c>
      <c r="R121" s="846" t="s">
        <v>194</v>
      </c>
      <c r="S121" s="846" t="s">
        <v>194</v>
      </c>
      <c r="T121" s="846" t="s">
        <v>194</v>
      </c>
      <c r="U121" s="846" t="s">
        <v>194</v>
      </c>
      <c r="V121" s="846" t="s">
        <v>194</v>
      </c>
      <c r="W121" s="846" t="s">
        <v>194</v>
      </c>
      <c r="X121" s="846" t="s">
        <v>194</v>
      </c>
      <c r="Y121" s="846" t="s">
        <v>194</v>
      </c>
      <c r="Z121" s="846" t="s">
        <v>194</v>
      </c>
      <c r="AA121" s="846" t="s">
        <v>194</v>
      </c>
      <c r="AB121" s="846" t="s">
        <v>194</v>
      </c>
      <c r="AC121" s="846" t="s">
        <v>194</v>
      </c>
      <c r="AD121" s="846" t="s">
        <v>194</v>
      </c>
      <c r="AE121" s="846" t="s">
        <v>194</v>
      </c>
      <c r="AF121" s="846" t="s">
        <v>194</v>
      </c>
      <c r="AG121" s="846" t="s">
        <v>194</v>
      </c>
      <c r="AH121" s="846" t="s">
        <v>194</v>
      </c>
      <c r="AI121" s="846" t="s">
        <v>194</v>
      </c>
      <c r="AJ121" s="846" t="s">
        <v>194</v>
      </c>
      <c r="AK121" s="846" t="s">
        <v>194</v>
      </c>
      <c r="AL121" s="846" t="s">
        <v>194</v>
      </c>
      <c r="AM121" s="846" t="s">
        <v>194</v>
      </c>
      <c r="AN121" s="846" t="s">
        <v>194</v>
      </c>
      <c r="AO121" s="846" t="s">
        <v>194</v>
      </c>
      <c r="AP121" s="846" t="s">
        <v>194</v>
      </c>
      <c r="AQ121" s="846" t="s">
        <v>194</v>
      </c>
      <c r="AR121" s="846" t="s">
        <v>194</v>
      </c>
      <c r="AS121" s="846" t="s">
        <v>194</v>
      </c>
      <c r="AT121" s="846" t="s">
        <v>194</v>
      </c>
      <c r="AU121" s="846" t="s">
        <v>194</v>
      </c>
      <c r="AV121" s="846" t="s">
        <v>194</v>
      </c>
      <c r="AW121" s="846" t="s">
        <v>194</v>
      </c>
      <c r="AX121" s="846" t="s">
        <v>194</v>
      </c>
      <c r="AY121" s="846" t="s">
        <v>194</v>
      </c>
    </row>
    <row r="122" ht="15.75" customHeight="1">
      <c r="A122" s="846" t="s">
        <v>194</v>
      </c>
      <c r="B122" s="846" t="s">
        <v>194</v>
      </c>
      <c r="C122" s="846" t="s">
        <v>194</v>
      </c>
      <c r="D122" s="846" t="s">
        <v>194</v>
      </c>
      <c r="E122" s="846" t="s">
        <v>194</v>
      </c>
      <c r="F122" s="846" t="s">
        <v>194</v>
      </c>
      <c r="G122" s="846" t="s">
        <v>194</v>
      </c>
      <c r="H122" s="846" t="s">
        <v>194</v>
      </c>
      <c r="I122" s="846" t="s">
        <v>194</v>
      </c>
      <c r="J122" s="846" t="s">
        <v>194</v>
      </c>
      <c r="K122" s="846" t="s">
        <v>194</v>
      </c>
      <c r="L122" s="846" t="s">
        <v>194</v>
      </c>
      <c r="M122" s="846" t="s">
        <v>194</v>
      </c>
      <c r="N122" s="846" t="s">
        <v>194</v>
      </c>
      <c r="O122" s="896" t="s">
        <v>194</v>
      </c>
      <c r="P122" s="896" t="s">
        <v>194</v>
      </c>
      <c r="Q122" s="846" t="s">
        <v>194</v>
      </c>
      <c r="R122" s="846" t="s">
        <v>194</v>
      </c>
      <c r="S122" s="846" t="s">
        <v>194</v>
      </c>
      <c r="T122" s="846" t="s">
        <v>194</v>
      </c>
      <c r="U122" s="846" t="s">
        <v>194</v>
      </c>
      <c r="V122" s="846" t="s">
        <v>194</v>
      </c>
      <c r="W122" s="846" t="s">
        <v>194</v>
      </c>
      <c r="X122" s="846" t="s">
        <v>194</v>
      </c>
      <c r="Y122" s="846" t="s">
        <v>194</v>
      </c>
      <c r="Z122" s="846" t="s">
        <v>194</v>
      </c>
      <c r="AA122" s="846" t="s">
        <v>194</v>
      </c>
      <c r="AB122" s="846" t="s">
        <v>194</v>
      </c>
      <c r="AC122" s="846" t="s">
        <v>194</v>
      </c>
      <c r="AD122" s="846" t="s">
        <v>194</v>
      </c>
      <c r="AE122" s="846" t="s">
        <v>194</v>
      </c>
      <c r="AF122" s="846" t="s">
        <v>194</v>
      </c>
      <c r="AG122" s="846" t="s">
        <v>194</v>
      </c>
      <c r="AH122" s="846" t="s">
        <v>194</v>
      </c>
      <c r="AI122" s="846" t="s">
        <v>194</v>
      </c>
      <c r="AJ122" s="846" t="s">
        <v>194</v>
      </c>
      <c r="AK122" s="846" t="s">
        <v>194</v>
      </c>
      <c r="AL122" s="846" t="s">
        <v>194</v>
      </c>
      <c r="AM122" s="846" t="s">
        <v>194</v>
      </c>
      <c r="AN122" s="846" t="s">
        <v>194</v>
      </c>
      <c r="AO122" s="846" t="s">
        <v>194</v>
      </c>
      <c r="AP122" s="846" t="s">
        <v>194</v>
      </c>
      <c r="AQ122" s="846" t="s">
        <v>194</v>
      </c>
      <c r="AR122" s="846" t="s">
        <v>194</v>
      </c>
      <c r="AS122" s="846" t="s">
        <v>194</v>
      </c>
      <c r="AT122" s="846" t="s">
        <v>194</v>
      </c>
      <c r="AU122" s="846" t="s">
        <v>194</v>
      </c>
      <c r="AV122" s="846" t="s">
        <v>194</v>
      </c>
      <c r="AW122" s="846" t="s">
        <v>194</v>
      </c>
      <c r="AX122" s="846" t="s">
        <v>194</v>
      </c>
      <c r="AY122" s="846" t="s">
        <v>194</v>
      </c>
    </row>
    <row r="123" ht="15.75" customHeight="1">
      <c r="A123" s="846" t="s">
        <v>194</v>
      </c>
      <c r="B123" s="846" t="s">
        <v>194</v>
      </c>
      <c r="C123" s="846" t="s">
        <v>194</v>
      </c>
      <c r="D123" s="846" t="s">
        <v>194</v>
      </c>
      <c r="E123" s="846" t="s">
        <v>194</v>
      </c>
      <c r="F123" s="846" t="s">
        <v>194</v>
      </c>
      <c r="G123" s="846" t="s">
        <v>194</v>
      </c>
      <c r="H123" s="846" t="s">
        <v>194</v>
      </c>
      <c r="I123" s="846" t="s">
        <v>194</v>
      </c>
      <c r="J123" s="846" t="s">
        <v>194</v>
      </c>
      <c r="K123" s="846" t="s">
        <v>194</v>
      </c>
      <c r="L123" s="846" t="s">
        <v>194</v>
      </c>
      <c r="M123" s="846" t="s">
        <v>194</v>
      </c>
      <c r="N123" s="846" t="s">
        <v>194</v>
      </c>
      <c r="O123" s="896" t="s">
        <v>194</v>
      </c>
      <c r="P123" s="896" t="s">
        <v>194</v>
      </c>
      <c r="Q123" s="846" t="s">
        <v>194</v>
      </c>
      <c r="R123" s="846" t="s">
        <v>194</v>
      </c>
      <c r="S123" s="846" t="s">
        <v>194</v>
      </c>
      <c r="T123" s="846" t="s">
        <v>194</v>
      </c>
      <c r="U123" s="846" t="s">
        <v>194</v>
      </c>
      <c r="V123" s="846" t="s">
        <v>194</v>
      </c>
      <c r="W123" s="846" t="s">
        <v>194</v>
      </c>
      <c r="X123" s="846" t="s">
        <v>194</v>
      </c>
      <c r="Y123" s="846" t="s">
        <v>194</v>
      </c>
      <c r="Z123" s="846" t="s">
        <v>194</v>
      </c>
      <c r="AA123" s="846" t="s">
        <v>194</v>
      </c>
      <c r="AB123" s="846" t="s">
        <v>194</v>
      </c>
      <c r="AC123" s="846" t="s">
        <v>194</v>
      </c>
      <c r="AD123" s="846" t="s">
        <v>194</v>
      </c>
      <c r="AE123" s="846" t="s">
        <v>194</v>
      </c>
      <c r="AF123" s="846" t="s">
        <v>194</v>
      </c>
      <c r="AG123" s="846" t="s">
        <v>194</v>
      </c>
      <c r="AH123" s="846" t="s">
        <v>194</v>
      </c>
      <c r="AI123" s="846" t="s">
        <v>194</v>
      </c>
      <c r="AJ123" s="846" t="s">
        <v>194</v>
      </c>
      <c r="AK123" s="846" t="s">
        <v>194</v>
      </c>
      <c r="AL123" s="846" t="s">
        <v>194</v>
      </c>
      <c r="AM123" s="846" t="s">
        <v>194</v>
      </c>
      <c r="AN123" s="846" t="s">
        <v>194</v>
      </c>
      <c r="AO123" s="846" t="s">
        <v>194</v>
      </c>
      <c r="AP123" s="846" t="s">
        <v>194</v>
      </c>
      <c r="AQ123" s="846" t="s">
        <v>194</v>
      </c>
      <c r="AR123" s="846" t="s">
        <v>194</v>
      </c>
      <c r="AS123" s="846" t="s">
        <v>194</v>
      </c>
      <c r="AT123" s="846" t="s">
        <v>194</v>
      </c>
      <c r="AU123" s="846" t="s">
        <v>194</v>
      </c>
      <c r="AV123" s="846" t="s">
        <v>194</v>
      </c>
      <c r="AW123" s="846" t="s">
        <v>194</v>
      </c>
      <c r="AX123" s="846" t="s">
        <v>194</v>
      </c>
      <c r="AY123" s="846" t="s">
        <v>194</v>
      </c>
    </row>
    <row r="124" ht="15.75" customHeight="1">
      <c r="A124" s="846" t="s">
        <v>194</v>
      </c>
      <c r="B124" s="846" t="s">
        <v>194</v>
      </c>
      <c r="C124" s="846" t="s">
        <v>194</v>
      </c>
      <c r="D124" s="846" t="s">
        <v>194</v>
      </c>
      <c r="E124" s="846" t="s">
        <v>194</v>
      </c>
      <c r="F124" s="846" t="s">
        <v>194</v>
      </c>
      <c r="G124" s="846" t="s">
        <v>194</v>
      </c>
      <c r="H124" s="846" t="s">
        <v>194</v>
      </c>
      <c r="I124" s="846" t="s">
        <v>194</v>
      </c>
      <c r="J124" s="846" t="s">
        <v>194</v>
      </c>
      <c r="K124" s="846" t="s">
        <v>194</v>
      </c>
      <c r="L124" s="846" t="s">
        <v>194</v>
      </c>
      <c r="M124" s="846" t="s">
        <v>194</v>
      </c>
      <c r="N124" s="846" t="s">
        <v>194</v>
      </c>
      <c r="O124" s="896" t="s">
        <v>194</v>
      </c>
      <c r="P124" s="896" t="s">
        <v>194</v>
      </c>
      <c r="Q124" s="846" t="s">
        <v>194</v>
      </c>
      <c r="R124" s="846" t="s">
        <v>194</v>
      </c>
      <c r="S124" s="846" t="s">
        <v>194</v>
      </c>
      <c r="T124" s="846" t="s">
        <v>194</v>
      </c>
      <c r="U124" s="846" t="s">
        <v>194</v>
      </c>
      <c r="V124" s="846" t="s">
        <v>194</v>
      </c>
      <c r="W124" s="846" t="s">
        <v>194</v>
      </c>
      <c r="X124" s="846" t="s">
        <v>194</v>
      </c>
      <c r="Y124" s="846" t="s">
        <v>194</v>
      </c>
      <c r="Z124" s="846" t="s">
        <v>194</v>
      </c>
      <c r="AA124" s="846" t="s">
        <v>194</v>
      </c>
      <c r="AB124" s="846" t="s">
        <v>194</v>
      </c>
      <c r="AC124" s="846" t="s">
        <v>194</v>
      </c>
      <c r="AD124" s="846" t="s">
        <v>194</v>
      </c>
      <c r="AE124" s="846" t="s">
        <v>194</v>
      </c>
      <c r="AF124" s="846" t="s">
        <v>194</v>
      </c>
      <c r="AG124" s="846" t="s">
        <v>194</v>
      </c>
      <c r="AH124" s="846" t="s">
        <v>194</v>
      </c>
      <c r="AI124" s="846" t="s">
        <v>194</v>
      </c>
      <c r="AJ124" s="846" t="s">
        <v>194</v>
      </c>
      <c r="AK124" s="846" t="s">
        <v>194</v>
      </c>
      <c r="AL124" s="846" t="s">
        <v>194</v>
      </c>
      <c r="AM124" s="846" t="s">
        <v>194</v>
      </c>
      <c r="AN124" s="846" t="s">
        <v>194</v>
      </c>
      <c r="AO124" s="846" t="s">
        <v>194</v>
      </c>
      <c r="AP124" s="846" t="s">
        <v>194</v>
      </c>
      <c r="AQ124" s="846" t="s">
        <v>194</v>
      </c>
      <c r="AR124" s="846" t="s">
        <v>194</v>
      </c>
      <c r="AS124" s="846" t="s">
        <v>194</v>
      </c>
      <c r="AT124" s="846" t="s">
        <v>194</v>
      </c>
      <c r="AU124" s="846" t="s">
        <v>194</v>
      </c>
      <c r="AV124" s="846" t="s">
        <v>194</v>
      </c>
      <c r="AW124" s="846" t="s">
        <v>194</v>
      </c>
      <c r="AX124" s="846" t="s">
        <v>194</v>
      </c>
      <c r="AY124" s="846" t="s">
        <v>194</v>
      </c>
    </row>
    <row r="125" ht="15.75" customHeight="1">
      <c r="A125" s="846" t="s">
        <v>194</v>
      </c>
      <c r="B125" s="846" t="s">
        <v>194</v>
      </c>
      <c r="C125" s="846" t="s">
        <v>194</v>
      </c>
      <c r="D125" s="846" t="s">
        <v>194</v>
      </c>
      <c r="E125" s="846" t="s">
        <v>194</v>
      </c>
      <c r="F125" s="846" t="s">
        <v>194</v>
      </c>
      <c r="G125" s="846" t="s">
        <v>194</v>
      </c>
      <c r="H125" s="846" t="s">
        <v>194</v>
      </c>
      <c r="I125" s="846" t="s">
        <v>194</v>
      </c>
      <c r="J125" s="846" t="s">
        <v>194</v>
      </c>
      <c r="K125" s="846" t="s">
        <v>194</v>
      </c>
      <c r="L125" s="846" t="s">
        <v>194</v>
      </c>
      <c r="M125" s="846" t="s">
        <v>194</v>
      </c>
      <c r="N125" s="846" t="s">
        <v>194</v>
      </c>
      <c r="O125" s="896" t="s">
        <v>194</v>
      </c>
      <c r="P125" s="896" t="s">
        <v>194</v>
      </c>
      <c r="Q125" s="846" t="s">
        <v>194</v>
      </c>
      <c r="R125" s="846" t="s">
        <v>194</v>
      </c>
      <c r="S125" s="846" t="s">
        <v>194</v>
      </c>
      <c r="T125" s="846" t="s">
        <v>194</v>
      </c>
      <c r="U125" s="846" t="s">
        <v>194</v>
      </c>
      <c r="V125" s="846" t="s">
        <v>194</v>
      </c>
      <c r="W125" s="846" t="s">
        <v>194</v>
      </c>
      <c r="X125" s="846" t="s">
        <v>194</v>
      </c>
      <c r="Y125" s="846" t="s">
        <v>194</v>
      </c>
      <c r="Z125" s="846" t="s">
        <v>194</v>
      </c>
      <c r="AA125" s="846" t="s">
        <v>194</v>
      </c>
      <c r="AB125" s="846" t="s">
        <v>194</v>
      </c>
      <c r="AC125" s="846" t="s">
        <v>194</v>
      </c>
      <c r="AD125" s="846" t="s">
        <v>194</v>
      </c>
      <c r="AE125" s="846" t="s">
        <v>194</v>
      </c>
      <c r="AF125" s="846" t="s">
        <v>194</v>
      </c>
      <c r="AG125" s="846" t="s">
        <v>194</v>
      </c>
      <c r="AH125" s="846" t="s">
        <v>194</v>
      </c>
      <c r="AI125" s="846" t="s">
        <v>194</v>
      </c>
      <c r="AJ125" s="846" t="s">
        <v>194</v>
      </c>
      <c r="AK125" s="846" t="s">
        <v>194</v>
      </c>
      <c r="AL125" s="846" t="s">
        <v>194</v>
      </c>
      <c r="AM125" s="846" t="s">
        <v>194</v>
      </c>
      <c r="AN125" s="846" t="s">
        <v>194</v>
      </c>
      <c r="AO125" s="846" t="s">
        <v>194</v>
      </c>
      <c r="AP125" s="846" t="s">
        <v>194</v>
      </c>
      <c r="AQ125" s="846" t="s">
        <v>194</v>
      </c>
      <c r="AR125" s="846" t="s">
        <v>194</v>
      </c>
      <c r="AS125" s="846" t="s">
        <v>194</v>
      </c>
      <c r="AT125" s="846" t="s">
        <v>194</v>
      </c>
      <c r="AU125" s="846" t="s">
        <v>194</v>
      </c>
      <c r="AV125" s="846" t="s">
        <v>194</v>
      </c>
      <c r="AW125" s="846" t="s">
        <v>194</v>
      </c>
      <c r="AX125" s="846" t="s">
        <v>194</v>
      </c>
      <c r="AY125" s="846" t="s">
        <v>194</v>
      </c>
    </row>
    <row r="126" ht="15.75" customHeight="1">
      <c r="A126" s="846" t="s">
        <v>194</v>
      </c>
      <c r="B126" s="846" t="s">
        <v>194</v>
      </c>
      <c r="C126" s="846" t="s">
        <v>194</v>
      </c>
      <c r="D126" s="846" t="s">
        <v>194</v>
      </c>
      <c r="E126" s="846" t="s">
        <v>194</v>
      </c>
      <c r="F126" s="846" t="s">
        <v>194</v>
      </c>
      <c r="G126" s="846" t="s">
        <v>194</v>
      </c>
      <c r="H126" s="846" t="s">
        <v>194</v>
      </c>
      <c r="I126" s="846" t="s">
        <v>194</v>
      </c>
      <c r="J126" s="846" t="s">
        <v>194</v>
      </c>
      <c r="K126" s="846" t="s">
        <v>194</v>
      </c>
      <c r="L126" s="846" t="s">
        <v>194</v>
      </c>
      <c r="M126" s="846" t="s">
        <v>194</v>
      </c>
      <c r="N126" s="846" t="s">
        <v>194</v>
      </c>
      <c r="O126" s="896" t="s">
        <v>194</v>
      </c>
      <c r="P126" s="896" t="s">
        <v>194</v>
      </c>
      <c r="Q126" s="846" t="s">
        <v>194</v>
      </c>
      <c r="R126" s="846" t="s">
        <v>194</v>
      </c>
      <c r="S126" s="846" t="s">
        <v>194</v>
      </c>
      <c r="T126" s="846" t="s">
        <v>194</v>
      </c>
      <c r="U126" s="846" t="s">
        <v>194</v>
      </c>
      <c r="V126" s="846" t="s">
        <v>194</v>
      </c>
      <c r="W126" s="846" t="s">
        <v>194</v>
      </c>
      <c r="X126" s="846" t="s">
        <v>194</v>
      </c>
      <c r="Y126" s="846" t="s">
        <v>194</v>
      </c>
      <c r="Z126" s="846" t="s">
        <v>194</v>
      </c>
      <c r="AA126" s="846" t="s">
        <v>194</v>
      </c>
      <c r="AB126" s="846" t="s">
        <v>194</v>
      </c>
      <c r="AC126" s="846" t="s">
        <v>194</v>
      </c>
      <c r="AD126" s="846" t="s">
        <v>194</v>
      </c>
      <c r="AE126" s="846" t="s">
        <v>194</v>
      </c>
      <c r="AF126" s="846" t="s">
        <v>194</v>
      </c>
      <c r="AG126" s="846" t="s">
        <v>194</v>
      </c>
      <c r="AH126" s="846" t="s">
        <v>194</v>
      </c>
      <c r="AI126" s="846" t="s">
        <v>194</v>
      </c>
      <c r="AJ126" s="846" t="s">
        <v>194</v>
      </c>
      <c r="AK126" s="846" t="s">
        <v>194</v>
      </c>
      <c r="AL126" s="846" t="s">
        <v>194</v>
      </c>
      <c r="AM126" s="846" t="s">
        <v>194</v>
      </c>
      <c r="AN126" s="846" t="s">
        <v>194</v>
      </c>
      <c r="AO126" s="846" t="s">
        <v>194</v>
      </c>
      <c r="AP126" s="846" t="s">
        <v>194</v>
      </c>
      <c r="AQ126" s="846" t="s">
        <v>194</v>
      </c>
      <c r="AR126" s="846" t="s">
        <v>194</v>
      </c>
      <c r="AS126" s="846" t="s">
        <v>194</v>
      </c>
      <c r="AT126" s="846" t="s">
        <v>194</v>
      </c>
      <c r="AU126" s="846" t="s">
        <v>194</v>
      </c>
      <c r="AV126" s="846" t="s">
        <v>194</v>
      </c>
      <c r="AW126" s="846" t="s">
        <v>194</v>
      </c>
      <c r="AX126" s="846" t="s">
        <v>194</v>
      </c>
      <c r="AY126" s="846" t="s">
        <v>194</v>
      </c>
    </row>
    <row r="127" ht="15.75" customHeight="1">
      <c r="A127" s="846" t="s">
        <v>194</v>
      </c>
      <c r="B127" s="846" t="s">
        <v>194</v>
      </c>
      <c r="C127" s="846" t="s">
        <v>194</v>
      </c>
      <c r="D127" s="846" t="s">
        <v>194</v>
      </c>
      <c r="E127" s="846" t="s">
        <v>194</v>
      </c>
      <c r="F127" s="846" t="s">
        <v>194</v>
      </c>
      <c r="G127" s="846" t="s">
        <v>194</v>
      </c>
      <c r="H127" s="846" t="s">
        <v>194</v>
      </c>
      <c r="I127" s="846" t="s">
        <v>194</v>
      </c>
      <c r="J127" s="846" t="s">
        <v>194</v>
      </c>
      <c r="K127" s="846" t="s">
        <v>194</v>
      </c>
      <c r="L127" s="846" t="s">
        <v>194</v>
      </c>
      <c r="M127" s="846" t="s">
        <v>194</v>
      </c>
      <c r="N127" s="846" t="s">
        <v>194</v>
      </c>
      <c r="O127" s="896" t="s">
        <v>194</v>
      </c>
      <c r="P127" s="896" t="s">
        <v>194</v>
      </c>
      <c r="Q127" s="846" t="s">
        <v>194</v>
      </c>
      <c r="R127" s="846" t="s">
        <v>194</v>
      </c>
      <c r="S127" s="846" t="s">
        <v>194</v>
      </c>
      <c r="T127" s="846" t="s">
        <v>194</v>
      </c>
      <c r="U127" s="846" t="s">
        <v>194</v>
      </c>
      <c r="V127" s="846" t="s">
        <v>194</v>
      </c>
      <c r="W127" s="846" t="s">
        <v>194</v>
      </c>
      <c r="X127" s="846" t="s">
        <v>194</v>
      </c>
      <c r="Y127" s="846" t="s">
        <v>194</v>
      </c>
      <c r="Z127" s="846" t="s">
        <v>194</v>
      </c>
      <c r="AA127" s="846" t="s">
        <v>194</v>
      </c>
      <c r="AB127" s="846" t="s">
        <v>194</v>
      </c>
      <c r="AC127" s="846" t="s">
        <v>194</v>
      </c>
      <c r="AD127" s="846" t="s">
        <v>194</v>
      </c>
      <c r="AE127" s="846" t="s">
        <v>194</v>
      </c>
      <c r="AF127" s="846" t="s">
        <v>194</v>
      </c>
      <c r="AG127" s="846" t="s">
        <v>194</v>
      </c>
      <c r="AH127" s="846" t="s">
        <v>194</v>
      </c>
      <c r="AI127" s="846" t="s">
        <v>194</v>
      </c>
      <c r="AJ127" s="846" t="s">
        <v>194</v>
      </c>
      <c r="AK127" s="846" t="s">
        <v>194</v>
      </c>
      <c r="AL127" s="846" t="s">
        <v>194</v>
      </c>
      <c r="AM127" s="846" t="s">
        <v>194</v>
      </c>
      <c r="AN127" s="846" t="s">
        <v>194</v>
      </c>
      <c r="AO127" s="846" t="s">
        <v>194</v>
      </c>
      <c r="AP127" s="846" t="s">
        <v>194</v>
      </c>
      <c r="AQ127" s="846" t="s">
        <v>194</v>
      </c>
      <c r="AR127" s="846" t="s">
        <v>194</v>
      </c>
      <c r="AS127" s="846" t="s">
        <v>194</v>
      </c>
      <c r="AT127" s="846" t="s">
        <v>194</v>
      </c>
      <c r="AU127" s="846" t="s">
        <v>194</v>
      </c>
      <c r="AV127" s="846" t="s">
        <v>194</v>
      </c>
      <c r="AW127" s="846" t="s">
        <v>194</v>
      </c>
      <c r="AX127" s="846" t="s">
        <v>194</v>
      </c>
      <c r="AY127" s="846" t="s">
        <v>194</v>
      </c>
    </row>
    <row r="128" ht="15.75" customHeight="1">
      <c r="A128" s="846" t="s">
        <v>194</v>
      </c>
      <c r="B128" s="846" t="s">
        <v>194</v>
      </c>
      <c r="C128" s="846" t="s">
        <v>194</v>
      </c>
      <c r="D128" s="846" t="s">
        <v>194</v>
      </c>
      <c r="E128" s="846" t="s">
        <v>194</v>
      </c>
      <c r="F128" s="846" t="s">
        <v>194</v>
      </c>
      <c r="G128" s="846" t="s">
        <v>194</v>
      </c>
      <c r="H128" s="846" t="s">
        <v>194</v>
      </c>
      <c r="I128" s="846" t="s">
        <v>194</v>
      </c>
      <c r="J128" s="846" t="s">
        <v>194</v>
      </c>
      <c r="K128" s="846" t="s">
        <v>194</v>
      </c>
      <c r="L128" s="846" t="s">
        <v>194</v>
      </c>
      <c r="M128" s="846" t="s">
        <v>194</v>
      </c>
      <c r="N128" s="846" t="s">
        <v>194</v>
      </c>
      <c r="O128" s="896" t="s">
        <v>194</v>
      </c>
      <c r="P128" s="896" t="s">
        <v>194</v>
      </c>
      <c r="Q128" s="846" t="s">
        <v>194</v>
      </c>
      <c r="R128" s="846" t="s">
        <v>194</v>
      </c>
      <c r="S128" s="846" t="s">
        <v>194</v>
      </c>
      <c r="T128" s="846" t="s">
        <v>194</v>
      </c>
      <c r="U128" s="846" t="s">
        <v>194</v>
      </c>
      <c r="V128" s="846" t="s">
        <v>194</v>
      </c>
      <c r="W128" s="846" t="s">
        <v>194</v>
      </c>
      <c r="X128" s="846" t="s">
        <v>194</v>
      </c>
      <c r="Y128" s="846" t="s">
        <v>194</v>
      </c>
      <c r="Z128" s="846" t="s">
        <v>194</v>
      </c>
      <c r="AA128" s="846" t="s">
        <v>194</v>
      </c>
      <c r="AB128" s="846" t="s">
        <v>194</v>
      </c>
      <c r="AC128" s="846" t="s">
        <v>194</v>
      </c>
      <c r="AD128" s="846" t="s">
        <v>194</v>
      </c>
      <c r="AE128" s="846" t="s">
        <v>194</v>
      </c>
      <c r="AF128" s="846" t="s">
        <v>194</v>
      </c>
      <c r="AG128" s="846" t="s">
        <v>194</v>
      </c>
      <c r="AH128" s="846" t="s">
        <v>194</v>
      </c>
      <c r="AI128" s="846" t="s">
        <v>194</v>
      </c>
      <c r="AJ128" s="846" t="s">
        <v>194</v>
      </c>
      <c r="AK128" s="846" t="s">
        <v>194</v>
      </c>
      <c r="AL128" s="846" t="s">
        <v>194</v>
      </c>
      <c r="AM128" s="846" t="s">
        <v>194</v>
      </c>
      <c r="AN128" s="846" t="s">
        <v>194</v>
      </c>
      <c r="AO128" s="846" t="s">
        <v>194</v>
      </c>
      <c r="AP128" s="846" t="s">
        <v>194</v>
      </c>
      <c r="AQ128" s="846" t="s">
        <v>194</v>
      </c>
      <c r="AR128" s="846" t="s">
        <v>194</v>
      </c>
      <c r="AS128" s="846" t="s">
        <v>194</v>
      </c>
      <c r="AT128" s="846" t="s">
        <v>194</v>
      </c>
      <c r="AU128" s="846" t="s">
        <v>194</v>
      </c>
      <c r="AV128" s="846" t="s">
        <v>194</v>
      </c>
      <c r="AW128" s="846" t="s">
        <v>194</v>
      </c>
      <c r="AX128" s="846" t="s">
        <v>194</v>
      </c>
      <c r="AY128" s="846" t="s">
        <v>194</v>
      </c>
    </row>
    <row r="129" ht="15.75" customHeight="1">
      <c r="A129" s="846" t="s">
        <v>194</v>
      </c>
      <c r="B129" s="846" t="s">
        <v>194</v>
      </c>
      <c r="C129" s="846" t="s">
        <v>194</v>
      </c>
      <c r="D129" s="846" t="s">
        <v>194</v>
      </c>
      <c r="E129" s="846" t="s">
        <v>194</v>
      </c>
      <c r="F129" s="846" t="s">
        <v>194</v>
      </c>
      <c r="G129" s="846" t="s">
        <v>194</v>
      </c>
      <c r="H129" s="846" t="s">
        <v>194</v>
      </c>
      <c r="I129" s="846" t="s">
        <v>194</v>
      </c>
      <c r="J129" s="846" t="s">
        <v>194</v>
      </c>
      <c r="K129" s="846" t="s">
        <v>194</v>
      </c>
      <c r="L129" s="846" t="s">
        <v>194</v>
      </c>
      <c r="M129" s="846" t="s">
        <v>194</v>
      </c>
      <c r="N129" s="846" t="s">
        <v>194</v>
      </c>
      <c r="O129" s="896" t="s">
        <v>194</v>
      </c>
      <c r="P129" s="896" t="s">
        <v>194</v>
      </c>
      <c r="Q129" s="846" t="s">
        <v>194</v>
      </c>
      <c r="R129" s="846" t="s">
        <v>194</v>
      </c>
      <c r="S129" s="846" t="s">
        <v>194</v>
      </c>
      <c r="T129" s="846" t="s">
        <v>194</v>
      </c>
      <c r="U129" s="846" t="s">
        <v>194</v>
      </c>
      <c r="V129" s="846" t="s">
        <v>194</v>
      </c>
      <c r="W129" s="846" t="s">
        <v>194</v>
      </c>
      <c r="X129" s="846" t="s">
        <v>194</v>
      </c>
      <c r="Y129" s="846" t="s">
        <v>194</v>
      </c>
      <c r="Z129" s="846" t="s">
        <v>194</v>
      </c>
      <c r="AA129" s="846" t="s">
        <v>194</v>
      </c>
      <c r="AB129" s="846" t="s">
        <v>194</v>
      </c>
      <c r="AC129" s="846" t="s">
        <v>194</v>
      </c>
      <c r="AD129" s="846" t="s">
        <v>194</v>
      </c>
      <c r="AE129" s="846" t="s">
        <v>194</v>
      </c>
      <c r="AF129" s="846" t="s">
        <v>194</v>
      </c>
      <c r="AG129" s="846" t="s">
        <v>194</v>
      </c>
      <c r="AH129" s="846" t="s">
        <v>194</v>
      </c>
      <c r="AI129" s="846" t="s">
        <v>194</v>
      </c>
      <c r="AJ129" s="846" t="s">
        <v>194</v>
      </c>
      <c r="AK129" s="846" t="s">
        <v>194</v>
      </c>
      <c r="AL129" s="846" t="s">
        <v>194</v>
      </c>
      <c r="AM129" s="846" t="s">
        <v>194</v>
      </c>
      <c r="AN129" s="846" t="s">
        <v>194</v>
      </c>
      <c r="AO129" s="846" t="s">
        <v>194</v>
      </c>
      <c r="AP129" s="846" t="s">
        <v>194</v>
      </c>
      <c r="AQ129" s="846" t="s">
        <v>194</v>
      </c>
      <c r="AR129" s="846" t="s">
        <v>194</v>
      </c>
      <c r="AS129" s="846" t="s">
        <v>194</v>
      </c>
      <c r="AT129" s="846" t="s">
        <v>194</v>
      </c>
      <c r="AU129" s="846" t="s">
        <v>194</v>
      </c>
      <c r="AV129" s="846" t="s">
        <v>194</v>
      </c>
      <c r="AW129" s="846" t="s">
        <v>194</v>
      </c>
      <c r="AX129" s="846" t="s">
        <v>194</v>
      </c>
      <c r="AY129" s="846" t="s">
        <v>194</v>
      </c>
    </row>
    <row r="130" ht="15.75" customHeight="1">
      <c r="A130" s="846" t="s">
        <v>194</v>
      </c>
      <c r="B130" s="846" t="s">
        <v>194</v>
      </c>
      <c r="C130" s="846" t="s">
        <v>194</v>
      </c>
      <c r="D130" s="846" t="s">
        <v>194</v>
      </c>
      <c r="E130" s="846" t="s">
        <v>194</v>
      </c>
      <c r="F130" s="846" t="s">
        <v>194</v>
      </c>
      <c r="G130" s="846" t="s">
        <v>194</v>
      </c>
      <c r="H130" s="846" t="s">
        <v>194</v>
      </c>
      <c r="I130" s="846" t="s">
        <v>194</v>
      </c>
      <c r="J130" s="846" t="s">
        <v>194</v>
      </c>
      <c r="K130" s="846" t="s">
        <v>194</v>
      </c>
      <c r="L130" s="846" t="s">
        <v>194</v>
      </c>
      <c r="M130" s="846" t="s">
        <v>194</v>
      </c>
      <c r="N130" s="846" t="s">
        <v>194</v>
      </c>
      <c r="O130" s="896" t="s">
        <v>194</v>
      </c>
      <c r="P130" s="896" t="s">
        <v>194</v>
      </c>
      <c r="Q130" s="846" t="s">
        <v>194</v>
      </c>
      <c r="R130" s="846" t="s">
        <v>194</v>
      </c>
      <c r="S130" s="846" t="s">
        <v>194</v>
      </c>
      <c r="T130" s="846" t="s">
        <v>194</v>
      </c>
      <c r="U130" s="846" t="s">
        <v>194</v>
      </c>
      <c r="V130" s="846" t="s">
        <v>194</v>
      </c>
      <c r="W130" s="846" t="s">
        <v>194</v>
      </c>
      <c r="X130" s="846" t="s">
        <v>194</v>
      </c>
      <c r="Y130" s="846" t="s">
        <v>194</v>
      </c>
      <c r="Z130" s="846" t="s">
        <v>194</v>
      </c>
      <c r="AA130" s="846" t="s">
        <v>194</v>
      </c>
      <c r="AB130" s="846" t="s">
        <v>194</v>
      </c>
      <c r="AC130" s="846" t="s">
        <v>194</v>
      </c>
      <c r="AD130" s="846" t="s">
        <v>194</v>
      </c>
      <c r="AE130" s="846" t="s">
        <v>194</v>
      </c>
      <c r="AF130" s="846" t="s">
        <v>194</v>
      </c>
      <c r="AG130" s="846" t="s">
        <v>194</v>
      </c>
      <c r="AH130" s="846" t="s">
        <v>194</v>
      </c>
      <c r="AI130" s="846" t="s">
        <v>194</v>
      </c>
      <c r="AJ130" s="846" t="s">
        <v>194</v>
      </c>
      <c r="AK130" s="846" t="s">
        <v>194</v>
      </c>
      <c r="AL130" s="846" t="s">
        <v>194</v>
      </c>
      <c r="AM130" s="846" t="s">
        <v>194</v>
      </c>
      <c r="AN130" s="846" t="s">
        <v>194</v>
      </c>
      <c r="AO130" s="846" t="s">
        <v>194</v>
      </c>
      <c r="AP130" s="846" t="s">
        <v>194</v>
      </c>
      <c r="AQ130" s="846" t="s">
        <v>194</v>
      </c>
      <c r="AR130" s="846" t="s">
        <v>194</v>
      </c>
      <c r="AS130" s="846" t="s">
        <v>194</v>
      </c>
      <c r="AT130" s="846" t="s">
        <v>194</v>
      </c>
      <c r="AU130" s="846" t="s">
        <v>194</v>
      </c>
      <c r="AV130" s="846" t="s">
        <v>194</v>
      </c>
      <c r="AW130" s="846" t="s">
        <v>194</v>
      </c>
      <c r="AX130" s="846" t="s">
        <v>194</v>
      </c>
      <c r="AY130" s="846" t="s">
        <v>194</v>
      </c>
    </row>
    <row r="131" ht="15.75" customHeight="1">
      <c r="A131" s="846" t="s">
        <v>194</v>
      </c>
      <c r="B131" s="846" t="s">
        <v>194</v>
      </c>
      <c r="C131" s="846" t="s">
        <v>194</v>
      </c>
      <c r="D131" s="846" t="s">
        <v>194</v>
      </c>
      <c r="E131" s="846" t="s">
        <v>194</v>
      </c>
      <c r="F131" s="846" t="s">
        <v>194</v>
      </c>
      <c r="G131" s="846" t="s">
        <v>194</v>
      </c>
      <c r="H131" s="846" t="s">
        <v>194</v>
      </c>
      <c r="I131" s="846" t="s">
        <v>194</v>
      </c>
      <c r="J131" s="846" t="s">
        <v>194</v>
      </c>
      <c r="K131" s="846" t="s">
        <v>194</v>
      </c>
      <c r="L131" s="846" t="s">
        <v>194</v>
      </c>
      <c r="M131" s="846" t="s">
        <v>194</v>
      </c>
      <c r="N131" s="846" t="s">
        <v>194</v>
      </c>
      <c r="O131" s="896" t="s">
        <v>194</v>
      </c>
      <c r="P131" s="896" t="s">
        <v>194</v>
      </c>
      <c r="Q131" s="846" t="s">
        <v>194</v>
      </c>
      <c r="R131" s="846" t="s">
        <v>194</v>
      </c>
      <c r="S131" s="846" t="s">
        <v>194</v>
      </c>
      <c r="T131" s="846" t="s">
        <v>194</v>
      </c>
      <c r="U131" s="846" t="s">
        <v>194</v>
      </c>
      <c r="V131" s="846" t="s">
        <v>194</v>
      </c>
      <c r="W131" s="846" t="s">
        <v>194</v>
      </c>
      <c r="X131" s="846" t="s">
        <v>194</v>
      </c>
      <c r="Y131" s="846" t="s">
        <v>194</v>
      </c>
      <c r="Z131" s="846" t="s">
        <v>194</v>
      </c>
      <c r="AA131" s="846" t="s">
        <v>194</v>
      </c>
      <c r="AB131" s="846" t="s">
        <v>194</v>
      </c>
      <c r="AC131" s="846" t="s">
        <v>194</v>
      </c>
      <c r="AD131" s="846" t="s">
        <v>194</v>
      </c>
      <c r="AE131" s="846" t="s">
        <v>194</v>
      </c>
      <c r="AF131" s="846" t="s">
        <v>194</v>
      </c>
      <c r="AG131" s="846" t="s">
        <v>194</v>
      </c>
      <c r="AH131" s="846" t="s">
        <v>194</v>
      </c>
      <c r="AI131" s="846" t="s">
        <v>194</v>
      </c>
      <c r="AJ131" s="846" t="s">
        <v>194</v>
      </c>
      <c r="AK131" s="846" t="s">
        <v>194</v>
      </c>
      <c r="AL131" s="846" t="s">
        <v>194</v>
      </c>
      <c r="AM131" s="846" t="s">
        <v>194</v>
      </c>
      <c r="AN131" s="846" t="s">
        <v>194</v>
      </c>
      <c r="AO131" s="846" t="s">
        <v>194</v>
      </c>
      <c r="AP131" s="846" t="s">
        <v>194</v>
      </c>
      <c r="AQ131" s="846" t="s">
        <v>194</v>
      </c>
      <c r="AR131" s="846" t="s">
        <v>194</v>
      </c>
      <c r="AS131" s="846" t="s">
        <v>194</v>
      </c>
      <c r="AT131" s="846" t="s">
        <v>194</v>
      </c>
      <c r="AU131" s="846" t="s">
        <v>194</v>
      </c>
      <c r="AV131" s="846" t="s">
        <v>194</v>
      </c>
      <c r="AW131" s="846" t="s">
        <v>194</v>
      </c>
      <c r="AX131" s="846" t="s">
        <v>194</v>
      </c>
      <c r="AY131" s="846" t="s">
        <v>194</v>
      </c>
    </row>
    <row r="132" ht="15.75" customHeight="1">
      <c r="A132" s="846" t="s">
        <v>194</v>
      </c>
      <c r="B132" s="846" t="s">
        <v>194</v>
      </c>
      <c r="C132" s="846" t="s">
        <v>194</v>
      </c>
      <c r="D132" s="846" t="s">
        <v>194</v>
      </c>
      <c r="E132" s="846" t="s">
        <v>194</v>
      </c>
      <c r="F132" s="846" t="s">
        <v>194</v>
      </c>
      <c r="G132" s="846" t="s">
        <v>194</v>
      </c>
      <c r="H132" s="846" t="s">
        <v>194</v>
      </c>
      <c r="I132" s="846" t="s">
        <v>194</v>
      </c>
      <c r="J132" s="846" t="s">
        <v>194</v>
      </c>
      <c r="K132" s="846" t="s">
        <v>194</v>
      </c>
      <c r="L132" s="846" t="s">
        <v>194</v>
      </c>
      <c r="M132" s="846" t="s">
        <v>194</v>
      </c>
      <c r="N132" s="846" t="s">
        <v>194</v>
      </c>
      <c r="O132" s="896" t="s">
        <v>194</v>
      </c>
      <c r="P132" s="896" t="s">
        <v>194</v>
      </c>
      <c r="Q132" s="846" t="s">
        <v>194</v>
      </c>
      <c r="R132" s="846" t="s">
        <v>194</v>
      </c>
      <c r="S132" s="846" t="s">
        <v>194</v>
      </c>
      <c r="T132" s="846" t="s">
        <v>194</v>
      </c>
      <c r="U132" s="846" t="s">
        <v>194</v>
      </c>
      <c r="V132" s="846" t="s">
        <v>194</v>
      </c>
      <c r="W132" s="846" t="s">
        <v>194</v>
      </c>
      <c r="X132" s="846" t="s">
        <v>194</v>
      </c>
      <c r="Y132" s="846" t="s">
        <v>194</v>
      </c>
      <c r="Z132" s="846" t="s">
        <v>194</v>
      </c>
      <c r="AA132" s="846" t="s">
        <v>194</v>
      </c>
      <c r="AB132" s="846" t="s">
        <v>194</v>
      </c>
      <c r="AC132" s="846" t="s">
        <v>194</v>
      </c>
      <c r="AD132" s="846" t="s">
        <v>194</v>
      </c>
      <c r="AE132" s="846" t="s">
        <v>194</v>
      </c>
      <c r="AF132" s="846" t="s">
        <v>194</v>
      </c>
      <c r="AG132" s="846" t="s">
        <v>194</v>
      </c>
      <c r="AH132" s="846" t="s">
        <v>194</v>
      </c>
      <c r="AI132" s="846" t="s">
        <v>194</v>
      </c>
      <c r="AJ132" s="846" t="s">
        <v>194</v>
      </c>
      <c r="AK132" s="846" t="s">
        <v>194</v>
      </c>
      <c r="AL132" s="846" t="s">
        <v>194</v>
      </c>
      <c r="AM132" s="846" t="s">
        <v>194</v>
      </c>
      <c r="AN132" s="846" t="s">
        <v>194</v>
      </c>
      <c r="AO132" s="846" t="s">
        <v>194</v>
      </c>
      <c r="AP132" s="846" t="s">
        <v>194</v>
      </c>
      <c r="AQ132" s="846" t="s">
        <v>194</v>
      </c>
      <c r="AR132" s="846" t="s">
        <v>194</v>
      </c>
      <c r="AS132" s="846" t="s">
        <v>194</v>
      </c>
      <c r="AT132" s="846" t="s">
        <v>194</v>
      </c>
      <c r="AU132" s="846" t="s">
        <v>194</v>
      </c>
      <c r="AV132" s="846" t="s">
        <v>194</v>
      </c>
      <c r="AW132" s="846" t="s">
        <v>194</v>
      </c>
      <c r="AX132" s="846" t="s">
        <v>194</v>
      </c>
      <c r="AY132" s="846" t="s">
        <v>194</v>
      </c>
    </row>
    <row r="133" ht="15.75" customHeight="1">
      <c r="A133" s="846" t="s">
        <v>194</v>
      </c>
      <c r="B133" s="846" t="s">
        <v>194</v>
      </c>
      <c r="C133" s="846" t="s">
        <v>194</v>
      </c>
      <c r="D133" s="846" t="s">
        <v>194</v>
      </c>
      <c r="E133" s="846" t="s">
        <v>194</v>
      </c>
      <c r="F133" s="846" t="s">
        <v>194</v>
      </c>
      <c r="G133" s="846" t="s">
        <v>194</v>
      </c>
      <c r="H133" s="846" t="s">
        <v>194</v>
      </c>
      <c r="I133" s="846" t="s">
        <v>194</v>
      </c>
      <c r="J133" s="846" t="s">
        <v>194</v>
      </c>
      <c r="K133" s="846" t="s">
        <v>194</v>
      </c>
      <c r="L133" s="846" t="s">
        <v>194</v>
      </c>
      <c r="M133" s="846" t="s">
        <v>194</v>
      </c>
      <c r="N133" s="846" t="s">
        <v>194</v>
      </c>
      <c r="O133" s="896" t="s">
        <v>194</v>
      </c>
      <c r="P133" s="896" t="s">
        <v>194</v>
      </c>
      <c r="Q133" s="846" t="s">
        <v>194</v>
      </c>
      <c r="R133" s="846" t="s">
        <v>194</v>
      </c>
      <c r="S133" s="846" t="s">
        <v>194</v>
      </c>
      <c r="T133" s="846" t="s">
        <v>194</v>
      </c>
      <c r="U133" s="846" t="s">
        <v>194</v>
      </c>
      <c r="V133" s="846" t="s">
        <v>194</v>
      </c>
      <c r="W133" s="846" t="s">
        <v>194</v>
      </c>
      <c r="X133" s="846" t="s">
        <v>194</v>
      </c>
      <c r="Y133" s="846" t="s">
        <v>194</v>
      </c>
      <c r="Z133" s="846" t="s">
        <v>194</v>
      </c>
      <c r="AA133" s="846" t="s">
        <v>194</v>
      </c>
      <c r="AB133" s="846" t="s">
        <v>194</v>
      </c>
      <c r="AC133" s="846" t="s">
        <v>194</v>
      </c>
      <c r="AD133" s="846" t="s">
        <v>194</v>
      </c>
      <c r="AE133" s="846" t="s">
        <v>194</v>
      </c>
      <c r="AF133" s="846" t="s">
        <v>194</v>
      </c>
      <c r="AG133" s="846" t="s">
        <v>194</v>
      </c>
      <c r="AH133" s="846" t="s">
        <v>194</v>
      </c>
      <c r="AI133" s="846" t="s">
        <v>194</v>
      </c>
      <c r="AJ133" s="846" t="s">
        <v>194</v>
      </c>
      <c r="AK133" s="846" t="s">
        <v>194</v>
      </c>
      <c r="AL133" s="846" t="s">
        <v>194</v>
      </c>
      <c r="AM133" s="846" t="s">
        <v>194</v>
      </c>
      <c r="AN133" s="846" t="s">
        <v>194</v>
      </c>
      <c r="AO133" s="846" t="s">
        <v>194</v>
      </c>
      <c r="AP133" s="846" t="s">
        <v>194</v>
      </c>
      <c r="AQ133" s="846" t="s">
        <v>194</v>
      </c>
      <c r="AR133" s="846" t="s">
        <v>194</v>
      </c>
      <c r="AS133" s="846" t="s">
        <v>194</v>
      </c>
      <c r="AT133" s="846" t="s">
        <v>194</v>
      </c>
      <c r="AU133" s="846" t="s">
        <v>194</v>
      </c>
      <c r="AV133" s="846" t="s">
        <v>194</v>
      </c>
      <c r="AW133" s="846" t="s">
        <v>194</v>
      </c>
      <c r="AX133" s="846" t="s">
        <v>194</v>
      </c>
      <c r="AY133" s="846" t="s">
        <v>194</v>
      </c>
    </row>
    <row r="134" ht="15.75" customHeight="1">
      <c r="A134" s="846" t="s">
        <v>194</v>
      </c>
      <c r="B134" s="846" t="s">
        <v>194</v>
      </c>
      <c r="C134" s="846" t="s">
        <v>194</v>
      </c>
      <c r="D134" s="846" t="s">
        <v>194</v>
      </c>
      <c r="E134" s="846" t="s">
        <v>194</v>
      </c>
      <c r="F134" s="846" t="s">
        <v>194</v>
      </c>
      <c r="G134" s="846" t="s">
        <v>194</v>
      </c>
      <c r="H134" s="846" t="s">
        <v>194</v>
      </c>
      <c r="I134" s="846" t="s">
        <v>194</v>
      </c>
      <c r="J134" s="846" t="s">
        <v>194</v>
      </c>
      <c r="K134" s="846" t="s">
        <v>194</v>
      </c>
      <c r="L134" s="846" t="s">
        <v>194</v>
      </c>
      <c r="M134" s="846" t="s">
        <v>194</v>
      </c>
      <c r="N134" s="846" t="s">
        <v>194</v>
      </c>
      <c r="O134" s="896" t="s">
        <v>194</v>
      </c>
      <c r="P134" s="896" t="s">
        <v>194</v>
      </c>
      <c r="Q134" s="846" t="s">
        <v>194</v>
      </c>
      <c r="R134" s="846" t="s">
        <v>194</v>
      </c>
      <c r="S134" s="846" t="s">
        <v>194</v>
      </c>
      <c r="T134" s="846" t="s">
        <v>194</v>
      </c>
      <c r="U134" s="846" t="s">
        <v>194</v>
      </c>
      <c r="V134" s="846" t="s">
        <v>194</v>
      </c>
      <c r="W134" s="846" t="s">
        <v>194</v>
      </c>
      <c r="X134" s="846" t="s">
        <v>194</v>
      </c>
      <c r="Y134" s="846" t="s">
        <v>194</v>
      </c>
      <c r="Z134" s="846" t="s">
        <v>194</v>
      </c>
      <c r="AA134" s="846" t="s">
        <v>194</v>
      </c>
      <c r="AB134" s="846" t="s">
        <v>194</v>
      </c>
      <c r="AC134" s="846" t="s">
        <v>194</v>
      </c>
      <c r="AD134" s="846" t="s">
        <v>194</v>
      </c>
      <c r="AE134" s="846" t="s">
        <v>194</v>
      </c>
      <c r="AF134" s="846" t="s">
        <v>194</v>
      </c>
      <c r="AG134" s="846" t="s">
        <v>194</v>
      </c>
      <c r="AH134" s="846" t="s">
        <v>194</v>
      </c>
      <c r="AI134" s="846" t="s">
        <v>194</v>
      </c>
      <c r="AJ134" s="846" t="s">
        <v>194</v>
      </c>
      <c r="AK134" s="846" t="s">
        <v>194</v>
      </c>
      <c r="AL134" s="846" t="s">
        <v>194</v>
      </c>
      <c r="AM134" s="846" t="s">
        <v>194</v>
      </c>
      <c r="AN134" s="846" t="s">
        <v>194</v>
      </c>
      <c r="AO134" s="846" t="s">
        <v>194</v>
      </c>
      <c r="AP134" s="846" t="s">
        <v>194</v>
      </c>
      <c r="AQ134" s="846" t="s">
        <v>194</v>
      </c>
      <c r="AR134" s="846" t="s">
        <v>194</v>
      </c>
      <c r="AS134" s="846" t="s">
        <v>194</v>
      </c>
      <c r="AT134" s="846" t="s">
        <v>194</v>
      </c>
      <c r="AU134" s="846" t="s">
        <v>194</v>
      </c>
      <c r="AV134" s="846" t="s">
        <v>194</v>
      </c>
      <c r="AW134" s="846" t="s">
        <v>194</v>
      </c>
      <c r="AX134" s="846" t="s">
        <v>194</v>
      </c>
      <c r="AY134" s="846" t="s">
        <v>194</v>
      </c>
    </row>
    <row r="135" ht="15.75" customHeight="1">
      <c r="A135" s="846" t="s">
        <v>194</v>
      </c>
      <c r="B135" s="846" t="s">
        <v>194</v>
      </c>
      <c r="C135" s="846" t="s">
        <v>194</v>
      </c>
      <c r="D135" s="846" t="s">
        <v>194</v>
      </c>
      <c r="E135" s="846" t="s">
        <v>194</v>
      </c>
      <c r="F135" s="846" t="s">
        <v>194</v>
      </c>
      <c r="G135" s="846" t="s">
        <v>194</v>
      </c>
      <c r="H135" s="846" t="s">
        <v>194</v>
      </c>
      <c r="I135" s="846" t="s">
        <v>194</v>
      </c>
      <c r="J135" s="846" t="s">
        <v>194</v>
      </c>
      <c r="K135" s="846" t="s">
        <v>194</v>
      </c>
      <c r="L135" s="846" t="s">
        <v>194</v>
      </c>
      <c r="M135" s="846" t="s">
        <v>194</v>
      </c>
      <c r="N135" s="846" t="s">
        <v>194</v>
      </c>
      <c r="O135" s="896" t="s">
        <v>194</v>
      </c>
      <c r="P135" s="896" t="s">
        <v>194</v>
      </c>
      <c r="Q135" s="846" t="s">
        <v>194</v>
      </c>
      <c r="R135" s="846" t="s">
        <v>194</v>
      </c>
      <c r="S135" s="846" t="s">
        <v>194</v>
      </c>
      <c r="T135" s="846" t="s">
        <v>194</v>
      </c>
      <c r="U135" s="846" t="s">
        <v>194</v>
      </c>
      <c r="V135" s="846" t="s">
        <v>194</v>
      </c>
      <c r="W135" s="846" t="s">
        <v>194</v>
      </c>
      <c r="X135" s="846" t="s">
        <v>194</v>
      </c>
      <c r="Y135" s="846" t="s">
        <v>194</v>
      </c>
      <c r="Z135" s="846" t="s">
        <v>194</v>
      </c>
      <c r="AA135" s="846" t="s">
        <v>194</v>
      </c>
      <c r="AB135" s="846" t="s">
        <v>194</v>
      </c>
      <c r="AC135" s="846" t="s">
        <v>194</v>
      </c>
      <c r="AD135" s="846" t="s">
        <v>194</v>
      </c>
      <c r="AE135" s="846" t="s">
        <v>194</v>
      </c>
      <c r="AF135" s="846" t="s">
        <v>194</v>
      </c>
      <c r="AG135" s="846" t="s">
        <v>194</v>
      </c>
      <c r="AH135" s="846" t="s">
        <v>194</v>
      </c>
      <c r="AI135" s="846" t="s">
        <v>194</v>
      </c>
      <c r="AJ135" s="846" t="s">
        <v>194</v>
      </c>
      <c r="AK135" s="846" t="s">
        <v>194</v>
      </c>
      <c r="AL135" s="846" t="s">
        <v>194</v>
      </c>
      <c r="AM135" s="846" t="s">
        <v>194</v>
      </c>
      <c r="AN135" s="846" t="s">
        <v>194</v>
      </c>
      <c r="AO135" s="846" t="s">
        <v>194</v>
      </c>
      <c r="AP135" s="846" t="s">
        <v>194</v>
      </c>
      <c r="AQ135" s="846" t="s">
        <v>194</v>
      </c>
      <c r="AR135" s="846" t="s">
        <v>194</v>
      </c>
      <c r="AS135" s="846" t="s">
        <v>194</v>
      </c>
      <c r="AT135" s="846" t="s">
        <v>194</v>
      </c>
      <c r="AU135" s="846" t="s">
        <v>194</v>
      </c>
      <c r="AV135" s="846" t="s">
        <v>194</v>
      </c>
      <c r="AW135" s="846" t="s">
        <v>194</v>
      </c>
      <c r="AX135" s="846" t="s">
        <v>194</v>
      </c>
      <c r="AY135" s="846" t="s">
        <v>194</v>
      </c>
    </row>
    <row r="136" ht="15.75" customHeight="1">
      <c r="A136" s="846" t="s">
        <v>194</v>
      </c>
      <c r="B136" s="846" t="s">
        <v>194</v>
      </c>
      <c r="C136" s="846" t="s">
        <v>194</v>
      </c>
      <c r="D136" s="846" t="s">
        <v>194</v>
      </c>
      <c r="E136" s="846" t="s">
        <v>194</v>
      </c>
      <c r="F136" s="846" t="s">
        <v>194</v>
      </c>
      <c r="G136" s="846" t="s">
        <v>194</v>
      </c>
      <c r="H136" s="846" t="s">
        <v>194</v>
      </c>
      <c r="I136" s="846" t="s">
        <v>194</v>
      </c>
      <c r="J136" s="846" t="s">
        <v>194</v>
      </c>
      <c r="K136" s="846" t="s">
        <v>194</v>
      </c>
      <c r="L136" s="846" t="s">
        <v>194</v>
      </c>
      <c r="M136" s="846" t="s">
        <v>194</v>
      </c>
      <c r="N136" s="846" t="s">
        <v>194</v>
      </c>
      <c r="O136" s="896" t="s">
        <v>194</v>
      </c>
      <c r="P136" s="896" t="s">
        <v>194</v>
      </c>
      <c r="Q136" s="846" t="s">
        <v>194</v>
      </c>
      <c r="R136" s="846" t="s">
        <v>194</v>
      </c>
      <c r="S136" s="846" t="s">
        <v>194</v>
      </c>
      <c r="T136" s="846" t="s">
        <v>194</v>
      </c>
      <c r="U136" s="846" t="s">
        <v>194</v>
      </c>
      <c r="V136" s="846" t="s">
        <v>194</v>
      </c>
      <c r="W136" s="846" t="s">
        <v>194</v>
      </c>
      <c r="X136" s="846" t="s">
        <v>194</v>
      </c>
      <c r="Y136" s="846" t="s">
        <v>194</v>
      </c>
      <c r="Z136" s="846" t="s">
        <v>194</v>
      </c>
      <c r="AA136" s="846" t="s">
        <v>194</v>
      </c>
      <c r="AB136" s="846" t="s">
        <v>194</v>
      </c>
      <c r="AC136" s="846" t="s">
        <v>194</v>
      </c>
      <c r="AD136" s="846" t="s">
        <v>194</v>
      </c>
      <c r="AE136" s="846" t="s">
        <v>194</v>
      </c>
      <c r="AF136" s="846" t="s">
        <v>194</v>
      </c>
      <c r="AG136" s="846" t="s">
        <v>194</v>
      </c>
      <c r="AH136" s="846" t="s">
        <v>194</v>
      </c>
      <c r="AI136" s="846" t="s">
        <v>194</v>
      </c>
      <c r="AJ136" s="846" t="s">
        <v>194</v>
      </c>
      <c r="AK136" s="846" t="s">
        <v>194</v>
      </c>
      <c r="AL136" s="846" t="s">
        <v>194</v>
      </c>
      <c r="AM136" s="846" t="s">
        <v>194</v>
      </c>
      <c r="AN136" s="846" t="s">
        <v>194</v>
      </c>
      <c r="AO136" s="846" t="s">
        <v>194</v>
      </c>
      <c r="AP136" s="846" t="s">
        <v>194</v>
      </c>
      <c r="AQ136" s="846" t="s">
        <v>194</v>
      </c>
      <c r="AR136" s="846" t="s">
        <v>194</v>
      </c>
      <c r="AS136" s="846" t="s">
        <v>194</v>
      </c>
      <c r="AT136" s="846" t="s">
        <v>194</v>
      </c>
      <c r="AU136" s="846" t="s">
        <v>194</v>
      </c>
      <c r="AV136" s="846" t="s">
        <v>194</v>
      </c>
      <c r="AW136" s="846" t="s">
        <v>194</v>
      </c>
      <c r="AX136" s="846" t="s">
        <v>194</v>
      </c>
      <c r="AY136" s="846" t="s">
        <v>194</v>
      </c>
    </row>
    <row r="137" ht="15.75" customHeight="1">
      <c r="A137" s="846" t="s">
        <v>194</v>
      </c>
      <c r="B137" s="846" t="s">
        <v>194</v>
      </c>
      <c r="C137" s="846" t="s">
        <v>194</v>
      </c>
      <c r="D137" s="846" t="s">
        <v>194</v>
      </c>
      <c r="E137" s="846" t="s">
        <v>194</v>
      </c>
      <c r="F137" s="846" t="s">
        <v>194</v>
      </c>
      <c r="G137" s="846" t="s">
        <v>194</v>
      </c>
      <c r="H137" s="846" t="s">
        <v>194</v>
      </c>
      <c r="I137" s="846" t="s">
        <v>194</v>
      </c>
      <c r="J137" s="846" t="s">
        <v>194</v>
      </c>
      <c r="K137" s="846" t="s">
        <v>194</v>
      </c>
      <c r="L137" s="846" t="s">
        <v>194</v>
      </c>
      <c r="M137" s="846" t="s">
        <v>194</v>
      </c>
      <c r="N137" s="846" t="s">
        <v>194</v>
      </c>
      <c r="O137" s="896" t="s">
        <v>194</v>
      </c>
      <c r="P137" s="896" t="s">
        <v>194</v>
      </c>
      <c r="Q137" s="846" t="s">
        <v>194</v>
      </c>
      <c r="R137" s="846" t="s">
        <v>194</v>
      </c>
      <c r="S137" s="846" t="s">
        <v>194</v>
      </c>
      <c r="T137" s="846" t="s">
        <v>194</v>
      </c>
      <c r="U137" s="846" t="s">
        <v>194</v>
      </c>
      <c r="V137" s="846" t="s">
        <v>194</v>
      </c>
      <c r="W137" s="846" t="s">
        <v>194</v>
      </c>
      <c r="X137" s="846" t="s">
        <v>194</v>
      </c>
      <c r="Y137" s="846" t="s">
        <v>194</v>
      </c>
      <c r="Z137" s="846" t="s">
        <v>194</v>
      </c>
      <c r="AA137" s="846" t="s">
        <v>194</v>
      </c>
      <c r="AB137" s="846" t="s">
        <v>194</v>
      </c>
      <c r="AC137" s="846" t="s">
        <v>194</v>
      </c>
      <c r="AD137" s="846" t="s">
        <v>194</v>
      </c>
      <c r="AE137" s="846" t="s">
        <v>194</v>
      </c>
      <c r="AF137" s="846" t="s">
        <v>194</v>
      </c>
      <c r="AG137" s="846" t="s">
        <v>194</v>
      </c>
      <c r="AH137" s="846" t="s">
        <v>194</v>
      </c>
      <c r="AI137" s="846" t="s">
        <v>194</v>
      </c>
      <c r="AJ137" s="846" t="s">
        <v>194</v>
      </c>
      <c r="AK137" s="846" t="s">
        <v>194</v>
      </c>
      <c r="AL137" s="846" t="s">
        <v>194</v>
      </c>
      <c r="AM137" s="846" t="s">
        <v>194</v>
      </c>
      <c r="AN137" s="846" t="s">
        <v>194</v>
      </c>
      <c r="AO137" s="846" t="s">
        <v>194</v>
      </c>
      <c r="AP137" s="846" t="s">
        <v>194</v>
      </c>
      <c r="AQ137" s="846" t="s">
        <v>194</v>
      </c>
      <c r="AR137" s="846" t="s">
        <v>194</v>
      </c>
      <c r="AS137" s="846" t="s">
        <v>194</v>
      </c>
      <c r="AT137" s="846" t="s">
        <v>194</v>
      </c>
      <c r="AU137" s="846" t="s">
        <v>194</v>
      </c>
      <c r="AV137" s="846" t="s">
        <v>194</v>
      </c>
      <c r="AW137" s="846" t="s">
        <v>194</v>
      </c>
      <c r="AX137" s="846" t="s">
        <v>194</v>
      </c>
      <c r="AY137" s="846" t="s">
        <v>194</v>
      </c>
    </row>
    <row r="138" ht="15.75" customHeight="1">
      <c r="A138" s="846" t="s">
        <v>194</v>
      </c>
      <c r="B138" s="846" t="s">
        <v>194</v>
      </c>
      <c r="C138" s="846" t="s">
        <v>194</v>
      </c>
      <c r="D138" s="846" t="s">
        <v>194</v>
      </c>
      <c r="E138" s="846" t="s">
        <v>194</v>
      </c>
      <c r="F138" s="846" t="s">
        <v>194</v>
      </c>
      <c r="G138" s="846" t="s">
        <v>194</v>
      </c>
      <c r="H138" s="846" t="s">
        <v>194</v>
      </c>
      <c r="I138" s="846" t="s">
        <v>194</v>
      </c>
      <c r="J138" s="846" t="s">
        <v>194</v>
      </c>
      <c r="K138" s="846" t="s">
        <v>194</v>
      </c>
      <c r="L138" s="846" t="s">
        <v>194</v>
      </c>
      <c r="M138" s="846" t="s">
        <v>194</v>
      </c>
      <c r="N138" s="846" t="s">
        <v>194</v>
      </c>
      <c r="O138" s="896" t="s">
        <v>194</v>
      </c>
      <c r="P138" s="896" t="s">
        <v>194</v>
      </c>
      <c r="Q138" s="846" t="s">
        <v>194</v>
      </c>
      <c r="R138" s="846" t="s">
        <v>194</v>
      </c>
      <c r="S138" s="846" t="s">
        <v>194</v>
      </c>
      <c r="T138" s="846" t="s">
        <v>194</v>
      </c>
      <c r="U138" s="846" t="s">
        <v>194</v>
      </c>
      <c r="V138" s="846" t="s">
        <v>194</v>
      </c>
      <c r="W138" s="846" t="s">
        <v>194</v>
      </c>
      <c r="X138" s="846" t="s">
        <v>194</v>
      </c>
      <c r="Y138" s="846" t="s">
        <v>194</v>
      </c>
      <c r="Z138" s="846" t="s">
        <v>194</v>
      </c>
      <c r="AA138" s="846" t="s">
        <v>194</v>
      </c>
      <c r="AB138" s="846" t="s">
        <v>194</v>
      </c>
      <c r="AC138" s="846" t="s">
        <v>194</v>
      </c>
      <c r="AD138" s="846" t="s">
        <v>194</v>
      </c>
      <c r="AE138" s="846" t="s">
        <v>194</v>
      </c>
      <c r="AF138" s="846" t="s">
        <v>194</v>
      </c>
      <c r="AG138" s="846" t="s">
        <v>194</v>
      </c>
      <c r="AH138" s="846" t="s">
        <v>194</v>
      </c>
      <c r="AI138" s="846" t="s">
        <v>194</v>
      </c>
      <c r="AJ138" s="846" t="s">
        <v>194</v>
      </c>
      <c r="AK138" s="846" t="s">
        <v>194</v>
      </c>
      <c r="AL138" s="846" t="s">
        <v>194</v>
      </c>
      <c r="AM138" s="846" t="s">
        <v>194</v>
      </c>
      <c r="AN138" s="846" t="s">
        <v>194</v>
      </c>
      <c r="AO138" s="846" t="s">
        <v>194</v>
      </c>
      <c r="AP138" s="846" t="s">
        <v>194</v>
      </c>
      <c r="AQ138" s="846" t="s">
        <v>194</v>
      </c>
      <c r="AR138" s="846" t="s">
        <v>194</v>
      </c>
      <c r="AS138" s="846" t="s">
        <v>194</v>
      </c>
      <c r="AT138" s="846" t="s">
        <v>194</v>
      </c>
      <c r="AU138" s="846" t="s">
        <v>194</v>
      </c>
      <c r="AV138" s="846" t="s">
        <v>194</v>
      </c>
      <c r="AW138" s="846" t="s">
        <v>194</v>
      </c>
      <c r="AX138" s="846" t="s">
        <v>194</v>
      </c>
      <c r="AY138" s="846" t="s">
        <v>194</v>
      </c>
    </row>
    <row r="139" ht="15.75" customHeight="1">
      <c r="A139" s="846" t="s">
        <v>194</v>
      </c>
      <c r="B139" s="846" t="s">
        <v>194</v>
      </c>
      <c r="C139" s="846" t="s">
        <v>194</v>
      </c>
      <c r="D139" s="846" t="s">
        <v>194</v>
      </c>
      <c r="E139" s="846" t="s">
        <v>194</v>
      </c>
      <c r="F139" s="846" t="s">
        <v>194</v>
      </c>
      <c r="G139" s="846" t="s">
        <v>194</v>
      </c>
      <c r="H139" s="846" t="s">
        <v>194</v>
      </c>
      <c r="I139" s="846" t="s">
        <v>194</v>
      </c>
      <c r="J139" s="846" t="s">
        <v>194</v>
      </c>
      <c r="K139" s="846" t="s">
        <v>194</v>
      </c>
      <c r="L139" s="846" t="s">
        <v>194</v>
      </c>
      <c r="M139" s="846" t="s">
        <v>194</v>
      </c>
      <c r="N139" s="846" t="s">
        <v>194</v>
      </c>
      <c r="O139" s="896" t="s">
        <v>194</v>
      </c>
      <c r="P139" s="896" t="s">
        <v>194</v>
      </c>
      <c r="Q139" s="846" t="s">
        <v>194</v>
      </c>
      <c r="R139" s="846" t="s">
        <v>194</v>
      </c>
      <c r="S139" s="846" t="s">
        <v>194</v>
      </c>
      <c r="T139" s="846" t="s">
        <v>194</v>
      </c>
      <c r="U139" s="846" t="s">
        <v>194</v>
      </c>
      <c r="V139" s="846" t="s">
        <v>194</v>
      </c>
      <c r="W139" s="846" t="s">
        <v>194</v>
      </c>
      <c r="X139" s="846" t="s">
        <v>194</v>
      </c>
      <c r="Y139" s="846" t="s">
        <v>194</v>
      </c>
      <c r="Z139" s="846" t="s">
        <v>194</v>
      </c>
      <c r="AA139" s="846" t="s">
        <v>194</v>
      </c>
      <c r="AB139" s="846" t="s">
        <v>194</v>
      </c>
      <c r="AC139" s="846" t="s">
        <v>194</v>
      </c>
      <c r="AD139" s="846" t="s">
        <v>194</v>
      </c>
      <c r="AE139" s="846" t="s">
        <v>194</v>
      </c>
      <c r="AF139" s="846" t="s">
        <v>194</v>
      </c>
      <c r="AG139" s="846" t="s">
        <v>194</v>
      </c>
      <c r="AH139" s="846" t="s">
        <v>194</v>
      </c>
      <c r="AI139" s="846" t="s">
        <v>194</v>
      </c>
      <c r="AJ139" s="846" t="s">
        <v>194</v>
      </c>
      <c r="AK139" s="846" t="s">
        <v>194</v>
      </c>
      <c r="AL139" s="846" t="s">
        <v>194</v>
      </c>
      <c r="AM139" s="846" t="s">
        <v>194</v>
      </c>
      <c r="AN139" s="846" t="s">
        <v>194</v>
      </c>
      <c r="AO139" s="846" t="s">
        <v>194</v>
      </c>
      <c r="AP139" s="846" t="s">
        <v>194</v>
      </c>
      <c r="AQ139" s="846" t="s">
        <v>194</v>
      </c>
      <c r="AR139" s="846" t="s">
        <v>194</v>
      </c>
      <c r="AS139" s="846" t="s">
        <v>194</v>
      </c>
      <c r="AT139" s="846" t="s">
        <v>194</v>
      </c>
      <c r="AU139" s="846" t="s">
        <v>194</v>
      </c>
      <c r="AV139" s="846" t="s">
        <v>194</v>
      </c>
      <c r="AW139" s="846" t="s">
        <v>194</v>
      </c>
      <c r="AX139" s="846" t="s">
        <v>194</v>
      </c>
      <c r="AY139" s="846" t="s">
        <v>194</v>
      </c>
    </row>
    <row r="140" ht="15.75" customHeight="1">
      <c r="A140" s="15"/>
      <c r="B140" s="15"/>
      <c r="C140" s="15"/>
      <c r="D140" s="15"/>
      <c r="E140" s="15"/>
      <c r="F140" s="15"/>
      <c r="G140" s="15"/>
      <c r="H140" s="15"/>
      <c r="I140" s="15"/>
      <c r="J140" s="15"/>
      <c r="K140" s="15"/>
      <c r="L140" s="15"/>
      <c r="M140" s="15"/>
      <c r="N140" s="15"/>
      <c r="O140" s="896"/>
      <c r="P140" s="896"/>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row>
    <row r="141" ht="15.75" customHeight="1">
      <c r="A141" s="15"/>
      <c r="B141" s="15"/>
      <c r="C141" s="15"/>
      <c r="D141" s="15"/>
      <c r="E141" s="15"/>
      <c r="F141" s="15"/>
      <c r="G141" s="15"/>
      <c r="H141" s="15"/>
      <c r="I141" s="15"/>
      <c r="J141" s="15"/>
      <c r="K141" s="15"/>
      <c r="L141" s="15"/>
      <c r="M141" s="15"/>
      <c r="N141" s="15"/>
      <c r="O141" s="896"/>
      <c r="P141" s="896"/>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row>
    <row r="142" ht="15.75" customHeight="1">
      <c r="A142" s="15"/>
      <c r="B142" s="15"/>
      <c r="C142" s="15"/>
      <c r="D142" s="15"/>
      <c r="E142" s="15"/>
      <c r="F142" s="15"/>
      <c r="G142" s="15"/>
      <c r="H142" s="15"/>
      <c r="I142" s="15"/>
      <c r="J142" s="15"/>
      <c r="K142" s="15"/>
      <c r="L142" s="15"/>
      <c r="M142" s="15"/>
      <c r="N142" s="15"/>
      <c r="O142" s="896"/>
      <c r="P142" s="896"/>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row>
    <row r="143" ht="15.75" customHeight="1">
      <c r="A143" s="15"/>
      <c r="B143" s="15"/>
      <c r="C143" s="15"/>
      <c r="D143" s="15"/>
      <c r="E143" s="15"/>
      <c r="F143" s="15"/>
      <c r="G143" s="15"/>
      <c r="H143" s="15"/>
      <c r="I143" s="15"/>
      <c r="J143" s="15"/>
      <c r="K143" s="15"/>
      <c r="L143" s="15"/>
      <c r="M143" s="15"/>
      <c r="N143" s="15"/>
      <c r="O143" s="896"/>
      <c r="P143" s="896"/>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row>
    <row r="144" ht="15.75" customHeight="1">
      <c r="A144" s="15"/>
      <c r="B144" s="15"/>
      <c r="C144" s="15"/>
      <c r="D144" s="15"/>
      <c r="E144" s="15"/>
      <c r="F144" s="15"/>
      <c r="G144" s="15"/>
      <c r="H144" s="15"/>
      <c r="I144" s="15"/>
      <c r="J144" s="15"/>
      <c r="K144" s="15"/>
      <c r="L144" s="15"/>
      <c r="M144" s="15"/>
      <c r="N144" s="15"/>
      <c r="O144" s="896"/>
      <c r="P144" s="896"/>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row>
    <row r="145" ht="15.75" customHeight="1">
      <c r="A145" s="15"/>
      <c r="B145" s="15"/>
      <c r="C145" s="15"/>
      <c r="D145" s="15"/>
      <c r="E145" s="15"/>
      <c r="F145" s="15"/>
      <c r="G145" s="15"/>
      <c r="H145" s="15"/>
      <c r="I145" s="15"/>
      <c r="J145" s="15"/>
      <c r="K145" s="15"/>
      <c r="L145" s="15"/>
      <c r="M145" s="15"/>
      <c r="N145" s="15"/>
      <c r="O145" s="896"/>
      <c r="P145" s="896"/>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row>
    <row r="146" ht="15.75" customHeight="1">
      <c r="A146" s="15"/>
      <c r="B146" s="15"/>
      <c r="C146" s="15"/>
      <c r="D146" s="15"/>
      <c r="E146" s="15"/>
      <c r="F146" s="15"/>
      <c r="G146" s="15"/>
      <c r="H146" s="15"/>
      <c r="I146" s="15"/>
      <c r="J146" s="15"/>
      <c r="K146" s="15"/>
      <c r="L146" s="15"/>
      <c r="M146" s="15"/>
      <c r="N146" s="15"/>
      <c r="O146" s="896"/>
      <c r="P146" s="896"/>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row>
    <row r="147" ht="15.75" customHeight="1">
      <c r="A147" s="15"/>
      <c r="B147" s="15"/>
      <c r="C147" s="15"/>
      <c r="D147" s="15"/>
      <c r="E147" s="15"/>
      <c r="F147" s="15"/>
      <c r="G147" s="15"/>
      <c r="H147" s="15"/>
      <c r="I147" s="15"/>
      <c r="J147" s="15"/>
      <c r="K147" s="15"/>
      <c r="L147" s="15"/>
      <c r="M147" s="15"/>
      <c r="N147" s="15"/>
      <c r="O147" s="896"/>
      <c r="P147" s="896"/>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row>
    <row r="148" ht="15.75" customHeight="1">
      <c r="A148" s="15"/>
      <c r="B148" s="15"/>
      <c r="C148" s="15"/>
      <c r="D148" s="15"/>
      <c r="E148" s="15"/>
      <c r="F148" s="15"/>
      <c r="G148" s="15"/>
      <c r="H148" s="15"/>
      <c r="I148" s="15"/>
      <c r="J148" s="15"/>
      <c r="K148" s="15"/>
      <c r="L148" s="15"/>
      <c r="M148" s="15"/>
      <c r="N148" s="15"/>
      <c r="O148" s="896"/>
      <c r="P148" s="896"/>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row>
    <row r="149" ht="15.75" customHeight="1">
      <c r="A149" s="15"/>
      <c r="B149" s="15"/>
      <c r="C149" s="15"/>
      <c r="D149" s="15"/>
      <c r="E149" s="15"/>
      <c r="F149" s="15"/>
      <c r="G149" s="15"/>
      <c r="H149" s="15"/>
      <c r="I149" s="15"/>
      <c r="J149" s="15"/>
      <c r="K149" s="15"/>
      <c r="L149" s="15"/>
      <c r="M149" s="15"/>
      <c r="N149" s="15"/>
      <c r="O149" s="896"/>
      <c r="P149" s="896"/>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row>
    <row r="150" ht="15.75" customHeight="1">
      <c r="A150" s="15"/>
      <c r="B150" s="15"/>
      <c r="C150" s="15"/>
      <c r="D150" s="15"/>
      <c r="E150" s="15"/>
      <c r="F150" s="15"/>
      <c r="G150" s="15"/>
      <c r="H150" s="15"/>
      <c r="I150" s="15"/>
      <c r="J150" s="15"/>
      <c r="K150" s="15"/>
      <c r="L150" s="15"/>
      <c r="M150" s="15"/>
      <c r="N150" s="15"/>
      <c r="O150" s="896"/>
      <c r="P150" s="896"/>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row>
    <row r="151" ht="15.75" customHeight="1">
      <c r="A151" s="15"/>
      <c r="B151" s="15"/>
      <c r="C151" s="15"/>
      <c r="D151" s="15"/>
      <c r="E151" s="15"/>
      <c r="F151" s="15"/>
      <c r="G151" s="15"/>
      <c r="H151" s="15"/>
      <c r="I151" s="15"/>
      <c r="J151" s="15"/>
      <c r="K151" s="15"/>
      <c r="L151" s="15"/>
      <c r="M151" s="15"/>
      <c r="N151" s="15"/>
      <c r="O151" s="896"/>
      <c r="P151" s="896"/>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row>
    <row r="152" ht="15.75" customHeight="1">
      <c r="A152" s="15"/>
      <c r="B152" s="15"/>
      <c r="C152" s="15"/>
      <c r="D152" s="15"/>
      <c r="E152" s="15"/>
      <c r="F152" s="15"/>
      <c r="G152" s="15"/>
      <c r="H152" s="15"/>
      <c r="I152" s="15"/>
      <c r="J152" s="15"/>
      <c r="K152" s="15"/>
      <c r="L152" s="15"/>
      <c r="M152" s="15"/>
      <c r="N152" s="15"/>
      <c r="O152" s="896"/>
      <c r="P152" s="896"/>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row>
    <row r="153" ht="15.75" customHeight="1">
      <c r="A153" s="15"/>
      <c r="B153" s="15"/>
      <c r="C153" s="15"/>
      <c r="D153" s="15"/>
      <c r="E153" s="15"/>
      <c r="F153" s="15"/>
      <c r="G153" s="15"/>
      <c r="H153" s="15"/>
      <c r="I153" s="15"/>
      <c r="J153" s="15"/>
      <c r="K153" s="15"/>
      <c r="L153" s="15"/>
      <c r="M153" s="15"/>
      <c r="N153" s="15"/>
      <c r="O153" s="896"/>
      <c r="P153" s="896"/>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row>
    <row r="154" ht="15.75" customHeight="1">
      <c r="A154" s="15"/>
      <c r="B154" s="15"/>
      <c r="C154" s="15"/>
      <c r="D154" s="15"/>
      <c r="E154" s="15"/>
      <c r="F154" s="15"/>
      <c r="G154" s="15"/>
      <c r="H154" s="15"/>
      <c r="I154" s="15"/>
      <c r="J154" s="15"/>
      <c r="K154" s="15"/>
      <c r="L154" s="15"/>
      <c r="M154" s="15"/>
      <c r="N154" s="15"/>
      <c r="O154" s="896"/>
      <c r="P154" s="896"/>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row>
    <row r="155" ht="15.75" customHeight="1">
      <c r="A155" s="15"/>
      <c r="B155" s="15"/>
      <c r="C155" s="15"/>
      <c r="D155" s="15"/>
      <c r="E155" s="15"/>
      <c r="F155" s="15"/>
      <c r="G155" s="15"/>
      <c r="H155" s="15"/>
      <c r="I155" s="15"/>
      <c r="J155" s="15"/>
      <c r="K155" s="15"/>
      <c r="L155" s="15"/>
      <c r="M155" s="15"/>
      <c r="N155" s="15"/>
      <c r="O155" s="896"/>
      <c r="P155" s="896"/>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row>
    <row r="156" ht="15.75" customHeight="1">
      <c r="A156" s="15"/>
      <c r="B156" s="15"/>
      <c r="C156" s="15"/>
      <c r="D156" s="15"/>
      <c r="E156" s="15"/>
      <c r="F156" s="15"/>
      <c r="G156" s="15"/>
      <c r="H156" s="15"/>
      <c r="I156" s="15"/>
      <c r="J156" s="15"/>
      <c r="K156" s="15"/>
      <c r="L156" s="15"/>
      <c r="M156" s="15"/>
      <c r="N156" s="15"/>
      <c r="O156" s="896"/>
      <c r="P156" s="896"/>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row>
    <row r="157" ht="15.75" customHeight="1">
      <c r="A157" s="15"/>
      <c r="B157" s="15"/>
      <c r="C157" s="15"/>
      <c r="D157" s="15"/>
      <c r="E157" s="15"/>
      <c r="F157" s="15"/>
      <c r="G157" s="15"/>
      <c r="H157" s="15"/>
      <c r="I157" s="15"/>
      <c r="J157" s="15"/>
      <c r="K157" s="15"/>
      <c r="L157" s="15"/>
      <c r="M157" s="15"/>
      <c r="N157" s="15"/>
      <c r="O157" s="896"/>
      <c r="P157" s="896"/>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row>
    <row r="158" ht="15.75" customHeight="1">
      <c r="A158" s="15"/>
      <c r="B158" s="15"/>
      <c r="C158" s="15"/>
      <c r="D158" s="15"/>
      <c r="E158" s="15"/>
      <c r="F158" s="15"/>
      <c r="G158" s="15"/>
      <c r="H158" s="15"/>
      <c r="I158" s="15"/>
      <c r="J158" s="15"/>
      <c r="K158" s="15"/>
      <c r="L158" s="15"/>
      <c r="M158" s="15"/>
      <c r="N158" s="15"/>
      <c r="O158" s="896"/>
      <c r="P158" s="896"/>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row>
    <row r="159" ht="15.75" customHeight="1">
      <c r="A159" s="15"/>
      <c r="B159" s="15"/>
      <c r="C159" s="15"/>
      <c r="D159" s="15"/>
      <c r="E159" s="15"/>
      <c r="F159" s="15"/>
      <c r="G159" s="15"/>
      <c r="H159" s="15"/>
      <c r="I159" s="15"/>
      <c r="J159" s="15"/>
      <c r="K159" s="15"/>
      <c r="L159" s="15"/>
      <c r="M159" s="15"/>
      <c r="N159" s="15"/>
      <c r="O159" s="896"/>
      <c r="P159" s="896"/>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row>
    <row r="160" ht="15.75" customHeight="1">
      <c r="A160" s="15"/>
      <c r="B160" s="15"/>
      <c r="C160" s="15"/>
      <c r="D160" s="15"/>
      <c r="E160" s="15"/>
      <c r="F160" s="15"/>
      <c r="G160" s="15"/>
      <c r="H160" s="15"/>
      <c r="I160" s="15"/>
      <c r="J160" s="15"/>
      <c r="K160" s="15"/>
      <c r="L160" s="15"/>
      <c r="M160" s="15"/>
      <c r="N160" s="15"/>
      <c r="O160" s="896"/>
      <c r="P160" s="896"/>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row>
    <row r="161" ht="15.75" customHeight="1">
      <c r="A161" s="15"/>
      <c r="B161" s="15"/>
      <c r="C161" s="15"/>
      <c r="D161" s="15"/>
      <c r="E161" s="15"/>
      <c r="F161" s="15"/>
      <c r="G161" s="15"/>
      <c r="H161" s="15"/>
      <c r="I161" s="15"/>
      <c r="J161" s="15"/>
      <c r="K161" s="15"/>
      <c r="L161" s="15"/>
      <c r="M161" s="15"/>
      <c r="N161" s="15"/>
      <c r="O161" s="896"/>
      <c r="P161" s="896"/>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row>
    <row r="162" ht="15.75" customHeight="1">
      <c r="A162" s="15"/>
      <c r="B162" s="15"/>
      <c r="C162" s="15"/>
      <c r="D162" s="15"/>
      <c r="E162" s="15"/>
      <c r="F162" s="15"/>
      <c r="G162" s="15"/>
      <c r="H162" s="15"/>
      <c r="I162" s="15"/>
      <c r="J162" s="15"/>
      <c r="K162" s="15"/>
      <c r="L162" s="15"/>
      <c r="M162" s="15"/>
      <c r="N162" s="15"/>
      <c r="O162" s="896"/>
      <c r="P162" s="896"/>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row>
    <row r="163" ht="15.75" customHeight="1">
      <c r="A163" s="15"/>
      <c r="B163" s="15"/>
      <c r="C163" s="15"/>
      <c r="D163" s="15"/>
      <c r="E163" s="15"/>
      <c r="F163" s="15"/>
      <c r="G163" s="15"/>
      <c r="H163" s="15"/>
      <c r="I163" s="15"/>
      <c r="J163" s="15"/>
      <c r="K163" s="15"/>
      <c r="L163" s="15"/>
      <c r="M163" s="15"/>
      <c r="N163" s="15"/>
      <c r="O163" s="896"/>
      <c r="P163" s="896"/>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row>
    <row r="164" ht="15.75" customHeight="1">
      <c r="A164" s="15"/>
      <c r="B164" s="15"/>
      <c r="C164" s="15"/>
      <c r="D164" s="15"/>
      <c r="E164" s="15"/>
      <c r="F164" s="15"/>
      <c r="G164" s="15"/>
      <c r="H164" s="15"/>
      <c r="I164" s="15"/>
      <c r="J164" s="15"/>
      <c r="K164" s="15"/>
      <c r="L164" s="15"/>
      <c r="M164" s="15"/>
      <c r="N164" s="15"/>
      <c r="O164" s="896"/>
      <c r="P164" s="896"/>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row>
    <row r="165" ht="15.75" customHeight="1">
      <c r="A165" s="15"/>
      <c r="B165" s="15"/>
      <c r="C165" s="15"/>
      <c r="D165" s="15"/>
      <c r="E165" s="15"/>
      <c r="F165" s="15"/>
      <c r="G165" s="15"/>
      <c r="H165" s="15"/>
      <c r="I165" s="15"/>
      <c r="J165" s="15"/>
      <c r="K165" s="15"/>
      <c r="L165" s="15"/>
      <c r="M165" s="15"/>
      <c r="N165" s="15"/>
      <c r="O165" s="896"/>
      <c r="P165" s="896"/>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row>
    <row r="166" ht="15.75" customHeight="1">
      <c r="A166" s="15"/>
      <c r="B166" s="15"/>
      <c r="C166" s="15"/>
      <c r="D166" s="15"/>
      <c r="E166" s="15"/>
      <c r="F166" s="15"/>
      <c r="G166" s="15"/>
      <c r="H166" s="15"/>
      <c r="I166" s="15"/>
      <c r="J166" s="15"/>
      <c r="K166" s="15"/>
      <c r="L166" s="15"/>
      <c r="M166" s="15"/>
      <c r="N166" s="15"/>
      <c r="O166" s="896"/>
      <c r="P166" s="896"/>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row>
    <row r="167" ht="15.75" customHeight="1">
      <c r="A167" s="15"/>
      <c r="B167" s="15"/>
      <c r="C167" s="15"/>
      <c r="D167" s="15"/>
      <c r="E167" s="15"/>
      <c r="F167" s="15"/>
      <c r="G167" s="15"/>
      <c r="H167" s="15"/>
      <c r="I167" s="15"/>
      <c r="J167" s="15"/>
      <c r="K167" s="15"/>
      <c r="L167" s="15"/>
      <c r="M167" s="15"/>
      <c r="N167" s="15"/>
      <c r="O167" s="896"/>
      <c r="P167" s="896"/>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row>
    <row r="168" ht="15.75" customHeight="1">
      <c r="A168" s="15"/>
      <c r="B168" s="15"/>
      <c r="C168" s="15"/>
      <c r="D168" s="15"/>
      <c r="E168" s="15"/>
      <c r="F168" s="15"/>
      <c r="G168" s="15"/>
      <c r="H168" s="15"/>
      <c r="I168" s="15"/>
      <c r="J168" s="15"/>
      <c r="K168" s="15"/>
      <c r="L168" s="15"/>
      <c r="M168" s="15"/>
      <c r="N168" s="15"/>
      <c r="O168" s="896"/>
      <c r="P168" s="896"/>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row>
    <row r="169" ht="15.75" customHeight="1">
      <c r="A169" s="15"/>
      <c r="B169" s="15"/>
      <c r="C169" s="15"/>
      <c r="D169" s="15"/>
      <c r="E169" s="15"/>
      <c r="F169" s="15"/>
      <c r="G169" s="15"/>
      <c r="H169" s="15"/>
      <c r="I169" s="15"/>
      <c r="J169" s="15"/>
      <c r="K169" s="15"/>
      <c r="L169" s="15"/>
      <c r="M169" s="15"/>
      <c r="N169" s="15"/>
      <c r="O169" s="896"/>
      <c r="P169" s="896"/>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row>
    <row r="170" ht="15.75" customHeight="1">
      <c r="A170" s="15"/>
      <c r="B170" s="15"/>
      <c r="C170" s="15"/>
      <c r="D170" s="15"/>
      <c r="E170" s="15"/>
      <c r="F170" s="15"/>
      <c r="G170" s="15"/>
      <c r="H170" s="15"/>
      <c r="I170" s="15"/>
      <c r="J170" s="15"/>
      <c r="K170" s="15"/>
      <c r="L170" s="15"/>
      <c r="M170" s="15"/>
      <c r="N170" s="15"/>
      <c r="O170" s="896"/>
      <c r="P170" s="896"/>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row>
    <row r="171" ht="15.75" customHeight="1">
      <c r="A171" s="15"/>
      <c r="B171" s="15"/>
      <c r="C171" s="15"/>
      <c r="D171" s="15"/>
      <c r="E171" s="15"/>
      <c r="F171" s="15"/>
      <c r="G171" s="15"/>
      <c r="H171" s="15"/>
      <c r="I171" s="15"/>
      <c r="J171" s="15"/>
      <c r="K171" s="15"/>
      <c r="L171" s="15"/>
      <c r="M171" s="15"/>
      <c r="N171" s="15"/>
      <c r="O171" s="896"/>
      <c r="P171" s="896"/>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row>
    <row r="172" ht="15.75" customHeight="1">
      <c r="A172" s="15"/>
      <c r="B172" s="15"/>
      <c r="C172" s="15"/>
      <c r="D172" s="15"/>
      <c r="E172" s="15"/>
      <c r="F172" s="15"/>
      <c r="G172" s="15"/>
      <c r="H172" s="15"/>
      <c r="I172" s="15"/>
      <c r="J172" s="15"/>
      <c r="K172" s="15"/>
      <c r="L172" s="15"/>
      <c r="M172" s="15"/>
      <c r="N172" s="15"/>
      <c r="O172" s="896"/>
      <c r="P172" s="896"/>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row>
    <row r="173" ht="15.75" customHeight="1">
      <c r="A173" s="15"/>
      <c r="B173" s="15"/>
      <c r="C173" s="15"/>
      <c r="D173" s="15"/>
      <c r="E173" s="15"/>
      <c r="F173" s="15"/>
      <c r="G173" s="15"/>
      <c r="H173" s="15"/>
      <c r="I173" s="15"/>
      <c r="J173" s="15"/>
      <c r="K173" s="15"/>
      <c r="L173" s="15"/>
      <c r="M173" s="15"/>
      <c r="N173" s="15"/>
      <c r="O173" s="896"/>
      <c r="P173" s="896"/>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row>
    <row r="174" ht="15.75" customHeight="1">
      <c r="A174" s="15"/>
      <c r="B174" s="15"/>
      <c r="C174" s="15"/>
      <c r="D174" s="15"/>
      <c r="E174" s="15"/>
      <c r="F174" s="15"/>
      <c r="G174" s="15"/>
      <c r="H174" s="15"/>
      <c r="I174" s="15"/>
      <c r="J174" s="15"/>
      <c r="K174" s="15"/>
      <c r="L174" s="15"/>
      <c r="M174" s="15"/>
      <c r="N174" s="15"/>
      <c r="O174" s="896"/>
      <c r="P174" s="896"/>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row>
    <row r="175" ht="15.75" customHeight="1">
      <c r="A175" s="15"/>
      <c r="B175" s="15"/>
      <c r="C175" s="15"/>
      <c r="D175" s="15"/>
      <c r="E175" s="15"/>
      <c r="F175" s="15"/>
      <c r="G175" s="15"/>
      <c r="H175" s="15"/>
      <c r="I175" s="15"/>
      <c r="J175" s="15"/>
      <c r="K175" s="15"/>
      <c r="L175" s="15"/>
      <c r="M175" s="15"/>
      <c r="N175" s="15"/>
      <c r="O175" s="896"/>
      <c r="P175" s="896"/>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row>
    <row r="176" ht="15.75" customHeight="1">
      <c r="A176" s="15"/>
      <c r="B176" s="15"/>
      <c r="C176" s="15"/>
      <c r="D176" s="15"/>
      <c r="E176" s="15"/>
      <c r="F176" s="15"/>
      <c r="G176" s="15"/>
      <c r="H176" s="15"/>
      <c r="I176" s="15"/>
      <c r="J176" s="15"/>
      <c r="K176" s="15"/>
      <c r="L176" s="15"/>
      <c r="M176" s="15"/>
      <c r="N176" s="15"/>
      <c r="O176" s="896"/>
      <c r="P176" s="896"/>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row>
    <row r="177" ht="15.75" customHeight="1">
      <c r="A177" s="15"/>
      <c r="B177" s="15"/>
      <c r="C177" s="15"/>
      <c r="D177" s="15"/>
      <c r="E177" s="15"/>
      <c r="F177" s="15"/>
      <c r="G177" s="15"/>
      <c r="H177" s="15"/>
      <c r="I177" s="15"/>
      <c r="J177" s="15"/>
      <c r="K177" s="15"/>
      <c r="L177" s="15"/>
      <c r="M177" s="15"/>
      <c r="N177" s="15"/>
      <c r="O177" s="896"/>
      <c r="P177" s="896"/>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row>
    <row r="178" ht="15.75" customHeight="1">
      <c r="A178" s="15"/>
      <c r="B178" s="15"/>
      <c r="C178" s="15"/>
      <c r="D178" s="15"/>
      <c r="E178" s="15"/>
      <c r="F178" s="15"/>
      <c r="G178" s="15"/>
      <c r="H178" s="15"/>
      <c r="I178" s="15"/>
      <c r="J178" s="15"/>
      <c r="K178" s="15"/>
      <c r="L178" s="15"/>
      <c r="M178" s="15"/>
      <c r="N178" s="15"/>
      <c r="O178" s="896"/>
      <c r="P178" s="896"/>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row>
    <row r="179" ht="15.75" customHeight="1">
      <c r="A179" s="15"/>
      <c r="B179" s="15"/>
      <c r="C179" s="15"/>
      <c r="D179" s="15"/>
      <c r="E179" s="15"/>
      <c r="F179" s="15"/>
      <c r="G179" s="15"/>
      <c r="H179" s="15"/>
      <c r="I179" s="15"/>
      <c r="J179" s="15"/>
      <c r="K179" s="15"/>
      <c r="L179" s="15"/>
      <c r="M179" s="15"/>
      <c r="N179" s="15"/>
      <c r="O179" s="896"/>
      <c r="P179" s="896"/>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row>
    <row r="180" ht="15.75" customHeight="1">
      <c r="A180" s="15"/>
      <c r="B180" s="15"/>
      <c r="C180" s="15"/>
      <c r="D180" s="15"/>
      <c r="E180" s="15"/>
      <c r="F180" s="15"/>
      <c r="G180" s="15"/>
      <c r="H180" s="15"/>
      <c r="I180" s="15"/>
      <c r="J180" s="15"/>
      <c r="K180" s="15"/>
      <c r="L180" s="15"/>
      <c r="M180" s="15"/>
      <c r="N180" s="15"/>
      <c r="O180" s="896"/>
      <c r="P180" s="896"/>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row>
    <row r="181" ht="15.75" customHeight="1">
      <c r="A181" s="15"/>
      <c r="B181" s="15"/>
      <c r="C181" s="15"/>
      <c r="D181" s="15"/>
      <c r="E181" s="15"/>
      <c r="F181" s="15"/>
      <c r="G181" s="15"/>
      <c r="H181" s="15"/>
      <c r="I181" s="15"/>
      <c r="J181" s="15"/>
      <c r="K181" s="15"/>
      <c r="L181" s="15"/>
      <c r="M181" s="15"/>
      <c r="N181" s="15"/>
      <c r="O181" s="896"/>
      <c r="P181" s="896"/>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row>
    <row r="182" ht="15.75" customHeight="1">
      <c r="A182" s="15"/>
      <c r="B182" s="15"/>
      <c r="C182" s="15"/>
      <c r="D182" s="15"/>
      <c r="E182" s="15"/>
      <c r="F182" s="15"/>
      <c r="G182" s="15"/>
      <c r="H182" s="15"/>
      <c r="I182" s="15"/>
      <c r="J182" s="15"/>
      <c r="K182" s="15"/>
      <c r="L182" s="15"/>
      <c r="M182" s="15"/>
      <c r="N182" s="15"/>
      <c r="O182" s="896"/>
      <c r="P182" s="896"/>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row>
    <row r="183" ht="15.75" customHeight="1">
      <c r="A183" s="15"/>
      <c r="B183" s="15"/>
      <c r="C183" s="15"/>
      <c r="D183" s="15"/>
      <c r="E183" s="15"/>
      <c r="F183" s="15"/>
      <c r="G183" s="15"/>
      <c r="H183" s="15"/>
      <c r="I183" s="15"/>
      <c r="J183" s="15"/>
      <c r="K183" s="15"/>
      <c r="L183" s="15"/>
      <c r="M183" s="15"/>
      <c r="N183" s="15"/>
      <c r="O183" s="896"/>
      <c r="P183" s="896"/>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row>
    <row r="184" ht="15.75" customHeight="1">
      <c r="A184" s="15"/>
      <c r="B184" s="15"/>
      <c r="C184" s="15"/>
      <c r="D184" s="15"/>
      <c r="E184" s="15"/>
      <c r="F184" s="15"/>
      <c r="G184" s="15"/>
      <c r="H184" s="15"/>
      <c r="I184" s="15"/>
      <c r="J184" s="15"/>
      <c r="K184" s="15"/>
      <c r="L184" s="15"/>
      <c r="M184" s="15"/>
      <c r="N184" s="15"/>
      <c r="O184" s="896"/>
      <c r="P184" s="896"/>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row>
    <row r="185" ht="15.75" customHeight="1">
      <c r="A185" s="15"/>
      <c r="B185" s="15"/>
      <c r="C185" s="15"/>
      <c r="D185" s="15"/>
      <c r="E185" s="15"/>
      <c r="F185" s="15"/>
      <c r="G185" s="15"/>
      <c r="H185" s="15"/>
      <c r="I185" s="15"/>
      <c r="J185" s="15"/>
      <c r="K185" s="15"/>
      <c r="L185" s="15"/>
      <c r="M185" s="15"/>
      <c r="N185" s="15"/>
      <c r="O185" s="896"/>
      <c r="P185" s="896"/>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row>
    <row r="186" ht="15.75" customHeight="1">
      <c r="A186" s="15"/>
      <c r="B186" s="15"/>
      <c r="C186" s="15"/>
      <c r="D186" s="15"/>
      <c r="E186" s="15"/>
      <c r="F186" s="15"/>
      <c r="G186" s="15"/>
      <c r="H186" s="15"/>
      <c r="I186" s="15"/>
      <c r="J186" s="15"/>
      <c r="K186" s="15"/>
      <c r="L186" s="15"/>
      <c r="M186" s="15"/>
      <c r="N186" s="15"/>
      <c r="O186" s="896"/>
      <c r="P186" s="896"/>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row>
    <row r="187" ht="15.75" customHeight="1">
      <c r="A187" s="15"/>
      <c r="B187" s="15"/>
      <c r="C187" s="15"/>
      <c r="D187" s="15"/>
      <c r="E187" s="15"/>
      <c r="F187" s="15"/>
      <c r="G187" s="15"/>
      <c r="H187" s="15"/>
      <c r="I187" s="15"/>
      <c r="J187" s="15"/>
      <c r="K187" s="15"/>
      <c r="L187" s="15"/>
      <c r="M187" s="15"/>
      <c r="N187" s="15"/>
      <c r="O187" s="896"/>
      <c r="P187" s="896"/>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row>
    <row r="188" ht="15.75" customHeight="1">
      <c r="A188" s="15"/>
      <c r="B188" s="15"/>
      <c r="C188" s="15"/>
      <c r="D188" s="15"/>
      <c r="E188" s="15"/>
      <c r="F188" s="15"/>
      <c r="G188" s="15"/>
      <c r="H188" s="15"/>
      <c r="I188" s="15"/>
      <c r="J188" s="15"/>
      <c r="K188" s="15"/>
      <c r="L188" s="15"/>
      <c r="M188" s="15"/>
      <c r="N188" s="15"/>
      <c r="O188" s="896"/>
      <c r="P188" s="896"/>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row>
    <row r="189" ht="15.75" customHeight="1">
      <c r="A189" s="15"/>
      <c r="B189" s="15"/>
      <c r="C189" s="15"/>
      <c r="D189" s="15"/>
      <c r="E189" s="15"/>
      <c r="F189" s="15"/>
      <c r="G189" s="15"/>
      <c r="H189" s="15"/>
      <c r="I189" s="15"/>
      <c r="J189" s="15"/>
      <c r="K189" s="15"/>
      <c r="L189" s="15"/>
      <c r="M189" s="15"/>
      <c r="N189" s="15"/>
      <c r="O189" s="896"/>
      <c r="P189" s="896"/>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row>
    <row r="190" ht="15.75" customHeight="1">
      <c r="A190" s="15"/>
      <c r="B190" s="15"/>
      <c r="C190" s="15"/>
      <c r="D190" s="15"/>
      <c r="E190" s="15"/>
      <c r="F190" s="15"/>
      <c r="G190" s="15"/>
      <c r="H190" s="15"/>
      <c r="I190" s="15"/>
      <c r="J190" s="15"/>
      <c r="K190" s="15"/>
      <c r="L190" s="15"/>
      <c r="M190" s="15"/>
      <c r="N190" s="15"/>
      <c r="O190" s="896"/>
      <c r="P190" s="896"/>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row>
    <row r="191" ht="15.75" customHeight="1">
      <c r="A191" s="15"/>
      <c r="B191" s="15"/>
      <c r="C191" s="15"/>
      <c r="D191" s="15"/>
      <c r="E191" s="15"/>
      <c r="F191" s="15"/>
      <c r="G191" s="15"/>
      <c r="H191" s="15"/>
      <c r="I191" s="15"/>
      <c r="J191" s="15"/>
      <c r="K191" s="15"/>
      <c r="L191" s="15"/>
      <c r="M191" s="15"/>
      <c r="N191" s="15"/>
      <c r="O191" s="896"/>
      <c r="P191" s="896"/>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row>
    <row r="192" ht="15.75" customHeight="1">
      <c r="A192" s="15"/>
      <c r="B192" s="15"/>
      <c r="C192" s="15"/>
      <c r="D192" s="15"/>
      <c r="E192" s="15"/>
      <c r="F192" s="15"/>
      <c r="G192" s="15"/>
      <c r="H192" s="15"/>
      <c r="I192" s="15"/>
      <c r="J192" s="15"/>
      <c r="K192" s="15"/>
      <c r="L192" s="15"/>
      <c r="M192" s="15"/>
      <c r="N192" s="15"/>
      <c r="O192" s="896"/>
      <c r="P192" s="896"/>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row>
    <row r="193" ht="15.75" customHeight="1">
      <c r="A193" s="15"/>
      <c r="B193" s="15"/>
      <c r="C193" s="15"/>
      <c r="D193" s="15"/>
      <c r="E193" s="15"/>
      <c r="F193" s="15"/>
      <c r="G193" s="15"/>
      <c r="H193" s="15"/>
      <c r="I193" s="15"/>
      <c r="J193" s="15"/>
      <c r="K193" s="15"/>
      <c r="L193" s="15"/>
      <c r="M193" s="15"/>
      <c r="N193" s="15"/>
      <c r="O193" s="896"/>
      <c r="P193" s="896"/>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row>
    <row r="194" ht="15.75" customHeight="1">
      <c r="A194" s="15"/>
      <c r="B194" s="15"/>
      <c r="C194" s="15"/>
      <c r="D194" s="15"/>
      <c r="E194" s="15"/>
      <c r="F194" s="15"/>
      <c r="G194" s="15"/>
      <c r="H194" s="15"/>
      <c r="I194" s="15"/>
      <c r="J194" s="15"/>
      <c r="K194" s="15"/>
      <c r="L194" s="15"/>
      <c r="M194" s="15"/>
      <c r="N194" s="15"/>
      <c r="O194" s="896"/>
      <c r="P194" s="896"/>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row>
    <row r="195" ht="15.75" customHeight="1">
      <c r="A195" s="15"/>
      <c r="B195" s="15"/>
      <c r="C195" s="15"/>
      <c r="D195" s="15"/>
      <c r="E195" s="15"/>
      <c r="F195" s="15"/>
      <c r="G195" s="15"/>
      <c r="H195" s="15"/>
      <c r="I195" s="15"/>
      <c r="J195" s="15"/>
      <c r="K195" s="15"/>
      <c r="L195" s="15"/>
      <c r="M195" s="15"/>
      <c r="N195" s="15"/>
      <c r="O195" s="896"/>
      <c r="P195" s="896"/>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row>
    <row r="196" ht="15.75" customHeight="1">
      <c r="A196" s="15"/>
      <c r="B196" s="15"/>
      <c r="C196" s="15"/>
      <c r="D196" s="15"/>
      <c r="E196" s="15"/>
      <c r="F196" s="15"/>
      <c r="G196" s="15"/>
      <c r="H196" s="15"/>
      <c r="I196" s="15"/>
      <c r="J196" s="15"/>
      <c r="K196" s="15"/>
      <c r="L196" s="15"/>
      <c r="M196" s="15"/>
      <c r="N196" s="15"/>
      <c r="O196" s="896"/>
      <c r="P196" s="896"/>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row>
    <row r="197" ht="15.75" customHeight="1">
      <c r="A197" s="15"/>
      <c r="B197" s="15"/>
      <c r="C197" s="15"/>
      <c r="D197" s="15"/>
      <c r="E197" s="15"/>
      <c r="F197" s="15"/>
      <c r="G197" s="15"/>
      <c r="H197" s="15"/>
      <c r="I197" s="15"/>
      <c r="J197" s="15"/>
      <c r="K197" s="15"/>
      <c r="L197" s="15"/>
      <c r="M197" s="15"/>
      <c r="N197" s="15"/>
      <c r="O197" s="896"/>
      <c r="P197" s="896"/>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row>
    <row r="198" ht="15.75" customHeight="1">
      <c r="A198" s="15"/>
      <c r="B198" s="15"/>
      <c r="C198" s="15"/>
      <c r="D198" s="15"/>
      <c r="E198" s="15"/>
      <c r="F198" s="15"/>
      <c r="G198" s="15"/>
      <c r="H198" s="15"/>
      <c r="I198" s="15"/>
      <c r="J198" s="15"/>
      <c r="K198" s="15"/>
      <c r="L198" s="15"/>
      <c r="M198" s="15"/>
      <c r="N198" s="15"/>
      <c r="O198" s="896"/>
      <c r="P198" s="896"/>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row>
    <row r="199" ht="15.75" customHeight="1">
      <c r="A199" s="15"/>
      <c r="B199" s="15"/>
      <c r="C199" s="15"/>
      <c r="D199" s="15"/>
      <c r="E199" s="15"/>
      <c r="F199" s="15"/>
      <c r="G199" s="15"/>
      <c r="H199" s="15"/>
      <c r="I199" s="15"/>
      <c r="J199" s="15"/>
      <c r="K199" s="15"/>
      <c r="L199" s="15"/>
      <c r="M199" s="15"/>
      <c r="N199" s="15"/>
      <c r="O199" s="896"/>
      <c r="P199" s="896"/>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row>
    <row r="200" ht="15.75" customHeight="1">
      <c r="A200" s="15"/>
      <c r="B200" s="15"/>
      <c r="C200" s="15"/>
      <c r="D200" s="15"/>
      <c r="E200" s="15"/>
      <c r="F200" s="15"/>
      <c r="G200" s="15"/>
      <c r="H200" s="15"/>
      <c r="I200" s="15"/>
      <c r="J200" s="15"/>
      <c r="K200" s="15"/>
      <c r="L200" s="15"/>
      <c r="M200" s="15"/>
      <c r="N200" s="15"/>
      <c r="O200" s="896"/>
      <c r="P200" s="896"/>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row>
    <row r="201" ht="15.75" customHeight="1">
      <c r="A201" s="15"/>
      <c r="B201" s="15"/>
      <c r="C201" s="15"/>
      <c r="D201" s="15"/>
      <c r="E201" s="15"/>
      <c r="F201" s="15"/>
      <c r="G201" s="15"/>
      <c r="H201" s="15"/>
      <c r="I201" s="15"/>
      <c r="J201" s="15"/>
      <c r="K201" s="15"/>
      <c r="L201" s="15"/>
      <c r="M201" s="15"/>
      <c r="N201" s="15"/>
      <c r="O201" s="896"/>
      <c r="P201" s="896"/>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row>
    <row r="202" ht="15.75" customHeight="1">
      <c r="A202" s="15"/>
      <c r="B202" s="15"/>
      <c r="C202" s="15"/>
      <c r="D202" s="15"/>
      <c r="E202" s="15"/>
      <c r="F202" s="15"/>
      <c r="G202" s="15"/>
      <c r="H202" s="15"/>
      <c r="I202" s="15"/>
      <c r="J202" s="15"/>
      <c r="K202" s="15"/>
      <c r="L202" s="15"/>
      <c r="M202" s="15"/>
      <c r="N202" s="15"/>
      <c r="O202" s="896"/>
      <c r="P202" s="896"/>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row>
    <row r="203" ht="15.75" customHeight="1">
      <c r="A203" s="15"/>
      <c r="B203" s="15"/>
      <c r="C203" s="15"/>
      <c r="D203" s="15"/>
      <c r="E203" s="15"/>
      <c r="F203" s="15"/>
      <c r="G203" s="15"/>
      <c r="H203" s="15"/>
      <c r="I203" s="15"/>
      <c r="J203" s="15"/>
      <c r="K203" s="15"/>
      <c r="L203" s="15"/>
      <c r="M203" s="15"/>
      <c r="N203" s="15"/>
      <c r="O203" s="896"/>
      <c r="P203" s="896"/>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row>
    <row r="204" ht="15.75" customHeight="1">
      <c r="A204" s="15"/>
      <c r="B204" s="15"/>
      <c r="C204" s="15"/>
      <c r="D204" s="15"/>
      <c r="E204" s="15"/>
      <c r="F204" s="15"/>
      <c r="G204" s="15"/>
      <c r="H204" s="15"/>
      <c r="I204" s="15"/>
      <c r="J204" s="15"/>
      <c r="K204" s="15"/>
      <c r="L204" s="15"/>
      <c r="M204" s="15"/>
      <c r="N204" s="15"/>
      <c r="O204" s="896"/>
      <c r="P204" s="896"/>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row>
    <row r="205" ht="15.75" customHeight="1">
      <c r="A205" s="15"/>
      <c r="B205" s="15"/>
      <c r="C205" s="15"/>
      <c r="D205" s="15"/>
      <c r="E205" s="15"/>
      <c r="F205" s="15"/>
      <c r="G205" s="15"/>
      <c r="H205" s="15"/>
      <c r="I205" s="15"/>
      <c r="J205" s="15"/>
      <c r="K205" s="15"/>
      <c r="L205" s="15"/>
      <c r="M205" s="15"/>
      <c r="N205" s="15"/>
      <c r="O205" s="896"/>
      <c r="P205" s="896"/>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row>
    <row r="206" ht="15.75" customHeight="1">
      <c r="A206" s="15"/>
      <c r="B206" s="15"/>
      <c r="C206" s="15"/>
      <c r="D206" s="15"/>
      <c r="E206" s="15"/>
      <c r="F206" s="15"/>
      <c r="G206" s="15"/>
      <c r="H206" s="15"/>
      <c r="I206" s="15"/>
      <c r="J206" s="15"/>
      <c r="K206" s="15"/>
      <c r="L206" s="15"/>
      <c r="M206" s="15"/>
      <c r="N206" s="15"/>
      <c r="O206" s="896"/>
      <c r="P206" s="896"/>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row>
    <row r="207" ht="15.75" customHeight="1">
      <c r="A207" s="15"/>
      <c r="B207" s="15"/>
      <c r="C207" s="15"/>
      <c r="D207" s="15"/>
      <c r="E207" s="15"/>
      <c r="F207" s="15"/>
      <c r="G207" s="15"/>
      <c r="H207" s="15"/>
      <c r="I207" s="15"/>
      <c r="J207" s="15"/>
      <c r="K207" s="15"/>
      <c r="L207" s="15"/>
      <c r="M207" s="15"/>
      <c r="N207" s="15"/>
      <c r="O207" s="896"/>
      <c r="P207" s="896"/>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row>
    <row r="208" ht="15.75" customHeight="1">
      <c r="A208" s="15"/>
      <c r="B208" s="15"/>
      <c r="C208" s="15"/>
      <c r="D208" s="15"/>
      <c r="E208" s="15"/>
      <c r="F208" s="15"/>
      <c r="G208" s="15"/>
      <c r="H208" s="15"/>
      <c r="I208" s="15"/>
      <c r="J208" s="15"/>
      <c r="K208" s="15"/>
      <c r="L208" s="15"/>
      <c r="M208" s="15"/>
      <c r="N208" s="15"/>
      <c r="O208" s="896"/>
      <c r="P208" s="896"/>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row>
    <row r="209" ht="15.75" customHeight="1">
      <c r="A209" s="15"/>
      <c r="B209" s="15"/>
      <c r="C209" s="15"/>
      <c r="D209" s="15"/>
      <c r="E209" s="15"/>
      <c r="F209" s="15"/>
      <c r="G209" s="15"/>
      <c r="H209" s="15"/>
      <c r="I209" s="15"/>
      <c r="J209" s="15"/>
      <c r="K209" s="15"/>
      <c r="L209" s="15"/>
      <c r="M209" s="15"/>
      <c r="N209" s="15"/>
      <c r="O209" s="896"/>
      <c r="P209" s="896"/>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row>
    <row r="210" ht="15.75" customHeight="1">
      <c r="A210" s="15"/>
      <c r="B210" s="15"/>
      <c r="C210" s="15"/>
      <c r="D210" s="15"/>
      <c r="E210" s="15"/>
      <c r="F210" s="15"/>
      <c r="G210" s="15"/>
      <c r="H210" s="15"/>
      <c r="I210" s="15"/>
      <c r="J210" s="15"/>
      <c r="K210" s="15"/>
      <c r="L210" s="15"/>
      <c r="M210" s="15"/>
      <c r="N210" s="15"/>
      <c r="O210" s="896"/>
      <c r="P210" s="896"/>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row>
    <row r="211" ht="15.75" customHeight="1">
      <c r="A211" s="15"/>
      <c r="B211" s="15"/>
      <c r="C211" s="15"/>
      <c r="D211" s="15"/>
      <c r="E211" s="15"/>
      <c r="F211" s="15"/>
      <c r="G211" s="15"/>
      <c r="H211" s="15"/>
      <c r="I211" s="15"/>
      <c r="J211" s="15"/>
      <c r="K211" s="15"/>
      <c r="L211" s="15"/>
      <c r="M211" s="15"/>
      <c r="N211" s="15"/>
      <c r="O211" s="896"/>
      <c r="P211" s="896"/>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row>
    <row r="212" ht="15.75" customHeight="1">
      <c r="A212" s="15"/>
      <c r="B212" s="15"/>
      <c r="C212" s="15"/>
      <c r="D212" s="15"/>
      <c r="E212" s="15"/>
      <c r="F212" s="15"/>
      <c r="G212" s="15"/>
      <c r="H212" s="15"/>
      <c r="I212" s="15"/>
      <c r="J212" s="15"/>
      <c r="K212" s="15"/>
      <c r="L212" s="15"/>
      <c r="M212" s="15"/>
      <c r="N212" s="15"/>
      <c r="O212" s="896"/>
      <c r="P212" s="896"/>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row>
    <row r="213" ht="15.75" customHeight="1">
      <c r="A213" s="15"/>
      <c r="B213" s="15"/>
      <c r="C213" s="15"/>
      <c r="D213" s="15"/>
      <c r="E213" s="15"/>
      <c r="F213" s="15"/>
      <c r="G213" s="15"/>
      <c r="H213" s="15"/>
      <c r="I213" s="15"/>
      <c r="J213" s="15"/>
      <c r="K213" s="15"/>
      <c r="L213" s="15"/>
      <c r="M213" s="15"/>
      <c r="N213" s="15"/>
      <c r="O213" s="896"/>
      <c r="P213" s="896"/>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row>
    <row r="214" ht="15.75" customHeight="1">
      <c r="A214" s="15"/>
      <c r="B214" s="15"/>
      <c r="C214" s="15"/>
      <c r="D214" s="15"/>
      <c r="E214" s="15"/>
      <c r="F214" s="15"/>
      <c r="G214" s="15"/>
      <c r="H214" s="15"/>
      <c r="I214" s="15"/>
      <c r="J214" s="15"/>
      <c r="K214" s="15"/>
      <c r="L214" s="15"/>
      <c r="M214" s="15"/>
      <c r="N214" s="15"/>
      <c r="O214" s="896"/>
      <c r="P214" s="896"/>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row>
    <row r="215" ht="15.75" customHeight="1">
      <c r="A215" s="15"/>
      <c r="B215" s="15"/>
      <c r="C215" s="15"/>
      <c r="D215" s="15"/>
      <c r="E215" s="15"/>
      <c r="F215" s="15"/>
      <c r="G215" s="15"/>
      <c r="H215" s="15"/>
      <c r="I215" s="15"/>
      <c r="J215" s="15"/>
      <c r="K215" s="15"/>
      <c r="L215" s="15"/>
      <c r="M215" s="15"/>
      <c r="N215" s="15"/>
      <c r="O215" s="896"/>
      <c r="P215" s="896"/>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row>
    <row r="216" ht="15.75" customHeight="1">
      <c r="A216" s="15"/>
      <c r="B216" s="15"/>
      <c r="C216" s="15"/>
      <c r="D216" s="15"/>
      <c r="E216" s="15"/>
      <c r="F216" s="15"/>
      <c r="G216" s="15"/>
      <c r="H216" s="15"/>
      <c r="I216" s="15"/>
      <c r="J216" s="15"/>
      <c r="K216" s="15"/>
      <c r="L216" s="15"/>
      <c r="M216" s="15"/>
      <c r="N216" s="15"/>
      <c r="O216" s="896"/>
      <c r="P216" s="896"/>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row>
    <row r="217" ht="15.75" customHeight="1">
      <c r="A217" s="15"/>
      <c r="B217" s="15"/>
      <c r="C217" s="15"/>
      <c r="D217" s="15"/>
      <c r="E217" s="15"/>
      <c r="F217" s="15"/>
      <c r="G217" s="15"/>
      <c r="H217" s="15"/>
      <c r="I217" s="15"/>
      <c r="J217" s="15"/>
      <c r="K217" s="15"/>
      <c r="L217" s="15"/>
      <c r="M217" s="15"/>
      <c r="N217" s="15"/>
      <c r="O217" s="896"/>
      <c r="P217" s="896"/>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row>
    <row r="218" ht="15.75" customHeight="1">
      <c r="A218" s="15"/>
      <c r="B218" s="15"/>
      <c r="C218" s="15"/>
      <c r="D218" s="15"/>
      <c r="E218" s="15"/>
      <c r="F218" s="15"/>
      <c r="G218" s="15"/>
      <c r="H218" s="15"/>
      <c r="I218" s="15"/>
      <c r="J218" s="15"/>
      <c r="K218" s="15"/>
      <c r="L218" s="15"/>
      <c r="M218" s="15"/>
      <c r="N218" s="15"/>
      <c r="O218" s="896"/>
      <c r="P218" s="896"/>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row>
    <row r="219" ht="15.75" customHeight="1">
      <c r="A219" s="15"/>
      <c r="B219" s="15"/>
      <c r="C219" s="15"/>
      <c r="D219" s="15"/>
      <c r="E219" s="15"/>
      <c r="F219" s="15"/>
      <c r="G219" s="15"/>
      <c r="H219" s="15"/>
      <c r="I219" s="15"/>
      <c r="J219" s="15"/>
      <c r="K219" s="15"/>
      <c r="L219" s="15"/>
      <c r="M219" s="15"/>
      <c r="N219" s="15"/>
      <c r="O219" s="896"/>
      <c r="P219" s="896"/>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row>
    <row r="220" ht="15.75" customHeight="1">
      <c r="A220" s="15"/>
      <c r="B220" s="15"/>
      <c r="C220" s="15"/>
      <c r="D220" s="15"/>
      <c r="E220" s="15"/>
      <c r="F220" s="15"/>
      <c r="G220" s="15"/>
      <c r="H220" s="15"/>
      <c r="I220" s="15"/>
      <c r="J220" s="15"/>
      <c r="K220" s="15"/>
      <c r="L220" s="15"/>
      <c r="M220" s="15"/>
      <c r="N220" s="15"/>
      <c r="O220" s="896"/>
      <c r="P220" s="896"/>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row>
    <row r="221" ht="15.75" customHeight="1">
      <c r="A221" s="15"/>
      <c r="B221" s="15"/>
      <c r="C221" s="15"/>
      <c r="D221" s="15"/>
      <c r="E221" s="15"/>
      <c r="F221" s="15"/>
      <c r="G221" s="15"/>
      <c r="H221" s="15"/>
      <c r="I221" s="15"/>
      <c r="J221" s="15"/>
      <c r="K221" s="15"/>
      <c r="L221" s="15"/>
      <c r="M221" s="15"/>
      <c r="N221" s="15"/>
      <c r="O221" s="896"/>
      <c r="P221" s="896"/>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row>
    <row r="222" ht="15.75" customHeight="1">
      <c r="A222" s="15"/>
      <c r="B222" s="15"/>
      <c r="C222" s="15"/>
      <c r="D222" s="15"/>
      <c r="E222" s="15"/>
      <c r="F222" s="15"/>
      <c r="G222" s="15"/>
      <c r="H222" s="15"/>
      <c r="I222" s="15"/>
      <c r="J222" s="15"/>
      <c r="K222" s="15"/>
      <c r="L222" s="15"/>
      <c r="M222" s="15"/>
      <c r="N222" s="15"/>
      <c r="O222" s="896"/>
      <c r="P222" s="896"/>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row>
    <row r="223" ht="15.75" customHeight="1">
      <c r="A223" s="15"/>
      <c r="B223" s="15"/>
      <c r="C223" s="15"/>
      <c r="D223" s="15"/>
      <c r="E223" s="15"/>
      <c r="F223" s="15"/>
      <c r="G223" s="15"/>
      <c r="H223" s="15"/>
      <c r="I223" s="15"/>
      <c r="J223" s="15"/>
      <c r="K223" s="15"/>
      <c r="L223" s="15"/>
      <c r="M223" s="15"/>
      <c r="N223" s="15"/>
      <c r="O223" s="896"/>
      <c r="P223" s="896"/>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row>
    <row r="224" ht="15.75" customHeight="1">
      <c r="A224" s="15"/>
      <c r="B224" s="15"/>
      <c r="C224" s="15"/>
      <c r="D224" s="15"/>
      <c r="E224" s="15"/>
      <c r="F224" s="15"/>
      <c r="G224" s="15"/>
      <c r="H224" s="15"/>
      <c r="I224" s="15"/>
      <c r="J224" s="15"/>
      <c r="K224" s="15"/>
      <c r="L224" s="15"/>
      <c r="M224" s="15"/>
      <c r="N224" s="15"/>
      <c r="O224" s="896"/>
      <c r="P224" s="896"/>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row>
    <row r="225" ht="15.75" customHeight="1">
      <c r="A225" s="15"/>
      <c r="B225" s="15"/>
      <c r="C225" s="15"/>
      <c r="D225" s="15"/>
      <c r="E225" s="15"/>
      <c r="F225" s="15"/>
      <c r="G225" s="15"/>
      <c r="H225" s="15"/>
      <c r="I225" s="15"/>
      <c r="J225" s="15"/>
      <c r="K225" s="15"/>
      <c r="L225" s="15"/>
      <c r="M225" s="15"/>
      <c r="N225" s="15"/>
      <c r="O225" s="896"/>
      <c r="P225" s="896"/>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row>
    <row r="226" ht="15.75" customHeight="1">
      <c r="A226" s="15"/>
      <c r="B226" s="15"/>
      <c r="C226" s="15"/>
      <c r="D226" s="15"/>
      <c r="E226" s="15"/>
      <c r="F226" s="15"/>
      <c r="G226" s="15"/>
      <c r="H226" s="15"/>
      <c r="I226" s="15"/>
      <c r="J226" s="15"/>
      <c r="K226" s="15"/>
      <c r="L226" s="15"/>
      <c r="M226" s="15"/>
      <c r="N226" s="15"/>
      <c r="O226" s="896"/>
      <c r="P226" s="896"/>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row>
    <row r="227" ht="15.75" customHeight="1">
      <c r="A227" s="15"/>
      <c r="B227" s="15"/>
      <c r="C227" s="15"/>
      <c r="D227" s="15"/>
      <c r="E227" s="15"/>
      <c r="F227" s="15"/>
      <c r="G227" s="15"/>
      <c r="H227" s="15"/>
      <c r="I227" s="15"/>
      <c r="J227" s="15"/>
      <c r="K227" s="15"/>
      <c r="L227" s="15"/>
      <c r="M227" s="15"/>
      <c r="N227" s="15"/>
      <c r="O227" s="896"/>
      <c r="P227" s="896"/>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row>
    <row r="228" ht="15.75" customHeight="1">
      <c r="A228" s="15"/>
      <c r="B228" s="15"/>
      <c r="C228" s="15"/>
      <c r="D228" s="15"/>
      <c r="E228" s="15"/>
      <c r="F228" s="15"/>
      <c r="G228" s="15"/>
      <c r="H228" s="15"/>
      <c r="I228" s="15"/>
      <c r="J228" s="15"/>
      <c r="K228" s="15"/>
      <c r="L228" s="15"/>
      <c r="M228" s="15"/>
      <c r="N228" s="15"/>
      <c r="O228" s="896"/>
      <c r="P228" s="896"/>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row>
    <row r="229" ht="15.75" customHeight="1">
      <c r="A229" s="15"/>
      <c r="B229" s="15"/>
      <c r="C229" s="15"/>
      <c r="D229" s="15"/>
      <c r="E229" s="15"/>
      <c r="F229" s="15"/>
      <c r="G229" s="15"/>
      <c r="H229" s="15"/>
      <c r="I229" s="15"/>
      <c r="J229" s="15"/>
      <c r="K229" s="15"/>
      <c r="L229" s="15"/>
      <c r="M229" s="15"/>
      <c r="N229" s="15"/>
      <c r="O229" s="896"/>
      <c r="P229" s="896"/>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row>
    <row r="230" ht="15.75" customHeight="1">
      <c r="A230" s="15"/>
      <c r="B230" s="15"/>
      <c r="C230" s="15"/>
      <c r="D230" s="15"/>
      <c r="E230" s="15"/>
      <c r="F230" s="15"/>
      <c r="G230" s="15"/>
      <c r="H230" s="15"/>
      <c r="I230" s="15"/>
      <c r="J230" s="15"/>
      <c r="K230" s="15"/>
      <c r="L230" s="15"/>
      <c r="M230" s="15"/>
      <c r="N230" s="15"/>
      <c r="O230" s="896"/>
      <c r="P230" s="896"/>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row>
    <row r="231" ht="15.75" customHeight="1">
      <c r="A231" s="15"/>
      <c r="B231" s="15"/>
      <c r="C231" s="15"/>
      <c r="D231" s="15"/>
      <c r="E231" s="15"/>
      <c r="F231" s="15"/>
      <c r="G231" s="15"/>
      <c r="H231" s="15"/>
      <c r="I231" s="15"/>
      <c r="J231" s="15"/>
      <c r="K231" s="15"/>
      <c r="L231" s="15"/>
      <c r="M231" s="15"/>
      <c r="N231" s="15"/>
      <c r="O231" s="896"/>
      <c r="P231" s="896"/>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row>
    <row r="232" ht="15.75" customHeight="1">
      <c r="A232" s="15"/>
      <c r="B232" s="15"/>
      <c r="C232" s="15"/>
      <c r="D232" s="15"/>
      <c r="E232" s="15"/>
      <c r="F232" s="15"/>
      <c r="G232" s="15"/>
      <c r="H232" s="15"/>
      <c r="I232" s="15"/>
      <c r="J232" s="15"/>
      <c r="K232" s="15"/>
      <c r="L232" s="15"/>
      <c r="M232" s="15"/>
      <c r="N232" s="15"/>
      <c r="O232" s="896"/>
      <c r="P232" s="896"/>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row>
    <row r="233" ht="15.75" customHeight="1">
      <c r="A233" s="15"/>
      <c r="B233" s="15"/>
      <c r="C233" s="15"/>
      <c r="D233" s="15"/>
      <c r="E233" s="15"/>
      <c r="F233" s="15"/>
      <c r="G233" s="15"/>
      <c r="H233" s="15"/>
      <c r="I233" s="15"/>
      <c r="J233" s="15"/>
      <c r="K233" s="15"/>
      <c r="L233" s="15"/>
      <c r="M233" s="15"/>
      <c r="N233" s="15"/>
      <c r="O233" s="896"/>
      <c r="P233" s="896"/>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row>
    <row r="234" ht="15.75" customHeight="1">
      <c r="A234" s="15"/>
      <c r="B234" s="15"/>
      <c r="C234" s="15"/>
      <c r="D234" s="15"/>
      <c r="E234" s="15"/>
      <c r="F234" s="15"/>
      <c r="G234" s="15"/>
      <c r="H234" s="15"/>
      <c r="I234" s="15"/>
      <c r="J234" s="15"/>
      <c r="K234" s="15"/>
      <c r="L234" s="15"/>
      <c r="M234" s="15"/>
      <c r="N234" s="15"/>
      <c r="O234" s="896"/>
      <c r="P234" s="896"/>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row>
    <row r="235" ht="15.75" customHeight="1">
      <c r="A235" s="15"/>
      <c r="B235" s="15"/>
      <c r="C235" s="15"/>
      <c r="D235" s="15"/>
      <c r="E235" s="15"/>
      <c r="F235" s="15"/>
      <c r="G235" s="15"/>
      <c r="H235" s="15"/>
      <c r="I235" s="15"/>
      <c r="J235" s="15"/>
      <c r="K235" s="15"/>
      <c r="L235" s="15"/>
      <c r="M235" s="15"/>
      <c r="N235" s="15"/>
      <c r="O235" s="896"/>
      <c r="P235" s="896"/>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row>
    <row r="236" ht="15.75" customHeight="1">
      <c r="A236" s="15"/>
      <c r="B236" s="15"/>
      <c r="C236" s="15"/>
      <c r="D236" s="15"/>
      <c r="E236" s="15"/>
      <c r="F236" s="15"/>
      <c r="G236" s="15"/>
      <c r="H236" s="15"/>
      <c r="I236" s="15"/>
      <c r="J236" s="15"/>
      <c r="K236" s="15"/>
      <c r="L236" s="15"/>
      <c r="M236" s="15"/>
      <c r="N236" s="15"/>
      <c r="O236" s="896"/>
      <c r="P236" s="896"/>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row>
    <row r="237" ht="15.75" customHeight="1">
      <c r="A237" s="15"/>
      <c r="B237" s="15"/>
      <c r="C237" s="15"/>
      <c r="D237" s="15"/>
      <c r="E237" s="15"/>
      <c r="F237" s="15"/>
      <c r="G237" s="15"/>
      <c r="H237" s="15"/>
      <c r="I237" s="15"/>
      <c r="J237" s="15"/>
      <c r="K237" s="15"/>
      <c r="L237" s="15"/>
      <c r="M237" s="15"/>
      <c r="N237" s="15"/>
      <c r="O237" s="896"/>
      <c r="P237" s="896"/>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row>
    <row r="238" ht="15.75" customHeight="1">
      <c r="A238" s="15"/>
      <c r="B238" s="15"/>
      <c r="C238" s="15"/>
      <c r="D238" s="15"/>
      <c r="E238" s="15"/>
      <c r="F238" s="15"/>
      <c r="G238" s="15"/>
      <c r="H238" s="15"/>
      <c r="I238" s="15"/>
      <c r="J238" s="15"/>
      <c r="K238" s="15"/>
      <c r="L238" s="15"/>
      <c r="M238" s="15"/>
      <c r="N238" s="15"/>
      <c r="O238" s="896"/>
      <c r="P238" s="896"/>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row>
    <row r="239" ht="15.75" customHeight="1">
      <c r="A239" s="15"/>
      <c r="B239" s="15"/>
      <c r="C239" s="15"/>
      <c r="D239" s="15"/>
      <c r="E239" s="15"/>
      <c r="F239" s="15"/>
      <c r="G239" s="15"/>
      <c r="H239" s="15"/>
      <c r="I239" s="15"/>
      <c r="J239" s="15"/>
      <c r="K239" s="15"/>
      <c r="L239" s="15"/>
      <c r="M239" s="15"/>
      <c r="N239" s="15"/>
      <c r="O239" s="896"/>
      <c r="P239" s="896"/>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row>
    <row r="240" ht="15.75" customHeight="1">
      <c r="A240" s="15"/>
      <c r="B240" s="15"/>
      <c r="C240" s="15"/>
      <c r="D240" s="15"/>
      <c r="E240" s="15"/>
      <c r="F240" s="15"/>
      <c r="G240" s="15"/>
      <c r="H240" s="15"/>
      <c r="I240" s="15"/>
      <c r="J240" s="15"/>
      <c r="K240" s="15"/>
      <c r="L240" s="15"/>
      <c r="M240" s="15"/>
      <c r="N240" s="15"/>
      <c r="O240" s="896"/>
      <c r="P240" s="896"/>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row>
    <row r="241" ht="15.75" customHeight="1">
      <c r="A241" s="15"/>
      <c r="B241" s="15"/>
      <c r="C241" s="15"/>
      <c r="D241" s="15"/>
      <c r="E241" s="15"/>
      <c r="F241" s="15"/>
      <c r="G241" s="15"/>
      <c r="H241" s="15"/>
      <c r="I241" s="15"/>
      <c r="J241" s="15"/>
      <c r="K241" s="15"/>
      <c r="L241" s="15"/>
      <c r="M241" s="15"/>
      <c r="N241" s="15"/>
      <c r="O241" s="896"/>
      <c r="P241" s="896"/>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row>
    <row r="242" ht="15.75" customHeight="1">
      <c r="A242" s="15"/>
      <c r="B242" s="15"/>
      <c r="C242" s="15"/>
      <c r="D242" s="15"/>
      <c r="E242" s="15"/>
      <c r="F242" s="15"/>
      <c r="G242" s="15"/>
      <c r="H242" s="15"/>
      <c r="I242" s="15"/>
      <c r="J242" s="15"/>
      <c r="K242" s="15"/>
      <c r="L242" s="15"/>
      <c r="M242" s="15"/>
      <c r="N242" s="15"/>
      <c r="O242" s="896"/>
      <c r="P242" s="896"/>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row>
    <row r="243" ht="15.75" customHeight="1">
      <c r="A243" s="15"/>
      <c r="B243" s="15"/>
      <c r="C243" s="15"/>
      <c r="D243" s="15"/>
      <c r="E243" s="15"/>
      <c r="F243" s="15"/>
      <c r="G243" s="15"/>
      <c r="H243" s="15"/>
      <c r="I243" s="15"/>
      <c r="J243" s="15"/>
      <c r="K243" s="15"/>
      <c r="L243" s="15"/>
      <c r="M243" s="15"/>
      <c r="N243" s="15"/>
      <c r="O243" s="896"/>
      <c r="P243" s="896"/>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row>
    <row r="244" ht="15.75" customHeight="1">
      <c r="A244" s="15"/>
      <c r="B244" s="15"/>
      <c r="C244" s="15"/>
      <c r="D244" s="15"/>
      <c r="E244" s="15"/>
      <c r="F244" s="15"/>
      <c r="G244" s="15"/>
      <c r="H244" s="15"/>
      <c r="I244" s="15"/>
      <c r="J244" s="15"/>
      <c r="K244" s="15"/>
      <c r="L244" s="15"/>
      <c r="M244" s="15"/>
      <c r="N244" s="15"/>
      <c r="O244" s="896"/>
      <c r="P244" s="896"/>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row>
    <row r="245" ht="15.75" customHeight="1">
      <c r="A245" s="15"/>
      <c r="B245" s="15"/>
      <c r="C245" s="15"/>
      <c r="D245" s="15"/>
      <c r="E245" s="15"/>
      <c r="F245" s="15"/>
      <c r="G245" s="15"/>
      <c r="H245" s="15"/>
      <c r="I245" s="15"/>
      <c r="J245" s="15"/>
      <c r="K245" s="15"/>
      <c r="L245" s="15"/>
      <c r="M245" s="15"/>
      <c r="N245" s="15"/>
      <c r="O245" s="896"/>
      <c r="P245" s="896"/>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row>
    <row r="246" ht="15.75" customHeight="1">
      <c r="A246" s="15"/>
      <c r="B246" s="15"/>
      <c r="C246" s="15"/>
      <c r="D246" s="15"/>
      <c r="E246" s="15"/>
      <c r="F246" s="15"/>
      <c r="G246" s="15"/>
      <c r="H246" s="15"/>
      <c r="I246" s="15"/>
      <c r="J246" s="15"/>
      <c r="K246" s="15"/>
      <c r="L246" s="15"/>
      <c r="M246" s="15"/>
      <c r="N246" s="15"/>
      <c r="O246" s="896"/>
      <c r="P246" s="896"/>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row>
    <row r="247" ht="15.75" customHeight="1">
      <c r="A247" s="15"/>
      <c r="B247" s="15"/>
      <c r="C247" s="15"/>
      <c r="D247" s="15"/>
      <c r="E247" s="15"/>
      <c r="F247" s="15"/>
      <c r="G247" s="15"/>
      <c r="H247" s="15"/>
      <c r="I247" s="15"/>
      <c r="J247" s="15"/>
      <c r="K247" s="15"/>
      <c r="L247" s="15"/>
      <c r="M247" s="15"/>
      <c r="N247" s="15"/>
      <c r="O247" s="896"/>
      <c r="P247" s="896"/>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row>
    <row r="248" ht="15.75" customHeight="1">
      <c r="A248" s="15"/>
      <c r="B248" s="15"/>
      <c r="C248" s="15"/>
      <c r="D248" s="15"/>
      <c r="E248" s="15"/>
      <c r="F248" s="15"/>
      <c r="G248" s="15"/>
      <c r="H248" s="15"/>
      <c r="I248" s="15"/>
      <c r="J248" s="15"/>
      <c r="K248" s="15"/>
      <c r="L248" s="15"/>
      <c r="M248" s="15"/>
      <c r="N248" s="15"/>
      <c r="O248" s="896"/>
      <c r="P248" s="896"/>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row>
    <row r="249" ht="15.75" customHeight="1">
      <c r="A249" s="15"/>
      <c r="B249" s="15"/>
      <c r="C249" s="15"/>
      <c r="D249" s="15"/>
      <c r="E249" s="15"/>
      <c r="F249" s="15"/>
      <c r="G249" s="15"/>
      <c r="H249" s="15"/>
      <c r="I249" s="15"/>
      <c r="J249" s="15"/>
      <c r="K249" s="15"/>
      <c r="L249" s="15"/>
      <c r="M249" s="15"/>
      <c r="N249" s="15"/>
      <c r="O249" s="896"/>
      <c r="P249" s="896"/>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row>
    <row r="250" ht="15.75" customHeight="1">
      <c r="A250" s="15"/>
      <c r="B250" s="15"/>
      <c r="C250" s="15"/>
      <c r="D250" s="15"/>
      <c r="E250" s="15"/>
      <c r="F250" s="15"/>
      <c r="G250" s="15"/>
      <c r="H250" s="15"/>
      <c r="I250" s="15"/>
      <c r="J250" s="15"/>
      <c r="K250" s="15"/>
      <c r="L250" s="15"/>
      <c r="M250" s="15"/>
      <c r="N250" s="15"/>
      <c r="O250" s="896"/>
      <c r="P250" s="896"/>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row>
    <row r="251" ht="15.75" customHeight="1">
      <c r="A251" s="15"/>
      <c r="B251" s="15"/>
      <c r="C251" s="15"/>
      <c r="D251" s="15"/>
      <c r="E251" s="15"/>
      <c r="F251" s="15"/>
      <c r="G251" s="15"/>
      <c r="H251" s="15"/>
      <c r="I251" s="15"/>
      <c r="J251" s="15"/>
      <c r="K251" s="15"/>
      <c r="L251" s="15"/>
      <c r="M251" s="15"/>
      <c r="N251" s="15"/>
      <c r="O251" s="896"/>
      <c r="P251" s="896"/>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row>
    <row r="252" ht="15.75" customHeight="1">
      <c r="A252" s="15"/>
      <c r="B252" s="15"/>
      <c r="C252" s="15"/>
      <c r="D252" s="15"/>
      <c r="E252" s="15"/>
      <c r="F252" s="15"/>
      <c r="G252" s="15"/>
      <c r="H252" s="15"/>
      <c r="I252" s="15"/>
      <c r="J252" s="15"/>
      <c r="K252" s="15"/>
      <c r="L252" s="15"/>
      <c r="M252" s="15"/>
      <c r="N252" s="15"/>
      <c r="O252" s="896"/>
      <c r="P252" s="896"/>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row>
    <row r="253" ht="15.75" customHeight="1">
      <c r="A253" s="15"/>
      <c r="B253" s="15"/>
      <c r="C253" s="15"/>
      <c r="D253" s="15"/>
      <c r="E253" s="15"/>
      <c r="F253" s="15"/>
      <c r="G253" s="15"/>
      <c r="H253" s="15"/>
      <c r="I253" s="15"/>
      <c r="J253" s="15"/>
      <c r="K253" s="15"/>
      <c r="L253" s="15"/>
      <c r="M253" s="15"/>
      <c r="N253" s="15"/>
      <c r="O253" s="896"/>
      <c r="P253" s="896"/>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row>
    <row r="254" ht="15.75" customHeight="1">
      <c r="A254" s="15"/>
      <c r="B254" s="15"/>
      <c r="C254" s="15"/>
      <c r="D254" s="15"/>
      <c r="E254" s="15"/>
      <c r="F254" s="15"/>
      <c r="G254" s="15"/>
      <c r="H254" s="15"/>
      <c r="I254" s="15"/>
      <c r="J254" s="15"/>
      <c r="K254" s="15"/>
      <c r="L254" s="15"/>
      <c r="M254" s="15"/>
      <c r="N254" s="15"/>
      <c r="O254" s="896"/>
      <c r="P254" s="896"/>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row>
    <row r="255" ht="15.75" customHeight="1">
      <c r="A255" s="15"/>
      <c r="B255" s="15"/>
      <c r="C255" s="15"/>
      <c r="D255" s="15"/>
      <c r="E255" s="15"/>
      <c r="F255" s="15"/>
      <c r="G255" s="15"/>
      <c r="H255" s="15"/>
      <c r="I255" s="15"/>
      <c r="J255" s="15"/>
      <c r="K255" s="15"/>
      <c r="L255" s="15"/>
      <c r="M255" s="15"/>
      <c r="N255" s="15"/>
      <c r="O255" s="896"/>
      <c r="P255" s="896"/>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row>
    <row r="256" ht="15.75" customHeight="1">
      <c r="A256" s="15"/>
      <c r="B256" s="15"/>
      <c r="C256" s="15"/>
      <c r="D256" s="15"/>
      <c r="E256" s="15"/>
      <c r="F256" s="15"/>
      <c r="G256" s="15"/>
      <c r="H256" s="15"/>
      <c r="I256" s="15"/>
      <c r="J256" s="15"/>
      <c r="K256" s="15"/>
      <c r="L256" s="15"/>
      <c r="M256" s="15"/>
      <c r="N256" s="15"/>
      <c r="O256" s="896"/>
      <c r="P256" s="896"/>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row>
    <row r="257" ht="15.75" customHeight="1">
      <c r="A257" s="15"/>
      <c r="B257" s="15"/>
      <c r="C257" s="15"/>
      <c r="D257" s="15"/>
      <c r="E257" s="15"/>
      <c r="F257" s="15"/>
      <c r="G257" s="15"/>
      <c r="H257" s="15"/>
      <c r="I257" s="15"/>
      <c r="J257" s="15"/>
      <c r="K257" s="15"/>
      <c r="L257" s="15"/>
      <c r="M257" s="15"/>
      <c r="N257" s="15"/>
      <c r="O257" s="896"/>
      <c r="P257" s="896"/>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row>
    <row r="258" ht="15.75" customHeight="1">
      <c r="A258" s="15"/>
      <c r="B258" s="15"/>
      <c r="C258" s="15"/>
      <c r="D258" s="15"/>
      <c r="E258" s="15"/>
      <c r="F258" s="15"/>
      <c r="G258" s="15"/>
      <c r="H258" s="15"/>
      <c r="I258" s="15"/>
      <c r="J258" s="15"/>
      <c r="K258" s="15"/>
      <c r="L258" s="15"/>
      <c r="M258" s="15"/>
      <c r="N258" s="15"/>
      <c r="O258" s="896"/>
      <c r="P258" s="896"/>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row>
    <row r="259" ht="15.75" customHeight="1">
      <c r="A259" s="15"/>
      <c r="B259" s="15"/>
      <c r="C259" s="15"/>
      <c r="D259" s="15"/>
      <c r="E259" s="15"/>
      <c r="F259" s="15"/>
      <c r="G259" s="15"/>
      <c r="H259" s="15"/>
      <c r="I259" s="15"/>
      <c r="J259" s="15"/>
      <c r="K259" s="15"/>
      <c r="L259" s="15"/>
      <c r="M259" s="15"/>
      <c r="N259" s="15"/>
      <c r="O259" s="896"/>
      <c r="P259" s="896"/>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row>
    <row r="260" ht="15.75" customHeight="1">
      <c r="A260" s="15"/>
      <c r="B260" s="15"/>
      <c r="C260" s="15"/>
      <c r="D260" s="15"/>
      <c r="E260" s="15"/>
      <c r="F260" s="15"/>
      <c r="G260" s="15"/>
      <c r="H260" s="15"/>
      <c r="I260" s="15"/>
      <c r="J260" s="15"/>
      <c r="K260" s="15"/>
      <c r="L260" s="15"/>
      <c r="M260" s="15"/>
      <c r="N260" s="15"/>
      <c r="O260" s="896"/>
      <c r="P260" s="896"/>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row>
    <row r="261" ht="15.75" customHeight="1">
      <c r="A261" s="15"/>
      <c r="B261" s="15"/>
      <c r="C261" s="15"/>
      <c r="D261" s="15"/>
      <c r="E261" s="15"/>
      <c r="F261" s="15"/>
      <c r="G261" s="15"/>
      <c r="H261" s="15"/>
      <c r="I261" s="15"/>
      <c r="J261" s="15"/>
      <c r="K261" s="15"/>
      <c r="L261" s="15"/>
      <c r="M261" s="15"/>
      <c r="N261" s="15"/>
      <c r="O261" s="896"/>
      <c r="P261" s="896"/>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row>
    <row r="262" ht="15.75" customHeight="1">
      <c r="A262" s="15"/>
      <c r="B262" s="15"/>
      <c r="C262" s="15"/>
      <c r="D262" s="15"/>
      <c r="E262" s="15"/>
      <c r="F262" s="15"/>
      <c r="G262" s="15"/>
      <c r="H262" s="15"/>
      <c r="I262" s="15"/>
      <c r="J262" s="15"/>
      <c r="K262" s="15"/>
      <c r="L262" s="15"/>
      <c r="M262" s="15"/>
      <c r="N262" s="15"/>
      <c r="O262" s="896"/>
      <c r="P262" s="896"/>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row>
    <row r="263" ht="15.75" customHeight="1">
      <c r="A263" s="15"/>
      <c r="B263" s="15"/>
      <c r="C263" s="15"/>
      <c r="D263" s="15"/>
      <c r="E263" s="15"/>
      <c r="F263" s="15"/>
      <c r="G263" s="15"/>
      <c r="H263" s="15"/>
      <c r="I263" s="15"/>
      <c r="J263" s="15"/>
      <c r="K263" s="15"/>
      <c r="L263" s="15"/>
      <c r="M263" s="15"/>
      <c r="N263" s="15"/>
      <c r="O263" s="896"/>
      <c r="P263" s="896"/>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row>
    <row r="264" ht="15.75" customHeight="1">
      <c r="A264" s="15"/>
      <c r="B264" s="15"/>
      <c r="C264" s="15"/>
      <c r="D264" s="15"/>
      <c r="E264" s="15"/>
      <c r="F264" s="15"/>
      <c r="G264" s="15"/>
      <c r="H264" s="15"/>
      <c r="I264" s="15"/>
      <c r="J264" s="15"/>
      <c r="K264" s="15"/>
      <c r="L264" s="15"/>
      <c r="M264" s="15"/>
      <c r="N264" s="15"/>
      <c r="O264" s="896"/>
      <c r="P264" s="896"/>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row>
    <row r="265" ht="15.75" customHeight="1">
      <c r="A265" s="15"/>
      <c r="B265" s="15"/>
      <c r="C265" s="15"/>
      <c r="D265" s="15"/>
      <c r="E265" s="15"/>
      <c r="F265" s="15"/>
      <c r="G265" s="15"/>
      <c r="H265" s="15"/>
      <c r="I265" s="15"/>
      <c r="J265" s="15"/>
      <c r="K265" s="15"/>
      <c r="L265" s="15"/>
      <c r="M265" s="15"/>
      <c r="N265" s="15"/>
      <c r="O265" s="896"/>
      <c r="P265" s="896"/>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row>
    <row r="266" ht="15.75" customHeight="1">
      <c r="A266" s="15"/>
      <c r="B266" s="15"/>
      <c r="C266" s="15"/>
      <c r="D266" s="15"/>
      <c r="E266" s="15"/>
      <c r="F266" s="15"/>
      <c r="G266" s="15"/>
      <c r="H266" s="15"/>
      <c r="I266" s="15"/>
      <c r="J266" s="15"/>
      <c r="K266" s="15"/>
      <c r="L266" s="15"/>
      <c r="M266" s="15"/>
      <c r="N266" s="15"/>
      <c r="O266" s="896"/>
      <c r="P266" s="896"/>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row>
    <row r="267" ht="15.75" customHeight="1">
      <c r="A267" s="15"/>
      <c r="B267" s="15"/>
      <c r="C267" s="15"/>
      <c r="D267" s="15"/>
      <c r="E267" s="15"/>
      <c r="F267" s="15"/>
      <c r="G267" s="15"/>
      <c r="H267" s="15"/>
      <c r="I267" s="15"/>
      <c r="J267" s="15"/>
      <c r="K267" s="15"/>
      <c r="L267" s="15"/>
      <c r="M267" s="15"/>
      <c r="N267" s="15"/>
      <c r="O267" s="896"/>
      <c r="P267" s="896"/>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row>
    <row r="268" ht="15.75" customHeight="1">
      <c r="A268" s="15"/>
      <c r="B268" s="15"/>
      <c r="C268" s="15"/>
      <c r="D268" s="15"/>
      <c r="E268" s="15"/>
      <c r="F268" s="15"/>
      <c r="G268" s="15"/>
      <c r="H268" s="15"/>
      <c r="I268" s="15"/>
      <c r="J268" s="15"/>
      <c r="K268" s="15"/>
      <c r="L268" s="15"/>
      <c r="M268" s="15"/>
      <c r="N268" s="15"/>
      <c r="O268" s="896"/>
      <c r="P268" s="896"/>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row>
    <row r="269" ht="15.75" customHeight="1">
      <c r="A269" s="15"/>
      <c r="B269" s="15"/>
      <c r="C269" s="15"/>
      <c r="D269" s="15"/>
      <c r="E269" s="15"/>
      <c r="F269" s="15"/>
      <c r="G269" s="15"/>
      <c r="H269" s="15"/>
      <c r="I269" s="15"/>
      <c r="J269" s="15"/>
      <c r="K269" s="15"/>
      <c r="L269" s="15"/>
      <c r="M269" s="15"/>
      <c r="N269" s="15"/>
      <c r="O269" s="896"/>
      <c r="P269" s="896"/>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row>
    <row r="270" ht="15.75" customHeight="1">
      <c r="A270" s="15"/>
      <c r="B270" s="15"/>
      <c r="C270" s="15"/>
      <c r="D270" s="15"/>
      <c r="E270" s="15"/>
      <c r="F270" s="15"/>
      <c r="G270" s="15"/>
      <c r="H270" s="15"/>
      <c r="I270" s="15"/>
      <c r="J270" s="15"/>
      <c r="K270" s="15"/>
      <c r="L270" s="15"/>
      <c r="M270" s="15"/>
      <c r="N270" s="15"/>
      <c r="O270" s="896"/>
      <c r="P270" s="896"/>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row>
    <row r="271" ht="15.75" customHeight="1">
      <c r="A271" s="15"/>
      <c r="B271" s="15"/>
      <c r="C271" s="15"/>
      <c r="D271" s="15"/>
      <c r="E271" s="15"/>
      <c r="F271" s="15"/>
      <c r="G271" s="15"/>
      <c r="H271" s="15"/>
      <c r="I271" s="15"/>
      <c r="J271" s="15"/>
      <c r="K271" s="15"/>
      <c r="L271" s="15"/>
      <c r="M271" s="15"/>
      <c r="N271" s="15"/>
      <c r="O271" s="896"/>
      <c r="P271" s="896"/>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row>
    <row r="272" ht="15.75" customHeight="1">
      <c r="A272" s="15"/>
      <c r="B272" s="15"/>
      <c r="C272" s="15"/>
      <c r="D272" s="15"/>
      <c r="E272" s="15"/>
      <c r="F272" s="15"/>
      <c r="G272" s="15"/>
      <c r="H272" s="15"/>
      <c r="I272" s="15"/>
      <c r="J272" s="15"/>
      <c r="K272" s="15"/>
      <c r="L272" s="15"/>
      <c r="M272" s="15"/>
      <c r="N272" s="15"/>
      <c r="O272" s="896"/>
      <c r="P272" s="896"/>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row>
    <row r="273" ht="15.75" customHeight="1">
      <c r="A273" s="15"/>
      <c r="B273" s="15"/>
      <c r="C273" s="15"/>
      <c r="D273" s="15"/>
      <c r="E273" s="15"/>
      <c r="F273" s="15"/>
      <c r="G273" s="15"/>
      <c r="H273" s="15"/>
      <c r="I273" s="15"/>
      <c r="J273" s="15"/>
      <c r="K273" s="15"/>
      <c r="L273" s="15"/>
      <c r="M273" s="15"/>
      <c r="N273" s="15"/>
      <c r="O273" s="896"/>
      <c r="P273" s="896"/>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row>
    <row r="274" ht="15.75" customHeight="1">
      <c r="A274" s="15"/>
      <c r="B274" s="15"/>
      <c r="C274" s="15"/>
      <c r="D274" s="15"/>
      <c r="E274" s="15"/>
      <c r="F274" s="15"/>
      <c r="G274" s="15"/>
      <c r="H274" s="15"/>
      <c r="I274" s="15"/>
      <c r="J274" s="15"/>
      <c r="K274" s="15"/>
      <c r="L274" s="15"/>
      <c r="M274" s="15"/>
      <c r="N274" s="15"/>
      <c r="O274" s="896"/>
      <c r="P274" s="896"/>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row>
    <row r="275" ht="15.75" customHeight="1">
      <c r="A275" s="15"/>
      <c r="B275" s="15"/>
      <c r="C275" s="15"/>
      <c r="D275" s="15"/>
      <c r="E275" s="15"/>
      <c r="F275" s="15"/>
      <c r="G275" s="15"/>
      <c r="H275" s="15"/>
      <c r="I275" s="15"/>
      <c r="J275" s="15"/>
      <c r="K275" s="15"/>
      <c r="L275" s="15"/>
      <c r="M275" s="15"/>
      <c r="N275" s="15"/>
      <c r="O275" s="896"/>
      <c r="P275" s="896"/>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row>
    <row r="276" ht="15.75" customHeight="1">
      <c r="A276" s="15"/>
      <c r="B276" s="15"/>
      <c r="C276" s="15"/>
      <c r="D276" s="15"/>
      <c r="E276" s="15"/>
      <c r="F276" s="15"/>
      <c r="G276" s="15"/>
      <c r="H276" s="15"/>
      <c r="I276" s="15"/>
      <c r="J276" s="15"/>
      <c r="K276" s="15"/>
      <c r="L276" s="15"/>
      <c r="M276" s="15"/>
      <c r="N276" s="15"/>
      <c r="O276" s="896"/>
      <c r="P276" s="896"/>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row>
    <row r="277" ht="15.75" customHeight="1">
      <c r="A277" s="15"/>
      <c r="B277" s="15"/>
      <c r="C277" s="15"/>
      <c r="D277" s="15"/>
      <c r="E277" s="15"/>
      <c r="F277" s="15"/>
      <c r="G277" s="15"/>
      <c r="H277" s="15"/>
      <c r="I277" s="15"/>
      <c r="J277" s="15"/>
      <c r="K277" s="15"/>
      <c r="L277" s="15"/>
      <c r="M277" s="15"/>
      <c r="N277" s="15"/>
      <c r="O277" s="896"/>
      <c r="P277" s="896"/>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row>
    <row r="278" ht="15.75" customHeight="1">
      <c r="A278" s="15"/>
      <c r="B278" s="15"/>
      <c r="C278" s="15"/>
      <c r="D278" s="15"/>
      <c r="E278" s="15"/>
      <c r="F278" s="15"/>
      <c r="G278" s="15"/>
      <c r="H278" s="15"/>
      <c r="I278" s="15"/>
      <c r="J278" s="15"/>
      <c r="K278" s="15"/>
      <c r="L278" s="15"/>
      <c r="M278" s="15"/>
      <c r="N278" s="15"/>
      <c r="O278" s="896"/>
      <c r="P278" s="896"/>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row>
    <row r="279" ht="15.75" customHeight="1">
      <c r="A279" s="15"/>
      <c r="B279" s="15"/>
      <c r="C279" s="15"/>
      <c r="D279" s="15"/>
      <c r="E279" s="15"/>
      <c r="F279" s="15"/>
      <c r="G279" s="15"/>
      <c r="H279" s="15"/>
      <c r="I279" s="15"/>
      <c r="J279" s="15"/>
      <c r="K279" s="15"/>
      <c r="L279" s="15"/>
      <c r="M279" s="15"/>
      <c r="N279" s="15"/>
      <c r="O279" s="896"/>
      <c r="P279" s="896"/>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row>
    <row r="280" ht="15.75" customHeight="1">
      <c r="A280" s="15"/>
      <c r="B280" s="15"/>
      <c r="C280" s="15"/>
      <c r="D280" s="15"/>
      <c r="E280" s="15"/>
      <c r="F280" s="15"/>
      <c r="G280" s="15"/>
      <c r="H280" s="15"/>
      <c r="I280" s="15"/>
      <c r="J280" s="15"/>
      <c r="K280" s="15"/>
      <c r="L280" s="15"/>
      <c r="M280" s="15"/>
      <c r="N280" s="15"/>
      <c r="O280" s="896"/>
      <c r="P280" s="896"/>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row>
    <row r="281" ht="15.75" customHeight="1">
      <c r="A281" s="15"/>
      <c r="B281" s="15"/>
      <c r="C281" s="15"/>
      <c r="D281" s="15"/>
      <c r="E281" s="15"/>
      <c r="F281" s="15"/>
      <c r="G281" s="15"/>
      <c r="H281" s="15"/>
      <c r="I281" s="15"/>
      <c r="J281" s="15"/>
      <c r="K281" s="15"/>
      <c r="L281" s="15"/>
      <c r="M281" s="15"/>
      <c r="N281" s="15"/>
      <c r="O281" s="896"/>
      <c r="P281" s="896"/>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row>
    <row r="282" ht="15.75" customHeight="1">
      <c r="A282" s="15"/>
      <c r="B282" s="15"/>
      <c r="C282" s="15"/>
      <c r="D282" s="15"/>
      <c r="E282" s="15"/>
      <c r="F282" s="15"/>
      <c r="G282" s="15"/>
      <c r="H282" s="15"/>
      <c r="I282" s="15"/>
      <c r="J282" s="15"/>
      <c r="K282" s="15"/>
      <c r="L282" s="15"/>
      <c r="M282" s="15"/>
      <c r="N282" s="15"/>
      <c r="O282" s="896"/>
      <c r="P282" s="896"/>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row>
    <row r="283" ht="15.75" customHeight="1">
      <c r="A283" s="15"/>
      <c r="B283" s="15"/>
      <c r="C283" s="15"/>
      <c r="D283" s="15"/>
      <c r="E283" s="15"/>
      <c r="F283" s="15"/>
      <c r="G283" s="15"/>
      <c r="H283" s="15"/>
      <c r="I283" s="15"/>
      <c r="J283" s="15"/>
      <c r="K283" s="15"/>
      <c r="L283" s="15"/>
      <c r="M283" s="15"/>
      <c r="N283" s="15"/>
      <c r="O283" s="896"/>
      <c r="P283" s="896"/>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row>
    <row r="284" ht="15.75" customHeight="1">
      <c r="A284" s="15"/>
      <c r="B284" s="15"/>
      <c r="C284" s="15"/>
      <c r="D284" s="15"/>
      <c r="E284" s="15"/>
      <c r="F284" s="15"/>
      <c r="G284" s="15"/>
      <c r="H284" s="15"/>
      <c r="I284" s="15"/>
      <c r="J284" s="15"/>
      <c r="K284" s="15"/>
      <c r="L284" s="15"/>
      <c r="M284" s="15"/>
      <c r="N284" s="15"/>
      <c r="O284" s="896"/>
      <c r="P284" s="896"/>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row>
    <row r="285" ht="15.75" customHeight="1">
      <c r="A285" s="15"/>
      <c r="B285" s="15"/>
      <c r="C285" s="15"/>
      <c r="D285" s="15"/>
      <c r="E285" s="15"/>
      <c r="F285" s="15"/>
      <c r="G285" s="15"/>
      <c r="H285" s="15"/>
      <c r="I285" s="15"/>
      <c r="J285" s="15"/>
      <c r="K285" s="15"/>
      <c r="L285" s="15"/>
      <c r="M285" s="15"/>
      <c r="N285" s="15"/>
      <c r="O285" s="896"/>
      <c r="P285" s="896"/>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row>
    <row r="286" ht="15.75" customHeight="1">
      <c r="A286" s="15"/>
      <c r="B286" s="15"/>
      <c r="C286" s="15"/>
      <c r="D286" s="15"/>
      <c r="E286" s="15"/>
      <c r="F286" s="15"/>
      <c r="G286" s="15"/>
      <c r="H286" s="15"/>
      <c r="I286" s="15"/>
      <c r="J286" s="15"/>
      <c r="K286" s="15"/>
      <c r="L286" s="15"/>
      <c r="M286" s="15"/>
      <c r="N286" s="15"/>
      <c r="O286" s="896"/>
      <c r="P286" s="896"/>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row>
    <row r="287" ht="15.75" customHeight="1">
      <c r="A287" s="15"/>
      <c r="B287" s="15"/>
      <c r="C287" s="15"/>
      <c r="D287" s="15"/>
      <c r="E287" s="15"/>
      <c r="F287" s="15"/>
      <c r="G287" s="15"/>
      <c r="H287" s="15"/>
      <c r="I287" s="15"/>
      <c r="J287" s="15"/>
      <c r="K287" s="15"/>
      <c r="L287" s="15"/>
      <c r="M287" s="15"/>
      <c r="N287" s="15"/>
      <c r="O287" s="896"/>
      <c r="P287" s="896"/>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row>
    <row r="288" ht="15.75" customHeight="1">
      <c r="A288" s="15"/>
      <c r="B288" s="15"/>
      <c r="C288" s="15"/>
      <c r="D288" s="15"/>
      <c r="E288" s="15"/>
      <c r="F288" s="15"/>
      <c r="G288" s="15"/>
      <c r="H288" s="15"/>
      <c r="I288" s="15"/>
      <c r="J288" s="15"/>
      <c r="K288" s="15"/>
      <c r="L288" s="15"/>
      <c r="M288" s="15"/>
      <c r="N288" s="15"/>
      <c r="O288" s="896"/>
      <c r="P288" s="896"/>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row>
    <row r="289" ht="15.75" customHeight="1">
      <c r="A289" s="15"/>
      <c r="B289" s="15"/>
      <c r="C289" s="15"/>
      <c r="D289" s="15"/>
      <c r="E289" s="15"/>
      <c r="F289" s="15"/>
      <c r="G289" s="15"/>
      <c r="H289" s="15"/>
      <c r="I289" s="15"/>
      <c r="J289" s="15"/>
      <c r="K289" s="15"/>
      <c r="L289" s="15"/>
      <c r="M289" s="15"/>
      <c r="N289" s="15"/>
      <c r="O289" s="896"/>
      <c r="P289" s="896"/>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row>
    <row r="290" ht="15.75" customHeight="1">
      <c r="A290" s="15"/>
      <c r="B290" s="15"/>
      <c r="C290" s="15"/>
      <c r="D290" s="15"/>
      <c r="E290" s="15"/>
      <c r="F290" s="15"/>
      <c r="G290" s="15"/>
      <c r="H290" s="15"/>
      <c r="I290" s="15"/>
      <c r="J290" s="15"/>
      <c r="K290" s="15"/>
      <c r="L290" s="15"/>
      <c r="M290" s="15"/>
      <c r="N290" s="15"/>
      <c r="O290" s="896"/>
      <c r="P290" s="896"/>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row>
    <row r="291" ht="15.75" customHeight="1">
      <c r="A291" s="15"/>
      <c r="B291" s="15"/>
      <c r="C291" s="15"/>
      <c r="D291" s="15"/>
      <c r="E291" s="15"/>
      <c r="F291" s="15"/>
      <c r="G291" s="15"/>
      <c r="H291" s="15"/>
      <c r="I291" s="15"/>
      <c r="J291" s="15"/>
      <c r="K291" s="15"/>
      <c r="L291" s="15"/>
      <c r="M291" s="15"/>
      <c r="N291" s="15"/>
      <c r="O291" s="896"/>
      <c r="P291" s="896"/>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row>
    <row r="292" ht="15.75" customHeight="1">
      <c r="A292" s="15"/>
      <c r="B292" s="15"/>
      <c r="C292" s="15"/>
      <c r="D292" s="15"/>
      <c r="E292" s="15"/>
      <c r="F292" s="15"/>
      <c r="G292" s="15"/>
      <c r="H292" s="15"/>
      <c r="I292" s="15"/>
      <c r="J292" s="15"/>
      <c r="K292" s="15"/>
      <c r="L292" s="15"/>
      <c r="M292" s="15"/>
      <c r="N292" s="15"/>
      <c r="O292" s="896"/>
      <c r="P292" s="896"/>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row>
    <row r="293" ht="15.75" customHeight="1">
      <c r="A293" s="15"/>
      <c r="B293" s="15"/>
      <c r="C293" s="15"/>
      <c r="D293" s="15"/>
      <c r="E293" s="15"/>
      <c r="F293" s="15"/>
      <c r="G293" s="15"/>
      <c r="H293" s="15"/>
      <c r="I293" s="15"/>
      <c r="J293" s="15"/>
      <c r="K293" s="15"/>
      <c r="L293" s="15"/>
      <c r="M293" s="15"/>
      <c r="N293" s="15"/>
      <c r="O293" s="896"/>
      <c r="P293" s="896"/>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row>
    <row r="294" ht="15.75" customHeight="1">
      <c r="A294" s="15"/>
      <c r="B294" s="15"/>
      <c r="C294" s="15"/>
      <c r="D294" s="15"/>
      <c r="E294" s="15"/>
      <c r="F294" s="15"/>
      <c r="G294" s="15"/>
      <c r="H294" s="15"/>
      <c r="I294" s="15"/>
      <c r="J294" s="15"/>
      <c r="K294" s="15"/>
      <c r="L294" s="15"/>
      <c r="M294" s="15"/>
      <c r="N294" s="15"/>
      <c r="O294" s="896"/>
      <c r="P294" s="896"/>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row>
    <row r="295" ht="15.75" customHeight="1">
      <c r="A295" s="15"/>
      <c r="B295" s="15"/>
      <c r="C295" s="15"/>
      <c r="D295" s="15"/>
      <c r="E295" s="15"/>
      <c r="F295" s="15"/>
      <c r="G295" s="15"/>
      <c r="H295" s="15"/>
      <c r="I295" s="15"/>
      <c r="J295" s="15"/>
      <c r="K295" s="15"/>
      <c r="L295" s="15"/>
      <c r="M295" s="15"/>
      <c r="N295" s="15"/>
      <c r="O295" s="896"/>
      <c r="P295" s="896"/>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row>
    <row r="296" ht="15.75" customHeight="1">
      <c r="A296" s="15"/>
      <c r="B296" s="15"/>
      <c r="C296" s="15"/>
      <c r="D296" s="15"/>
      <c r="E296" s="15"/>
      <c r="F296" s="15"/>
      <c r="G296" s="15"/>
      <c r="H296" s="15"/>
      <c r="I296" s="15"/>
      <c r="J296" s="15"/>
      <c r="K296" s="15"/>
      <c r="L296" s="15"/>
      <c r="M296" s="15"/>
      <c r="N296" s="15"/>
      <c r="O296" s="896"/>
      <c r="P296" s="896"/>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row>
    <row r="297" ht="15.75" customHeight="1">
      <c r="A297" s="15"/>
      <c r="B297" s="15"/>
      <c r="C297" s="15"/>
      <c r="D297" s="15"/>
      <c r="E297" s="15"/>
      <c r="F297" s="15"/>
      <c r="G297" s="15"/>
      <c r="H297" s="15"/>
      <c r="I297" s="15"/>
      <c r="J297" s="15"/>
      <c r="K297" s="15"/>
      <c r="L297" s="15"/>
      <c r="M297" s="15"/>
      <c r="N297" s="15"/>
      <c r="O297" s="896"/>
      <c r="P297" s="896"/>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row>
    <row r="298" ht="15.75" customHeight="1">
      <c r="A298" s="15"/>
      <c r="B298" s="15"/>
      <c r="C298" s="15"/>
      <c r="D298" s="15"/>
      <c r="E298" s="15"/>
      <c r="F298" s="15"/>
      <c r="G298" s="15"/>
      <c r="H298" s="15"/>
      <c r="I298" s="15"/>
      <c r="J298" s="15"/>
      <c r="K298" s="15"/>
      <c r="L298" s="15"/>
      <c r="M298" s="15"/>
      <c r="N298" s="15"/>
      <c r="O298" s="896"/>
      <c r="P298" s="896"/>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row>
    <row r="299" ht="15.75" customHeight="1">
      <c r="A299" s="15"/>
      <c r="B299" s="15"/>
      <c r="C299" s="15"/>
      <c r="D299" s="15"/>
      <c r="E299" s="15"/>
      <c r="F299" s="15"/>
      <c r="G299" s="15"/>
      <c r="H299" s="15"/>
      <c r="I299" s="15"/>
      <c r="J299" s="15"/>
      <c r="K299" s="15"/>
      <c r="L299" s="15"/>
      <c r="M299" s="15"/>
      <c r="N299" s="15"/>
      <c r="O299" s="896"/>
      <c r="P299" s="896"/>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row>
    <row r="300" ht="15.75" customHeight="1">
      <c r="A300" s="15"/>
      <c r="B300" s="15"/>
      <c r="C300" s="15"/>
      <c r="D300" s="15"/>
      <c r="E300" s="15"/>
      <c r="F300" s="15"/>
      <c r="G300" s="15"/>
      <c r="H300" s="15"/>
      <c r="I300" s="15"/>
      <c r="J300" s="15"/>
      <c r="K300" s="15"/>
      <c r="L300" s="15"/>
      <c r="M300" s="15"/>
      <c r="N300" s="15"/>
      <c r="O300" s="896"/>
      <c r="P300" s="896"/>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row>
    <row r="301" ht="15.75" customHeight="1">
      <c r="A301" s="15"/>
      <c r="B301" s="15"/>
      <c r="C301" s="15"/>
      <c r="D301" s="15"/>
      <c r="E301" s="15"/>
      <c r="F301" s="15"/>
      <c r="G301" s="15"/>
      <c r="H301" s="15"/>
      <c r="I301" s="15"/>
      <c r="J301" s="15"/>
      <c r="K301" s="15"/>
      <c r="L301" s="15"/>
      <c r="M301" s="15"/>
      <c r="N301" s="15"/>
      <c r="O301" s="896"/>
      <c r="P301" s="896"/>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row>
    <row r="302" ht="15.75" customHeight="1">
      <c r="A302" s="15"/>
      <c r="B302" s="15"/>
      <c r="C302" s="15"/>
      <c r="D302" s="15"/>
      <c r="E302" s="15"/>
      <c r="F302" s="15"/>
      <c r="G302" s="15"/>
      <c r="H302" s="15"/>
      <c r="I302" s="15"/>
      <c r="J302" s="15"/>
      <c r="K302" s="15"/>
      <c r="L302" s="15"/>
      <c r="M302" s="15"/>
      <c r="N302" s="15"/>
      <c r="O302" s="896"/>
      <c r="P302" s="896"/>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row>
    <row r="303" ht="15.75" customHeight="1">
      <c r="A303" s="15"/>
      <c r="B303" s="15"/>
      <c r="C303" s="15"/>
      <c r="D303" s="15"/>
      <c r="E303" s="15"/>
      <c r="F303" s="15"/>
      <c r="G303" s="15"/>
      <c r="H303" s="15"/>
      <c r="I303" s="15"/>
      <c r="J303" s="15"/>
      <c r="K303" s="15"/>
      <c r="L303" s="15"/>
      <c r="M303" s="15"/>
      <c r="N303" s="15"/>
      <c r="O303" s="896"/>
      <c r="P303" s="896"/>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row>
    <row r="304" ht="15.75" customHeight="1">
      <c r="A304" s="15"/>
      <c r="B304" s="15"/>
      <c r="C304" s="15"/>
      <c r="D304" s="15"/>
      <c r="E304" s="15"/>
      <c r="F304" s="15"/>
      <c r="G304" s="15"/>
      <c r="H304" s="15"/>
      <c r="I304" s="15"/>
      <c r="J304" s="15"/>
      <c r="K304" s="15"/>
      <c r="L304" s="15"/>
      <c r="M304" s="15"/>
      <c r="N304" s="15"/>
      <c r="O304" s="896"/>
      <c r="P304" s="896"/>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row>
    <row r="305" ht="15.75" customHeight="1">
      <c r="A305" s="15"/>
      <c r="B305" s="15"/>
      <c r="C305" s="15"/>
      <c r="D305" s="15"/>
      <c r="E305" s="15"/>
      <c r="F305" s="15"/>
      <c r="G305" s="15"/>
      <c r="H305" s="15"/>
      <c r="I305" s="15"/>
      <c r="J305" s="15"/>
      <c r="K305" s="15"/>
      <c r="L305" s="15"/>
      <c r="M305" s="15"/>
      <c r="N305" s="15"/>
      <c r="O305" s="896"/>
      <c r="P305" s="896"/>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row>
    <row r="306" ht="15.75" customHeight="1">
      <c r="A306" s="15"/>
      <c r="B306" s="15"/>
      <c r="C306" s="15"/>
      <c r="D306" s="15"/>
      <c r="E306" s="15"/>
      <c r="F306" s="15"/>
      <c r="G306" s="15"/>
      <c r="H306" s="15"/>
      <c r="I306" s="15"/>
      <c r="J306" s="15"/>
      <c r="K306" s="15"/>
      <c r="L306" s="15"/>
      <c r="M306" s="15"/>
      <c r="N306" s="15"/>
      <c r="O306" s="896"/>
      <c r="P306" s="896"/>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row>
    <row r="307" ht="15.75" customHeight="1">
      <c r="A307" s="15"/>
      <c r="B307" s="15"/>
      <c r="C307" s="15"/>
      <c r="D307" s="15"/>
      <c r="E307" s="15"/>
      <c r="F307" s="15"/>
      <c r="G307" s="15"/>
      <c r="H307" s="15"/>
      <c r="I307" s="15"/>
      <c r="J307" s="15"/>
      <c r="K307" s="15"/>
      <c r="L307" s="15"/>
      <c r="M307" s="15"/>
      <c r="N307" s="15"/>
      <c r="O307" s="896"/>
      <c r="P307" s="896"/>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row>
    <row r="308" ht="15.75" customHeight="1">
      <c r="A308" s="15"/>
      <c r="B308" s="15"/>
      <c r="C308" s="15"/>
      <c r="D308" s="15"/>
      <c r="E308" s="15"/>
      <c r="F308" s="15"/>
      <c r="G308" s="15"/>
      <c r="H308" s="15"/>
      <c r="I308" s="15"/>
      <c r="J308" s="15"/>
      <c r="K308" s="15"/>
      <c r="L308" s="15"/>
      <c r="M308" s="15"/>
      <c r="N308" s="15"/>
      <c r="O308" s="896"/>
      <c r="P308" s="896"/>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row>
    <row r="309" ht="15.75" customHeight="1">
      <c r="A309" s="15"/>
      <c r="B309" s="15"/>
      <c r="C309" s="15"/>
      <c r="D309" s="15"/>
      <c r="E309" s="15"/>
      <c r="F309" s="15"/>
      <c r="G309" s="15"/>
      <c r="H309" s="15"/>
      <c r="I309" s="15"/>
      <c r="J309" s="15"/>
      <c r="K309" s="15"/>
      <c r="L309" s="15"/>
      <c r="M309" s="15"/>
      <c r="N309" s="15"/>
      <c r="O309" s="896"/>
      <c r="P309" s="896"/>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row>
    <row r="310" ht="15.75" customHeight="1">
      <c r="A310" s="15"/>
      <c r="B310" s="15"/>
      <c r="C310" s="15"/>
      <c r="D310" s="15"/>
      <c r="E310" s="15"/>
      <c r="F310" s="15"/>
      <c r="G310" s="15"/>
      <c r="H310" s="15"/>
      <c r="I310" s="15"/>
      <c r="J310" s="15"/>
      <c r="K310" s="15"/>
      <c r="L310" s="15"/>
      <c r="M310" s="15"/>
      <c r="N310" s="15"/>
      <c r="O310" s="896"/>
      <c r="P310" s="896"/>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row>
    <row r="311" ht="15.75" customHeight="1">
      <c r="A311" s="15"/>
      <c r="B311" s="15"/>
      <c r="C311" s="15"/>
      <c r="D311" s="15"/>
      <c r="E311" s="15"/>
      <c r="F311" s="15"/>
      <c r="G311" s="15"/>
      <c r="H311" s="15"/>
      <c r="I311" s="15"/>
      <c r="J311" s="15"/>
      <c r="K311" s="15"/>
      <c r="L311" s="15"/>
      <c r="M311" s="15"/>
      <c r="N311" s="15"/>
      <c r="O311" s="896"/>
      <c r="P311" s="896"/>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row>
    <row r="312" ht="15.75" customHeight="1">
      <c r="A312" s="15"/>
      <c r="B312" s="15"/>
      <c r="C312" s="15"/>
      <c r="D312" s="15"/>
      <c r="E312" s="15"/>
      <c r="F312" s="15"/>
      <c r="G312" s="15"/>
      <c r="H312" s="15"/>
      <c r="I312" s="15"/>
      <c r="J312" s="15"/>
      <c r="K312" s="15"/>
      <c r="L312" s="15"/>
      <c r="M312" s="15"/>
      <c r="N312" s="15"/>
      <c r="O312" s="896"/>
      <c r="P312" s="896"/>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row>
    <row r="313" ht="15.75" customHeight="1">
      <c r="A313" s="15"/>
      <c r="B313" s="15"/>
      <c r="C313" s="15"/>
      <c r="D313" s="15"/>
      <c r="E313" s="15"/>
      <c r="F313" s="15"/>
      <c r="G313" s="15"/>
      <c r="H313" s="15"/>
      <c r="I313" s="15"/>
      <c r="J313" s="15"/>
      <c r="K313" s="15"/>
      <c r="L313" s="15"/>
      <c r="M313" s="15"/>
      <c r="N313" s="15"/>
      <c r="O313" s="896"/>
      <c r="P313" s="896"/>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row>
    <row r="314" ht="15.75" customHeight="1">
      <c r="A314" s="15"/>
      <c r="B314" s="15"/>
      <c r="C314" s="15"/>
      <c r="D314" s="15"/>
      <c r="E314" s="15"/>
      <c r="F314" s="15"/>
      <c r="G314" s="15"/>
      <c r="H314" s="15"/>
      <c r="I314" s="15"/>
      <c r="J314" s="15"/>
      <c r="K314" s="15"/>
      <c r="L314" s="15"/>
      <c r="M314" s="15"/>
      <c r="N314" s="15"/>
      <c r="O314" s="896"/>
      <c r="P314" s="896"/>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row>
    <row r="315" ht="15.75" customHeight="1">
      <c r="A315" s="15"/>
      <c r="B315" s="15"/>
      <c r="C315" s="15"/>
      <c r="D315" s="15"/>
      <c r="E315" s="15"/>
      <c r="F315" s="15"/>
      <c r="G315" s="15"/>
      <c r="H315" s="15"/>
      <c r="I315" s="15"/>
      <c r="J315" s="15"/>
      <c r="K315" s="15"/>
      <c r="L315" s="15"/>
      <c r="M315" s="15"/>
      <c r="N315" s="15"/>
      <c r="O315" s="896"/>
      <c r="P315" s="896"/>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row>
    <row r="316" ht="15.75" customHeight="1">
      <c r="A316" s="15"/>
      <c r="B316" s="15"/>
      <c r="C316" s="15"/>
      <c r="D316" s="15"/>
      <c r="E316" s="15"/>
      <c r="F316" s="15"/>
      <c r="G316" s="15"/>
      <c r="H316" s="15"/>
      <c r="I316" s="15"/>
      <c r="J316" s="15"/>
      <c r="K316" s="15"/>
      <c r="L316" s="15"/>
      <c r="M316" s="15"/>
      <c r="N316" s="15"/>
      <c r="O316" s="896"/>
      <c r="P316" s="896"/>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row>
    <row r="317" ht="15.75" customHeight="1">
      <c r="A317" s="15"/>
      <c r="B317" s="15"/>
      <c r="C317" s="15"/>
      <c r="D317" s="15"/>
      <c r="E317" s="15"/>
      <c r="F317" s="15"/>
      <c r="G317" s="15"/>
      <c r="H317" s="15"/>
      <c r="I317" s="15"/>
      <c r="J317" s="15"/>
      <c r="K317" s="15"/>
      <c r="L317" s="15"/>
      <c r="M317" s="15"/>
      <c r="N317" s="15"/>
      <c r="O317" s="896"/>
      <c r="P317" s="896"/>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row>
    <row r="318" ht="15.75" customHeight="1">
      <c r="A318" s="15"/>
      <c r="B318" s="15"/>
      <c r="C318" s="15"/>
      <c r="D318" s="15"/>
      <c r="E318" s="15"/>
      <c r="F318" s="15"/>
      <c r="G318" s="15"/>
      <c r="H318" s="15"/>
      <c r="I318" s="15"/>
      <c r="J318" s="15"/>
      <c r="K318" s="15"/>
      <c r="L318" s="15"/>
      <c r="M318" s="15"/>
      <c r="N318" s="15"/>
      <c r="O318" s="896"/>
      <c r="P318" s="896"/>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row>
    <row r="319" ht="15.75" customHeight="1">
      <c r="A319" s="15"/>
      <c r="B319" s="15"/>
      <c r="C319" s="15"/>
      <c r="D319" s="15"/>
      <c r="E319" s="15"/>
      <c r="F319" s="15"/>
      <c r="G319" s="15"/>
      <c r="H319" s="15"/>
      <c r="I319" s="15"/>
      <c r="J319" s="15"/>
      <c r="K319" s="15"/>
      <c r="L319" s="15"/>
      <c r="M319" s="15"/>
      <c r="N319" s="15"/>
      <c r="O319" s="896"/>
      <c r="P319" s="896"/>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row>
    <row r="320" ht="15.75" customHeight="1">
      <c r="A320" s="15"/>
      <c r="B320" s="15"/>
      <c r="C320" s="15"/>
      <c r="D320" s="15"/>
      <c r="E320" s="15"/>
      <c r="F320" s="15"/>
      <c r="G320" s="15"/>
      <c r="H320" s="15"/>
      <c r="I320" s="15"/>
      <c r="J320" s="15"/>
      <c r="K320" s="15"/>
      <c r="L320" s="15"/>
      <c r="M320" s="15"/>
      <c r="N320" s="15"/>
      <c r="O320" s="896"/>
      <c r="P320" s="896"/>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row>
    <row r="321" ht="15.75" customHeight="1">
      <c r="A321" s="15"/>
      <c r="B321" s="15"/>
      <c r="C321" s="15"/>
      <c r="D321" s="15"/>
      <c r="E321" s="15"/>
      <c r="F321" s="15"/>
      <c r="G321" s="15"/>
      <c r="H321" s="15"/>
      <c r="I321" s="15"/>
      <c r="J321" s="15"/>
      <c r="K321" s="15"/>
      <c r="L321" s="15"/>
      <c r="M321" s="15"/>
      <c r="N321" s="15"/>
      <c r="O321" s="896"/>
      <c r="P321" s="896"/>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row>
    <row r="322" ht="15.75" customHeight="1">
      <c r="A322" s="15"/>
      <c r="B322" s="15"/>
      <c r="C322" s="15"/>
      <c r="D322" s="15"/>
      <c r="E322" s="15"/>
      <c r="F322" s="15"/>
      <c r="G322" s="15"/>
      <c r="H322" s="15"/>
      <c r="I322" s="15"/>
      <c r="J322" s="15"/>
      <c r="K322" s="15"/>
      <c r="L322" s="15"/>
      <c r="M322" s="15"/>
      <c r="N322" s="15"/>
      <c r="O322" s="896"/>
      <c r="P322" s="896"/>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row>
    <row r="323" ht="15.75" customHeight="1">
      <c r="A323" s="15"/>
      <c r="B323" s="15"/>
      <c r="C323" s="15"/>
      <c r="D323" s="15"/>
      <c r="E323" s="15"/>
      <c r="F323" s="15"/>
      <c r="G323" s="15"/>
      <c r="H323" s="15"/>
      <c r="I323" s="15"/>
      <c r="J323" s="15"/>
      <c r="K323" s="15"/>
      <c r="L323" s="15"/>
      <c r="M323" s="15"/>
      <c r="N323" s="15"/>
      <c r="O323" s="896"/>
      <c r="P323" s="896"/>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row>
    <row r="324" ht="15.75" customHeight="1">
      <c r="A324" s="15"/>
      <c r="B324" s="15"/>
      <c r="C324" s="15"/>
      <c r="D324" s="15"/>
      <c r="E324" s="15"/>
      <c r="F324" s="15"/>
      <c r="G324" s="15"/>
      <c r="H324" s="15"/>
      <c r="I324" s="15"/>
      <c r="J324" s="15"/>
      <c r="K324" s="15"/>
      <c r="L324" s="15"/>
      <c r="M324" s="15"/>
      <c r="N324" s="15"/>
      <c r="O324" s="896"/>
      <c r="P324" s="896"/>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row>
    <row r="325" ht="15.75" customHeight="1">
      <c r="A325" s="15"/>
      <c r="B325" s="15"/>
      <c r="C325" s="15"/>
      <c r="D325" s="15"/>
      <c r="E325" s="15"/>
      <c r="F325" s="15"/>
      <c r="G325" s="15"/>
      <c r="H325" s="15"/>
      <c r="I325" s="15"/>
      <c r="J325" s="15"/>
      <c r="K325" s="15"/>
      <c r="L325" s="15"/>
      <c r="M325" s="15"/>
      <c r="N325" s="15"/>
      <c r="O325" s="896"/>
      <c r="P325" s="896"/>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row>
    <row r="326" ht="15.75" customHeight="1">
      <c r="A326" s="15"/>
      <c r="B326" s="15"/>
      <c r="C326" s="15"/>
      <c r="D326" s="15"/>
      <c r="E326" s="15"/>
      <c r="F326" s="15"/>
      <c r="G326" s="15"/>
      <c r="H326" s="15"/>
      <c r="I326" s="15"/>
      <c r="J326" s="15"/>
      <c r="K326" s="15"/>
      <c r="L326" s="15"/>
      <c r="M326" s="15"/>
      <c r="N326" s="15"/>
      <c r="O326" s="896"/>
      <c r="P326" s="896"/>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row>
    <row r="327" ht="15.75" customHeight="1">
      <c r="A327" s="15"/>
      <c r="B327" s="15"/>
      <c r="C327" s="15"/>
      <c r="D327" s="15"/>
      <c r="E327" s="15"/>
      <c r="F327" s="15"/>
      <c r="G327" s="15"/>
      <c r="H327" s="15"/>
      <c r="I327" s="15"/>
      <c r="J327" s="15"/>
      <c r="K327" s="15"/>
      <c r="L327" s="15"/>
      <c r="M327" s="15"/>
      <c r="N327" s="15"/>
      <c r="O327" s="896"/>
      <c r="P327" s="896"/>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row>
    <row r="328" ht="15.75" customHeight="1">
      <c r="A328" s="15"/>
      <c r="B328" s="15"/>
      <c r="C328" s="15"/>
      <c r="D328" s="15"/>
      <c r="E328" s="15"/>
      <c r="F328" s="15"/>
      <c r="G328" s="15"/>
      <c r="H328" s="15"/>
      <c r="I328" s="15"/>
      <c r="J328" s="15"/>
      <c r="K328" s="15"/>
      <c r="L328" s="15"/>
      <c r="M328" s="15"/>
      <c r="N328" s="15"/>
      <c r="O328" s="896"/>
      <c r="P328" s="896"/>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row>
    <row r="329" ht="15.75" customHeight="1">
      <c r="A329" s="15"/>
      <c r="B329" s="15"/>
      <c r="C329" s="15"/>
      <c r="D329" s="15"/>
      <c r="E329" s="15"/>
      <c r="F329" s="15"/>
      <c r="G329" s="15"/>
      <c r="H329" s="15"/>
      <c r="I329" s="15"/>
      <c r="J329" s="15"/>
      <c r="K329" s="15"/>
      <c r="L329" s="15"/>
      <c r="M329" s="15"/>
      <c r="N329" s="15"/>
      <c r="O329" s="896"/>
      <c r="P329" s="896"/>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row>
    <row r="330" ht="15.75" customHeight="1">
      <c r="A330" s="15"/>
      <c r="B330" s="15"/>
      <c r="C330" s="15"/>
      <c r="D330" s="15"/>
      <c r="E330" s="15"/>
      <c r="F330" s="15"/>
      <c r="G330" s="15"/>
      <c r="H330" s="15"/>
      <c r="I330" s="15"/>
      <c r="J330" s="15"/>
      <c r="K330" s="15"/>
      <c r="L330" s="15"/>
      <c r="M330" s="15"/>
      <c r="N330" s="15"/>
      <c r="O330" s="896"/>
      <c r="P330" s="896"/>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row>
    <row r="331" ht="15.75" customHeight="1">
      <c r="A331" s="15"/>
      <c r="B331" s="15"/>
      <c r="C331" s="15"/>
      <c r="D331" s="15"/>
      <c r="E331" s="15"/>
      <c r="F331" s="15"/>
      <c r="G331" s="15"/>
      <c r="H331" s="15"/>
      <c r="I331" s="15"/>
      <c r="J331" s="15"/>
      <c r="K331" s="15"/>
      <c r="L331" s="15"/>
      <c r="M331" s="15"/>
      <c r="N331" s="15"/>
      <c r="O331" s="896"/>
      <c r="P331" s="896"/>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row>
    <row r="332" ht="15.75" customHeight="1">
      <c r="A332" s="15"/>
      <c r="B332" s="15"/>
      <c r="C332" s="15"/>
      <c r="D332" s="15"/>
      <c r="E332" s="15"/>
      <c r="F332" s="15"/>
      <c r="G332" s="15"/>
      <c r="H332" s="15"/>
      <c r="I332" s="15"/>
      <c r="J332" s="15"/>
      <c r="K332" s="15"/>
      <c r="L332" s="15"/>
      <c r="M332" s="15"/>
      <c r="N332" s="15"/>
      <c r="O332" s="896"/>
      <c r="P332" s="896"/>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row>
    <row r="333" ht="15.75" customHeight="1">
      <c r="A333" s="15"/>
      <c r="B333" s="15"/>
      <c r="C333" s="15"/>
      <c r="D333" s="15"/>
      <c r="E333" s="15"/>
      <c r="F333" s="15"/>
      <c r="G333" s="15"/>
      <c r="H333" s="15"/>
      <c r="I333" s="15"/>
      <c r="J333" s="15"/>
      <c r="K333" s="15"/>
      <c r="L333" s="15"/>
      <c r="M333" s="15"/>
      <c r="N333" s="15"/>
      <c r="O333" s="896"/>
      <c r="P333" s="896"/>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row>
    <row r="334" ht="15.75" customHeight="1">
      <c r="A334" s="15"/>
      <c r="B334" s="15"/>
      <c r="C334" s="15"/>
      <c r="D334" s="15"/>
      <c r="E334" s="15"/>
      <c r="F334" s="15"/>
      <c r="G334" s="15"/>
      <c r="H334" s="15"/>
      <c r="I334" s="15"/>
      <c r="J334" s="15"/>
      <c r="K334" s="15"/>
      <c r="L334" s="15"/>
      <c r="M334" s="15"/>
      <c r="N334" s="15"/>
      <c r="O334" s="896"/>
      <c r="P334" s="896"/>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row>
    <row r="335" ht="15.75" customHeight="1">
      <c r="A335" s="15"/>
      <c r="B335" s="15"/>
      <c r="C335" s="15"/>
      <c r="D335" s="15"/>
      <c r="E335" s="15"/>
      <c r="F335" s="15"/>
      <c r="G335" s="15"/>
      <c r="H335" s="15"/>
      <c r="I335" s="15"/>
      <c r="J335" s="15"/>
      <c r="K335" s="15"/>
      <c r="L335" s="15"/>
      <c r="M335" s="15"/>
      <c r="N335" s="15"/>
      <c r="O335" s="896"/>
      <c r="P335" s="896"/>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row>
    <row r="336" ht="15.75" customHeight="1">
      <c r="A336" s="15"/>
      <c r="B336" s="15"/>
      <c r="C336" s="15"/>
      <c r="D336" s="15"/>
      <c r="E336" s="15"/>
      <c r="F336" s="15"/>
      <c r="G336" s="15"/>
      <c r="H336" s="15"/>
      <c r="I336" s="15"/>
      <c r="J336" s="15"/>
      <c r="K336" s="15"/>
      <c r="L336" s="15"/>
      <c r="M336" s="15"/>
      <c r="N336" s="15"/>
      <c r="O336" s="896"/>
      <c r="P336" s="896"/>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row>
    <row r="337" ht="15.75" customHeight="1">
      <c r="A337" s="15"/>
      <c r="B337" s="15"/>
      <c r="C337" s="15"/>
      <c r="D337" s="15"/>
      <c r="E337" s="15"/>
      <c r="F337" s="15"/>
      <c r="G337" s="15"/>
      <c r="H337" s="15"/>
      <c r="I337" s="15"/>
      <c r="J337" s="15"/>
      <c r="K337" s="15"/>
      <c r="L337" s="15"/>
      <c r="M337" s="15"/>
      <c r="N337" s="15"/>
      <c r="O337" s="896"/>
      <c r="P337" s="896"/>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row>
    <row r="338" ht="15.75" customHeight="1">
      <c r="A338" s="15"/>
      <c r="B338" s="15"/>
      <c r="C338" s="15"/>
      <c r="D338" s="15"/>
      <c r="E338" s="15"/>
      <c r="F338" s="15"/>
      <c r="G338" s="15"/>
      <c r="H338" s="15"/>
      <c r="I338" s="15"/>
      <c r="J338" s="15"/>
      <c r="K338" s="15"/>
      <c r="L338" s="15"/>
      <c r="M338" s="15"/>
      <c r="N338" s="15"/>
      <c r="O338" s="896"/>
      <c r="P338" s="896"/>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row>
    <row r="339" ht="15.75" customHeight="1">
      <c r="A339" s="15"/>
      <c r="B339" s="15"/>
      <c r="C339" s="15"/>
      <c r="D339" s="15"/>
      <c r="E339" s="15"/>
      <c r="F339" s="15"/>
      <c r="G339" s="15"/>
      <c r="H339" s="15"/>
      <c r="I339" s="15"/>
      <c r="J339" s="15"/>
      <c r="K339" s="15"/>
      <c r="L339" s="15"/>
      <c r="M339" s="15"/>
      <c r="N339" s="15"/>
      <c r="O339" s="896"/>
      <c r="P339" s="896"/>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5:D6"/>
    <mergeCell ref="E5:E6"/>
    <mergeCell ref="F5:F6"/>
    <mergeCell ref="G5:G6"/>
    <mergeCell ref="H5:H6"/>
    <mergeCell ref="I5:I6"/>
    <mergeCell ref="J5:J6"/>
    <mergeCell ref="K5:K6"/>
  </mergeCells>
  <conditionalFormatting sqref="D10:AB10 D17:AB17 D32:AB33 D52:AB61 D65:AB65 D69:AB71 D80:AB80 D99:AB99">
    <cfRule type="expression" dxfId="1" priority="1">
      <formula>NOT(SUBTOTAL(109,$A11)=$A11)</formula>
    </cfRule>
  </conditionalFormatting>
  <printOptions/>
  <pageMargins bottom="0.75" footer="0.0" header="0.0" left="0.7" right="0.7" top="0.75"/>
  <pageSetup paperSize="9"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4.43" defaultRowHeight="15.0" outlineLevelCol="1" outlineLevelRow="4"/>
  <cols>
    <col customWidth="1" min="1" max="1" width="1.0"/>
    <col customWidth="1" min="2" max="2" width="2.0"/>
    <col customWidth="1" min="3" max="3" width="50.57"/>
    <col customWidth="1" hidden="1" min="4" max="10" width="12.57" outlineLevel="1"/>
    <col customWidth="1" hidden="1" min="11" max="11" width="10.57" outlineLevel="1"/>
    <col customWidth="1" min="12" max="12" width="2.57"/>
    <col customWidth="1" min="13" max="20" width="14.57"/>
    <col customWidth="1" min="21" max="21" width="1.86"/>
    <col customWidth="1" min="22" max="43" width="14.57"/>
  </cols>
  <sheetData>
    <row r="1" ht="6.0" customHeight="1">
      <c r="A1" s="846"/>
      <c r="B1" s="847"/>
      <c r="C1" s="847"/>
      <c r="D1" s="847"/>
      <c r="E1" s="847"/>
      <c r="F1" s="847"/>
      <c r="G1" s="847"/>
      <c r="H1" s="847"/>
      <c r="I1" s="847"/>
      <c r="J1" s="847"/>
      <c r="K1" s="847"/>
      <c r="L1" s="847"/>
      <c r="M1" s="847"/>
      <c r="N1" s="847"/>
      <c r="O1" s="847"/>
      <c r="P1" s="847"/>
      <c r="Q1" s="847"/>
      <c r="R1" s="847"/>
      <c r="S1" s="847"/>
      <c r="T1" s="847"/>
      <c r="U1" s="847"/>
      <c r="V1" s="846"/>
      <c r="W1" s="846"/>
      <c r="X1" s="846"/>
      <c r="Y1" s="846"/>
      <c r="Z1" s="846"/>
      <c r="AA1" s="846"/>
      <c r="AB1" s="846"/>
      <c r="AC1" s="846"/>
      <c r="AD1" s="846"/>
      <c r="AE1" s="846"/>
      <c r="AF1" s="846"/>
      <c r="AG1" s="846"/>
      <c r="AH1" s="846"/>
      <c r="AI1" s="846"/>
      <c r="AJ1" s="846"/>
      <c r="AK1" s="846"/>
      <c r="AL1" s="846"/>
      <c r="AM1" s="846"/>
      <c r="AN1" s="846"/>
      <c r="AO1" s="846"/>
      <c r="AP1" s="846"/>
      <c r="AQ1" s="846"/>
    </row>
    <row r="2" ht="39.75" customHeight="1">
      <c r="A2" s="849"/>
      <c r="B2" s="15"/>
      <c r="C2" s="15"/>
      <c r="D2" s="15"/>
      <c r="E2" s="15"/>
      <c r="F2" s="15"/>
      <c r="G2" s="15"/>
      <c r="H2" s="15"/>
      <c r="I2" s="15"/>
      <c r="J2" s="15"/>
      <c r="K2" s="15"/>
      <c r="L2" s="15"/>
      <c r="M2" s="15"/>
      <c r="N2" s="15"/>
      <c r="O2" s="15"/>
      <c r="P2" s="15"/>
      <c r="Q2" s="15"/>
      <c r="R2" s="15"/>
      <c r="S2" s="15"/>
      <c r="T2" s="15"/>
      <c r="U2" s="15"/>
      <c r="V2" s="851"/>
      <c r="W2" s="846"/>
      <c r="X2" s="846"/>
      <c r="Y2" s="846"/>
      <c r="Z2" s="846"/>
      <c r="AA2" s="846"/>
      <c r="AB2" s="846"/>
      <c r="AC2" s="846"/>
      <c r="AD2" s="846"/>
      <c r="AE2" s="846"/>
      <c r="AF2" s="846"/>
      <c r="AG2" s="846"/>
      <c r="AH2" s="846"/>
      <c r="AI2" s="846"/>
      <c r="AJ2" s="846"/>
      <c r="AK2" s="846"/>
      <c r="AL2" s="846"/>
      <c r="AM2" s="846"/>
      <c r="AN2" s="846"/>
      <c r="AO2" s="846"/>
      <c r="AP2" s="846"/>
      <c r="AQ2" s="846"/>
    </row>
    <row r="3" ht="18.75" customHeight="1">
      <c r="A3" s="849"/>
      <c r="B3" s="15"/>
      <c r="C3" s="852" t="s">
        <v>346</v>
      </c>
      <c r="D3" s="15"/>
      <c r="E3" s="15"/>
      <c r="F3" s="15"/>
      <c r="G3" s="15"/>
      <c r="H3" s="15"/>
      <c r="I3" s="15"/>
      <c r="J3" s="15"/>
      <c r="K3" s="15"/>
      <c r="L3" s="15"/>
      <c r="M3" s="15"/>
      <c r="N3" s="15"/>
      <c r="O3" s="15"/>
      <c r="P3" s="15"/>
      <c r="Q3" s="15"/>
      <c r="R3" s="15"/>
      <c r="S3" s="15"/>
      <c r="T3" s="15"/>
      <c r="U3" s="15"/>
      <c r="V3" s="851"/>
      <c r="W3" s="846"/>
      <c r="X3" s="846"/>
      <c r="Y3" s="846"/>
      <c r="Z3" s="846"/>
      <c r="AA3" s="846"/>
      <c r="AB3" s="846"/>
      <c r="AC3" s="846"/>
      <c r="AD3" s="846"/>
      <c r="AE3" s="846"/>
      <c r="AF3" s="846"/>
      <c r="AG3" s="846"/>
      <c r="AH3" s="846"/>
      <c r="AI3" s="846"/>
      <c r="AJ3" s="846"/>
      <c r="AK3" s="846"/>
      <c r="AL3" s="846"/>
      <c r="AM3" s="846"/>
      <c r="AN3" s="846"/>
      <c r="AO3" s="846"/>
      <c r="AP3" s="846"/>
      <c r="AQ3" s="846"/>
    </row>
    <row r="4">
      <c r="A4" s="849" t="s">
        <v>194</v>
      </c>
      <c r="B4" s="15"/>
      <c r="C4" s="853" t="s">
        <v>195</v>
      </c>
      <c r="D4" s="854" t="s">
        <v>196</v>
      </c>
      <c r="E4" s="855" t="s">
        <v>194</v>
      </c>
      <c r="F4" s="855" t="s">
        <v>194</v>
      </c>
      <c r="G4" s="855" t="s">
        <v>194</v>
      </c>
      <c r="H4" s="855" t="s">
        <v>194</v>
      </c>
      <c r="I4" s="855" t="s">
        <v>194</v>
      </c>
      <c r="J4" s="855" t="s">
        <v>194</v>
      </c>
      <c r="K4" s="855" t="s">
        <v>194</v>
      </c>
      <c r="L4" s="15"/>
      <c r="M4" s="15"/>
      <c r="N4" s="15"/>
      <c r="O4" s="15"/>
      <c r="P4" s="15"/>
      <c r="Q4" s="15"/>
      <c r="R4" s="15"/>
      <c r="S4" s="15"/>
      <c r="T4" s="15"/>
      <c r="U4" s="15"/>
      <c r="V4" s="851" t="s">
        <v>194</v>
      </c>
      <c r="W4" s="846" t="s">
        <v>194</v>
      </c>
      <c r="X4" s="846" t="s">
        <v>194</v>
      </c>
      <c r="Y4" s="846" t="s">
        <v>194</v>
      </c>
      <c r="Z4" s="846" t="s">
        <v>194</v>
      </c>
      <c r="AA4" s="846" t="s">
        <v>194</v>
      </c>
      <c r="AB4" s="846" t="s">
        <v>194</v>
      </c>
      <c r="AC4" s="846" t="s">
        <v>194</v>
      </c>
      <c r="AD4" s="846" t="s">
        <v>194</v>
      </c>
      <c r="AE4" s="846" t="s">
        <v>194</v>
      </c>
      <c r="AF4" s="846" t="s">
        <v>194</v>
      </c>
      <c r="AG4" s="846" t="s">
        <v>194</v>
      </c>
      <c r="AH4" s="846" t="s">
        <v>194</v>
      </c>
      <c r="AI4" s="846" t="s">
        <v>194</v>
      </c>
      <c r="AJ4" s="846" t="s">
        <v>194</v>
      </c>
      <c r="AK4" s="846" t="s">
        <v>194</v>
      </c>
      <c r="AL4" s="846" t="s">
        <v>194</v>
      </c>
      <c r="AM4" s="846" t="s">
        <v>194</v>
      </c>
      <c r="AN4" s="846" t="s">
        <v>194</v>
      </c>
      <c r="AO4" s="846" t="s">
        <v>194</v>
      </c>
      <c r="AP4" s="846" t="s">
        <v>194</v>
      </c>
      <c r="AQ4" s="846" t="s">
        <v>194</v>
      </c>
    </row>
    <row r="5">
      <c r="A5" s="849" t="s">
        <v>194</v>
      </c>
      <c r="B5" s="15"/>
      <c r="C5" s="853" t="s">
        <v>355</v>
      </c>
      <c r="D5" s="856" t="s">
        <v>174</v>
      </c>
      <c r="E5" s="856" t="s">
        <v>198</v>
      </c>
      <c r="F5" s="856" t="s">
        <v>199</v>
      </c>
      <c r="G5" s="856" t="s">
        <v>200</v>
      </c>
      <c r="H5" s="856" t="s">
        <v>201</v>
      </c>
      <c r="I5" s="856" t="s">
        <v>202</v>
      </c>
      <c r="J5" s="856" t="s">
        <v>203</v>
      </c>
      <c r="K5" s="856" t="s">
        <v>204</v>
      </c>
      <c r="L5" s="15"/>
      <c r="M5" s="858" t="str">
        <f>HYPERLINK("https://my.pitchbook.com?c=52707-34", "FY 2011")</f>
        <v>FY 2011</v>
      </c>
      <c r="N5" s="858" t="str">
        <f>HYPERLINK("https://my.pitchbook.com?c=52707-34", "FY 2012")</f>
        <v>FY 2012</v>
      </c>
      <c r="O5" s="858" t="str">
        <f>HYPERLINK("https://my.pitchbook.com?c=52707-34", "FY 2013")</f>
        <v>FY 2013</v>
      </c>
      <c r="P5" s="858" t="str">
        <f>HYPERLINK("https://my.pitchbook.com?c=52707-34", "FY 2014")</f>
        <v>FY 2014</v>
      </c>
      <c r="Q5" s="858" t="str">
        <f>HYPERLINK("https://my.pitchbook.com?c=52707-34", "FY 2015")</f>
        <v>FY 2015</v>
      </c>
      <c r="R5" s="858" t="str">
        <f>HYPERLINK("https://my.pitchbook.com?c=52707-34", "FY 2016")</f>
        <v>FY 2016</v>
      </c>
      <c r="S5" s="858" t="str">
        <f>HYPERLINK("https://my.pitchbook.com?c=52707-34", "FY 2017")</f>
        <v>FY 2017</v>
      </c>
      <c r="T5" s="858" t="str">
        <f>HYPERLINK("https://my.pitchbook.com?c=52707-34", "FY 2018")</f>
        <v>FY 2018</v>
      </c>
      <c r="U5" s="15"/>
      <c r="V5" s="851" t="s">
        <v>194</v>
      </c>
      <c r="W5" s="846" t="s">
        <v>194</v>
      </c>
      <c r="X5" s="846" t="s">
        <v>194</v>
      </c>
      <c r="Y5" s="846" t="s">
        <v>194</v>
      </c>
      <c r="Z5" s="846" t="s">
        <v>194</v>
      </c>
      <c r="AA5" s="846" t="s">
        <v>194</v>
      </c>
      <c r="AB5" s="846" t="s">
        <v>194</v>
      </c>
      <c r="AC5" s="846" t="s">
        <v>194</v>
      </c>
      <c r="AD5" s="846" t="s">
        <v>194</v>
      </c>
      <c r="AE5" s="846" t="s">
        <v>194</v>
      </c>
      <c r="AF5" s="846" t="s">
        <v>194</v>
      </c>
      <c r="AG5" s="846" t="s">
        <v>194</v>
      </c>
      <c r="AH5" s="846" t="s">
        <v>194</v>
      </c>
      <c r="AI5" s="846" t="s">
        <v>194</v>
      </c>
      <c r="AJ5" s="846" t="s">
        <v>194</v>
      </c>
      <c r="AK5" s="846" t="s">
        <v>194</v>
      </c>
      <c r="AL5" s="846" t="s">
        <v>194</v>
      </c>
      <c r="AM5" s="846" t="s">
        <v>194</v>
      </c>
      <c r="AN5" s="846" t="s">
        <v>194</v>
      </c>
      <c r="AO5" s="846" t="s">
        <v>194</v>
      </c>
      <c r="AP5" s="846" t="s">
        <v>194</v>
      </c>
      <c r="AQ5" s="846" t="s">
        <v>194</v>
      </c>
    </row>
    <row r="6">
      <c r="A6" s="849" t="s">
        <v>194</v>
      </c>
      <c r="B6" s="15"/>
      <c r="C6" s="859" t="s">
        <v>221</v>
      </c>
      <c r="D6" s="860"/>
      <c r="E6" s="860"/>
      <c r="F6" s="860"/>
      <c r="G6" s="860"/>
      <c r="H6" s="860"/>
      <c r="I6" s="860"/>
      <c r="J6" s="860"/>
      <c r="K6" s="860"/>
      <c r="L6" s="15"/>
      <c r="M6" s="15"/>
      <c r="N6" s="15"/>
      <c r="O6" s="15"/>
      <c r="P6" s="15"/>
      <c r="Q6" s="15"/>
      <c r="R6" s="15"/>
      <c r="S6" s="15"/>
      <c r="T6" s="15"/>
      <c r="U6" s="15"/>
      <c r="V6" s="851" t="s">
        <v>194</v>
      </c>
      <c r="W6" s="846" t="s">
        <v>194</v>
      </c>
      <c r="X6" s="846" t="s">
        <v>194</v>
      </c>
      <c r="Y6" s="846" t="s">
        <v>194</v>
      </c>
      <c r="Z6" s="846" t="s">
        <v>194</v>
      </c>
      <c r="AA6" s="846" t="s">
        <v>194</v>
      </c>
      <c r="AB6" s="846" t="s">
        <v>194</v>
      </c>
      <c r="AC6" s="846" t="s">
        <v>194</v>
      </c>
      <c r="AD6" s="846" t="s">
        <v>194</v>
      </c>
      <c r="AE6" s="846" t="s">
        <v>194</v>
      </c>
      <c r="AF6" s="846" t="s">
        <v>194</v>
      </c>
      <c r="AG6" s="846" t="s">
        <v>194</v>
      </c>
      <c r="AH6" s="846" t="s">
        <v>194</v>
      </c>
      <c r="AI6" s="846" t="s">
        <v>194</v>
      </c>
      <c r="AJ6" s="846" t="s">
        <v>194</v>
      </c>
      <c r="AK6" s="846" t="s">
        <v>194</v>
      </c>
      <c r="AL6" s="846" t="s">
        <v>194</v>
      </c>
      <c r="AM6" s="846" t="s">
        <v>194</v>
      </c>
      <c r="AN6" s="846" t="s">
        <v>194</v>
      </c>
      <c r="AO6" s="846" t="s">
        <v>194</v>
      </c>
      <c r="AP6" s="846" t="s">
        <v>194</v>
      </c>
      <c r="AQ6" s="846" t="s">
        <v>194</v>
      </c>
    </row>
    <row r="7">
      <c r="A7" s="849" t="s">
        <v>194</v>
      </c>
      <c r="B7" s="15"/>
      <c r="C7" s="15"/>
      <c r="D7" s="855" t="s">
        <v>194</v>
      </c>
      <c r="E7" s="855" t="s">
        <v>194</v>
      </c>
      <c r="F7" s="855" t="s">
        <v>194</v>
      </c>
      <c r="G7" s="855" t="s">
        <v>194</v>
      </c>
      <c r="H7" s="855" t="s">
        <v>194</v>
      </c>
      <c r="I7" s="855" t="s">
        <v>194</v>
      </c>
      <c r="J7" s="855" t="s">
        <v>194</v>
      </c>
      <c r="K7" s="855" t="s">
        <v>194</v>
      </c>
      <c r="L7" s="15"/>
      <c r="M7" s="15"/>
      <c r="N7" s="15"/>
      <c r="O7" s="15"/>
      <c r="P7" s="15"/>
      <c r="Q7" s="15"/>
      <c r="R7" s="15"/>
      <c r="S7" s="15"/>
      <c r="T7" s="15"/>
      <c r="U7" s="15"/>
      <c r="V7" s="851" t="s">
        <v>194</v>
      </c>
      <c r="W7" s="846" t="s">
        <v>194</v>
      </c>
      <c r="X7" s="846" t="s">
        <v>194</v>
      </c>
      <c r="Y7" s="846" t="s">
        <v>194</v>
      </c>
      <c r="Z7" s="846" t="s">
        <v>194</v>
      </c>
      <c r="AA7" s="846" t="s">
        <v>194</v>
      </c>
      <c r="AB7" s="846" t="s">
        <v>194</v>
      </c>
      <c r="AC7" s="846" t="s">
        <v>194</v>
      </c>
      <c r="AD7" s="846" t="s">
        <v>194</v>
      </c>
      <c r="AE7" s="846" t="s">
        <v>194</v>
      </c>
      <c r="AF7" s="846" t="s">
        <v>194</v>
      </c>
      <c r="AG7" s="846" t="s">
        <v>194</v>
      </c>
      <c r="AH7" s="846" t="s">
        <v>194</v>
      </c>
      <c r="AI7" s="846" t="s">
        <v>194</v>
      </c>
      <c r="AJ7" s="846" t="s">
        <v>194</v>
      </c>
      <c r="AK7" s="846" t="s">
        <v>194</v>
      </c>
      <c r="AL7" s="846" t="s">
        <v>194</v>
      </c>
      <c r="AM7" s="846" t="s">
        <v>194</v>
      </c>
      <c r="AN7" s="846" t="s">
        <v>194</v>
      </c>
      <c r="AO7" s="846" t="s">
        <v>194</v>
      </c>
      <c r="AP7" s="846" t="s">
        <v>194</v>
      </c>
      <c r="AQ7" s="846" t="s">
        <v>194</v>
      </c>
    </row>
    <row r="8">
      <c r="A8" s="849" t="s">
        <v>194</v>
      </c>
      <c r="B8" s="15"/>
      <c r="C8" s="15"/>
      <c r="D8" s="855" t="s">
        <v>194</v>
      </c>
      <c r="E8" s="855" t="s">
        <v>194</v>
      </c>
      <c r="F8" s="855" t="s">
        <v>194</v>
      </c>
      <c r="G8" s="855" t="s">
        <v>194</v>
      </c>
      <c r="H8" s="855" t="s">
        <v>194</v>
      </c>
      <c r="I8" s="855" t="s">
        <v>194</v>
      </c>
      <c r="J8" s="855" t="s">
        <v>194</v>
      </c>
      <c r="K8" s="855" t="s">
        <v>194</v>
      </c>
      <c r="L8" s="15"/>
      <c r="M8" s="863" t="s">
        <v>351</v>
      </c>
      <c r="N8" s="863" t="s">
        <v>352</v>
      </c>
      <c r="O8" s="863" t="s">
        <v>356</v>
      </c>
      <c r="P8" s="863" t="s">
        <v>357</v>
      </c>
      <c r="Q8" s="863" t="s">
        <v>354</v>
      </c>
      <c r="R8" s="863" t="s">
        <v>358</v>
      </c>
      <c r="S8" s="863" t="s">
        <v>358</v>
      </c>
      <c r="T8" s="863" t="s">
        <v>358</v>
      </c>
      <c r="U8" s="15"/>
      <c r="V8" s="851" t="s">
        <v>194</v>
      </c>
      <c r="W8" s="846" t="s">
        <v>194</v>
      </c>
      <c r="X8" s="846" t="s">
        <v>194</v>
      </c>
      <c r="Y8" s="846" t="s">
        <v>194</v>
      </c>
      <c r="Z8" s="846" t="s">
        <v>194</v>
      </c>
      <c r="AA8" s="846" t="s">
        <v>194</v>
      </c>
      <c r="AB8" s="846" t="s">
        <v>194</v>
      </c>
      <c r="AC8" s="846" t="s">
        <v>194</v>
      </c>
      <c r="AD8" s="846" t="s">
        <v>194</v>
      </c>
      <c r="AE8" s="846" t="s">
        <v>194</v>
      </c>
      <c r="AF8" s="846" t="s">
        <v>194</v>
      </c>
      <c r="AG8" s="846" t="s">
        <v>194</v>
      </c>
      <c r="AH8" s="846" t="s">
        <v>194</v>
      </c>
      <c r="AI8" s="846" t="s">
        <v>194</v>
      </c>
      <c r="AJ8" s="846" t="s">
        <v>194</v>
      </c>
      <c r="AK8" s="846" t="s">
        <v>194</v>
      </c>
      <c r="AL8" s="846" t="s">
        <v>194</v>
      </c>
      <c r="AM8" s="846" t="s">
        <v>194</v>
      </c>
      <c r="AN8" s="846" t="s">
        <v>194</v>
      </c>
      <c r="AO8" s="846" t="s">
        <v>194</v>
      </c>
      <c r="AP8" s="846" t="s">
        <v>194</v>
      </c>
      <c r="AQ8" s="846" t="s">
        <v>194</v>
      </c>
    </row>
    <row r="9">
      <c r="A9" s="849" t="s">
        <v>194</v>
      </c>
      <c r="B9" s="15"/>
      <c r="C9" s="15"/>
      <c r="D9" s="855" t="s">
        <v>194</v>
      </c>
      <c r="E9" s="855" t="s">
        <v>194</v>
      </c>
      <c r="F9" s="855" t="s">
        <v>194</v>
      </c>
      <c r="G9" s="855" t="s">
        <v>194</v>
      </c>
      <c r="H9" s="855" t="s">
        <v>194</v>
      </c>
      <c r="I9" s="855" t="s">
        <v>194</v>
      </c>
      <c r="J9" s="855" t="s">
        <v>194</v>
      </c>
      <c r="K9" s="855" t="s">
        <v>194</v>
      </c>
      <c r="L9" s="15"/>
      <c r="M9" s="901" t="str">
        <f>HYPERLINK("https://my.pitchbook.com/profile/52707-34/company/financials?reportId=28838697953&amp;financialGroup=INCOME_STATEMENT&amp;period=ANN&amp;exchangeId=NAS&amp;exchangeSymbol=INGN", "View 10-K")</f>
        <v>View 10-K</v>
      </c>
      <c r="N9" s="901" t="str">
        <f>HYPERLINK("https://my.pitchbook.com/profile/52707-34/company/financials?reportId=28838698017&amp;financialGroup=INCOME_STATEMENT&amp;period=ANN&amp;exchangeId=NAS&amp;exchangeSymbol=INGN", "View IPO-A")</f>
        <v>View IPO-A</v>
      </c>
      <c r="O9" s="901" t="str">
        <f>HYPERLINK("https://my.pitchbook.com/profile/52707-34/company/financials?reportId=28838698081&amp;financialGroup=INCOME_STATEMENT&amp;period=ANN&amp;exchangeId=NAS&amp;exchangeSymbol=INGN", "View 10-K")</f>
        <v>View 10-K</v>
      </c>
      <c r="P9" s="901" t="str">
        <f>HYPERLINK("https://my.pitchbook.com/profile/52707-34/company/financials?reportId=28838698145&amp;financialGroup=INCOME_STATEMENT&amp;period=ANN&amp;exchangeId=NAS&amp;exchangeSymbol=INGN", "View 10-K")</f>
        <v>View 10-K</v>
      </c>
      <c r="Q9" s="901" t="str">
        <f>HYPERLINK("https://my.pitchbook.com/profile/52707-34/company/financials?reportId=28838698209&amp;financialGroup=INCOME_STATEMENT&amp;period=ANN&amp;exchangeId=NAS&amp;exchangeSymbol=INGN", "View 10-K")</f>
        <v>View 10-K</v>
      </c>
      <c r="R9" s="901" t="str">
        <f>HYPERLINK("https://my.pitchbook.com/profile/52707-34/company/financials?reportId=28838698273&amp;financialGroup=INCOME_STATEMENT&amp;period=ANN&amp;exchangeId=NAS&amp;exchangeSymbol=INGN", "View 10-K")</f>
        <v>View 10-K</v>
      </c>
      <c r="S9" s="901" t="str">
        <f>HYPERLINK("https://my.pitchbook.com/profile/52707-34/company/financials?reportId=28838698337&amp;financialGroup=INCOME_STATEMENT&amp;period=ANN&amp;exchangeId=NAS&amp;exchangeSymbol=INGN", "View 10-K")</f>
        <v>View 10-K</v>
      </c>
      <c r="T9" s="901" t="str">
        <f>HYPERLINK("https://my.pitchbook.com/profile/52707-34/company/financials?reportId=28838698401&amp;financialGroup=INCOME_STATEMENT&amp;period=ANN&amp;exchangeId=NAS&amp;exchangeSymbol=INGN", "View 10-K")</f>
        <v>View 10-K</v>
      </c>
      <c r="U9" s="15"/>
      <c r="V9" s="851" t="s">
        <v>194</v>
      </c>
      <c r="W9" s="846" t="s">
        <v>194</v>
      </c>
      <c r="X9" s="846" t="s">
        <v>194</v>
      </c>
      <c r="Y9" s="846" t="s">
        <v>194</v>
      </c>
      <c r="Z9" s="846" t="s">
        <v>194</v>
      </c>
      <c r="AA9" s="846" t="s">
        <v>194</v>
      </c>
      <c r="AB9" s="846" t="s">
        <v>194</v>
      </c>
      <c r="AC9" s="846" t="s">
        <v>194</v>
      </c>
      <c r="AD9" s="846" t="s">
        <v>194</v>
      </c>
      <c r="AE9" s="846" t="s">
        <v>194</v>
      </c>
      <c r="AF9" s="846" t="s">
        <v>194</v>
      </c>
      <c r="AG9" s="846" t="s">
        <v>194</v>
      </c>
      <c r="AH9" s="846" t="s">
        <v>194</v>
      </c>
      <c r="AI9" s="846" t="s">
        <v>194</v>
      </c>
      <c r="AJ9" s="846" t="s">
        <v>194</v>
      </c>
      <c r="AK9" s="846" t="s">
        <v>194</v>
      </c>
      <c r="AL9" s="846" t="s">
        <v>194</v>
      </c>
      <c r="AM9" s="846" t="s">
        <v>194</v>
      </c>
      <c r="AN9" s="846" t="s">
        <v>194</v>
      </c>
      <c r="AO9" s="846" t="s">
        <v>194</v>
      </c>
      <c r="AP9" s="846" t="s">
        <v>194</v>
      </c>
      <c r="AQ9" s="846" t="s">
        <v>194</v>
      </c>
    </row>
    <row r="10">
      <c r="A10" s="849">
        <v>1.0</v>
      </c>
      <c r="B10" s="15"/>
      <c r="C10" s="855"/>
      <c r="D10" s="866"/>
      <c r="E10" s="866"/>
      <c r="F10" s="866"/>
      <c r="G10" s="866"/>
      <c r="H10" s="866"/>
      <c r="I10" s="866"/>
      <c r="J10" s="866"/>
      <c r="K10" s="867"/>
      <c r="L10" s="866" t="s">
        <v>194</v>
      </c>
      <c r="M10" s="866">
        <v>2011.0</v>
      </c>
      <c r="N10" s="866">
        <v>2012.0</v>
      </c>
      <c r="O10" s="866">
        <v>2013.0</v>
      </c>
      <c r="P10" s="866">
        <v>2014.0</v>
      </c>
      <c r="Q10" s="866">
        <v>2015.0</v>
      </c>
      <c r="R10" s="866">
        <v>2016.0</v>
      </c>
      <c r="S10" s="866">
        <v>2017.0</v>
      </c>
      <c r="T10" s="866">
        <v>2018.0</v>
      </c>
      <c r="U10" s="15"/>
      <c r="V10" s="851" t="s">
        <v>194</v>
      </c>
      <c r="W10" s="846" t="s">
        <v>194</v>
      </c>
      <c r="X10" s="846" t="s">
        <v>194</v>
      </c>
      <c r="Y10" s="846" t="s">
        <v>194</v>
      </c>
      <c r="Z10" s="846" t="s">
        <v>194</v>
      </c>
      <c r="AA10" s="846" t="s">
        <v>194</v>
      </c>
      <c r="AB10" s="846" t="s">
        <v>194</v>
      </c>
      <c r="AC10" s="846" t="s">
        <v>194</v>
      </c>
      <c r="AD10" s="846" t="s">
        <v>194</v>
      </c>
      <c r="AE10" s="846" t="s">
        <v>194</v>
      </c>
      <c r="AF10" s="846" t="s">
        <v>194</v>
      </c>
      <c r="AG10" s="846" t="s">
        <v>194</v>
      </c>
      <c r="AH10" s="846" t="s">
        <v>194</v>
      </c>
      <c r="AI10" s="846" t="s">
        <v>194</v>
      </c>
      <c r="AJ10" s="846" t="s">
        <v>194</v>
      </c>
      <c r="AK10" s="846" t="s">
        <v>194</v>
      </c>
      <c r="AL10" s="846" t="s">
        <v>194</v>
      </c>
      <c r="AM10" s="846" t="s">
        <v>194</v>
      </c>
      <c r="AN10" s="846" t="s">
        <v>194</v>
      </c>
      <c r="AO10" s="846" t="s">
        <v>194</v>
      </c>
      <c r="AP10" s="846" t="s">
        <v>194</v>
      </c>
      <c r="AQ10" s="846" t="s">
        <v>194</v>
      </c>
    </row>
    <row r="11" outlineLevel="1">
      <c r="A11" s="849">
        <v>1.0</v>
      </c>
      <c r="B11" s="15"/>
      <c r="C11" s="869" t="str">
        <f>IF(SUBTOTAL(109,A12)=A12,"    Revenue","    Total Revenue")</f>
        <v>    Revenue</v>
      </c>
      <c r="D11" s="870" t="str">
        <f t="shared" ref="D11:D66" si="1">IF(COUNT(M11:T11)&gt;0,MEDIAN(M11:T11),"")</f>
        <v/>
      </c>
      <c r="E11" s="870" t="str">
        <f t="shared" ref="E11:E66" si="2">IF(COUNT(M11:T11)&gt;0,AVERAGE(M11:T11),"")</f>
        <v/>
      </c>
      <c r="F11" s="870" t="str">
        <f t="shared" ref="F11:F66" si="3">IF(COUNT(M11:T11)&gt;0,MIN(M11:T11),"")</f>
        <v/>
      </c>
      <c r="G11" s="870" t="str">
        <f t="shared" ref="G11:G66" si="4">IF(COUNT(M11:T11)&gt;0,MAX(M11:T11),"")</f>
        <v/>
      </c>
      <c r="H11" s="870" t="str">
        <f t="shared" ref="H11:H66" si="5">IF(COUNT(M11:T11)&gt;0,QUARTILE(M11:T11,1),"")</f>
        <v/>
      </c>
      <c r="I11" s="870" t="str">
        <f t="shared" ref="I11:I66" si="6">IF(COUNT(M11:T11)&gt;0,QUARTILE(M11:T11,3),"")</f>
        <v/>
      </c>
      <c r="J11" s="870" t="str">
        <f t="shared" ref="J11:J66" si="7">IF(COUNT(M11:T11)&gt;1,STDEV(M11:T11),"")</f>
        <v/>
      </c>
      <c r="K11" s="871" t="str">
        <f t="shared" ref="K11:K66" si="8">IF(COUNT(M11:T11)&gt;1,STDEV(M11:T11)/AVERAGE(M11:T11),"")</f>
        <v/>
      </c>
      <c r="L11" s="872" t="s">
        <v>194</v>
      </c>
      <c r="M11" s="872" t="str">
        <f>IF(SUBTOTAL(109,#REF!)=#REF!,"",30634)</f>
        <v>#VALUE!</v>
      </c>
      <c r="N11" s="872" t="str">
        <f>IF(SUBTOTAL(109,#REF!)=#REF!,"",48576)</f>
        <v>#VALUE!</v>
      </c>
      <c r="O11" s="872" t="str">
        <f>IF(SUBTOTAL(109,#REF!)=#REF!,"",75443)</f>
        <v>#VALUE!</v>
      </c>
      <c r="P11" s="872" t="str">
        <f>IF(SUBTOTAL(109,#REF!)=#REF!,"",112537)</f>
        <v>#VALUE!</v>
      </c>
      <c r="Q11" s="872" t="str">
        <f>IF(SUBTOTAL(109,B12)=B12,"",159005)</f>
        <v/>
      </c>
      <c r="R11" s="872" t="str">
        <f>IF(SUBTOTAL(109,D12)=D12,"",202829)</f>
        <v/>
      </c>
      <c r="S11" s="872" t="str">
        <f>IF(SUBTOTAL(109,F12)=F12,"",249438)</f>
        <v/>
      </c>
      <c r="T11" s="872" t="str">
        <f>IF(SUBTOTAL(109,H12)=H12,"",358111)</f>
        <v/>
      </c>
      <c r="U11" s="15"/>
      <c r="V11" s="851" t="s">
        <v>194</v>
      </c>
      <c r="W11" s="846" t="s">
        <v>194</v>
      </c>
      <c r="X11" s="846" t="s">
        <v>194</v>
      </c>
      <c r="Y11" s="846" t="s">
        <v>194</v>
      </c>
      <c r="Z11" s="846" t="s">
        <v>194</v>
      </c>
      <c r="AA11" s="846" t="s">
        <v>194</v>
      </c>
      <c r="AB11" s="846" t="s">
        <v>194</v>
      </c>
      <c r="AC11" s="846" t="s">
        <v>194</v>
      </c>
      <c r="AD11" s="846" t="s">
        <v>194</v>
      </c>
      <c r="AE11" s="846" t="s">
        <v>194</v>
      </c>
      <c r="AF11" s="846" t="s">
        <v>194</v>
      </c>
      <c r="AG11" s="846" t="s">
        <v>194</v>
      </c>
      <c r="AH11" s="846" t="s">
        <v>194</v>
      </c>
      <c r="AI11" s="846" t="s">
        <v>194</v>
      </c>
      <c r="AJ11" s="846" t="s">
        <v>194</v>
      </c>
      <c r="AK11" s="846" t="s">
        <v>194</v>
      </c>
      <c r="AL11" s="846" t="s">
        <v>194</v>
      </c>
      <c r="AM11" s="846" t="s">
        <v>194</v>
      </c>
      <c r="AN11" s="846" t="s">
        <v>194</v>
      </c>
      <c r="AO11" s="846" t="s">
        <v>194</v>
      </c>
      <c r="AP11" s="846" t="s">
        <v>194</v>
      </c>
      <c r="AQ11" s="846" t="s">
        <v>194</v>
      </c>
    </row>
    <row r="12" outlineLevel="2">
      <c r="A12" s="849">
        <v>1.0</v>
      </c>
      <c r="B12" s="15"/>
      <c r="C12" s="869" t="str">
        <f>"        Business Revenue"</f>
        <v>        Business Revenue</v>
      </c>
      <c r="D12" s="870">
        <f t="shared" si="1"/>
        <v>135771</v>
      </c>
      <c r="E12" s="870">
        <f t="shared" si="2"/>
        <v>154504.75</v>
      </c>
      <c r="F12" s="870">
        <f t="shared" si="3"/>
        <v>30099</v>
      </c>
      <c r="G12" s="870">
        <f t="shared" si="4"/>
        <v>358111</v>
      </c>
      <c r="H12" s="870">
        <f t="shared" si="5"/>
        <v>68726.25</v>
      </c>
      <c r="I12" s="870">
        <f t="shared" si="6"/>
        <v>214481.25</v>
      </c>
      <c r="J12" s="870">
        <f t="shared" si="7"/>
        <v>111824.5152</v>
      </c>
      <c r="K12" s="871">
        <f t="shared" si="8"/>
        <v>0.7237610185</v>
      </c>
      <c r="L12" s="872" t="s">
        <v>194</v>
      </c>
      <c r="M12" s="872">
        <v>30099.0</v>
      </c>
      <c r="N12" s="872">
        <v>48576.0</v>
      </c>
      <c r="O12" s="872">
        <v>75443.0</v>
      </c>
      <c r="P12" s="872">
        <v>112537.0</v>
      </c>
      <c r="Q12" s="872">
        <v>159005.0</v>
      </c>
      <c r="R12" s="872">
        <v>202829.0</v>
      </c>
      <c r="S12" s="872">
        <v>249438.0</v>
      </c>
      <c r="T12" s="872">
        <v>358111.0</v>
      </c>
      <c r="U12" s="15"/>
      <c r="V12" s="851" t="s">
        <v>194</v>
      </c>
      <c r="W12" s="846" t="s">
        <v>194</v>
      </c>
      <c r="X12" s="846" t="s">
        <v>194</v>
      </c>
      <c r="Y12" s="846" t="s">
        <v>194</v>
      </c>
      <c r="Z12" s="846" t="s">
        <v>194</v>
      </c>
      <c r="AA12" s="846" t="s">
        <v>194</v>
      </c>
      <c r="AB12" s="846" t="s">
        <v>194</v>
      </c>
      <c r="AC12" s="846" t="s">
        <v>194</v>
      </c>
      <c r="AD12" s="846" t="s">
        <v>194</v>
      </c>
      <c r="AE12" s="846" t="s">
        <v>194</v>
      </c>
      <c r="AF12" s="846" t="s">
        <v>194</v>
      </c>
      <c r="AG12" s="846" t="s">
        <v>194</v>
      </c>
      <c r="AH12" s="846" t="s">
        <v>194</v>
      </c>
      <c r="AI12" s="846" t="s">
        <v>194</v>
      </c>
      <c r="AJ12" s="846" t="s">
        <v>194</v>
      </c>
      <c r="AK12" s="846" t="s">
        <v>194</v>
      </c>
      <c r="AL12" s="846" t="s">
        <v>194</v>
      </c>
      <c r="AM12" s="846" t="s">
        <v>194</v>
      </c>
      <c r="AN12" s="846" t="s">
        <v>194</v>
      </c>
      <c r="AO12" s="846" t="s">
        <v>194</v>
      </c>
      <c r="AP12" s="846" t="s">
        <v>194</v>
      </c>
      <c r="AQ12" s="846" t="s">
        <v>194</v>
      </c>
    </row>
    <row r="13" outlineLevel="2">
      <c r="A13" s="849">
        <v>1.0</v>
      </c>
      <c r="B13" s="15"/>
      <c r="C13" s="869" t="str">
        <f>"        Other Revenue"</f>
        <v>        Other Revenue</v>
      </c>
      <c r="D13" s="870">
        <f t="shared" si="1"/>
        <v>535</v>
      </c>
      <c r="E13" s="870">
        <f t="shared" si="2"/>
        <v>535</v>
      </c>
      <c r="F13" s="870">
        <f t="shared" si="3"/>
        <v>535</v>
      </c>
      <c r="G13" s="870">
        <f t="shared" si="4"/>
        <v>535</v>
      </c>
      <c r="H13" s="870">
        <f t="shared" si="5"/>
        <v>535</v>
      </c>
      <c r="I13" s="870">
        <f t="shared" si="6"/>
        <v>535</v>
      </c>
      <c r="J13" s="870" t="str">
        <f t="shared" si="7"/>
        <v/>
      </c>
      <c r="K13" s="871" t="str">
        <f t="shared" si="8"/>
        <v/>
      </c>
      <c r="L13" s="872" t="s">
        <v>194</v>
      </c>
      <c r="M13" s="872">
        <v>535.0</v>
      </c>
      <c r="N13" s="872" t="s">
        <v>194</v>
      </c>
      <c r="O13" s="872" t="s">
        <v>194</v>
      </c>
      <c r="P13" s="872" t="s">
        <v>194</v>
      </c>
      <c r="Q13" s="872" t="s">
        <v>194</v>
      </c>
      <c r="R13" s="872" t="s">
        <v>194</v>
      </c>
      <c r="S13" s="872" t="s">
        <v>194</v>
      </c>
      <c r="T13" s="872" t="s">
        <v>194</v>
      </c>
      <c r="U13" s="15"/>
      <c r="V13" s="851" t="s">
        <v>194</v>
      </c>
      <c r="W13" s="846" t="s">
        <v>194</v>
      </c>
      <c r="X13" s="846" t="s">
        <v>194</v>
      </c>
      <c r="Y13" s="846" t="s">
        <v>194</v>
      </c>
      <c r="Z13" s="846" t="s">
        <v>194</v>
      </c>
      <c r="AA13" s="846" t="s">
        <v>194</v>
      </c>
      <c r="AB13" s="846" t="s">
        <v>194</v>
      </c>
      <c r="AC13" s="846" t="s">
        <v>194</v>
      </c>
      <c r="AD13" s="846" t="s">
        <v>194</v>
      </c>
      <c r="AE13" s="846" t="s">
        <v>194</v>
      </c>
      <c r="AF13" s="846" t="s">
        <v>194</v>
      </c>
      <c r="AG13" s="846" t="s">
        <v>194</v>
      </c>
      <c r="AH13" s="846" t="s">
        <v>194</v>
      </c>
      <c r="AI13" s="846" t="s">
        <v>194</v>
      </c>
      <c r="AJ13" s="846" t="s">
        <v>194</v>
      </c>
      <c r="AK13" s="846" t="s">
        <v>194</v>
      </c>
      <c r="AL13" s="846" t="s">
        <v>194</v>
      </c>
      <c r="AM13" s="846" t="s">
        <v>194</v>
      </c>
      <c r="AN13" s="846" t="s">
        <v>194</v>
      </c>
      <c r="AO13" s="846" t="s">
        <v>194</v>
      </c>
      <c r="AP13" s="846" t="s">
        <v>194</v>
      </c>
      <c r="AQ13" s="846" t="s">
        <v>194</v>
      </c>
    </row>
    <row r="14" outlineLevel="2">
      <c r="A14" s="916">
        <v>1.0</v>
      </c>
      <c r="B14" s="917"/>
      <c r="C14" s="974" t="str">
        <f>"        Total Revenue"</f>
        <v>        Total Revenue</v>
      </c>
      <c r="D14" s="975">
        <f t="shared" si="1"/>
        <v>135771</v>
      </c>
      <c r="E14" s="975">
        <f t="shared" si="2"/>
        <v>154571.625</v>
      </c>
      <c r="F14" s="975">
        <f t="shared" si="3"/>
        <v>30634</v>
      </c>
      <c r="G14" s="975">
        <f t="shared" si="4"/>
        <v>358111</v>
      </c>
      <c r="H14" s="975">
        <f t="shared" si="5"/>
        <v>68726.25</v>
      </c>
      <c r="I14" s="975">
        <f t="shared" si="6"/>
        <v>214481.25</v>
      </c>
      <c r="J14" s="975">
        <f t="shared" si="7"/>
        <v>111739.6155</v>
      </c>
      <c r="K14" s="976">
        <f t="shared" si="8"/>
        <v>0.7228986272</v>
      </c>
      <c r="L14" s="975" t="s">
        <v>194</v>
      </c>
      <c r="M14" s="975">
        <v>30634.0</v>
      </c>
      <c r="N14" s="975">
        <v>48576.0</v>
      </c>
      <c r="O14" s="975">
        <v>75443.0</v>
      </c>
      <c r="P14" s="975">
        <v>112537.0</v>
      </c>
      <c r="Q14" s="975">
        <v>159005.0</v>
      </c>
      <c r="R14" s="975">
        <v>202829.0</v>
      </c>
      <c r="S14" s="975">
        <v>249438.0</v>
      </c>
      <c r="T14" s="975">
        <v>358111.0</v>
      </c>
      <c r="U14" s="917"/>
      <c r="V14" s="921" t="s">
        <v>194</v>
      </c>
      <c r="W14" s="917" t="s">
        <v>194</v>
      </c>
      <c r="X14" s="917" t="s">
        <v>194</v>
      </c>
      <c r="Y14" s="917" t="s">
        <v>194</v>
      </c>
      <c r="Z14" s="917" t="s">
        <v>194</v>
      </c>
      <c r="AA14" s="917" t="s">
        <v>194</v>
      </c>
      <c r="AB14" s="917" t="s">
        <v>194</v>
      </c>
      <c r="AC14" s="917" t="s">
        <v>194</v>
      </c>
      <c r="AD14" s="917" t="s">
        <v>194</v>
      </c>
      <c r="AE14" s="917" t="s">
        <v>194</v>
      </c>
      <c r="AF14" s="917" t="s">
        <v>194</v>
      </c>
      <c r="AG14" s="917" t="s">
        <v>194</v>
      </c>
      <c r="AH14" s="917" t="s">
        <v>194</v>
      </c>
      <c r="AI14" s="917" t="s">
        <v>194</v>
      </c>
      <c r="AJ14" s="917" t="s">
        <v>194</v>
      </c>
      <c r="AK14" s="917" t="s">
        <v>194</v>
      </c>
      <c r="AL14" s="917" t="s">
        <v>194</v>
      </c>
      <c r="AM14" s="917" t="s">
        <v>194</v>
      </c>
      <c r="AN14" s="917" t="s">
        <v>194</v>
      </c>
      <c r="AO14" s="917" t="s">
        <v>194</v>
      </c>
      <c r="AP14" s="917" t="s">
        <v>194</v>
      </c>
      <c r="AQ14" s="917" t="s">
        <v>194</v>
      </c>
    </row>
    <row r="15" outlineLevel="1">
      <c r="A15" s="849">
        <v>1.0</v>
      </c>
      <c r="B15" s="15"/>
      <c r="C15" s="869" t="str">
        <f>IF(SUBTOTAL(109,A16)=A16,"    Cost of Revenue","    Cost of Revenue")</f>
        <v>    Cost of Revenue</v>
      </c>
      <c r="D15" s="870" t="str">
        <f t="shared" si="1"/>
        <v/>
      </c>
      <c r="E15" s="870" t="str">
        <f t="shared" si="2"/>
        <v/>
      </c>
      <c r="F15" s="870" t="str">
        <f t="shared" si="3"/>
        <v/>
      </c>
      <c r="G15" s="870" t="str">
        <f t="shared" si="4"/>
        <v/>
      </c>
      <c r="H15" s="870" t="str">
        <f t="shared" si="5"/>
        <v/>
      </c>
      <c r="I15" s="870" t="str">
        <f t="shared" si="6"/>
        <v/>
      </c>
      <c r="J15" s="870" t="str">
        <f t="shared" si="7"/>
        <v/>
      </c>
      <c r="K15" s="871" t="str">
        <f t="shared" si="8"/>
        <v/>
      </c>
      <c r="L15" s="872" t="s">
        <v>194</v>
      </c>
      <c r="M15" s="872" t="str">
        <f>IF(SUBTOTAL(109,#REF!)=#REF!,"",15930)</f>
        <v>#VALUE!</v>
      </c>
      <c r="N15" s="872" t="str">
        <f>IF(SUBTOTAL(109,#REF!)=#REF!,"",24627)</f>
        <v>#VALUE!</v>
      </c>
      <c r="O15" s="872" t="str">
        <f>IF(SUBTOTAL(109,#REF!)=#REF!,"",36452)</f>
        <v>#VALUE!</v>
      </c>
      <c r="P15" s="872" t="str">
        <f>IF(SUBTOTAL(109,#REF!)=#REF!,"",57020)</f>
        <v>#VALUE!</v>
      </c>
      <c r="Q15" s="872" t="str">
        <f>IF(SUBTOTAL(109,B16)=B16,"",82747)</f>
        <v/>
      </c>
      <c r="R15" s="872" t="str">
        <f>IF(SUBTOTAL(109,D16)=D16,"",105519)</f>
        <v/>
      </c>
      <c r="S15" s="872" t="str">
        <f>IF(SUBTOTAL(109,F16)=F16,"",128201)</f>
        <v/>
      </c>
      <c r="T15" s="872" t="str">
        <f>IF(SUBTOTAL(109,H16)=H16,"",179531)</f>
        <v/>
      </c>
      <c r="U15" s="15"/>
      <c r="V15" s="851" t="s">
        <v>194</v>
      </c>
      <c r="W15" s="846" t="s">
        <v>194</v>
      </c>
      <c r="X15" s="846" t="s">
        <v>194</v>
      </c>
      <c r="Y15" s="846" t="s">
        <v>194</v>
      </c>
      <c r="Z15" s="846" t="s">
        <v>194</v>
      </c>
      <c r="AA15" s="846" t="s">
        <v>194</v>
      </c>
      <c r="AB15" s="846" t="s">
        <v>194</v>
      </c>
      <c r="AC15" s="846" t="s">
        <v>194</v>
      </c>
      <c r="AD15" s="846" t="s">
        <v>194</v>
      </c>
      <c r="AE15" s="846" t="s">
        <v>194</v>
      </c>
      <c r="AF15" s="846" t="s">
        <v>194</v>
      </c>
      <c r="AG15" s="846" t="s">
        <v>194</v>
      </c>
      <c r="AH15" s="846" t="s">
        <v>194</v>
      </c>
      <c r="AI15" s="846" t="s">
        <v>194</v>
      </c>
      <c r="AJ15" s="846" t="s">
        <v>194</v>
      </c>
      <c r="AK15" s="846" t="s">
        <v>194</v>
      </c>
      <c r="AL15" s="846" t="s">
        <v>194</v>
      </c>
      <c r="AM15" s="846" t="s">
        <v>194</v>
      </c>
      <c r="AN15" s="846" t="s">
        <v>194</v>
      </c>
      <c r="AO15" s="846" t="s">
        <v>194</v>
      </c>
      <c r="AP15" s="846" t="s">
        <v>194</v>
      </c>
      <c r="AQ15" s="846" t="s">
        <v>194</v>
      </c>
    </row>
    <row r="16" outlineLevel="2">
      <c r="A16" s="849">
        <v>1.0</v>
      </c>
      <c r="B16" s="15"/>
      <c r="C16" s="869" t="str">
        <f>"        Cost of Goods and Services"</f>
        <v>        Cost of Goods and Services</v>
      </c>
      <c r="D16" s="870">
        <f t="shared" si="1"/>
        <v>64714</v>
      </c>
      <c r="E16" s="870">
        <f t="shared" si="2"/>
        <v>75760.25</v>
      </c>
      <c r="F16" s="870">
        <f t="shared" si="3"/>
        <v>13512</v>
      </c>
      <c r="G16" s="870">
        <f t="shared" si="4"/>
        <v>179531</v>
      </c>
      <c r="H16" s="870">
        <f t="shared" si="5"/>
        <v>27132.75</v>
      </c>
      <c r="I16" s="870">
        <f t="shared" si="6"/>
        <v>111189.5</v>
      </c>
      <c r="J16" s="870">
        <f t="shared" si="7"/>
        <v>59010.64824</v>
      </c>
      <c r="K16" s="871">
        <f t="shared" si="8"/>
        <v>0.7789130611</v>
      </c>
      <c r="L16" s="872" t="s">
        <v>194</v>
      </c>
      <c r="M16" s="872">
        <v>13512.0</v>
      </c>
      <c r="N16" s="872">
        <v>20571.0</v>
      </c>
      <c r="O16" s="872">
        <v>29320.0</v>
      </c>
      <c r="P16" s="872">
        <v>46681.0</v>
      </c>
      <c r="Q16" s="872">
        <v>82747.0</v>
      </c>
      <c r="R16" s="872">
        <v>105519.0</v>
      </c>
      <c r="S16" s="872">
        <v>128201.0</v>
      </c>
      <c r="T16" s="872">
        <v>179531.0</v>
      </c>
      <c r="U16" s="15"/>
      <c r="V16" s="851" t="s">
        <v>194</v>
      </c>
      <c r="W16" s="846" t="s">
        <v>194</v>
      </c>
      <c r="X16" s="846" t="s">
        <v>194</v>
      </c>
      <c r="Y16" s="846" t="s">
        <v>194</v>
      </c>
      <c r="Z16" s="846" t="s">
        <v>194</v>
      </c>
      <c r="AA16" s="846" t="s">
        <v>194</v>
      </c>
      <c r="AB16" s="846" t="s">
        <v>194</v>
      </c>
      <c r="AC16" s="846" t="s">
        <v>194</v>
      </c>
      <c r="AD16" s="846" t="s">
        <v>194</v>
      </c>
      <c r="AE16" s="846" t="s">
        <v>194</v>
      </c>
      <c r="AF16" s="846" t="s">
        <v>194</v>
      </c>
      <c r="AG16" s="846" t="s">
        <v>194</v>
      </c>
      <c r="AH16" s="846" t="s">
        <v>194</v>
      </c>
      <c r="AI16" s="846" t="s">
        <v>194</v>
      </c>
      <c r="AJ16" s="846" t="s">
        <v>194</v>
      </c>
      <c r="AK16" s="846" t="s">
        <v>194</v>
      </c>
      <c r="AL16" s="846" t="s">
        <v>194</v>
      </c>
      <c r="AM16" s="846" t="s">
        <v>194</v>
      </c>
      <c r="AN16" s="846" t="s">
        <v>194</v>
      </c>
      <c r="AO16" s="846" t="s">
        <v>194</v>
      </c>
      <c r="AP16" s="846" t="s">
        <v>194</v>
      </c>
      <c r="AQ16" s="846" t="s">
        <v>194</v>
      </c>
    </row>
    <row r="17" outlineLevel="2">
      <c r="A17" s="849">
        <v>1.0</v>
      </c>
      <c r="B17" s="15"/>
      <c r="C17" s="869" t="str">
        <f>"        Depreciation &amp; Amortization, Cost of Revenue"</f>
        <v>        Depreciation &amp; Amortization, Cost of Revenue</v>
      </c>
      <c r="D17" s="870">
        <f t="shared" si="1"/>
        <v>5594</v>
      </c>
      <c r="E17" s="870">
        <f t="shared" si="2"/>
        <v>5986.25</v>
      </c>
      <c r="F17" s="870">
        <f t="shared" si="3"/>
        <v>2418</v>
      </c>
      <c r="G17" s="870">
        <f t="shared" si="4"/>
        <v>10339</v>
      </c>
      <c r="H17" s="870">
        <f t="shared" si="5"/>
        <v>3646.5</v>
      </c>
      <c r="I17" s="870">
        <f t="shared" si="6"/>
        <v>7933.75</v>
      </c>
      <c r="J17" s="870">
        <f t="shared" si="7"/>
        <v>3498.449597</v>
      </c>
      <c r="K17" s="871">
        <f t="shared" si="8"/>
        <v>0.5844142154</v>
      </c>
      <c r="L17" s="872" t="s">
        <v>194</v>
      </c>
      <c r="M17" s="872">
        <v>2418.0</v>
      </c>
      <c r="N17" s="872">
        <v>4056.0</v>
      </c>
      <c r="O17" s="872">
        <v>7132.0</v>
      </c>
      <c r="P17" s="872">
        <v>10339.0</v>
      </c>
      <c r="Q17" s="872" t="s">
        <v>194</v>
      </c>
      <c r="R17" s="872" t="s">
        <v>194</v>
      </c>
      <c r="S17" s="872" t="s">
        <v>194</v>
      </c>
      <c r="T17" s="872" t="s">
        <v>194</v>
      </c>
      <c r="U17" s="15"/>
      <c r="V17" s="851" t="s">
        <v>194</v>
      </c>
      <c r="W17" s="846" t="s">
        <v>194</v>
      </c>
      <c r="X17" s="846" t="s">
        <v>194</v>
      </c>
      <c r="Y17" s="846" t="s">
        <v>194</v>
      </c>
      <c r="Z17" s="846" t="s">
        <v>194</v>
      </c>
      <c r="AA17" s="846" t="s">
        <v>194</v>
      </c>
      <c r="AB17" s="846" t="s">
        <v>194</v>
      </c>
      <c r="AC17" s="846" t="s">
        <v>194</v>
      </c>
      <c r="AD17" s="846" t="s">
        <v>194</v>
      </c>
      <c r="AE17" s="846" t="s">
        <v>194</v>
      </c>
      <c r="AF17" s="846" t="s">
        <v>194</v>
      </c>
      <c r="AG17" s="846" t="s">
        <v>194</v>
      </c>
      <c r="AH17" s="846" t="s">
        <v>194</v>
      </c>
      <c r="AI17" s="846" t="s">
        <v>194</v>
      </c>
      <c r="AJ17" s="846" t="s">
        <v>194</v>
      </c>
      <c r="AK17" s="846" t="s">
        <v>194</v>
      </c>
      <c r="AL17" s="846" t="s">
        <v>194</v>
      </c>
      <c r="AM17" s="846" t="s">
        <v>194</v>
      </c>
      <c r="AN17" s="846" t="s">
        <v>194</v>
      </c>
      <c r="AO17" s="846" t="s">
        <v>194</v>
      </c>
      <c r="AP17" s="846" t="s">
        <v>194</v>
      </c>
      <c r="AQ17" s="846" t="s">
        <v>194</v>
      </c>
    </row>
    <row r="18" outlineLevel="2">
      <c r="A18" s="916">
        <v>1.0</v>
      </c>
      <c r="B18" s="917"/>
      <c r="C18" s="974" t="str">
        <f>"        Total Cost of Revenue"</f>
        <v>        Total Cost of Revenue</v>
      </c>
      <c r="D18" s="975">
        <f t="shared" si="1"/>
        <v>69883.5</v>
      </c>
      <c r="E18" s="975">
        <f t="shared" si="2"/>
        <v>78753.375</v>
      </c>
      <c r="F18" s="975">
        <f t="shared" si="3"/>
        <v>15930</v>
      </c>
      <c r="G18" s="975">
        <f t="shared" si="4"/>
        <v>179531</v>
      </c>
      <c r="H18" s="975">
        <f t="shared" si="5"/>
        <v>33495.75</v>
      </c>
      <c r="I18" s="975">
        <f t="shared" si="6"/>
        <v>111189.5</v>
      </c>
      <c r="J18" s="975">
        <f t="shared" si="7"/>
        <v>56659.04527</v>
      </c>
      <c r="K18" s="976">
        <f t="shared" si="8"/>
        <v>0.7194491064</v>
      </c>
      <c r="L18" s="975" t="s">
        <v>194</v>
      </c>
      <c r="M18" s="975">
        <v>15930.0</v>
      </c>
      <c r="N18" s="975">
        <v>24627.0</v>
      </c>
      <c r="O18" s="975">
        <v>36452.0</v>
      </c>
      <c r="P18" s="975">
        <v>57020.0</v>
      </c>
      <c r="Q18" s="975">
        <v>82747.0</v>
      </c>
      <c r="R18" s="975">
        <v>105519.0</v>
      </c>
      <c r="S18" s="975">
        <v>128201.0</v>
      </c>
      <c r="T18" s="975">
        <v>179531.0</v>
      </c>
      <c r="U18" s="917"/>
      <c r="V18" s="921" t="s">
        <v>194</v>
      </c>
      <c r="W18" s="917" t="s">
        <v>194</v>
      </c>
      <c r="X18" s="917" t="s">
        <v>194</v>
      </c>
      <c r="Y18" s="917" t="s">
        <v>194</v>
      </c>
      <c r="Z18" s="917" t="s">
        <v>194</v>
      </c>
      <c r="AA18" s="917" t="s">
        <v>194</v>
      </c>
      <c r="AB18" s="917" t="s">
        <v>194</v>
      </c>
      <c r="AC18" s="917" t="s">
        <v>194</v>
      </c>
      <c r="AD18" s="917" t="s">
        <v>194</v>
      </c>
      <c r="AE18" s="917" t="s">
        <v>194</v>
      </c>
      <c r="AF18" s="917" t="s">
        <v>194</v>
      </c>
      <c r="AG18" s="917" t="s">
        <v>194</v>
      </c>
      <c r="AH18" s="917" t="s">
        <v>194</v>
      </c>
      <c r="AI18" s="917" t="s">
        <v>194</v>
      </c>
      <c r="AJ18" s="917" t="s">
        <v>194</v>
      </c>
      <c r="AK18" s="917" t="s">
        <v>194</v>
      </c>
      <c r="AL18" s="917" t="s">
        <v>194</v>
      </c>
      <c r="AM18" s="917" t="s">
        <v>194</v>
      </c>
      <c r="AN18" s="917" t="s">
        <v>194</v>
      </c>
      <c r="AO18" s="917" t="s">
        <v>194</v>
      </c>
      <c r="AP18" s="917" t="s">
        <v>194</v>
      </c>
      <c r="AQ18" s="917" t="s">
        <v>194</v>
      </c>
    </row>
    <row r="19" outlineLevel="1">
      <c r="A19" s="849">
        <v>1.0</v>
      </c>
      <c r="B19" s="15"/>
      <c r="C19" s="855" t="str">
        <f>"    Total Gross Profit"</f>
        <v>    Total Gross Profit</v>
      </c>
      <c r="D19" s="882">
        <f t="shared" si="1"/>
        <v>65887.5</v>
      </c>
      <c r="E19" s="882">
        <f t="shared" si="2"/>
        <v>75818.25</v>
      </c>
      <c r="F19" s="882">
        <f t="shared" si="3"/>
        <v>14704</v>
      </c>
      <c r="G19" s="882">
        <f t="shared" si="4"/>
        <v>178580</v>
      </c>
      <c r="H19" s="882">
        <f t="shared" si="5"/>
        <v>35230.5</v>
      </c>
      <c r="I19" s="882">
        <f t="shared" si="6"/>
        <v>103291.75</v>
      </c>
      <c r="J19" s="882">
        <f t="shared" si="7"/>
        <v>55134.49342</v>
      </c>
      <c r="K19" s="883">
        <f t="shared" si="8"/>
        <v>0.7271929044</v>
      </c>
      <c r="L19" s="882" t="s">
        <v>194</v>
      </c>
      <c r="M19" s="882">
        <v>14704.0</v>
      </c>
      <c r="N19" s="882">
        <v>23949.0</v>
      </c>
      <c r="O19" s="882">
        <v>38991.0</v>
      </c>
      <c r="P19" s="882">
        <v>55517.0</v>
      </c>
      <c r="Q19" s="882">
        <v>76258.0</v>
      </c>
      <c r="R19" s="882">
        <v>97310.0</v>
      </c>
      <c r="S19" s="882">
        <v>121237.0</v>
      </c>
      <c r="T19" s="882">
        <v>178580.0</v>
      </c>
      <c r="U19" s="15"/>
      <c r="V19" s="851" t="s">
        <v>194</v>
      </c>
      <c r="W19" s="846" t="s">
        <v>194</v>
      </c>
      <c r="X19" s="846" t="s">
        <v>194</v>
      </c>
      <c r="Y19" s="846" t="s">
        <v>194</v>
      </c>
      <c r="Z19" s="846" t="s">
        <v>194</v>
      </c>
      <c r="AA19" s="846" t="s">
        <v>194</v>
      </c>
      <c r="AB19" s="846" t="s">
        <v>194</v>
      </c>
      <c r="AC19" s="846" t="s">
        <v>194</v>
      </c>
      <c r="AD19" s="846" t="s">
        <v>194</v>
      </c>
      <c r="AE19" s="846" t="s">
        <v>194</v>
      </c>
      <c r="AF19" s="846" t="s">
        <v>194</v>
      </c>
      <c r="AG19" s="846" t="s">
        <v>194</v>
      </c>
      <c r="AH19" s="846" t="s">
        <v>194</v>
      </c>
      <c r="AI19" s="846" t="s">
        <v>194</v>
      </c>
      <c r="AJ19" s="846" t="s">
        <v>194</v>
      </c>
      <c r="AK19" s="846" t="s">
        <v>194</v>
      </c>
      <c r="AL19" s="846" t="s">
        <v>194</v>
      </c>
      <c r="AM19" s="846" t="s">
        <v>194</v>
      </c>
      <c r="AN19" s="846" t="s">
        <v>194</v>
      </c>
      <c r="AO19" s="846" t="s">
        <v>194</v>
      </c>
      <c r="AP19" s="846" t="s">
        <v>194</v>
      </c>
      <c r="AQ19" s="846" t="s">
        <v>194</v>
      </c>
    </row>
    <row r="20">
      <c r="A20" s="849">
        <v>1.0</v>
      </c>
      <c r="B20" s="15"/>
      <c r="C20" s="855" t="str">
        <f>IF(SUBTOTAL(109,A21)=A21,"Operating (Income)/Expenses","Operating (Income)/Expenses")</f>
        <v>Operating (Income)/Expenses</v>
      </c>
      <c r="D20" s="866" t="str">
        <f t="shared" si="1"/>
        <v>#VALUE!</v>
      </c>
      <c r="E20" s="866" t="str">
        <f t="shared" si="2"/>
        <v>#VALUE!</v>
      </c>
      <c r="F20" s="866" t="str">
        <f t="shared" si="3"/>
        <v>#VALUE!</v>
      </c>
      <c r="G20" s="866" t="str">
        <f t="shared" si="4"/>
        <v>#VALUE!</v>
      </c>
      <c r="H20" s="866" t="str">
        <f t="shared" si="5"/>
        <v>#VALUE!</v>
      </c>
      <c r="I20" s="866" t="str">
        <f t="shared" si="6"/>
        <v>#VALUE!</v>
      </c>
      <c r="J20" s="866" t="str">
        <f t="shared" si="7"/>
        <v>#VALUE!</v>
      </c>
      <c r="K20" s="867" t="str">
        <f t="shared" si="8"/>
        <v>#VALUE!</v>
      </c>
      <c r="L20" s="866" t="s">
        <v>194</v>
      </c>
      <c r="M20" s="866" t="str">
        <f>IF(SUBTOTAL(109,#REF!)=#REF!,"",16426)</f>
        <v>#VALUE!</v>
      </c>
      <c r="N20" s="866" t="str">
        <f>IF(SUBTOTAL(109,#REF!)=#REF!,"",23120)</f>
        <v>#VALUE!</v>
      </c>
      <c r="O20" s="866" t="str">
        <f>IF(SUBTOTAL(109,#REF!)=#REF!,"",34527)</f>
        <v>#VALUE!</v>
      </c>
      <c r="P20" s="866" t="str">
        <f>IF(SUBTOTAL(109,#REF!)=#REF!,"",45006)</f>
        <v>#VALUE!</v>
      </c>
      <c r="Q20" s="866" t="str">
        <f>IF(SUBTOTAL(109,B21)=B21,"",61207)</f>
        <v/>
      </c>
      <c r="R20" s="866">
        <f>IF(SUBTOTAL(109,D21)=D21,"",74446)</f>
        <v>74446</v>
      </c>
      <c r="S20" s="866">
        <f>IF(SUBTOTAL(109,F21)=F21,"",93647)</f>
        <v>93647</v>
      </c>
      <c r="T20" s="866">
        <f>IF(SUBTOTAL(109,H21)=H21,"",140688)</f>
        <v>140688</v>
      </c>
      <c r="U20" s="15"/>
      <c r="V20" s="851" t="s">
        <v>194</v>
      </c>
      <c r="W20" s="846" t="s">
        <v>194</v>
      </c>
      <c r="X20" s="846" t="s">
        <v>194</v>
      </c>
      <c r="Y20" s="846" t="s">
        <v>194</v>
      </c>
      <c r="Z20" s="846" t="s">
        <v>194</v>
      </c>
      <c r="AA20" s="846" t="s">
        <v>194</v>
      </c>
      <c r="AB20" s="846" t="s">
        <v>194</v>
      </c>
      <c r="AC20" s="846" t="s">
        <v>194</v>
      </c>
      <c r="AD20" s="846" t="s">
        <v>194</v>
      </c>
      <c r="AE20" s="846" t="s">
        <v>194</v>
      </c>
      <c r="AF20" s="846" t="s">
        <v>194</v>
      </c>
      <c r="AG20" s="846" t="s">
        <v>194</v>
      </c>
      <c r="AH20" s="846" t="s">
        <v>194</v>
      </c>
      <c r="AI20" s="846" t="s">
        <v>194</v>
      </c>
      <c r="AJ20" s="846" t="s">
        <v>194</v>
      </c>
      <c r="AK20" s="846" t="s">
        <v>194</v>
      </c>
      <c r="AL20" s="846" t="s">
        <v>194</v>
      </c>
      <c r="AM20" s="846" t="s">
        <v>194</v>
      </c>
      <c r="AN20" s="846" t="s">
        <v>194</v>
      </c>
      <c r="AO20" s="846" t="s">
        <v>194</v>
      </c>
      <c r="AP20" s="846" t="s">
        <v>194</v>
      </c>
      <c r="AQ20" s="846" t="s">
        <v>194</v>
      </c>
    </row>
    <row r="21" ht="15.75" customHeight="1" outlineLevel="1">
      <c r="A21" s="849">
        <v>1.0</v>
      </c>
      <c r="B21" s="15"/>
      <c r="C21" s="869" t="str">
        <f>IF(SUBTOTAL(109,A22)=A22,"    Selling, General and Administrative Expenses","    Selling, General and Administrative Expenses")</f>
        <v>    Selling, General and Administrative Expenses</v>
      </c>
      <c r="D21" s="870" t="str">
        <f t="shared" si="1"/>
        <v/>
      </c>
      <c r="E21" s="870" t="str">
        <f t="shared" si="2"/>
        <v/>
      </c>
      <c r="F21" s="870" t="str">
        <f t="shared" si="3"/>
        <v/>
      </c>
      <c r="G21" s="870" t="str">
        <f t="shared" si="4"/>
        <v/>
      </c>
      <c r="H21" s="870" t="str">
        <f t="shared" si="5"/>
        <v/>
      </c>
      <c r="I21" s="870" t="str">
        <f t="shared" si="6"/>
        <v/>
      </c>
      <c r="J21" s="870" t="str">
        <f t="shared" si="7"/>
        <v/>
      </c>
      <c r="K21" s="871" t="str">
        <f t="shared" si="8"/>
        <v/>
      </c>
      <c r="L21" s="872" t="s">
        <v>194</v>
      </c>
      <c r="M21" s="872" t="str">
        <f>IF(SUBTOTAL(109,#REF!)=#REF!,"",14637)</f>
        <v>#VALUE!</v>
      </c>
      <c r="N21" s="872" t="str">
        <f>IF(SUBTOTAL(109,#REF!)=#REF!,"",20858)</f>
        <v>#VALUE!</v>
      </c>
      <c r="O21" s="872" t="str">
        <f>IF(SUBTOTAL(109,#REF!)=#REF!,"",32129)</f>
        <v>#VALUE!</v>
      </c>
      <c r="P21" s="872" t="str">
        <f>IF(SUBTOTAL(109,#REF!)=#REF!,"",42029)</f>
        <v>#VALUE!</v>
      </c>
      <c r="Q21" s="872" t="str">
        <f>IF(SUBTOTAL(109,B22)=B22,"",57027)</f>
        <v/>
      </c>
      <c r="R21" s="872" t="str">
        <f>IF(SUBTOTAL(109,D22)=D22,"",69333)</f>
        <v/>
      </c>
      <c r="S21" s="872" t="str">
        <f>IF(SUBTOTAL(109,F22)=F22,"",88334)</f>
        <v/>
      </c>
      <c r="T21" s="872" t="str">
        <f>IF(SUBTOTAL(109,H22)=H22,"",133659)</f>
        <v/>
      </c>
      <c r="U21" s="15"/>
      <c r="V21" s="851" t="s">
        <v>194</v>
      </c>
      <c r="W21" s="846" t="s">
        <v>194</v>
      </c>
      <c r="X21" s="846" t="s">
        <v>194</v>
      </c>
      <c r="Y21" s="846" t="s">
        <v>194</v>
      </c>
      <c r="Z21" s="846" t="s">
        <v>194</v>
      </c>
      <c r="AA21" s="846" t="s">
        <v>194</v>
      </c>
      <c r="AB21" s="846" t="s">
        <v>194</v>
      </c>
      <c r="AC21" s="846" t="s">
        <v>194</v>
      </c>
      <c r="AD21" s="846" t="s">
        <v>194</v>
      </c>
      <c r="AE21" s="846" t="s">
        <v>194</v>
      </c>
      <c r="AF21" s="846" t="s">
        <v>194</v>
      </c>
      <c r="AG21" s="846" t="s">
        <v>194</v>
      </c>
      <c r="AH21" s="846" t="s">
        <v>194</v>
      </c>
      <c r="AI21" s="846" t="s">
        <v>194</v>
      </c>
      <c r="AJ21" s="846" t="s">
        <v>194</v>
      </c>
      <c r="AK21" s="846" t="s">
        <v>194</v>
      </c>
      <c r="AL21" s="846" t="s">
        <v>194</v>
      </c>
      <c r="AM21" s="846" t="s">
        <v>194</v>
      </c>
      <c r="AN21" s="846" t="s">
        <v>194</v>
      </c>
      <c r="AO21" s="846" t="s">
        <v>194</v>
      </c>
      <c r="AP21" s="846" t="s">
        <v>194</v>
      </c>
      <c r="AQ21" s="846" t="s">
        <v>194</v>
      </c>
    </row>
    <row r="22" ht="15.75" customHeight="1" outlineLevel="2">
      <c r="A22" s="916">
        <v>1.0</v>
      </c>
      <c r="B22" s="917"/>
      <c r="C22" s="918" t="str">
        <f>"        General and Administrative Expenses"</f>
        <v>        General and Administrative Expenses</v>
      </c>
      <c r="D22" s="919">
        <f t="shared" si="1"/>
        <v>21800</v>
      </c>
      <c r="E22" s="919">
        <f t="shared" si="2"/>
        <v>22331.625</v>
      </c>
      <c r="F22" s="919">
        <f t="shared" si="3"/>
        <v>5623</v>
      </c>
      <c r="G22" s="919">
        <f t="shared" si="4"/>
        <v>38018</v>
      </c>
      <c r="H22" s="919">
        <f t="shared" si="5"/>
        <v>12387.75</v>
      </c>
      <c r="I22" s="919">
        <f t="shared" si="6"/>
        <v>33238.75</v>
      </c>
      <c r="J22" s="919">
        <f t="shared" si="7"/>
        <v>12807.66312</v>
      </c>
      <c r="K22" s="920">
        <f t="shared" si="8"/>
        <v>0.5735213232</v>
      </c>
      <c r="L22" s="919" t="s">
        <v>194</v>
      </c>
      <c r="M22" s="919">
        <v>5623.0</v>
      </c>
      <c r="N22" s="919">
        <v>8289.0</v>
      </c>
      <c r="O22" s="919">
        <v>13754.0</v>
      </c>
      <c r="P22" s="919">
        <v>17942.0</v>
      </c>
      <c r="Q22" s="919">
        <v>25658.0</v>
      </c>
      <c r="R22" s="919">
        <v>31793.0</v>
      </c>
      <c r="S22" s="919">
        <v>37576.0</v>
      </c>
      <c r="T22" s="919">
        <v>38018.0</v>
      </c>
      <c r="U22" s="917"/>
      <c r="V22" s="921" t="s">
        <v>194</v>
      </c>
      <c r="W22" s="917" t="s">
        <v>194</v>
      </c>
      <c r="X22" s="917" t="s">
        <v>194</v>
      </c>
      <c r="Y22" s="917" t="s">
        <v>194</v>
      </c>
      <c r="Z22" s="917" t="s">
        <v>194</v>
      </c>
      <c r="AA22" s="917" t="s">
        <v>194</v>
      </c>
      <c r="AB22" s="917" t="s">
        <v>194</v>
      </c>
      <c r="AC22" s="917" t="s">
        <v>194</v>
      </c>
      <c r="AD22" s="917" t="s">
        <v>194</v>
      </c>
      <c r="AE22" s="917" t="s">
        <v>194</v>
      </c>
      <c r="AF22" s="917" t="s">
        <v>194</v>
      </c>
      <c r="AG22" s="917" t="s">
        <v>194</v>
      </c>
      <c r="AH22" s="917" t="s">
        <v>194</v>
      </c>
      <c r="AI22" s="917" t="s">
        <v>194</v>
      </c>
      <c r="AJ22" s="917" t="s">
        <v>194</v>
      </c>
      <c r="AK22" s="917" t="s">
        <v>194</v>
      </c>
      <c r="AL22" s="917" t="s">
        <v>194</v>
      </c>
      <c r="AM22" s="917" t="s">
        <v>194</v>
      </c>
      <c r="AN22" s="917" t="s">
        <v>194</v>
      </c>
      <c r="AO22" s="917" t="s">
        <v>194</v>
      </c>
      <c r="AP22" s="917" t="s">
        <v>194</v>
      </c>
      <c r="AQ22" s="917" t="s">
        <v>194</v>
      </c>
    </row>
    <row r="23" ht="15.75" customHeight="1" outlineLevel="2">
      <c r="A23" s="916">
        <v>1.0</v>
      </c>
      <c r="B23" s="917"/>
      <c r="C23" s="918" t="str">
        <f>"        Selling and Marketing Expenses"</f>
        <v>        Selling and Marketing Expenses</v>
      </c>
      <c r="D23" s="919">
        <f t="shared" si="1"/>
        <v>27728</v>
      </c>
      <c r="E23" s="919">
        <f t="shared" si="2"/>
        <v>34919.125</v>
      </c>
      <c r="F23" s="919">
        <f t="shared" si="3"/>
        <v>9014</v>
      </c>
      <c r="G23" s="919">
        <f t="shared" si="4"/>
        <v>95641</v>
      </c>
      <c r="H23" s="919">
        <f t="shared" si="5"/>
        <v>16923.5</v>
      </c>
      <c r="I23" s="919">
        <f t="shared" si="6"/>
        <v>40844.5</v>
      </c>
      <c r="J23" s="919">
        <f t="shared" si="7"/>
        <v>28079.31377</v>
      </c>
      <c r="K23" s="920">
        <f t="shared" si="8"/>
        <v>0.8041242089</v>
      </c>
      <c r="L23" s="919" t="s">
        <v>194</v>
      </c>
      <c r="M23" s="919">
        <v>9014.0</v>
      </c>
      <c r="N23" s="919">
        <v>12569.0</v>
      </c>
      <c r="O23" s="919">
        <v>18375.0</v>
      </c>
      <c r="P23" s="919">
        <v>24087.0</v>
      </c>
      <c r="Q23" s="919">
        <v>31369.0</v>
      </c>
      <c r="R23" s="919">
        <v>37540.0</v>
      </c>
      <c r="S23" s="919">
        <v>50758.0</v>
      </c>
      <c r="T23" s="919">
        <v>95641.0</v>
      </c>
      <c r="U23" s="917"/>
      <c r="V23" s="921" t="s">
        <v>194</v>
      </c>
      <c r="W23" s="917" t="s">
        <v>194</v>
      </c>
      <c r="X23" s="917" t="s">
        <v>194</v>
      </c>
      <c r="Y23" s="917" t="s">
        <v>194</v>
      </c>
      <c r="Z23" s="917" t="s">
        <v>194</v>
      </c>
      <c r="AA23" s="917" t="s">
        <v>194</v>
      </c>
      <c r="AB23" s="917" t="s">
        <v>194</v>
      </c>
      <c r="AC23" s="917" t="s">
        <v>194</v>
      </c>
      <c r="AD23" s="917" t="s">
        <v>194</v>
      </c>
      <c r="AE23" s="917" t="s">
        <v>194</v>
      </c>
      <c r="AF23" s="917" t="s">
        <v>194</v>
      </c>
      <c r="AG23" s="917" t="s">
        <v>194</v>
      </c>
      <c r="AH23" s="917" t="s">
        <v>194</v>
      </c>
      <c r="AI23" s="917" t="s">
        <v>194</v>
      </c>
      <c r="AJ23" s="917" t="s">
        <v>194</v>
      </c>
      <c r="AK23" s="917" t="s">
        <v>194</v>
      </c>
      <c r="AL23" s="917" t="s">
        <v>194</v>
      </c>
      <c r="AM23" s="917" t="s">
        <v>194</v>
      </c>
      <c r="AN23" s="917" t="s">
        <v>194</v>
      </c>
      <c r="AO23" s="917" t="s">
        <v>194</v>
      </c>
      <c r="AP23" s="917" t="s">
        <v>194</v>
      </c>
      <c r="AQ23" s="917" t="s">
        <v>194</v>
      </c>
    </row>
    <row r="24" ht="15.75" customHeight="1" outlineLevel="2">
      <c r="A24" s="849">
        <v>1.0</v>
      </c>
      <c r="B24" s="15"/>
      <c r="C24" s="881" t="str">
        <f>"        Total Selling, General and Administrative Expenses"</f>
        <v>        Total Selling, General and Administrative Expenses</v>
      </c>
      <c r="D24" s="882">
        <f t="shared" si="1"/>
        <v>49528</v>
      </c>
      <c r="E24" s="882">
        <f t="shared" si="2"/>
        <v>57250.75</v>
      </c>
      <c r="F24" s="882">
        <f t="shared" si="3"/>
        <v>14637</v>
      </c>
      <c r="G24" s="882">
        <f t="shared" si="4"/>
        <v>133659</v>
      </c>
      <c r="H24" s="882">
        <f t="shared" si="5"/>
        <v>29311.25</v>
      </c>
      <c r="I24" s="882">
        <f t="shared" si="6"/>
        <v>74083.25</v>
      </c>
      <c r="J24" s="882">
        <f t="shared" si="7"/>
        <v>39557.5311</v>
      </c>
      <c r="K24" s="883">
        <f t="shared" si="8"/>
        <v>0.6909521901</v>
      </c>
      <c r="L24" s="884" t="s">
        <v>194</v>
      </c>
      <c r="M24" s="884">
        <v>14637.0</v>
      </c>
      <c r="N24" s="884">
        <v>20858.0</v>
      </c>
      <c r="O24" s="884">
        <v>32129.0</v>
      </c>
      <c r="P24" s="884">
        <v>42029.0</v>
      </c>
      <c r="Q24" s="884">
        <v>57027.0</v>
      </c>
      <c r="R24" s="884">
        <v>69333.0</v>
      </c>
      <c r="S24" s="884">
        <v>88334.0</v>
      </c>
      <c r="T24" s="884">
        <v>133659.0</v>
      </c>
      <c r="U24" s="15"/>
      <c r="V24" s="851" t="s">
        <v>194</v>
      </c>
      <c r="W24" s="846" t="s">
        <v>194</v>
      </c>
      <c r="X24" s="846" t="s">
        <v>194</v>
      </c>
      <c r="Y24" s="846" t="s">
        <v>194</v>
      </c>
      <c r="Z24" s="846" t="s">
        <v>194</v>
      </c>
      <c r="AA24" s="846" t="s">
        <v>194</v>
      </c>
      <c r="AB24" s="846" t="s">
        <v>194</v>
      </c>
      <c r="AC24" s="846" t="s">
        <v>194</v>
      </c>
      <c r="AD24" s="846" t="s">
        <v>194</v>
      </c>
      <c r="AE24" s="846" t="s">
        <v>194</v>
      </c>
      <c r="AF24" s="846" t="s">
        <v>194</v>
      </c>
      <c r="AG24" s="846" t="s">
        <v>194</v>
      </c>
      <c r="AH24" s="846" t="s">
        <v>194</v>
      </c>
      <c r="AI24" s="846" t="s">
        <v>194</v>
      </c>
      <c r="AJ24" s="846" t="s">
        <v>194</v>
      </c>
      <c r="AK24" s="846" t="s">
        <v>194</v>
      </c>
      <c r="AL24" s="846" t="s">
        <v>194</v>
      </c>
      <c r="AM24" s="846" t="s">
        <v>194</v>
      </c>
      <c r="AN24" s="846" t="s">
        <v>194</v>
      </c>
      <c r="AO24" s="846" t="s">
        <v>194</v>
      </c>
      <c r="AP24" s="846" t="s">
        <v>194</v>
      </c>
      <c r="AQ24" s="846" t="s">
        <v>194</v>
      </c>
    </row>
    <row r="25" ht="15.75" customHeight="1" outlineLevel="1">
      <c r="A25" s="916">
        <v>1.0</v>
      </c>
      <c r="B25" s="917"/>
      <c r="C25" s="918" t="str">
        <f>"    Research and Development Expenses"</f>
        <v>    Research and Development Expenses</v>
      </c>
      <c r="D25" s="919">
        <f t="shared" si="1"/>
        <v>3578.5</v>
      </c>
      <c r="E25" s="919">
        <f t="shared" si="2"/>
        <v>3882.625</v>
      </c>
      <c r="F25" s="919">
        <f t="shared" si="3"/>
        <v>1789</v>
      </c>
      <c r="G25" s="919">
        <f t="shared" si="4"/>
        <v>7029</v>
      </c>
      <c r="H25" s="919">
        <f t="shared" si="5"/>
        <v>2364</v>
      </c>
      <c r="I25" s="919">
        <f t="shared" si="6"/>
        <v>5163</v>
      </c>
      <c r="J25" s="919">
        <f t="shared" si="7"/>
        <v>1835.439296</v>
      </c>
      <c r="K25" s="920">
        <f t="shared" si="8"/>
        <v>0.4727315402</v>
      </c>
      <c r="L25" s="919" t="s">
        <v>194</v>
      </c>
      <c r="M25" s="919">
        <v>1789.0</v>
      </c>
      <c r="N25" s="919">
        <v>2262.0</v>
      </c>
      <c r="O25" s="919">
        <v>2398.0</v>
      </c>
      <c r="P25" s="919">
        <v>2977.0</v>
      </c>
      <c r="Q25" s="919">
        <v>4180.0</v>
      </c>
      <c r="R25" s="919">
        <v>5113.0</v>
      </c>
      <c r="S25" s="919">
        <v>5313.0</v>
      </c>
      <c r="T25" s="919">
        <v>7029.0</v>
      </c>
      <c r="U25" s="917"/>
      <c r="V25" s="921" t="s">
        <v>194</v>
      </c>
      <c r="W25" s="917" t="s">
        <v>194</v>
      </c>
      <c r="X25" s="917" t="s">
        <v>194</v>
      </c>
      <c r="Y25" s="917" t="s">
        <v>194</v>
      </c>
      <c r="Z25" s="917" t="s">
        <v>194</v>
      </c>
      <c r="AA25" s="917" t="s">
        <v>194</v>
      </c>
      <c r="AB25" s="917" t="s">
        <v>194</v>
      </c>
      <c r="AC25" s="917" t="s">
        <v>194</v>
      </c>
      <c r="AD25" s="917" t="s">
        <v>194</v>
      </c>
      <c r="AE25" s="917" t="s">
        <v>194</v>
      </c>
      <c r="AF25" s="917" t="s">
        <v>194</v>
      </c>
      <c r="AG25" s="917" t="s">
        <v>194</v>
      </c>
      <c r="AH25" s="917" t="s">
        <v>194</v>
      </c>
      <c r="AI25" s="917" t="s">
        <v>194</v>
      </c>
      <c r="AJ25" s="917" t="s">
        <v>194</v>
      </c>
      <c r="AK25" s="917" t="s">
        <v>194</v>
      </c>
      <c r="AL25" s="917" t="s">
        <v>194</v>
      </c>
      <c r="AM25" s="917" t="s">
        <v>194</v>
      </c>
      <c r="AN25" s="917" t="s">
        <v>194</v>
      </c>
      <c r="AO25" s="917" t="s">
        <v>194</v>
      </c>
      <c r="AP25" s="917" t="s">
        <v>194</v>
      </c>
      <c r="AQ25" s="917" t="s">
        <v>194</v>
      </c>
    </row>
    <row r="26" ht="15.75" customHeight="1" outlineLevel="1">
      <c r="A26" s="849">
        <v>1.0</v>
      </c>
      <c r="B26" s="15"/>
      <c r="C26" s="855" t="str">
        <f>"    Total Operating (Income)/Expenses"</f>
        <v>    Total Operating (Income)/Expenses</v>
      </c>
      <c r="D26" s="882">
        <f t="shared" si="1"/>
        <v>53106.5</v>
      </c>
      <c r="E26" s="882">
        <f t="shared" si="2"/>
        <v>61133.375</v>
      </c>
      <c r="F26" s="882">
        <f t="shared" si="3"/>
        <v>16426</v>
      </c>
      <c r="G26" s="882">
        <f t="shared" si="4"/>
        <v>140688</v>
      </c>
      <c r="H26" s="882">
        <f t="shared" si="5"/>
        <v>31675.25</v>
      </c>
      <c r="I26" s="882">
        <f t="shared" si="6"/>
        <v>79246.25</v>
      </c>
      <c r="J26" s="882">
        <f t="shared" si="7"/>
        <v>41360.89086</v>
      </c>
      <c r="K26" s="883">
        <f t="shared" si="8"/>
        <v>0.6765680916</v>
      </c>
      <c r="L26" s="882" t="s">
        <v>194</v>
      </c>
      <c r="M26" s="882">
        <v>16426.0</v>
      </c>
      <c r="N26" s="882">
        <v>23120.0</v>
      </c>
      <c r="O26" s="882">
        <v>34527.0</v>
      </c>
      <c r="P26" s="882">
        <v>45006.0</v>
      </c>
      <c r="Q26" s="882">
        <v>61207.0</v>
      </c>
      <c r="R26" s="882">
        <v>74446.0</v>
      </c>
      <c r="S26" s="882">
        <v>93647.0</v>
      </c>
      <c r="T26" s="882">
        <v>140688.0</v>
      </c>
      <c r="U26" s="15"/>
      <c r="V26" s="851" t="s">
        <v>194</v>
      </c>
      <c r="W26" s="846" t="s">
        <v>194</v>
      </c>
      <c r="X26" s="846" t="s">
        <v>194</v>
      </c>
      <c r="Y26" s="846" t="s">
        <v>194</v>
      </c>
      <c r="Z26" s="846" t="s">
        <v>194</v>
      </c>
      <c r="AA26" s="846" t="s">
        <v>194</v>
      </c>
      <c r="AB26" s="846" t="s">
        <v>194</v>
      </c>
      <c r="AC26" s="846" t="s">
        <v>194</v>
      </c>
      <c r="AD26" s="846" t="s">
        <v>194</v>
      </c>
      <c r="AE26" s="846" t="s">
        <v>194</v>
      </c>
      <c r="AF26" s="846" t="s">
        <v>194</v>
      </c>
      <c r="AG26" s="846" t="s">
        <v>194</v>
      </c>
      <c r="AH26" s="846" t="s">
        <v>194</v>
      </c>
      <c r="AI26" s="846" t="s">
        <v>194</v>
      </c>
      <c r="AJ26" s="846" t="s">
        <v>194</v>
      </c>
      <c r="AK26" s="846" t="s">
        <v>194</v>
      </c>
      <c r="AL26" s="846" t="s">
        <v>194</v>
      </c>
      <c r="AM26" s="846" t="s">
        <v>194</v>
      </c>
      <c r="AN26" s="846" t="s">
        <v>194</v>
      </c>
      <c r="AO26" s="846" t="s">
        <v>194</v>
      </c>
      <c r="AP26" s="846" t="s">
        <v>194</v>
      </c>
      <c r="AQ26" s="846" t="s">
        <v>194</v>
      </c>
    </row>
    <row r="27" ht="15.75" customHeight="1">
      <c r="A27" s="849">
        <v>1.0</v>
      </c>
      <c r="B27" s="15"/>
      <c r="C27" s="855" t="str">
        <f>"Total Operating Profit/(Loss)"</f>
        <v>Total Operating Profit/(Loss)</v>
      </c>
      <c r="D27" s="866">
        <f t="shared" si="1"/>
        <v>12781</v>
      </c>
      <c r="E27" s="866">
        <f t="shared" si="2"/>
        <v>14684.875</v>
      </c>
      <c r="F27" s="866">
        <f t="shared" si="3"/>
        <v>-1722</v>
      </c>
      <c r="G27" s="866">
        <f t="shared" si="4"/>
        <v>37892</v>
      </c>
      <c r="H27" s="866">
        <f t="shared" si="5"/>
        <v>3555.25</v>
      </c>
      <c r="I27" s="866">
        <f t="shared" si="6"/>
        <v>24045.5</v>
      </c>
      <c r="J27" s="866">
        <f t="shared" si="7"/>
        <v>13914.03902</v>
      </c>
      <c r="K27" s="867">
        <f t="shared" si="8"/>
        <v>0.9475081688</v>
      </c>
      <c r="L27" s="866" t="s">
        <v>194</v>
      </c>
      <c r="M27" s="866">
        <v>-1722.0</v>
      </c>
      <c r="N27" s="866">
        <v>829.0</v>
      </c>
      <c r="O27" s="866">
        <v>4464.0</v>
      </c>
      <c r="P27" s="866">
        <v>10511.0</v>
      </c>
      <c r="Q27" s="866">
        <v>15051.0</v>
      </c>
      <c r="R27" s="866">
        <v>22864.0</v>
      </c>
      <c r="S27" s="866">
        <v>27590.0</v>
      </c>
      <c r="T27" s="866">
        <v>37892.0</v>
      </c>
      <c r="U27" s="15"/>
      <c r="V27" s="851" t="s">
        <v>194</v>
      </c>
      <c r="W27" s="846" t="s">
        <v>194</v>
      </c>
      <c r="X27" s="846" t="s">
        <v>194</v>
      </c>
      <c r="Y27" s="846" t="s">
        <v>194</v>
      </c>
      <c r="Z27" s="846" t="s">
        <v>194</v>
      </c>
      <c r="AA27" s="846" t="s">
        <v>194</v>
      </c>
      <c r="AB27" s="846" t="s">
        <v>194</v>
      </c>
      <c r="AC27" s="846" t="s">
        <v>194</v>
      </c>
      <c r="AD27" s="846" t="s">
        <v>194</v>
      </c>
      <c r="AE27" s="846" t="s">
        <v>194</v>
      </c>
      <c r="AF27" s="846" t="s">
        <v>194</v>
      </c>
      <c r="AG27" s="846" t="s">
        <v>194</v>
      </c>
      <c r="AH27" s="846" t="s">
        <v>194</v>
      </c>
      <c r="AI27" s="846" t="s">
        <v>194</v>
      </c>
      <c r="AJ27" s="846" t="s">
        <v>194</v>
      </c>
      <c r="AK27" s="846" t="s">
        <v>194</v>
      </c>
      <c r="AL27" s="846" t="s">
        <v>194</v>
      </c>
      <c r="AM27" s="846" t="s">
        <v>194</v>
      </c>
      <c r="AN27" s="846" t="s">
        <v>194</v>
      </c>
      <c r="AO27" s="846" t="s">
        <v>194</v>
      </c>
      <c r="AP27" s="846" t="s">
        <v>194</v>
      </c>
      <c r="AQ27" s="846" t="s">
        <v>194</v>
      </c>
    </row>
    <row r="28" ht="15.75" customHeight="1" collapsed="1">
      <c r="A28" s="849">
        <v>1.0</v>
      </c>
      <c r="B28" s="15"/>
      <c r="C28" s="855" t="str">
        <f>IF(SUBTOTAL(109,A29)=A29,"Non-Operating Income/(Expenses)","Non-Operating Income/(Expenses), Total")</f>
        <v>Non-Operating Income/(Expenses), Total</v>
      </c>
      <c r="D28" s="866" t="str">
        <f t="shared" si="1"/>
        <v/>
      </c>
      <c r="E28" s="866" t="str">
        <f t="shared" si="2"/>
        <v/>
      </c>
      <c r="F28" s="866" t="str">
        <f t="shared" si="3"/>
        <v/>
      </c>
      <c r="G28" s="866" t="str">
        <f t="shared" si="4"/>
        <v/>
      </c>
      <c r="H28" s="866" t="str">
        <f t="shared" si="5"/>
        <v/>
      </c>
      <c r="I28" s="866" t="str">
        <f t="shared" si="6"/>
        <v/>
      </c>
      <c r="J28" s="866" t="str">
        <f t="shared" si="7"/>
        <v/>
      </c>
      <c r="K28" s="867" t="str">
        <f t="shared" si="8"/>
        <v/>
      </c>
      <c r="L28" s="866" t="s">
        <v>194</v>
      </c>
      <c r="M28" s="866" t="str">
        <f>IF(SUBTOTAL(109,#REF!)=#REF!,"",-267)</f>
        <v>#VALUE!</v>
      </c>
      <c r="N28" s="866" t="str">
        <f>IF(SUBTOTAL(109,#REF!)=#REF!,"",-247)</f>
        <v>#VALUE!</v>
      </c>
      <c r="O28" s="866" t="str">
        <f>IF(SUBTOTAL(109,#REF!)=#REF!,"",-616)</f>
        <v>#VALUE!</v>
      </c>
      <c r="P28" s="866" t="str">
        <f>IF(SUBTOTAL(109,#REF!)=#REF!,"",-459)</f>
        <v>#VALUE!</v>
      </c>
      <c r="Q28" s="866" t="str">
        <f>IF(SUBTOTAL(109,B29)=B29,"",-324)</f>
        <v/>
      </c>
      <c r="R28" s="866" t="str">
        <f>IF(SUBTOTAL(109,D29)=D29,"",-139)</f>
        <v>#VALUE!</v>
      </c>
      <c r="S28" s="866" t="str">
        <f>IF(SUBTOTAL(109,F29)=F29,"",2066)</f>
        <v>#VALUE!</v>
      </c>
      <c r="T28" s="866" t="str">
        <f>IF(SUBTOTAL(109,H29)=H29,"",2563)</f>
        <v>#VALUE!</v>
      </c>
      <c r="U28" s="15"/>
      <c r="V28" s="851" t="s">
        <v>194</v>
      </c>
      <c r="W28" s="846" t="s">
        <v>194</v>
      </c>
      <c r="X28" s="846" t="s">
        <v>194</v>
      </c>
      <c r="Y28" s="846" t="s">
        <v>194</v>
      </c>
      <c r="Z28" s="846" t="s">
        <v>194</v>
      </c>
      <c r="AA28" s="846" t="s">
        <v>194</v>
      </c>
      <c r="AB28" s="846" t="s">
        <v>194</v>
      </c>
      <c r="AC28" s="846" t="s">
        <v>194</v>
      </c>
      <c r="AD28" s="846" t="s">
        <v>194</v>
      </c>
      <c r="AE28" s="846" t="s">
        <v>194</v>
      </c>
      <c r="AF28" s="846" t="s">
        <v>194</v>
      </c>
      <c r="AG28" s="846" t="s">
        <v>194</v>
      </c>
      <c r="AH28" s="846" t="s">
        <v>194</v>
      </c>
      <c r="AI28" s="846" t="s">
        <v>194</v>
      </c>
      <c r="AJ28" s="846" t="s">
        <v>194</v>
      </c>
      <c r="AK28" s="846" t="s">
        <v>194</v>
      </c>
      <c r="AL28" s="846" t="s">
        <v>194</v>
      </c>
      <c r="AM28" s="846" t="s">
        <v>194</v>
      </c>
      <c r="AN28" s="846" t="s">
        <v>194</v>
      </c>
      <c r="AO28" s="846" t="s">
        <v>194</v>
      </c>
      <c r="AP28" s="846" t="s">
        <v>194</v>
      </c>
      <c r="AQ28" s="846" t="s">
        <v>194</v>
      </c>
    </row>
    <row r="29" ht="15.75" hidden="1" customHeight="1" outlineLevel="1">
      <c r="A29" s="849">
        <v>1.0</v>
      </c>
      <c r="B29" s="15"/>
      <c r="C29" s="869" t="str">
        <f>IF(SUBTOTAL(109,A30)=A30,"    Net Finance (Income)/Expense","    Total Net Finance (Income)/Expense")</f>
        <v>    Total Net Finance (Income)/Expense</v>
      </c>
      <c r="D29" s="870" t="str">
        <f t="shared" si="1"/>
        <v>#VALUE!</v>
      </c>
      <c r="E29" s="870" t="str">
        <f t="shared" si="2"/>
        <v>#VALUE!</v>
      </c>
      <c r="F29" s="870" t="str">
        <f t="shared" si="3"/>
        <v>#VALUE!</v>
      </c>
      <c r="G29" s="870" t="str">
        <f t="shared" si="4"/>
        <v>#VALUE!</v>
      </c>
      <c r="H29" s="870" t="str">
        <f t="shared" si="5"/>
        <v>#VALUE!</v>
      </c>
      <c r="I29" s="870" t="str">
        <f t="shared" si="6"/>
        <v>#VALUE!</v>
      </c>
      <c r="J29" s="870" t="str">
        <f t="shared" si="7"/>
        <v>#VALUE!</v>
      </c>
      <c r="K29" s="871" t="str">
        <f t="shared" si="8"/>
        <v>#VALUE!</v>
      </c>
      <c r="L29" s="872" t="s">
        <v>194</v>
      </c>
      <c r="M29" s="872" t="str">
        <f t="shared" ref="M29:M30" si="9">IF(SUBTOTAL(109,#REF!)=#REF!,"",148)</f>
        <v>#VALUE!</v>
      </c>
      <c r="N29" s="872" t="str">
        <f t="shared" ref="N29:N30" si="10">IF(SUBTOTAL(109,#REF!)=#REF!,"",405)</f>
        <v>#VALUE!</v>
      </c>
      <c r="O29" s="872" t="str">
        <f t="shared" ref="O29:O30" si="11">IF(SUBTOTAL(109,#REF!)=#REF!,"",550)</f>
        <v>#VALUE!</v>
      </c>
      <c r="P29" s="872" t="str">
        <f t="shared" ref="P29:P30" si="12">IF(SUBTOTAL(109,#REF!)=#REF!,"",407)</f>
        <v>#VALUE!</v>
      </c>
      <c r="Q29" s="872" t="str">
        <f t="shared" ref="Q29:Q30" si="13">IF(SUBTOTAL(109,B30)=B30,"",-80)</f>
        <v/>
      </c>
      <c r="R29" s="872">
        <f t="shared" ref="R29:R30" si="14">IF(SUBTOTAL(109,D30)=D30,"",-190)</f>
        <v>-190</v>
      </c>
      <c r="S29" s="872">
        <f t="shared" ref="S29:S30" si="15">IF(SUBTOTAL(109,F30)=F30,"",-765)</f>
        <v>-765</v>
      </c>
      <c r="T29" s="872">
        <f t="shared" ref="T29:T30" si="16">IF(SUBTOTAL(109,H30)=H30,"",-3259)</f>
        <v>-3259</v>
      </c>
      <c r="U29" s="15"/>
      <c r="V29" s="851" t="s">
        <v>194</v>
      </c>
      <c r="W29" s="846" t="s">
        <v>194</v>
      </c>
      <c r="X29" s="846" t="s">
        <v>194</v>
      </c>
      <c r="Y29" s="846" t="s">
        <v>194</v>
      </c>
      <c r="Z29" s="846" t="s">
        <v>194</v>
      </c>
      <c r="AA29" s="846" t="s">
        <v>194</v>
      </c>
      <c r="AB29" s="846" t="s">
        <v>194</v>
      </c>
      <c r="AC29" s="846" t="s">
        <v>194</v>
      </c>
      <c r="AD29" s="846" t="s">
        <v>194</v>
      </c>
      <c r="AE29" s="846" t="s">
        <v>194</v>
      </c>
      <c r="AF29" s="846" t="s">
        <v>194</v>
      </c>
      <c r="AG29" s="846" t="s">
        <v>194</v>
      </c>
      <c r="AH29" s="846" t="s">
        <v>194</v>
      </c>
      <c r="AI29" s="846" t="s">
        <v>194</v>
      </c>
      <c r="AJ29" s="846" t="s">
        <v>194</v>
      </c>
      <c r="AK29" s="846" t="s">
        <v>194</v>
      </c>
      <c r="AL29" s="846" t="s">
        <v>194</v>
      </c>
      <c r="AM29" s="846" t="s">
        <v>194</v>
      </c>
      <c r="AN29" s="846" t="s">
        <v>194</v>
      </c>
      <c r="AO29" s="846" t="s">
        <v>194</v>
      </c>
      <c r="AP29" s="846" t="s">
        <v>194</v>
      </c>
      <c r="AQ29" s="846" t="s">
        <v>194</v>
      </c>
    </row>
    <row r="30" ht="15.75" hidden="1" customHeight="1" outlineLevel="2">
      <c r="A30" s="849">
        <v>1.0</v>
      </c>
      <c r="B30" s="15"/>
      <c r="C30" s="869" t="str">
        <f>IF(SUBTOTAL(109,A31)=A31,"        Net Interest (Income)/Expense","        Net Interest (Income)/Expense")</f>
        <v>        Net Interest (Income)/Expense</v>
      </c>
      <c r="D30" s="870" t="str">
        <f t="shared" si="1"/>
        <v/>
      </c>
      <c r="E30" s="870" t="str">
        <f t="shared" si="2"/>
        <v/>
      </c>
      <c r="F30" s="870" t="str">
        <f t="shared" si="3"/>
        <v/>
      </c>
      <c r="G30" s="870" t="str">
        <f t="shared" si="4"/>
        <v/>
      </c>
      <c r="H30" s="870" t="str">
        <f t="shared" si="5"/>
        <v/>
      </c>
      <c r="I30" s="870" t="str">
        <f t="shared" si="6"/>
        <v/>
      </c>
      <c r="J30" s="870" t="str">
        <f t="shared" si="7"/>
        <v/>
      </c>
      <c r="K30" s="871" t="str">
        <f t="shared" si="8"/>
        <v/>
      </c>
      <c r="L30" s="872" t="s">
        <v>194</v>
      </c>
      <c r="M30" s="872" t="str">
        <f t="shared" si="9"/>
        <v>#VALUE!</v>
      </c>
      <c r="N30" s="872" t="str">
        <f t="shared" si="10"/>
        <v>#VALUE!</v>
      </c>
      <c r="O30" s="872" t="str">
        <f t="shared" si="11"/>
        <v>#VALUE!</v>
      </c>
      <c r="P30" s="872" t="str">
        <f t="shared" si="12"/>
        <v>#VALUE!</v>
      </c>
      <c r="Q30" s="872" t="str">
        <f t="shared" si="13"/>
        <v/>
      </c>
      <c r="R30" s="872" t="str">
        <f t="shared" si="14"/>
        <v>#VALUE!</v>
      </c>
      <c r="S30" s="872" t="str">
        <f t="shared" si="15"/>
        <v>#VALUE!</v>
      </c>
      <c r="T30" s="872" t="str">
        <f t="shared" si="16"/>
        <v>#VALUE!</v>
      </c>
      <c r="U30" s="15"/>
      <c r="V30" s="851" t="s">
        <v>194</v>
      </c>
      <c r="W30" s="846" t="s">
        <v>194</v>
      </c>
      <c r="X30" s="846" t="s">
        <v>194</v>
      </c>
      <c r="Y30" s="846" t="s">
        <v>194</v>
      </c>
      <c r="Z30" s="846" t="s">
        <v>194</v>
      </c>
      <c r="AA30" s="846" t="s">
        <v>194</v>
      </c>
      <c r="AB30" s="846" t="s">
        <v>194</v>
      </c>
      <c r="AC30" s="846" t="s">
        <v>194</v>
      </c>
      <c r="AD30" s="846" t="s">
        <v>194</v>
      </c>
      <c r="AE30" s="846" t="s">
        <v>194</v>
      </c>
      <c r="AF30" s="846" t="s">
        <v>194</v>
      </c>
      <c r="AG30" s="846" t="s">
        <v>194</v>
      </c>
      <c r="AH30" s="846" t="s">
        <v>194</v>
      </c>
      <c r="AI30" s="846" t="s">
        <v>194</v>
      </c>
      <c r="AJ30" s="846" t="s">
        <v>194</v>
      </c>
      <c r="AK30" s="846" t="s">
        <v>194</v>
      </c>
      <c r="AL30" s="846" t="s">
        <v>194</v>
      </c>
      <c r="AM30" s="846" t="s">
        <v>194</v>
      </c>
      <c r="AN30" s="846" t="s">
        <v>194</v>
      </c>
      <c r="AO30" s="846" t="s">
        <v>194</v>
      </c>
      <c r="AP30" s="846" t="s">
        <v>194</v>
      </c>
      <c r="AQ30" s="846" t="s">
        <v>194</v>
      </c>
    </row>
    <row r="31" ht="15.75" hidden="1" customHeight="1" outlineLevel="3">
      <c r="A31" s="849">
        <v>1.0</v>
      </c>
      <c r="B31" s="15"/>
      <c r="C31" s="869" t="str">
        <f>IF(SUBTOTAL(109,A32)=A32,"            Interest Expense Net of Capitalized Interest","            Interest Expense Net of Capitalized Interest")</f>
        <v>            Interest Expense Net of Capitalized Interest</v>
      </c>
      <c r="D31" s="870" t="str">
        <f t="shared" si="1"/>
        <v>#VALUE!</v>
      </c>
      <c r="E31" s="870" t="str">
        <f t="shared" si="2"/>
        <v>#VALUE!</v>
      </c>
      <c r="F31" s="870" t="str">
        <f t="shared" si="3"/>
        <v>#VALUE!</v>
      </c>
      <c r="G31" s="870" t="str">
        <f t="shared" si="4"/>
        <v>#VALUE!</v>
      </c>
      <c r="H31" s="870" t="str">
        <f t="shared" si="5"/>
        <v>#VALUE!</v>
      </c>
      <c r="I31" s="870" t="str">
        <f t="shared" si="6"/>
        <v>#VALUE!</v>
      </c>
      <c r="J31" s="870" t="str">
        <f t="shared" si="7"/>
        <v>#VALUE!</v>
      </c>
      <c r="K31" s="871" t="str">
        <f t="shared" si="8"/>
        <v>#VALUE!</v>
      </c>
      <c r="L31" s="872" t="s">
        <v>194</v>
      </c>
      <c r="M31" s="872" t="str">
        <f>IF(SUBTOTAL(109,#REF!)=#REF!,"",261)</f>
        <v>#VALUE!</v>
      </c>
      <c r="N31" s="872" t="str">
        <f>IF(SUBTOTAL(109,#REF!)=#REF!,"",493)</f>
        <v>#VALUE!</v>
      </c>
      <c r="O31" s="872" t="str">
        <f>IF(SUBTOTAL(109,#REF!)=#REF!,"",562)</f>
        <v>#VALUE!</v>
      </c>
      <c r="P31" s="872" t="str">
        <f>IF(SUBTOTAL(109,#REF!)=#REF!,"",449)</f>
        <v>#VALUE!</v>
      </c>
      <c r="Q31" s="872" t="str">
        <f>IF(SUBTOTAL(109,B32)=B32,"",22)</f>
        <v/>
      </c>
      <c r="R31" s="872">
        <f>IF(SUBTOTAL(109,D32)=D32,"",6)</f>
        <v>6</v>
      </c>
      <c r="S31" s="872" t="str">
        <f>IF(SUBTOTAL(109,F32)=F32,"",0)</f>
        <v/>
      </c>
      <c r="T31" s="872">
        <f>IF(SUBTOTAL(109,H32)=H32,"",0)</f>
        <v>0</v>
      </c>
      <c r="U31" s="15"/>
      <c r="V31" s="851" t="s">
        <v>194</v>
      </c>
      <c r="W31" s="846" t="s">
        <v>194</v>
      </c>
      <c r="X31" s="846" t="s">
        <v>194</v>
      </c>
      <c r="Y31" s="846" t="s">
        <v>194</v>
      </c>
      <c r="Z31" s="846" t="s">
        <v>194</v>
      </c>
      <c r="AA31" s="846" t="s">
        <v>194</v>
      </c>
      <c r="AB31" s="846" t="s">
        <v>194</v>
      </c>
      <c r="AC31" s="846" t="s">
        <v>194</v>
      </c>
      <c r="AD31" s="846" t="s">
        <v>194</v>
      </c>
      <c r="AE31" s="846" t="s">
        <v>194</v>
      </c>
      <c r="AF31" s="846" t="s">
        <v>194</v>
      </c>
      <c r="AG31" s="846" t="s">
        <v>194</v>
      </c>
      <c r="AH31" s="846" t="s">
        <v>194</v>
      </c>
      <c r="AI31" s="846" t="s">
        <v>194</v>
      </c>
      <c r="AJ31" s="846" t="s">
        <v>194</v>
      </c>
      <c r="AK31" s="846" t="s">
        <v>194</v>
      </c>
      <c r="AL31" s="846" t="s">
        <v>194</v>
      </c>
      <c r="AM31" s="846" t="s">
        <v>194</v>
      </c>
      <c r="AN31" s="846" t="s">
        <v>194</v>
      </c>
      <c r="AO31" s="846" t="s">
        <v>194</v>
      </c>
      <c r="AP31" s="846" t="s">
        <v>194</v>
      </c>
      <c r="AQ31" s="846" t="s">
        <v>194</v>
      </c>
    </row>
    <row r="32" ht="15.75" hidden="1" customHeight="1" outlineLevel="4">
      <c r="A32" s="849">
        <v>1.0</v>
      </c>
      <c r="B32" s="15"/>
      <c r="C32" s="869" t="str">
        <f>"                Gross Interest"</f>
        <v>                Gross Interest</v>
      </c>
      <c r="D32" s="870">
        <f t="shared" si="1"/>
        <v>261</v>
      </c>
      <c r="E32" s="870">
        <f t="shared" si="2"/>
        <v>256.1428571</v>
      </c>
      <c r="F32" s="870">
        <f t="shared" si="3"/>
        <v>0</v>
      </c>
      <c r="G32" s="870">
        <f t="shared" si="4"/>
        <v>562</v>
      </c>
      <c r="H32" s="870">
        <f t="shared" si="5"/>
        <v>14</v>
      </c>
      <c r="I32" s="870">
        <f t="shared" si="6"/>
        <v>471</v>
      </c>
      <c r="J32" s="870">
        <f t="shared" si="7"/>
        <v>248.2843991</v>
      </c>
      <c r="K32" s="871">
        <f t="shared" si="8"/>
        <v>0.969320019</v>
      </c>
      <c r="L32" s="872" t="s">
        <v>194</v>
      </c>
      <c r="M32" s="872">
        <v>261.0</v>
      </c>
      <c r="N32" s="872">
        <v>493.0</v>
      </c>
      <c r="O32" s="872">
        <v>562.0</v>
      </c>
      <c r="P32" s="872">
        <v>449.0</v>
      </c>
      <c r="Q32" s="872">
        <v>22.0</v>
      </c>
      <c r="R32" s="872">
        <v>6.0</v>
      </c>
      <c r="S32" s="872">
        <v>0.0</v>
      </c>
      <c r="T32" s="872" t="s">
        <v>194</v>
      </c>
      <c r="U32" s="15"/>
      <c r="V32" s="851" t="s">
        <v>194</v>
      </c>
      <c r="W32" s="846" t="s">
        <v>194</v>
      </c>
      <c r="X32" s="846" t="s">
        <v>194</v>
      </c>
      <c r="Y32" s="846" t="s">
        <v>194</v>
      </c>
      <c r="Z32" s="846" t="s">
        <v>194</v>
      </c>
      <c r="AA32" s="846" t="s">
        <v>194</v>
      </c>
      <c r="AB32" s="846" t="s">
        <v>194</v>
      </c>
      <c r="AC32" s="846" t="s">
        <v>194</v>
      </c>
      <c r="AD32" s="846" t="s">
        <v>194</v>
      </c>
      <c r="AE32" s="846" t="s">
        <v>194</v>
      </c>
      <c r="AF32" s="846" t="s">
        <v>194</v>
      </c>
      <c r="AG32" s="846" t="s">
        <v>194</v>
      </c>
      <c r="AH32" s="846" t="s">
        <v>194</v>
      </c>
      <c r="AI32" s="846" t="s">
        <v>194</v>
      </c>
      <c r="AJ32" s="846" t="s">
        <v>194</v>
      </c>
      <c r="AK32" s="846" t="s">
        <v>194</v>
      </c>
      <c r="AL32" s="846" t="s">
        <v>194</v>
      </c>
      <c r="AM32" s="846" t="s">
        <v>194</v>
      </c>
      <c r="AN32" s="846" t="s">
        <v>194</v>
      </c>
      <c r="AO32" s="846" t="s">
        <v>194</v>
      </c>
      <c r="AP32" s="846" t="s">
        <v>194</v>
      </c>
      <c r="AQ32" s="846" t="s">
        <v>194</v>
      </c>
    </row>
    <row r="33" ht="15.75" hidden="1" customHeight="1" outlineLevel="4">
      <c r="A33" s="849">
        <v>1.0</v>
      </c>
      <c r="B33" s="15"/>
      <c r="C33" s="881" t="str">
        <f>"                Total Interest Expense Net of Capitalized Interest"</f>
        <v>                Total Interest Expense Net of Capitalized Interest</v>
      </c>
      <c r="D33" s="882">
        <f t="shared" si="1"/>
        <v>141.5</v>
      </c>
      <c r="E33" s="882">
        <f t="shared" si="2"/>
        <v>224.125</v>
      </c>
      <c r="F33" s="882">
        <f t="shared" si="3"/>
        <v>0</v>
      </c>
      <c r="G33" s="882">
        <f t="shared" si="4"/>
        <v>562</v>
      </c>
      <c r="H33" s="882">
        <f t="shared" si="5"/>
        <v>4.5</v>
      </c>
      <c r="I33" s="882">
        <f t="shared" si="6"/>
        <v>460</v>
      </c>
      <c r="J33" s="882">
        <f t="shared" si="7"/>
        <v>247.0624198</v>
      </c>
      <c r="K33" s="883">
        <f t="shared" si="8"/>
        <v>1.102342085</v>
      </c>
      <c r="L33" s="884" t="s">
        <v>194</v>
      </c>
      <c r="M33" s="884">
        <v>261.0</v>
      </c>
      <c r="N33" s="884">
        <v>493.0</v>
      </c>
      <c r="O33" s="884">
        <v>562.0</v>
      </c>
      <c r="P33" s="884">
        <v>449.0</v>
      </c>
      <c r="Q33" s="884">
        <v>22.0</v>
      </c>
      <c r="R33" s="884">
        <v>6.0</v>
      </c>
      <c r="S33" s="884">
        <v>0.0</v>
      </c>
      <c r="T33" s="884">
        <v>0.0</v>
      </c>
      <c r="U33" s="15"/>
      <c r="V33" s="851" t="s">
        <v>194</v>
      </c>
      <c r="W33" s="846" t="s">
        <v>194</v>
      </c>
      <c r="X33" s="846" t="s">
        <v>194</v>
      </c>
      <c r="Y33" s="846" t="s">
        <v>194</v>
      </c>
      <c r="Z33" s="846" t="s">
        <v>194</v>
      </c>
      <c r="AA33" s="846" t="s">
        <v>194</v>
      </c>
      <c r="AB33" s="846" t="s">
        <v>194</v>
      </c>
      <c r="AC33" s="846" t="s">
        <v>194</v>
      </c>
      <c r="AD33" s="846" t="s">
        <v>194</v>
      </c>
      <c r="AE33" s="846" t="s">
        <v>194</v>
      </c>
      <c r="AF33" s="846" t="s">
        <v>194</v>
      </c>
      <c r="AG33" s="846" t="s">
        <v>194</v>
      </c>
      <c r="AH33" s="846" t="s">
        <v>194</v>
      </c>
      <c r="AI33" s="846" t="s">
        <v>194</v>
      </c>
      <c r="AJ33" s="846" t="s">
        <v>194</v>
      </c>
      <c r="AK33" s="846" t="s">
        <v>194</v>
      </c>
      <c r="AL33" s="846" t="s">
        <v>194</v>
      </c>
      <c r="AM33" s="846" t="s">
        <v>194</v>
      </c>
      <c r="AN33" s="846" t="s">
        <v>194</v>
      </c>
      <c r="AO33" s="846" t="s">
        <v>194</v>
      </c>
      <c r="AP33" s="846" t="s">
        <v>194</v>
      </c>
      <c r="AQ33" s="846" t="s">
        <v>194</v>
      </c>
    </row>
    <row r="34" ht="15.75" hidden="1" customHeight="1" outlineLevel="3">
      <c r="A34" s="849">
        <v>1.0</v>
      </c>
      <c r="B34" s="15"/>
      <c r="C34" s="869" t="str">
        <f>"            Interest Income"</f>
        <v>            Interest Income</v>
      </c>
      <c r="D34" s="870">
        <f t="shared" si="1"/>
        <v>107.5</v>
      </c>
      <c r="E34" s="870">
        <f t="shared" si="2"/>
        <v>572.125</v>
      </c>
      <c r="F34" s="870">
        <f t="shared" si="3"/>
        <v>12</v>
      </c>
      <c r="G34" s="870">
        <f t="shared" si="4"/>
        <v>3259</v>
      </c>
      <c r="H34" s="870">
        <f t="shared" si="5"/>
        <v>76.5</v>
      </c>
      <c r="I34" s="870">
        <f t="shared" si="6"/>
        <v>338.25</v>
      </c>
      <c r="J34" s="870">
        <f t="shared" si="7"/>
        <v>1112.200578</v>
      </c>
      <c r="K34" s="871">
        <f t="shared" si="8"/>
        <v>1.943981783</v>
      </c>
      <c r="L34" s="872" t="s">
        <v>194</v>
      </c>
      <c r="M34" s="872">
        <v>113.0</v>
      </c>
      <c r="N34" s="872">
        <v>88.0</v>
      </c>
      <c r="O34" s="872">
        <v>12.0</v>
      </c>
      <c r="P34" s="872">
        <v>42.0</v>
      </c>
      <c r="Q34" s="872">
        <v>102.0</v>
      </c>
      <c r="R34" s="872">
        <v>196.0</v>
      </c>
      <c r="S34" s="872">
        <v>765.0</v>
      </c>
      <c r="T34" s="872">
        <v>3259.0</v>
      </c>
      <c r="U34" s="15"/>
      <c r="V34" s="851" t="s">
        <v>194</v>
      </c>
      <c r="W34" s="846" t="s">
        <v>194</v>
      </c>
      <c r="X34" s="846" t="s">
        <v>194</v>
      </c>
      <c r="Y34" s="846" t="s">
        <v>194</v>
      </c>
      <c r="Z34" s="846" t="s">
        <v>194</v>
      </c>
      <c r="AA34" s="846" t="s">
        <v>194</v>
      </c>
      <c r="AB34" s="846" t="s">
        <v>194</v>
      </c>
      <c r="AC34" s="846" t="s">
        <v>194</v>
      </c>
      <c r="AD34" s="846" t="s">
        <v>194</v>
      </c>
      <c r="AE34" s="846" t="s">
        <v>194</v>
      </c>
      <c r="AF34" s="846" t="s">
        <v>194</v>
      </c>
      <c r="AG34" s="846" t="s">
        <v>194</v>
      </c>
      <c r="AH34" s="846" t="s">
        <v>194</v>
      </c>
      <c r="AI34" s="846" t="s">
        <v>194</v>
      </c>
      <c r="AJ34" s="846" t="s">
        <v>194</v>
      </c>
      <c r="AK34" s="846" t="s">
        <v>194</v>
      </c>
      <c r="AL34" s="846" t="s">
        <v>194</v>
      </c>
      <c r="AM34" s="846" t="s">
        <v>194</v>
      </c>
      <c r="AN34" s="846" t="s">
        <v>194</v>
      </c>
      <c r="AO34" s="846" t="s">
        <v>194</v>
      </c>
      <c r="AP34" s="846" t="s">
        <v>194</v>
      </c>
      <c r="AQ34" s="846" t="s">
        <v>194</v>
      </c>
    </row>
    <row r="35" ht="15.75" hidden="1" customHeight="1" outlineLevel="3">
      <c r="A35" s="849">
        <v>1.0</v>
      </c>
      <c r="B35" s="15"/>
      <c r="C35" s="881" t="str">
        <f>"            Total Net Interest (Income)/Expense"</f>
        <v>            Total Net Interest (Income)/Expense</v>
      </c>
      <c r="D35" s="882">
        <f t="shared" si="1"/>
        <v>34</v>
      </c>
      <c r="E35" s="882">
        <f t="shared" si="2"/>
        <v>-348</v>
      </c>
      <c r="F35" s="882">
        <f t="shared" si="3"/>
        <v>-3259</v>
      </c>
      <c r="G35" s="882">
        <f t="shared" si="4"/>
        <v>550</v>
      </c>
      <c r="H35" s="882">
        <f t="shared" si="5"/>
        <v>-333.75</v>
      </c>
      <c r="I35" s="882">
        <f t="shared" si="6"/>
        <v>405.5</v>
      </c>
      <c r="J35" s="882">
        <f t="shared" si="7"/>
        <v>1249.802956</v>
      </c>
      <c r="K35" s="883">
        <f t="shared" si="8"/>
        <v>-3.591387804</v>
      </c>
      <c r="L35" s="884" t="s">
        <v>194</v>
      </c>
      <c r="M35" s="884">
        <v>148.0</v>
      </c>
      <c r="N35" s="884">
        <v>405.0</v>
      </c>
      <c r="O35" s="884">
        <v>550.0</v>
      </c>
      <c r="P35" s="884">
        <v>407.0</v>
      </c>
      <c r="Q35" s="884">
        <v>-80.0</v>
      </c>
      <c r="R35" s="884">
        <v>-190.0</v>
      </c>
      <c r="S35" s="884">
        <v>-765.0</v>
      </c>
      <c r="T35" s="884">
        <v>-3259.0</v>
      </c>
      <c r="U35" s="15"/>
      <c r="V35" s="851" t="s">
        <v>194</v>
      </c>
      <c r="W35" s="846" t="s">
        <v>194</v>
      </c>
      <c r="X35" s="846" t="s">
        <v>194</v>
      </c>
      <c r="Y35" s="846" t="s">
        <v>194</v>
      </c>
      <c r="Z35" s="846" t="s">
        <v>194</v>
      </c>
      <c r="AA35" s="846" t="s">
        <v>194</v>
      </c>
      <c r="AB35" s="846" t="s">
        <v>194</v>
      </c>
      <c r="AC35" s="846" t="s">
        <v>194</v>
      </c>
      <c r="AD35" s="846" t="s">
        <v>194</v>
      </c>
      <c r="AE35" s="846" t="s">
        <v>194</v>
      </c>
      <c r="AF35" s="846" t="s">
        <v>194</v>
      </c>
      <c r="AG35" s="846" t="s">
        <v>194</v>
      </c>
      <c r="AH35" s="846" t="s">
        <v>194</v>
      </c>
      <c r="AI35" s="846" t="s">
        <v>194</v>
      </c>
      <c r="AJ35" s="846" t="s">
        <v>194</v>
      </c>
      <c r="AK35" s="846" t="s">
        <v>194</v>
      </c>
      <c r="AL35" s="846" t="s">
        <v>194</v>
      </c>
      <c r="AM35" s="846" t="s">
        <v>194</v>
      </c>
      <c r="AN35" s="846" t="s">
        <v>194</v>
      </c>
      <c r="AO35" s="846" t="s">
        <v>194</v>
      </c>
      <c r="AP35" s="846" t="s">
        <v>194</v>
      </c>
      <c r="AQ35" s="846" t="s">
        <v>194</v>
      </c>
    </row>
    <row r="36" ht="15.75" hidden="1" customHeight="1" outlineLevel="2">
      <c r="A36" s="849">
        <v>1.0</v>
      </c>
      <c r="B36" s="15"/>
      <c r="C36" s="881" t="str">
        <f>"        Total Net Finance (Income)/Expense"</f>
        <v>        Total Net Finance (Income)/Expense</v>
      </c>
      <c r="D36" s="882">
        <f t="shared" si="1"/>
        <v>34</v>
      </c>
      <c r="E36" s="882">
        <f t="shared" si="2"/>
        <v>-348</v>
      </c>
      <c r="F36" s="882">
        <f t="shared" si="3"/>
        <v>-3259</v>
      </c>
      <c r="G36" s="882">
        <f t="shared" si="4"/>
        <v>550</v>
      </c>
      <c r="H36" s="882">
        <f t="shared" si="5"/>
        <v>-333.75</v>
      </c>
      <c r="I36" s="882">
        <f t="shared" si="6"/>
        <v>405.5</v>
      </c>
      <c r="J36" s="882">
        <f t="shared" si="7"/>
        <v>1249.802956</v>
      </c>
      <c r="K36" s="883">
        <f t="shared" si="8"/>
        <v>-3.591387804</v>
      </c>
      <c r="L36" s="884" t="s">
        <v>194</v>
      </c>
      <c r="M36" s="884">
        <v>148.0</v>
      </c>
      <c r="N36" s="884">
        <v>405.0</v>
      </c>
      <c r="O36" s="884">
        <v>550.0</v>
      </c>
      <c r="P36" s="884">
        <v>407.0</v>
      </c>
      <c r="Q36" s="884">
        <v>-80.0</v>
      </c>
      <c r="R36" s="884">
        <v>-190.0</v>
      </c>
      <c r="S36" s="884">
        <v>-765.0</v>
      </c>
      <c r="T36" s="884">
        <v>-3259.0</v>
      </c>
      <c r="U36" s="15"/>
      <c r="V36" s="851" t="s">
        <v>194</v>
      </c>
      <c r="W36" s="846" t="s">
        <v>194</v>
      </c>
      <c r="X36" s="846" t="s">
        <v>194</v>
      </c>
      <c r="Y36" s="846" t="s">
        <v>194</v>
      </c>
      <c r="Z36" s="846" t="s">
        <v>194</v>
      </c>
      <c r="AA36" s="846" t="s">
        <v>194</v>
      </c>
      <c r="AB36" s="846" t="s">
        <v>194</v>
      </c>
      <c r="AC36" s="846" t="s">
        <v>194</v>
      </c>
      <c r="AD36" s="846" t="s">
        <v>194</v>
      </c>
      <c r="AE36" s="846" t="s">
        <v>194</v>
      </c>
      <c r="AF36" s="846" t="s">
        <v>194</v>
      </c>
      <c r="AG36" s="846" t="s">
        <v>194</v>
      </c>
      <c r="AH36" s="846" t="s">
        <v>194</v>
      </c>
      <c r="AI36" s="846" t="s">
        <v>194</v>
      </c>
      <c r="AJ36" s="846" t="s">
        <v>194</v>
      </c>
      <c r="AK36" s="846" t="s">
        <v>194</v>
      </c>
      <c r="AL36" s="846" t="s">
        <v>194</v>
      </c>
      <c r="AM36" s="846" t="s">
        <v>194</v>
      </c>
      <c r="AN36" s="846" t="s">
        <v>194</v>
      </c>
      <c r="AO36" s="846" t="s">
        <v>194</v>
      </c>
      <c r="AP36" s="846" t="s">
        <v>194</v>
      </c>
      <c r="AQ36" s="846" t="s">
        <v>194</v>
      </c>
    </row>
    <row r="37" ht="15.75" hidden="1" customHeight="1" outlineLevel="1">
      <c r="A37" s="849">
        <v>1.0</v>
      </c>
      <c r="B37" s="15"/>
      <c r="C37" s="869" t="str">
        <f>IF(SUBTOTAL(109,A38)=A38,"    Net Investment Income","    Net Investment Income")</f>
        <v>    Net Investment Income</v>
      </c>
      <c r="D37" s="870" t="str">
        <f t="shared" si="1"/>
        <v/>
      </c>
      <c r="E37" s="870" t="str">
        <f t="shared" si="2"/>
        <v/>
      </c>
      <c r="F37" s="870" t="str">
        <f t="shared" si="3"/>
        <v/>
      </c>
      <c r="G37" s="870" t="str">
        <f t="shared" si="4"/>
        <v/>
      </c>
      <c r="H37" s="870" t="str">
        <f t="shared" si="5"/>
        <v/>
      </c>
      <c r="I37" s="870" t="str">
        <f t="shared" si="6"/>
        <v/>
      </c>
      <c r="J37" s="870" t="str">
        <f t="shared" si="7"/>
        <v/>
      </c>
      <c r="K37" s="871" t="str">
        <f t="shared" si="8"/>
        <v/>
      </c>
      <c r="L37" s="872" t="s">
        <v>194</v>
      </c>
      <c r="M37" s="872" t="str">
        <f t="shared" ref="M37:M38" si="17">IF(SUBTOTAL(109,#REF!)=#REF!,"",-119)</f>
        <v>#VALUE!</v>
      </c>
      <c r="N37" s="872" t="str">
        <f t="shared" ref="N37:N38" si="18">IF(SUBTOTAL(109,#REF!)=#REF!,"",148)</f>
        <v>#VALUE!</v>
      </c>
      <c r="O37" s="872" t="str">
        <f t="shared" ref="O37:O38" si="19">IF(SUBTOTAL(109,#REF!)=#REF!,"",-262)</f>
        <v>#VALUE!</v>
      </c>
      <c r="P37" s="872" t="str">
        <f t="shared" ref="P37:P38" si="20">IF(SUBTOTAL(109,#REF!)=#REF!,"",36)</f>
        <v>#VALUE!</v>
      </c>
      <c r="Q37" s="872" t="str">
        <f t="shared" ref="Q37:Q38" si="21">IF(SUBTOTAL(109,B38)=B38,"","")</f>
        <v/>
      </c>
      <c r="R37" s="872" t="str">
        <f t="shared" ref="R37:R38" si="22">IF(SUBTOTAL(109,D38)=D38,"","")</f>
        <v/>
      </c>
      <c r="S37" s="872" t="str">
        <f t="shared" ref="S37:S38" si="23">IF(SUBTOTAL(109,F38)=F38,"","")</f>
        <v/>
      </c>
      <c r="T37" s="872" t="str">
        <f t="shared" ref="T37:T38" si="24">IF(SUBTOTAL(109,H38)=H38,"","")</f>
        <v/>
      </c>
      <c r="U37" s="15"/>
      <c r="V37" s="851" t="s">
        <v>194</v>
      </c>
      <c r="W37" s="846" t="s">
        <v>194</v>
      </c>
      <c r="X37" s="846" t="s">
        <v>194</v>
      </c>
      <c r="Y37" s="846" t="s">
        <v>194</v>
      </c>
      <c r="Z37" s="846" t="s">
        <v>194</v>
      </c>
      <c r="AA37" s="846" t="s">
        <v>194</v>
      </c>
      <c r="AB37" s="846" t="s">
        <v>194</v>
      </c>
      <c r="AC37" s="846" t="s">
        <v>194</v>
      </c>
      <c r="AD37" s="846" t="s">
        <v>194</v>
      </c>
      <c r="AE37" s="846" t="s">
        <v>194</v>
      </c>
      <c r="AF37" s="846" t="s">
        <v>194</v>
      </c>
      <c r="AG37" s="846" t="s">
        <v>194</v>
      </c>
      <c r="AH37" s="846" t="s">
        <v>194</v>
      </c>
      <c r="AI37" s="846" t="s">
        <v>194</v>
      </c>
      <c r="AJ37" s="846" t="s">
        <v>194</v>
      </c>
      <c r="AK37" s="846" t="s">
        <v>194</v>
      </c>
      <c r="AL37" s="846" t="s">
        <v>194</v>
      </c>
      <c r="AM37" s="846" t="s">
        <v>194</v>
      </c>
      <c r="AN37" s="846" t="s">
        <v>194</v>
      </c>
      <c r="AO37" s="846" t="s">
        <v>194</v>
      </c>
      <c r="AP37" s="846" t="s">
        <v>194</v>
      </c>
      <c r="AQ37" s="846" t="s">
        <v>194</v>
      </c>
    </row>
    <row r="38" ht="15.75" hidden="1" customHeight="1" outlineLevel="2">
      <c r="A38" s="849">
        <v>1.0</v>
      </c>
      <c r="B38" s="15"/>
      <c r="C38" s="869" t="str">
        <f>IF(SUBTOTAL(109,A39)=A39,"        Gain/(Loss) on Derivatives","        Gain/(Loss) on Derivatives")</f>
        <v>        Gain/(Loss) on Derivatives</v>
      </c>
      <c r="D38" s="870" t="str">
        <f t="shared" si="1"/>
        <v/>
      </c>
      <c r="E38" s="870" t="str">
        <f t="shared" si="2"/>
        <v/>
      </c>
      <c r="F38" s="870" t="str">
        <f t="shared" si="3"/>
        <v/>
      </c>
      <c r="G38" s="870" t="str">
        <f t="shared" si="4"/>
        <v/>
      </c>
      <c r="H38" s="870" t="str">
        <f t="shared" si="5"/>
        <v/>
      </c>
      <c r="I38" s="870" t="str">
        <f t="shared" si="6"/>
        <v/>
      </c>
      <c r="J38" s="870" t="str">
        <f t="shared" si="7"/>
        <v/>
      </c>
      <c r="K38" s="871" t="str">
        <f t="shared" si="8"/>
        <v/>
      </c>
      <c r="L38" s="872" t="s">
        <v>194</v>
      </c>
      <c r="M38" s="872" t="str">
        <f t="shared" si="17"/>
        <v>#VALUE!</v>
      </c>
      <c r="N38" s="872" t="str">
        <f t="shared" si="18"/>
        <v>#VALUE!</v>
      </c>
      <c r="O38" s="872" t="str">
        <f t="shared" si="19"/>
        <v>#VALUE!</v>
      </c>
      <c r="P38" s="872" t="str">
        <f t="shared" si="20"/>
        <v>#VALUE!</v>
      </c>
      <c r="Q38" s="872" t="str">
        <f t="shared" si="21"/>
        <v/>
      </c>
      <c r="R38" s="872" t="str">
        <f t="shared" si="22"/>
        <v/>
      </c>
      <c r="S38" s="872" t="str">
        <f t="shared" si="23"/>
        <v/>
      </c>
      <c r="T38" s="872" t="str">
        <f t="shared" si="24"/>
        <v/>
      </c>
      <c r="U38" s="15"/>
      <c r="V38" s="851" t="s">
        <v>194</v>
      </c>
      <c r="W38" s="846" t="s">
        <v>194</v>
      </c>
      <c r="X38" s="846" t="s">
        <v>194</v>
      </c>
      <c r="Y38" s="846" t="s">
        <v>194</v>
      </c>
      <c r="Z38" s="846" t="s">
        <v>194</v>
      </c>
      <c r="AA38" s="846" t="s">
        <v>194</v>
      </c>
      <c r="AB38" s="846" t="s">
        <v>194</v>
      </c>
      <c r="AC38" s="846" t="s">
        <v>194</v>
      </c>
      <c r="AD38" s="846" t="s">
        <v>194</v>
      </c>
      <c r="AE38" s="846" t="s">
        <v>194</v>
      </c>
      <c r="AF38" s="846" t="s">
        <v>194</v>
      </c>
      <c r="AG38" s="846" t="s">
        <v>194</v>
      </c>
      <c r="AH38" s="846" t="s">
        <v>194</v>
      </c>
      <c r="AI38" s="846" t="s">
        <v>194</v>
      </c>
      <c r="AJ38" s="846" t="s">
        <v>194</v>
      </c>
      <c r="AK38" s="846" t="s">
        <v>194</v>
      </c>
      <c r="AL38" s="846" t="s">
        <v>194</v>
      </c>
      <c r="AM38" s="846" t="s">
        <v>194</v>
      </c>
      <c r="AN38" s="846" t="s">
        <v>194</v>
      </c>
      <c r="AO38" s="846" t="s">
        <v>194</v>
      </c>
      <c r="AP38" s="846" t="s">
        <v>194</v>
      </c>
      <c r="AQ38" s="846" t="s">
        <v>194</v>
      </c>
    </row>
    <row r="39" ht="15.75" hidden="1" customHeight="1" outlineLevel="3">
      <c r="A39" s="849">
        <v>1.0</v>
      </c>
      <c r="B39" s="15"/>
      <c r="C39" s="869" t="str">
        <f>"            Unrealized Gain/Loss on Derivatives"</f>
        <v>            Unrealized Gain/Loss on Derivatives</v>
      </c>
      <c r="D39" s="870">
        <f t="shared" si="1"/>
        <v>-41.5</v>
      </c>
      <c r="E39" s="870">
        <f t="shared" si="2"/>
        <v>-49.25</v>
      </c>
      <c r="F39" s="870">
        <f t="shared" si="3"/>
        <v>-262</v>
      </c>
      <c r="G39" s="870">
        <f t="shared" si="4"/>
        <v>148</v>
      </c>
      <c r="H39" s="870">
        <f t="shared" si="5"/>
        <v>-154.75</v>
      </c>
      <c r="I39" s="870">
        <f t="shared" si="6"/>
        <v>64</v>
      </c>
      <c r="J39" s="870">
        <f t="shared" si="7"/>
        <v>179.1672868</v>
      </c>
      <c r="K39" s="871">
        <f t="shared" si="8"/>
        <v>-3.637914453</v>
      </c>
      <c r="L39" s="872" t="s">
        <v>194</v>
      </c>
      <c r="M39" s="872">
        <v>-119.0</v>
      </c>
      <c r="N39" s="872">
        <v>148.0</v>
      </c>
      <c r="O39" s="872">
        <v>-262.0</v>
      </c>
      <c r="P39" s="872">
        <v>36.0</v>
      </c>
      <c r="Q39" s="872" t="s">
        <v>194</v>
      </c>
      <c r="R39" s="872" t="s">
        <v>194</v>
      </c>
      <c r="S39" s="872" t="s">
        <v>194</v>
      </c>
      <c r="T39" s="872" t="s">
        <v>194</v>
      </c>
      <c r="U39" s="15"/>
      <c r="V39" s="851" t="s">
        <v>194</v>
      </c>
      <c r="W39" s="846" t="s">
        <v>194</v>
      </c>
      <c r="X39" s="846" t="s">
        <v>194</v>
      </c>
      <c r="Y39" s="846" t="s">
        <v>194</v>
      </c>
      <c r="Z39" s="846" t="s">
        <v>194</v>
      </c>
      <c r="AA39" s="846" t="s">
        <v>194</v>
      </c>
      <c r="AB39" s="846" t="s">
        <v>194</v>
      </c>
      <c r="AC39" s="846" t="s">
        <v>194</v>
      </c>
      <c r="AD39" s="846" t="s">
        <v>194</v>
      </c>
      <c r="AE39" s="846" t="s">
        <v>194</v>
      </c>
      <c r="AF39" s="846" t="s">
        <v>194</v>
      </c>
      <c r="AG39" s="846" t="s">
        <v>194</v>
      </c>
      <c r="AH39" s="846" t="s">
        <v>194</v>
      </c>
      <c r="AI39" s="846" t="s">
        <v>194</v>
      </c>
      <c r="AJ39" s="846" t="s">
        <v>194</v>
      </c>
      <c r="AK39" s="846" t="s">
        <v>194</v>
      </c>
      <c r="AL39" s="846" t="s">
        <v>194</v>
      </c>
      <c r="AM39" s="846" t="s">
        <v>194</v>
      </c>
      <c r="AN39" s="846" t="s">
        <v>194</v>
      </c>
      <c r="AO39" s="846" t="s">
        <v>194</v>
      </c>
      <c r="AP39" s="846" t="s">
        <v>194</v>
      </c>
      <c r="AQ39" s="846" t="s">
        <v>194</v>
      </c>
    </row>
    <row r="40" ht="15.75" hidden="1" customHeight="1" outlineLevel="3">
      <c r="A40" s="849">
        <v>1.0</v>
      </c>
      <c r="B40" s="15"/>
      <c r="C40" s="881" t="str">
        <f>"            Total Gain/(Loss) on Derivatives"</f>
        <v>            Total Gain/(Loss) on Derivatives</v>
      </c>
      <c r="D40" s="882">
        <f t="shared" si="1"/>
        <v>-41.5</v>
      </c>
      <c r="E40" s="882">
        <f t="shared" si="2"/>
        <v>-49.25</v>
      </c>
      <c r="F40" s="882">
        <f t="shared" si="3"/>
        <v>-262</v>
      </c>
      <c r="G40" s="882">
        <f t="shared" si="4"/>
        <v>148</v>
      </c>
      <c r="H40" s="882">
        <f t="shared" si="5"/>
        <v>-154.75</v>
      </c>
      <c r="I40" s="882">
        <f t="shared" si="6"/>
        <v>64</v>
      </c>
      <c r="J40" s="882">
        <f t="shared" si="7"/>
        <v>179.1672868</v>
      </c>
      <c r="K40" s="883">
        <f t="shared" si="8"/>
        <v>-3.637914453</v>
      </c>
      <c r="L40" s="884" t="s">
        <v>194</v>
      </c>
      <c r="M40" s="884">
        <v>-119.0</v>
      </c>
      <c r="N40" s="884">
        <v>148.0</v>
      </c>
      <c r="O40" s="884">
        <v>-262.0</v>
      </c>
      <c r="P40" s="884">
        <v>36.0</v>
      </c>
      <c r="Q40" s="884" t="s">
        <v>194</v>
      </c>
      <c r="R40" s="884" t="s">
        <v>194</v>
      </c>
      <c r="S40" s="884" t="s">
        <v>194</v>
      </c>
      <c r="T40" s="884" t="s">
        <v>194</v>
      </c>
      <c r="U40" s="15"/>
      <c r="V40" s="851" t="s">
        <v>194</v>
      </c>
      <c r="W40" s="846" t="s">
        <v>194</v>
      </c>
      <c r="X40" s="846" t="s">
        <v>194</v>
      </c>
      <c r="Y40" s="846" t="s">
        <v>194</v>
      </c>
      <c r="Z40" s="846" t="s">
        <v>194</v>
      </c>
      <c r="AA40" s="846" t="s">
        <v>194</v>
      </c>
      <c r="AB40" s="846" t="s">
        <v>194</v>
      </c>
      <c r="AC40" s="846" t="s">
        <v>194</v>
      </c>
      <c r="AD40" s="846" t="s">
        <v>194</v>
      </c>
      <c r="AE40" s="846" t="s">
        <v>194</v>
      </c>
      <c r="AF40" s="846" t="s">
        <v>194</v>
      </c>
      <c r="AG40" s="846" t="s">
        <v>194</v>
      </c>
      <c r="AH40" s="846" t="s">
        <v>194</v>
      </c>
      <c r="AI40" s="846" t="s">
        <v>194</v>
      </c>
      <c r="AJ40" s="846" t="s">
        <v>194</v>
      </c>
      <c r="AK40" s="846" t="s">
        <v>194</v>
      </c>
      <c r="AL40" s="846" t="s">
        <v>194</v>
      </c>
      <c r="AM40" s="846" t="s">
        <v>194</v>
      </c>
      <c r="AN40" s="846" t="s">
        <v>194</v>
      </c>
      <c r="AO40" s="846" t="s">
        <v>194</v>
      </c>
      <c r="AP40" s="846" t="s">
        <v>194</v>
      </c>
      <c r="AQ40" s="846" t="s">
        <v>194</v>
      </c>
    </row>
    <row r="41" ht="15.75" hidden="1" customHeight="1" outlineLevel="2">
      <c r="A41" s="849">
        <v>1.0</v>
      </c>
      <c r="B41" s="15"/>
      <c r="C41" s="881" t="str">
        <f>"        Total Net Investment Income"</f>
        <v>        Total Net Investment Income</v>
      </c>
      <c r="D41" s="882">
        <f t="shared" si="1"/>
        <v>-41.5</v>
      </c>
      <c r="E41" s="882">
        <f t="shared" si="2"/>
        <v>-49.25</v>
      </c>
      <c r="F41" s="882">
        <f t="shared" si="3"/>
        <v>-262</v>
      </c>
      <c r="G41" s="882">
        <f t="shared" si="4"/>
        <v>148</v>
      </c>
      <c r="H41" s="882">
        <f t="shared" si="5"/>
        <v>-154.75</v>
      </c>
      <c r="I41" s="882">
        <f t="shared" si="6"/>
        <v>64</v>
      </c>
      <c r="J41" s="882">
        <f t="shared" si="7"/>
        <v>179.1672868</v>
      </c>
      <c r="K41" s="883">
        <f t="shared" si="8"/>
        <v>-3.637914453</v>
      </c>
      <c r="L41" s="884" t="s">
        <v>194</v>
      </c>
      <c r="M41" s="884">
        <v>-119.0</v>
      </c>
      <c r="N41" s="884">
        <v>148.0</v>
      </c>
      <c r="O41" s="884">
        <v>-262.0</v>
      </c>
      <c r="P41" s="884">
        <v>36.0</v>
      </c>
      <c r="Q41" s="884" t="s">
        <v>194</v>
      </c>
      <c r="R41" s="884" t="s">
        <v>194</v>
      </c>
      <c r="S41" s="884" t="s">
        <v>194</v>
      </c>
      <c r="T41" s="884" t="s">
        <v>194</v>
      </c>
      <c r="U41" s="15"/>
      <c r="V41" s="851" t="s">
        <v>194</v>
      </c>
      <c r="W41" s="846" t="s">
        <v>194</v>
      </c>
      <c r="X41" s="846" t="s">
        <v>194</v>
      </c>
      <c r="Y41" s="846" t="s">
        <v>194</v>
      </c>
      <c r="Z41" s="846" t="s">
        <v>194</v>
      </c>
      <c r="AA41" s="846" t="s">
        <v>194</v>
      </c>
      <c r="AB41" s="846" t="s">
        <v>194</v>
      </c>
      <c r="AC41" s="846" t="s">
        <v>194</v>
      </c>
      <c r="AD41" s="846" t="s">
        <v>194</v>
      </c>
      <c r="AE41" s="846" t="s">
        <v>194</v>
      </c>
      <c r="AF41" s="846" t="s">
        <v>194</v>
      </c>
      <c r="AG41" s="846" t="s">
        <v>194</v>
      </c>
      <c r="AH41" s="846" t="s">
        <v>194</v>
      </c>
      <c r="AI41" s="846" t="s">
        <v>194</v>
      </c>
      <c r="AJ41" s="846" t="s">
        <v>194</v>
      </c>
      <c r="AK41" s="846" t="s">
        <v>194</v>
      </c>
      <c r="AL41" s="846" t="s">
        <v>194</v>
      </c>
      <c r="AM41" s="846" t="s">
        <v>194</v>
      </c>
      <c r="AN41" s="846" t="s">
        <v>194</v>
      </c>
      <c r="AO41" s="846" t="s">
        <v>194</v>
      </c>
      <c r="AP41" s="846" t="s">
        <v>194</v>
      </c>
      <c r="AQ41" s="846" t="s">
        <v>194</v>
      </c>
    </row>
    <row r="42" ht="15.75" hidden="1" customHeight="1" outlineLevel="1">
      <c r="A42" s="849">
        <v>1.0</v>
      </c>
      <c r="B42" s="15"/>
      <c r="C42" s="869" t="str">
        <f>"    Other Income/(Expense), Non-Operating"</f>
        <v>    Other Income/(Expense), Non-Operating</v>
      </c>
      <c r="D42" s="870">
        <f t="shared" si="1"/>
        <v>-44</v>
      </c>
      <c r="E42" s="870">
        <f t="shared" si="2"/>
        <v>-1.25</v>
      </c>
      <c r="F42" s="870">
        <f t="shared" si="3"/>
        <v>-696</v>
      </c>
      <c r="G42" s="870">
        <f t="shared" si="4"/>
        <v>1301</v>
      </c>
      <c r="H42" s="870">
        <f t="shared" si="5"/>
        <v>-347.75</v>
      </c>
      <c r="I42" s="870">
        <f t="shared" si="6"/>
        <v>56.5</v>
      </c>
      <c r="J42" s="870">
        <f t="shared" si="7"/>
        <v>596.9830699</v>
      </c>
      <c r="K42" s="871">
        <f t="shared" si="8"/>
        <v>-477.5864559</v>
      </c>
      <c r="L42" s="872" t="s">
        <v>194</v>
      </c>
      <c r="M42" s="872">
        <v>0.0</v>
      </c>
      <c r="N42" s="872">
        <v>10.0</v>
      </c>
      <c r="O42" s="872">
        <v>196.0</v>
      </c>
      <c r="P42" s="872">
        <v>-88.0</v>
      </c>
      <c r="Q42" s="872">
        <v>-404.0</v>
      </c>
      <c r="R42" s="872">
        <v>-329.0</v>
      </c>
      <c r="S42" s="872">
        <v>1301.0</v>
      </c>
      <c r="T42" s="872">
        <v>-696.0</v>
      </c>
      <c r="U42" s="15"/>
      <c r="V42" s="851" t="s">
        <v>194</v>
      </c>
      <c r="W42" s="846" t="s">
        <v>194</v>
      </c>
      <c r="X42" s="846" t="s">
        <v>194</v>
      </c>
      <c r="Y42" s="846" t="s">
        <v>194</v>
      </c>
      <c r="Z42" s="846" t="s">
        <v>194</v>
      </c>
      <c r="AA42" s="846" t="s">
        <v>194</v>
      </c>
      <c r="AB42" s="846" t="s">
        <v>194</v>
      </c>
      <c r="AC42" s="846" t="s">
        <v>194</v>
      </c>
      <c r="AD42" s="846" t="s">
        <v>194</v>
      </c>
      <c r="AE42" s="846" t="s">
        <v>194</v>
      </c>
      <c r="AF42" s="846" t="s">
        <v>194</v>
      </c>
      <c r="AG42" s="846" t="s">
        <v>194</v>
      </c>
      <c r="AH42" s="846" t="s">
        <v>194</v>
      </c>
      <c r="AI42" s="846" t="s">
        <v>194</v>
      </c>
      <c r="AJ42" s="846" t="s">
        <v>194</v>
      </c>
      <c r="AK42" s="846" t="s">
        <v>194</v>
      </c>
      <c r="AL42" s="846" t="s">
        <v>194</v>
      </c>
      <c r="AM42" s="846" t="s">
        <v>194</v>
      </c>
      <c r="AN42" s="846" t="s">
        <v>194</v>
      </c>
      <c r="AO42" s="846" t="s">
        <v>194</v>
      </c>
      <c r="AP42" s="846" t="s">
        <v>194</v>
      </c>
      <c r="AQ42" s="846" t="s">
        <v>194</v>
      </c>
    </row>
    <row r="43" ht="15.75" hidden="1" customHeight="1" outlineLevel="1">
      <c r="A43" s="849">
        <v>1.0</v>
      </c>
      <c r="B43" s="15"/>
      <c r="C43" s="855" t="str">
        <f>"    Total Non-Operating Income/(Expenses), Total"</f>
        <v>    Total Non-Operating Income/(Expenses), Total</v>
      </c>
      <c r="D43" s="882">
        <f t="shared" si="1"/>
        <v>-257</v>
      </c>
      <c r="E43" s="882">
        <f t="shared" si="2"/>
        <v>322.125</v>
      </c>
      <c r="F43" s="882">
        <f t="shared" si="3"/>
        <v>-616</v>
      </c>
      <c r="G43" s="882">
        <f t="shared" si="4"/>
        <v>2563</v>
      </c>
      <c r="H43" s="882">
        <f t="shared" si="5"/>
        <v>-357.75</v>
      </c>
      <c r="I43" s="882">
        <f t="shared" si="6"/>
        <v>412.25</v>
      </c>
      <c r="J43" s="882">
        <f t="shared" si="7"/>
        <v>1245.216038</v>
      </c>
      <c r="K43" s="883">
        <f t="shared" si="8"/>
        <v>3.865629921</v>
      </c>
      <c r="L43" s="882" t="s">
        <v>194</v>
      </c>
      <c r="M43" s="882">
        <v>-267.0</v>
      </c>
      <c r="N43" s="882">
        <v>-247.0</v>
      </c>
      <c r="O43" s="882">
        <v>-616.0</v>
      </c>
      <c r="P43" s="882">
        <v>-459.0</v>
      </c>
      <c r="Q43" s="882">
        <v>-324.0</v>
      </c>
      <c r="R43" s="882">
        <v>-139.0</v>
      </c>
      <c r="S43" s="882">
        <v>2066.0</v>
      </c>
      <c r="T43" s="882">
        <v>2563.0</v>
      </c>
      <c r="U43" s="15"/>
      <c r="V43" s="851" t="s">
        <v>194</v>
      </c>
      <c r="W43" s="846" t="s">
        <v>194</v>
      </c>
      <c r="X43" s="846" t="s">
        <v>194</v>
      </c>
      <c r="Y43" s="846" t="s">
        <v>194</v>
      </c>
      <c r="Z43" s="846" t="s">
        <v>194</v>
      </c>
      <c r="AA43" s="846" t="s">
        <v>194</v>
      </c>
      <c r="AB43" s="846" t="s">
        <v>194</v>
      </c>
      <c r="AC43" s="846" t="s">
        <v>194</v>
      </c>
      <c r="AD43" s="846" t="s">
        <v>194</v>
      </c>
      <c r="AE43" s="846" t="s">
        <v>194</v>
      </c>
      <c r="AF43" s="846" t="s">
        <v>194</v>
      </c>
      <c r="AG43" s="846" t="s">
        <v>194</v>
      </c>
      <c r="AH43" s="846" t="s">
        <v>194</v>
      </c>
      <c r="AI43" s="846" t="s">
        <v>194</v>
      </c>
      <c r="AJ43" s="846" t="s">
        <v>194</v>
      </c>
      <c r="AK43" s="846" t="s">
        <v>194</v>
      </c>
      <c r="AL43" s="846" t="s">
        <v>194</v>
      </c>
      <c r="AM43" s="846" t="s">
        <v>194</v>
      </c>
      <c r="AN43" s="846" t="s">
        <v>194</v>
      </c>
      <c r="AO43" s="846" t="s">
        <v>194</v>
      </c>
      <c r="AP43" s="846" t="s">
        <v>194</v>
      </c>
      <c r="AQ43" s="846" t="s">
        <v>194</v>
      </c>
    </row>
    <row r="44" ht="15.75" customHeight="1">
      <c r="A44" s="849">
        <v>1.0</v>
      </c>
      <c r="B44" s="15"/>
      <c r="C44" s="855" t="str">
        <f>"Pretax Income"</f>
        <v>Pretax Income</v>
      </c>
      <c r="D44" s="866">
        <f t="shared" si="1"/>
        <v>12389.5</v>
      </c>
      <c r="E44" s="866">
        <f t="shared" si="2"/>
        <v>15007</v>
      </c>
      <c r="F44" s="866">
        <f t="shared" si="3"/>
        <v>-1989</v>
      </c>
      <c r="G44" s="866">
        <f t="shared" si="4"/>
        <v>40455</v>
      </c>
      <c r="H44" s="866">
        <f t="shared" si="5"/>
        <v>3031.5</v>
      </c>
      <c r="I44" s="866">
        <f t="shared" si="6"/>
        <v>24457.75</v>
      </c>
      <c r="J44" s="866">
        <f t="shared" si="7"/>
        <v>14965.96031</v>
      </c>
      <c r="K44" s="867">
        <f t="shared" si="8"/>
        <v>0.9972652969</v>
      </c>
      <c r="L44" s="866" t="s">
        <v>194</v>
      </c>
      <c r="M44" s="866">
        <v>-1989.0</v>
      </c>
      <c r="N44" s="866">
        <v>582.0</v>
      </c>
      <c r="O44" s="866">
        <v>3848.0</v>
      </c>
      <c r="P44" s="866">
        <v>10052.0</v>
      </c>
      <c r="Q44" s="866">
        <v>14727.0</v>
      </c>
      <c r="R44" s="866">
        <v>22725.0</v>
      </c>
      <c r="S44" s="866">
        <v>29656.0</v>
      </c>
      <c r="T44" s="866">
        <v>40455.0</v>
      </c>
      <c r="U44" s="15"/>
      <c r="V44" s="851" t="s">
        <v>194</v>
      </c>
      <c r="W44" s="846" t="s">
        <v>194</v>
      </c>
      <c r="X44" s="846" t="s">
        <v>194</v>
      </c>
      <c r="Y44" s="846" t="s">
        <v>194</v>
      </c>
      <c r="Z44" s="846" t="s">
        <v>194</v>
      </c>
      <c r="AA44" s="846" t="s">
        <v>194</v>
      </c>
      <c r="AB44" s="846" t="s">
        <v>194</v>
      </c>
      <c r="AC44" s="846" t="s">
        <v>194</v>
      </c>
      <c r="AD44" s="846" t="s">
        <v>194</v>
      </c>
      <c r="AE44" s="846" t="s">
        <v>194</v>
      </c>
      <c r="AF44" s="846" t="s">
        <v>194</v>
      </c>
      <c r="AG44" s="846" t="s">
        <v>194</v>
      </c>
      <c r="AH44" s="846" t="s">
        <v>194</v>
      </c>
      <c r="AI44" s="846" t="s">
        <v>194</v>
      </c>
      <c r="AJ44" s="846" t="s">
        <v>194</v>
      </c>
      <c r="AK44" s="846" t="s">
        <v>194</v>
      </c>
      <c r="AL44" s="846" t="s">
        <v>194</v>
      </c>
      <c r="AM44" s="846" t="s">
        <v>194</v>
      </c>
      <c r="AN44" s="846" t="s">
        <v>194</v>
      </c>
      <c r="AO44" s="846" t="s">
        <v>194</v>
      </c>
      <c r="AP44" s="846" t="s">
        <v>194</v>
      </c>
      <c r="AQ44" s="846" t="s">
        <v>194</v>
      </c>
    </row>
    <row r="45" ht="15.75" customHeight="1">
      <c r="A45" s="849">
        <v>1.0</v>
      </c>
      <c r="B45" s="15"/>
      <c r="C45" s="855" t="str">
        <f>"Provision for Income Tax"</f>
        <v>Provision for Income Tax</v>
      </c>
      <c r="D45" s="866">
        <f t="shared" si="1"/>
        <v>1112</v>
      </c>
      <c r="E45" s="866">
        <f t="shared" si="2"/>
        <v>-1964.75</v>
      </c>
      <c r="F45" s="866">
        <f t="shared" si="3"/>
        <v>-21587</v>
      </c>
      <c r="G45" s="866">
        <f t="shared" si="4"/>
        <v>8654</v>
      </c>
      <c r="H45" s="866">
        <f t="shared" si="5"/>
        <v>-2837.75</v>
      </c>
      <c r="I45" s="866">
        <f t="shared" si="6"/>
        <v>3163</v>
      </c>
      <c r="J45" s="866">
        <f t="shared" si="7"/>
        <v>9745.963366</v>
      </c>
      <c r="K45" s="867">
        <f t="shared" si="8"/>
        <v>-4.96040889</v>
      </c>
      <c r="L45" s="866" t="s">
        <v>194</v>
      </c>
      <c r="M45" s="866">
        <v>13.0</v>
      </c>
      <c r="N45" s="866">
        <v>18.0</v>
      </c>
      <c r="O45" s="866">
        <v>-21587.0</v>
      </c>
      <c r="P45" s="866">
        <v>3226.0</v>
      </c>
      <c r="Q45" s="866">
        <v>3142.0</v>
      </c>
      <c r="R45" s="866">
        <v>2206.0</v>
      </c>
      <c r="S45" s="866">
        <v>8654.0</v>
      </c>
      <c r="T45" s="866">
        <v>-11390.0</v>
      </c>
      <c r="U45" s="15"/>
      <c r="V45" s="851" t="s">
        <v>194</v>
      </c>
      <c r="W45" s="846" t="s">
        <v>194</v>
      </c>
      <c r="X45" s="846" t="s">
        <v>194</v>
      </c>
      <c r="Y45" s="846" t="s">
        <v>194</v>
      </c>
      <c r="Z45" s="846" t="s">
        <v>194</v>
      </c>
      <c r="AA45" s="846" t="s">
        <v>194</v>
      </c>
      <c r="AB45" s="846" t="s">
        <v>194</v>
      </c>
      <c r="AC45" s="846" t="s">
        <v>194</v>
      </c>
      <c r="AD45" s="846" t="s">
        <v>194</v>
      </c>
      <c r="AE45" s="846" t="s">
        <v>194</v>
      </c>
      <c r="AF45" s="846" t="s">
        <v>194</v>
      </c>
      <c r="AG45" s="846" t="s">
        <v>194</v>
      </c>
      <c r="AH45" s="846" t="s">
        <v>194</v>
      </c>
      <c r="AI45" s="846" t="s">
        <v>194</v>
      </c>
      <c r="AJ45" s="846" t="s">
        <v>194</v>
      </c>
      <c r="AK45" s="846" t="s">
        <v>194</v>
      </c>
      <c r="AL45" s="846" t="s">
        <v>194</v>
      </c>
      <c r="AM45" s="846" t="s">
        <v>194</v>
      </c>
      <c r="AN45" s="846" t="s">
        <v>194</v>
      </c>
      <c r="AO45" s="846" t="s">
        <v>194</v>
      </c>
      <c r="AP45" s="846" t="s">
        <v>194</v>
      </c>
      <c r="AQ45" s="846" t="s">
        <v>194</v>
      </c>
    </row>
    <row r="46" ht="15.75" customHeight="1">
      <c r="A46" s="849">
        <v>1.0</v>
      </c>
      <c r="B46" s="15"/>
      <c r="C46" s="855" t="str">
        <f>"Net Income from Continuing Operations"</f>
        <v>Net Income from Continuing Operations</v>
      </c>
      <c r="D46" s="866">
        <f t="shared" si="1"/>
        <v>16052</v>
      </c>
      <c r="E46" s="866">
        <f t="shared" si="2"/>
        <v>16971.75</v>
      </c>
      <c r="F46" s="866">
        <f t="shared" si="3"/>
        <v>-2002</v>
      </c>
      <c r="G46" s="866">
        <f t="shared" si="4"/>
        <v>51845</v>
      </c>
      <c r="H46" s="866">
        <f t="shared" si="5"/>
        <v>5260.5</v>
      </c>
      <c r="I46" s="866">
        <f t="shared" si="6"/>
        <v>22110.25</v>
      </c>
      <c r="J46" s="866">
        <f t="shared" si="7"/>
        <v>17228.57606</v>
      </c>
      <c r="K46" s="867">
        <f t="shared" si="8"/>
        <v>1.015132562</v>
      </c>
      <c r="L46" s="866" t="s">
        <v>194</v>
      </c>
      <c r="M46" s="866">
        <v>-2002.0</v>
      </c>
      <c r="N46" s="866">
        <v>564.0</v>
      </c>
      <c r="O46" s="866">
        <v>25435.0</v>
      </c>
      <c r="P46" s="866">
        <v>6826.0</v>
      </c>
      <c r="Q46" s="866">
        <v>11585.0</v>
      </c>
      <c r="R46" s="866">
        <v>20519.0</v>
      </c>
      <c r="S46" s="866">
        <v>21002.0</v>
      </c>
      <c r="T46" s="866">
        <v>51845.0</v>
      </c>
      <c r="U46" s="15"/>
      <c r="V46" s="851" t="s">
        <v>194</v>
      </c>
      <c r="W46" s="846" t="s">
        <v>194</v>
      </c>
      <c r="X46" s="846" t="s">
        <v>194</v>
      </c>
      <c r="Y46" s="846" t="s">
        <v>194</v>
      </c>
      <c r="Z46" s="846" t="s">
        <v>194</v>
      </c>
      <c r="AA46" s="846" t="s">
        <v>194</v>
      </c>
      <c r="AB46" s="846" t="s">
        <v>194</v>
      </c>
      <c r="AC46" s="846" t="s">
        <v>194</v>
      </c>
      <c r="AD46" s="846" t="s">
        <v>194</v>
      </c>
      <c r="AE46" s="846" t="s">
        <v>194</v>
      </c>
      <c r="AF46" s="846" t="s">
        <v>194</v>
      </c>
      <c r="AG46" s="846" t="s">
        <v>194</v>
      </c>
      <c r="AH46" s="846" t="s">
        <v>194</v>
      </c>
      <c r="AI46" s="846" t="s">
        <v>194</v>
      </c>
      <c r="AJ46" s="846" t="s">
        <v>194</v>
      </c>
      <c r="AK46" s="846" t="s">
        <v>194</v>
      </c>
      <c r="AL46" s="846" t="s">
        <v>194</v>
      </c>
      <c r="AM46" s="846" t="s">
        <v>194</v>
      </c>
      <c r="AN46" s="846" t="s">
        <v>194</v>
      </c>
      <c r="AO46" s="846" t="s">
        <v>194</v>
      </c>
      <c r="AP46" s="846" t="s">
        <v>194</v>
      </c>
      <c r="AQ46" s="846" t="s">
        <v>194</v>
      </c>
    </row>
    <row r="47" ht="15.75" customHeight="1">
      <c r="A47" s="849">
        <v>1.0</v>
      </c>
      <c r="B47" s="15"/>
      <c r="C47" s="855" t="str">
        <f>"Net Income after Extraordinary Items and Discontinued Operations"</f>
        <v>Net Income after Extraordinary Items and Discontinued Operations</v>
      </c>
      <c r="D47" s="866">
        <f t="shared" si="1"/>
        <v>16052</v>
      </c>
      <c r="E47" s="866">
        <f t="shared" si="2"/>
        <v>16971.75</v>
      </c>
      <c r="F47" s="866">
        <f t="shared" si="3"/>
        <v>-2002</v>
      </c>
      <c r="G47" s="866">
        <f t="shared" si="4"/>
        <v>51845</v>
      </c>
      <c r="H47" s="866">
        <f t="shared" si="5"/>
        <v>5260.5</v>
      </c>
      <c r="I47" s="866">
        <f t="shared" si="6"/>
        <v>22110.25</v>
      </c>
      <c r="J47" s="866">
        <f t="shared" si="7"/>
        <v>17228.57606</v>
      </c>
      <c r="K47" s="867">
        <f t="shared" si="8"/>
        <v>1.015132562</v>
      </c>
      <c r="L47" s="866" t="s">
        <v>194</v>
      </c>
      <c r="M47" s="866">
        <v>-2002.0</v>
      </c>
      <c r="N47" s="866">
        <v>564.0</v>
      </c>
      <c r="O47" s="866">
        <v>25435.0</v>
      </c>
      <c r="P47" s="866">
        <v>6826.0</v>
      </c>
      <c r="Q47" s="866">
        <v>11585.0</v>
      </c>
      <c r="R47" s="866">
        <v>20519.0</v>
      </c>
      <c r="S47" s="866">
        <v>21002.0</v>
      </c>
      <c r="T47" s="866">
        <v>51845.0</v>
      </c>
      <c r="U47" s="15"/>
      <c r="V47" s="851" t="s">
        <v>194</v>
      </c>
      <c r="W47" s="846" t="s">
        <v>194</v>
      </c>
      <c r="X47" s="846" t="s">
        <v>194</v>
      </c>
      <c r="Y47" s="846" t="s">
        <v>194</v>
      </c>
      <c r="Z47" s="846" t="s">
        <v>194</v>
      </c>
      <c r="AA47" s="846" t="s">
        <v>194</v>
      </c>
      <c r="AB47" s="846" t="s">
        <v>194</v>
      </c>
      <c r="AC47" s="846" t="s">
        <v>194</v>
      </c>
      <c r="AD47" s="846" t="s">
        <v>194</v>
      </c>
      <c r="AE47" s="846" t="s">
        <v>194</v>
      </c>
      <c r="AF47" s="846" t="s">
        <v>194</v>
      </c>
      <c r="AG47" s="846" t="s">
        <v>194</v>
      </c>
      <c r="AH47" s="846" t="s">
        <v>194</v>
      </c>
      <c r="AI47" s="846" t="s">
        <v>194</v>
      </c>
      <c r="AJ47" s="846" t="s">
        <v>194</v>
      </c>
      <c r="AK47" s="846" t="s">
        <v>194</v>
      </c>
      <c r="AL47" s="846" t="s">
        <v>194</v>
      </c>
      <c r="AM47" s="846" t="s">
        <v>194</v>
      </c>
      <c r="AN47" s="846" t="s">
        <v>194</v>
      </c>
      <c r="AO47" s="846" t="s">
        <v>194</v>
      </c>
      <c r="AP47" s="846" t="s">
        <v>194</v>
      </c>
      <c r="AQ47" s="846" t="s">
        <v>194</v>
      </c>
    </row>
    <row r="48" ht="15.75" customHeight="1">
      <c r="A48" s="849">
        <v>1.0</v>
      </c>
      <c r="B48" s="15"/>
      <c r="C48" s="855" t="str">
        <f>"Net Income after Non-Controlling/Minority Interests"</f>
        <v>Net Income after Non-Controlling/Minority Interests</v>
      </c>
      <c r="D48" s="866">
        <f t="shared" si="1"/>
        <v>16052</v>
      </c>
      <c r="E48" s="866">
        <f t="shared" si="2"/>
        <v>16971.75</v>
      </c>
      <c r="F48" s="866">
        <f t="shared" si="3"/>
        <v>-2002</v>
      </c>
      <c r="G48" s="866">
        <f t="shared" si="4"/>
        <v>51845</v>
      </c>
      <c r="H48" s="866">
        <f t="shared" si="5"/>
        <v>5260.5</v>
      </c>
      <c r="I48" s="866">
        <f t="shared" si="6"/>
        <v>22110.25</v>
      </c>
      <c r="J48" s="866">
        <f t="shared" si="7"/>
        <v>17228.57606</v>
      </c>
      <c r="K48" s="867">
        <f t="shared" si="8"/>
        <v>1.015132562</v>
      </c>
      <c r="L48" s="866" t="s">
        <v>194</v>
      </c>
      <c r="M48" s="866">
        <v>-2002.0</v>
      </c>
      <c r="N48" s="866">
        <v>564.0</v>
      </c>
      <c r="O48" s="866">
        <v>25435.0</v>
      </c>
      <c r="P48" s="866">
        <v>6826.0</v>
      </c>
      <c r="Q48" s="866">
        <v>11585.0</v>
      </c>
      <c r="R48" s="866">
        <v>20519.0</v>
      </c>
      <c r="S48" s="866">
        <v>21002.0</v>
      </c>
      <c r="T48" s="866">
        <v>51845.0</v>
      </c>
      <c r="U48" s="15"/>
      <c r="V48" s="851" t="s">
        <v>194</v>
      </c>
      <c r="W48" s="846" t="s">
        <v>194</v>
      </c>
      <c r="X48" s="846" t="s">
        <v>194</v>
      </c>
      <c r="Y48" s="846" t="s">
        <v>194</v>
      </c>
      <c r="Z48" s="846" t="s">
        <v>194</v>
      </c>
      <c r="AA48" s="846" t="s">
        <v>194</v>
      </c>
      <c r="AB48" s="846" t="s">
        <v>194</v>
      </c>
      <c r="AC48" s="846" t="s">
        <v>194</v>
      </c>
      <c r="AD48" s="846" t="s">
        <v>194</v>
      </c>
      <c r="AE48" s="846" t="s">
        <v>194</v>
      </c>
      <c r="AF48" s="846" t="s">
        <v>194</v>
      </c>
      <c r="AG48" s="846" t="s">
        <v>194</v>
      </c>
      <c r="AH48" s="846" t="s">
        <v>194</v>
      </c>
      <c r="AI48" s="846" t="s">
        <v>194</v>
      </c>
      <c r="AJ48" s="846" t="s">
        <v>194</v>
      </c>
      <c r="AK48" s="846" t="s">
        <v>194</v>
      </c>
      <c r="AL48" s="846" t="s">
        <v>194</v>
      </c>
      <c r="AM48" s="846" t="s">
        <v>194</v>
      </c>
      <c r="AN48" s="846" t="s">
        <v>194</v>
      </c>
      <c r="AO48" s="846" t="s">
        <v>194</v>
      </c>
      <c r="AP48" s="846" t="s">
        <v>194</v>
      </c>
      <c r="AQ48" s="846" t="s">
        <v>194</v>
      </c>
    </row>
    <row r="49" ht="15.75" customHeight="1">
      <c r="A49" s="849">
        <v>1.0</v>
      </c>
      <c r="B49" s="15"/>
      <c r="C49" s="855" t="str">
        <f>IF(SUBTOTAL(109,A50)=A50,"Preferred/Other Stock Distribution","Preferred/Other Stock Distribution")</f>
        <v>Preferred/Other Stock Distribution</v>
      </c>
      <c r="D49" s="866" t="str">
        <f t="shared" si="1"/>
        <v/>
      </c>
      <c r="E49" s="866" t="str">
        <f t="shared" si="2"/>
        <v/>
      </c>
      <c r="F49" s="866" t="str">
        <f t="shared" si="3"/>
        <v/>
      </c>
      <c r="G49" s="866" t="str">
        <f t="shared" si="4"/>
        <v/>
      </c>
      <c r="H49" s="866" t="str">
        <f t="shared" si="5"/>
        <v/>
      </c>
      <c r="I49" s="866" t="str">
        <f t="shared" si="6"/>
        <v/>
      </c>
      <c r="J49" s="866" t="str">
        <f t="shared" si="7"/>
        <v/>
      </c>
      <c r="K49" s="867" t="str">
        <f t="shared" si="8"/>
        <v/>
      </c>
      <c r="L49" s="866" t="s">
        <v>194</v>
      </c>
      <c r="M49" s="866" t="str">
        <f>IF(SUBTOTAL(109,#REF!)=#REF!,"",3027)</f>
        <v>#VALUE!</v>
      </c>
      <c r="N49" s="866" t="str">
        <f>IF(SUBTOTAL(109,#REF!)=#REF!,"",5781)</f>
        <v>#VALUE!</v>
      </c>
      <c r="O49" s="866" t="str">
        <f>IF(SUBTOTAL(109,#REF!)=#REF!,"",25224)</f>
        <v>#VALUE!</v>
      </c>
      <c r="P49" s="866" t="str">
        <f>IF(SUBTOTAL(109,#REF!)=#REF!,"",1554)</f>
        <v>#VALUE!</v>
      </c>
      <c r="Q49" s="866" t="str">
        <f>IF(SUBTOTAL(109,B50)=B50,"",0)</f>
        <v/>
      </c>
      <c r="R49" s="866" t="str">
        <f>IF(SUBTOTAL(109,D50)=D50,"","")</f>
        <v/>
      </c>
      <c r="S49" s="866" t="str">
        <f>IF(SUBTOTAL(109,F50)=F50,"","")</f>
        <v/>
      </c>
      <c r="T49" s="866" t="str">
        <f>IF(SUBTOTAL(109,H50)=H50,"","")</f>
        <v/>
      </c>
      <c r="U49" s="15"/>
      <c r="V49" s="851" t="s">
        <v>194</v>
      </c>
      <c r="W49" s="846" t="s">
        <v>194</v>
      </c>
      <c r="X49" s="846" t="s">
        <v>194</v>
      </c>
      <c r="Y49" s="846" t="s">
        <v>194</v>
      </c>
      <c r="Z49" s="846" t="s">
        <v>194</v>
      </c>
      <c r="AA49" s="846" t="s">
        <v>194</v>
      </c>
      <c r="AB49" s="846" t="s">
        <v>194</v>
      </c>
      <c r="AC49" s="846" t="s">
        <v>194</v>
      </c>
      <c r="AD49" s="846" t="s">
        <v>194</v>
      </c>
      <c r="AE49" s="846" t="s">
        <v>194</v>
      </c>
      <c r="AF49" s="846" t="s">
        <v>194</v>
      </c>
      <c r="AG49" s="846" t="s">
        <v>194</v>
      </c>
      <c r="AH49" s="846" t="s">
        <v>194</v>
      </c>
      <c r="AI49" s="846" t="s">
        <v>194</v>
      </c>
      <c r="AJ49" s="846" t="s">
        <v>194</v>
      </c>
      <c r="AK49" s="846" t="s">
        <v>194</v>
      </c>
      <c r="AL49" s="846" t="s">
        <v>194</v>
      </c>
      <c r="AM49" s="846" t="s">
        <v>194</v>
      </c>
      <c r="AN49" s="846" t="s">
        <v>194</v>
      </c>
      <c r="AO49" s="846" t="s">
        <v>194</v>
      </c>
      <c r="AP49" s="846" t="s">
        <v>194</v>
      </c>
      <c r="AQ49" s="846" t="s">
        <v>194</v>
      </c>
    </row>
    <row r="50" ht="15.75" customHeight="1" outlineLevel="1">
      <c r="A50" s="849">
        <v>1.0</v>
      </c>
      <c r="B50" s="15"/>
      <c r="C50" s="869" t="str">
        <f>"    Preferred Stock Dividends"</f>
        <v>    Preferred Stock Dividends</v>
      </c>
      <c r="D50" s="870">
        <f t="shared" si="1"/>
        <v>0</v>
      </c>
      <c r="E50" s="870">
        <f t="shared" si="2"/>
        <v>2269.6</v>
      </c>
      <c r="F50" s="870">
        <f t="shared" si="3"/>
        <v>0</v>
      </c>
      <c r="G50" s="870">
        <f t="shared" si="4"/>
        <v>10781</v>
      </c>
      <c r="H50" s="870">
        <f t="shared" si="5"/>
        <v>0</v>
      </c>
      <c r="I50" s="870">
        <f t="shared" si="6"/>
        <v>567</v>
      </c>
      <c r="J50" s="870">
        <f t="shared" si="7"/>
        <v>4764.347521</v>
      </c>
      <c r="K50" s="871">
        <f t="shared" si="8"/>
        <v>2.09920141</v>
      </c>
      <c r="L50" s="872" t="s">
        <v>194</v>
      </c>
      <c r="M50" s="872">
        <v>0.0</v>
      </c>
      <c r="N50" s="872">
        <v>0.0</v>
      </c>
      <c r="O50" s="872">
        <v>10781.0</v>
      </c>
      <c r="P50" s="872">
        <v>567.0</v>
      </c>
      <c r="Q50" s="872">
        <v>0.0</v>
      </c>
      <c r="R50" s="872" t="s">
        <v>194</v>
      </c>
      <c r="S50" s="872" t="s">
        <v>194</v>
      </c>
      <c r="T50" s="872" t="s">
        <v>194</v>
      </c>
      <c r="U50" s="15"/>
      <c r="V50" s="851" t="s">
        <v>194</v>
      </c>
      <c r="W50" s="846" t="s">
        <v>194</v>
      </c>
      <c r="X50" s="846" t="s">
        <v>194</v>
      </c>
      <c r="Y50" s="846" t="s">
        <v>194</v>
      </c>
      <c r="Z50" s="846" t="s">
        <v>194</v>
      </c>
      <c r="AA50" s="846" t="s">
        <v>194</v>
      </c>
      <c r="AB50" s="846" t="s">
        <v>194</v>
      </c>
      <c r="AC50" s="846" t="s">
        <v>194</v>
      </c>
      <c r="AD50" s="846" t="s">
        <v>194</v>
      </c>
      <c r="AE50" s="846" t="s">
        <v>194</v>
      </c>
      <c r="AF50" s="846" t="s">
        <v>194</v>
      </c>
      <c r="AG50" s="846" t="s">
        <v>194</v>
      </c>
      <c r="AH50" s="846" t="s">
        <v>194</v>
      </c>
      <c r="AI50" s="846" t="s">
        <v>194</v>
      </c>
      <c r="AJ50" s="846" t="s">
        <v>194</v>
      </c>
      <c r="AK50" s="846" t="s">
        <v>194</v>
      </c>
      <c r="AL50" s="846" t="s">
        <v>194</v>
      </c>
      <c r="AM50" s="846" t="s">
        <v>194</v>
      </c>
      <c r="AN50" s="846" t="s">
        <v>194</v>
      </c>
      <c r="AO50" s="846" t="s">
        <v>194</v>
      </c>
      <c r="AP50" s="846" t="s">
        <v>194</v>
      </c>
      <c r="AQ50" s="846" t="s">
        <v>194</v>
      </c>
    </row>
    <row r="51" ht="15.75" customHeight="1" outlineLevel="1">
      <c r="A51" s="849">
        <v>1.0</v>
      </c>
      <c r="B51" s="15"/>
      <c r="C51" s="869" t="str">
        <f>"    Convertible Preferred Stock Dividends"</f>
        <v>    Convertible Preferred Stock Dividends</v>
      </c>
      <c r="D51" s="870">
        <f t="shared" si="1"/>
        <v>3027</v>
      </c>
      <c r="E51" s="870">
        <f t="shared" si="2"/>
        <v>3414.6</v>
      </c>
      <c r="F51" s="870">
        <f t="shared" si="3"/>
        <v>0</v>
      </c>
      <c r="G51" s="870">
        <f t="shared" si="4"/>
        <v>7278</v>
      </c>
      <c r="H51" s="870">
        <f t="shared" si="5"/>
        <v>987</v>
      </c>
      <c r="I51" s="870">
        <f t="shared" si="6"/>
        <v>5781</v>
      </c>
      <c r="J51" s="870">
        <f t="shared" si="7"/>
        <v>3091.467176</v>
      </c>
      <c r="K51" s="871">
        <f t="shared" si="8"/>
        <v>0.9053672981</v>
      </c>
      <c r="L51" s="872" t="s">
        <v>194</v>
      </c>
      <c r="M51" s="872">
        <v>3027.0</v>
      </c>
      <c r="N51" s="872">
        <v>5781.0</v>
      </c>
      <c r="O51" s="872">
        <v>7278.0</v>
      </c>
      <c r="P51" s="872">
        <v>987.0</v>
      </c>
      <c r="Q51" s="872">
        <v>0.0</v>
      </c>
      <c r="R51" s="872" t="s">
        <v>194</v>
      </c>
      <c r="S51" s="872" t="s">
        <v>194</v>
      </c>
      <c r="T51" s="872" t="s">
        <v>194</v>
      </c>
      <c r="U51" s="15"/>
      <c r="V51" s="851" t="s">
        <v>194</v>
      </c>
      <c r="W51" s="846" t="s">
        <v>194</v>
      </c>
      <c r="X51" s="846" t="s">
        <v>194</v>
      </c>
      <c r="Y51" s="846" t="s">
        <v>194</v>
      </c>
      <c r="Z51" s="846" t="s">
        <v>194</v>
      </c>
      <c r="AA51" s="846" t="s">
        <v>194</v>
      </c>
      <c r="AB51" s="846" t="s">
        <v>194</v>
      </c>
      <c r="AC51" s="846" t="s">
        <v>194</v>
      </c>
      <c r="AD51" s="846" t="s">
        <v>194</v>
      </c>
      <c r="AE51" s="846" t="s">
        <v>194</v>
      </c>
      <c r="AF51" s="846" t="s">
        <v>194</v>
      </c>
      <c r="AG51" s="846" t="s">
        <v>194</v>
      </c>
      <c r="AH51" s="846" t="s">
        <v>194</v>
      </c>
      <c r="AI51" s="846" t="s">
        <v>194</v>
      </c>
      <c r="AJ51" s="846" t="s">
        <v>194</v>
      </c>
      <c r="AK51" s="846" t="s">
        <v>194</v>
      </c>
      <c r="AL51" s="846" t="s">
        <v>194</v>
      </c>
      <c r="AM51" s="846" t="s">
        <v>194</v>
      </c>
      <c r="AN51" s="846" t="s">
        <v>194</v>
      </c>
      <c r="AO51" s="846" t="s">
        <v>194</v>
      </c>
      <c r="AP51" s="846" t="s">
        <v>194</v>
      </c>
      <c r="AQ51" s="846" t="s">
        <v>194</v>
      </c>
    </row>
    <row r="52" ht="15.75" customHeight="1" outlineLevel="1">
      <c r="A52" s="849">
        <v>1.0</v>
      </c>
      <c r="B52" s="15"/>
      <c r="C52" s="869" t="str">
        <f>"    Other Distributions"</f>
        <v>    Other Distributions</v>
      </c>
      <c r="D52" s="870">
        <f t="shared" si="1"/>
        <v>0</v>
      </c>
      <c r="E52" s="870">
        <f t="shared" si="2"/>
        <v>1791.25</v>
      </c>
      <c r="F52" s="870">
        <f t="shared" si="3"/>
        <v>0</v>
      </c>
      <c r="G52" s="870">
        <f t="shared" si="4"/>
        <v>7165</v>
      </c>
      <c r="H52" s="870">
        <f t="shared" si="5"/>
        <v>0</v>
      </c>
      <c r="I52" s="870">
        <f t="shared" si="6"/>
        <v>1791.25</v>
      </c>
      <c r="J52" s="870">
        <f t="shared" si="7"/>
        <v>3582.5</v>
      </c>
      <c r="K52" s="871">
        <f t="shared" si="8"/>
        <v>2</v>
      </c>
      <c r="L52" s="872" t="s">
        <v>194</v>
      </c>
      <c r="M52" s="872">
        <v>0.0</v>
      </c>
      <c r="N52" s="872">
        <v>0.0</v>
      </c>
      <c r="O52" s="872">
        <v>7165.0</v>
      </c>
      <c r="P52" s="872" t="s">
        <v>194</v>
      </c>
      <c r="Q52" s="872">
        <v>0.0</v>
      </c>
      <c r="R52" s="872" t="s">
        <v>194</v>
      </c>
      <c r="S52" s="872" t="s">
        <v>194</v>
      </c>
      <c r="T52" s="872" t="s">
        <v>194</v>
      </c>
      <c r="U52" s="15"/>
      <c r="V52" s="851" t="s">
        <v>194</v>
      </c>
      <c r="W52" s="846" t="s">
        <v>194</v>
      </c>
      <c r="X52" s="846" t="s">
        <v>194</v>
      </c>
      <c r="Y52" s="846" t="s">
        <v>194</v>
      </c>
      <c r="Z52" s="846" t="s">
        <v>194</v>
      </c>
      <c r="AA52" s="846" t="s">
        <v>194</v>
      </c>
      <c r="AB52" s="846" t="s">
        <v>194</v>
      </c>
      <c r="AC52" s="846" t="s">
        <v>194</v>
      </c>
      <c r="AD52" s="846" t="s">
        <v>194</v>
      </c>
      <c r="AE52" s="846" t="s">
        <v>194</v>
      </c>
      <c r="AF52" s="846" t="s">
        <v>194</v>
      </c>
      <c r="AG52" s="846" t="s">
        <v>194</v>
      </c>
      <c r="AH52" s="846" t="s">
        <v>194</v>
      </c>
      <c r="AI52" s="846" t="s">
        <v>194</v>
      </c>
      <c r="AJ52" s="846" t="s">
        <v>194</v>
      </c>
      <c r="AK52" s="846" t="s">
        <v>194</v>
      </c>
      <c r="AL52" s="846" t="s">
        <v>194</v>
      </c>
      <c r="AM52" s="846" t="s">
        <v>194</v>
      </c>
      <c r="AN52" s="846" t="s">
        <v>194</v>
      </c>
      <c r="AO52" s="846" t="s">
        <v>194</v>
      </c>
      <c r="AP52" s="846" t="s">
        <v>194</v>
      </c>
      <c r="AQ52" s="846" t="s">
        <v>194</v>
      </c>
    </row>
    <row r="53" ht="15.75" customHeight="1" outlineLevel="1">
      <c r="A53" s="849">
        <v>1.0</v>
      </c>
      <c r="B53" s="15"/>
      <c r="C53" s="855" t="str">
        <f>"    Total Preferred/Other Stock Distribution"</f>
        <v>    Total Preferred/Other Stock Distribution</v>
      </c>
      <c r="D53" s="882">
        <f t="shared" si="1"/>
        <v>3027</v>
      </c>
      <c r="E53" s="882">
        <f t="shared" si="2"/>
        <v>7117.2</v>
      </c>
      <c r="F53" s="882">
        <f t="shared" si="3"/>
        <v>0</v>
      </c>
      <c r="G53" s="882">
        <f t="shared" si="4"/>
        <v>25224</v>
      </c>
      <c r="H53" s="882">
        <f t="shared" si="5"/>
        <v>1554</v>
      </c>
      <c r="I53" s="882">
        <f t="shared" si="6"/>
        <v>5781</v>
      </c>
      <c r="J53" s="882">
        <f t="shared" si="7"/>
        <v>10343.77957</v>
      </c>
      <c r="K53" s="883">
        <f t="shared" si="8"/>
        <v>1.453349571</v>
      </c>
      <c r="L53" s="882" t="s">
        <v>194</v>
      </c>
      <c r="M53" s="882">
        <v>3027.0</v>
      </c>
      <c r="N53" s="882">
        <v>5781.0</v>
      </c>
      <c r="O53" s="882">
        <v>25224.0</v>
      </c>
      <c r="P53" s="882">
        <v>1554.0</v>
      </c>
      <c r="Q53" s="882">
        <v>0.0</v>
      </c>
      <c r="R53" s="882" t="s">
        <v>194</v>
      </c>
      <c r="S53" s="882" t="s">
        <v>194</v>
      </c>
      <c r="T53" s="882" t="s">
        <v>194</v>
      </c>
      <c r="U53" s="15"/>
      <c r="V53" s="851" t="s">
        <v>194</v>
      </c>
      <c r="W53" s="846" t="s">
        <v>194</v>
      </c>
      <c r="X53" s="846" t="s">
        <v>194</v>
      </c>
      <c r="Y53" s="846" t="s">
        <v>194</v>
      </c>
      <c r="Z53" s="846" t="s">
        <v>194</v>
      </c>
      <c r="AA53" s="846" t="s">
        <v>194</v>
      </c>
      <c r="AB53" s="846" t="s">
        <v>194</v>
      </c>
      <c r="AC53" s="846" t="s">
        <v>194</v>
      </c>
      <c r="AD53" s="846" t="s">
        <v>194</v>
      </c>
      <c r="AE53" s="846" t="s">
        <v>194</v>
      </c>
      <c r="AF53" s="846" t="s">
        <v>194</v>
      </c>
      <c r="AG53" s="846" t="s">
        <v>194</v>
      </c>
      <c r="AH53" s="846" t="s">
        <v>194</v>
      </c>
      <c r="AI53" s="846" t="s">
        <v>194</v>
      </c>
      <c r="AJ53" s="846" t="s">
        <v>194</v>
      </c>
      <c r="AK53" s="846" t="s">
        <v>194</v>
      </c>
      <c r="AL53" s="846" t="s">
        <v>194</v>
      </c>
      <c r="AM53" s="846" t="s">
        <v>194</v>
      </c>
      <c r="AN53" s="846" t="s">
        <v>194</v>
      </c>
      <c r="AO53" s="846" t="s">
        <v>194</v>
      </c>
      <c r="AP53" s="846" t="s">
        <v>194</v>
      </c>
      <c r="AQ53" s="846" t="s">
        <v>194</v>
      </c>
    </row>
    <row r="54" ht="15.75" customHeight="1">
      <c r="A54" s="849">
        <v>1.0</v>
      </c>
      <c r="B54" s="15"/>
      <c r="C54" s="855" t="str">
        <f>"Net Income Available to Common Stockholders"</f>
        <v>Net Income Available to Common Stockholders</v>
      </c>
      <c r="D54" s="866">
        <f t="shared" si="1"/>
        <v>8428.5</v>
      </c>
      <c r="E54" s="866">
        <f t="shared" si="2"/>
        <v>12523.5</v>
      </c>
      <c r="F54" s="866">
        <f t="shared" si="3"/>
        <v>-5217</v>
      </c>
      <c r="G54" s="866">
        <f t="shared" si="4"/>
        <v>51845</v>
      </c>
      <c r="H54" s="866">
        <f t="shared" si="5"/>
        <v>-1099</v>
      </c>
      <c r="I54" s="866">
        <f t="shared" si="6"/>
        <v>20639.75</v>
      </c>
      <c r="J54" s="866">
        <f t="shared" si="7"/>
        <v>18935.49815</v>
      </c>
      <c r="K54" s="867">
        <f t="shared" si="8"/>
        <v>1.511997297</v>
      </c>
      <c r="L54" s="866" t="s">
        <v>194</v>
      </c>
      <c r="M54" s="866">
        <v>-5029.0</v>
      </c>
      <c r="N54" s="866">
        <v>-5217.0</v>
      </c>
      <c r="O54" s="866">
        <v>211.0</v>
      </c>
      <c r="P54" s="866">
        <v>5272.0</v>
      </c>
      <c r="Q54" s="866">
        <v>11585.0</v>
      </c>
      <c r="R54" s="866">
        <v>20519.0</v>
      </c>
      <c r="S54" s="866">
        <v>21002.0</v>
      </c>
      <c r="T54" s="866">
        <v>51845.0</v>
      </c>
      <c r="U54" s="15"/>
      <c r="V54" s="851" t="s">
        <v>194</v>
      </c>
      <c r="W54" s="846" t="s">
        <v>194</v>
      </c>
      <c r="X54" s="846" t="s">
        <v>194</v>
      </c>
      <c r="Y54" s="846" t="s">
        <v>194</v>
      </c>
      <c r="Z54" s="846" t="s">
        <v>194</v>
      </c>
      <c r="AA54" s="846" t="s">
        <v>194</v>
      </c>
      <c r="AB54" s="846" t="s">
        <v>194</v>
      </c>
      <c r="AC54" s="846" t="s">
        <v>194</v>
      </c>
      <c r="AD54" s="846" t="s">
        <v>194</v>
      </c>
      <c r="AE54" s="846" t="s">
        <v>194</v>
      </c>
      <c r="AF54" s="846" t="s">
        <v>194</v>
      </c>
      <c r="AG54" s="846" t="s">
        <v>194</v>
      </c>
      <c r="AH54" s="846" t="s">
        <v>194</v>
      </c>
      <c r="AI54" s="846" t="s">
        <v>194</v>
      </c>
      <c r="AJ54" s="846" t="s">
        <v>194</v>
      </c>
      <c r="AK54" s="846" t="s">
        <v>194</v>
      </c>
      <c r="AL54" s="846" t="s">
        <v>194</v>
      </c>
      <c r="AM54" s="846" t="s">
        <v>194</v>
      </c>
      <c r="AN54" s="846" t="s">
        <v>194</v>
      </c>
      <c r="AO54" s="846" t="s">
        <v>194</v>
      </c>
      <c r="AP54" s="846" t="s">
        <v>194</v>
      </c>
      <c r="AQ54" s="846" t="s">
        <v>194</v>
      </c>
    </row>
    <row r="55" ht="15.75" customHeight="1">
      <c r="A55" s="849">
        <v>1.0</v>
      </c>
      <c r="B55" s="15"/>
      <c r="C55" s="855" t="str">
        <f>"Dilution to Earnings"</f>
        <v>Dilution to Earnings</v>
      </c>
      <c r="D55" s="866">
        <f t="shared" si="1"/>
        <v>0</v>
      </c>
      <c r="E55" s="866">
        <f t="shared" si="2"/>
        <v>241.8</v>
      </c>
      <c r="F55" s="866">
        <f t="shared" si="3"/>
        <v>0</v>
      </c>
      <c r="G55" s="866">
        <f t="shared" si="4"/>
        <v>1156</v>
      </c>
      <c r="H55" s="866">
        <f t="shared" si="5"/>
        <v>0</v>
      </c>
      <c r="I55" s="866">
        <f t="shared" si="6"/>
        <v>53</v>
      </c>
      <c r="J55" s="866">
        <f t="shared" si="7"/>
        <v>511.5683728</v>
      </c>
      <c r="K55" s="867">
        <f t="shared" si="8"/>
        <v>2.115667381</v>
      </c>
      <c r="L55" s="866" t="s">
        <v>194</v>
      </c>
      <c r="M55" s="866">
        <v>0.0</v>
      </c>
      <c r="N55" s="866">
        <v>0.0</v>
      </c>
      <c r="O55" s="866">
        <v>1156.0</v>
      </c>
      <c r="P55" s="866">
        <v>53.0</v>
      </c>
      <c r="Q55" s="866">
        <v>0.0</v>
      </c>
      <c r="R55" s="866" t="s">
        <v>194</v>
      </c>
      <c r="S55" s="866" t="s">
        <v>194</v>
      </c>
      <c r="T55" s="866" t="s">
        <v>194</v>
      </c>
      <c r="U55" s="15"/>
      <c r="V55" s="851" t="s">
        <v>194</v>
      </c>
      <c r="W55" s="846" t="s">
        <v>194</v>
      </c>
      <c r="X55" s="846" t="s">
        <v>194</v>
      </c>
      <c r="Y55" s="846" t="s">
        <v>194</v>
      </c>
      <c r="Z55" s="846" t="s">
        <v>194</v>
      </c>
      <c r="AA55" s="846" t="s">
        <v>194</v>
      </c>
      <c r="AB55" s="846" t="s">
        <v>194</v>
      </c>
      <c r="AC55" s="846" t="s">
        <v>194</v>
      </c>
      <c r="AD55" s="846" t="s">
        <v>194</v>
      </c>
      <c r="AE55" s="846" t="s">
        <v>194</v>
      </c>
      <c r="AF55" s="846" t="s">
        <v>194</v>
      </c>
      <c r="AG55" s="846" t="s">
        <v>194</v>
      </c>
      <c r="AH55" s="846" t="s">
        <v>194</v>
      </c>
      <c r="AI55" s="846" t="s">
        <v>194</v>
      </c>
      <c r="AJ55" s="846" t="s">
        <v>194</v>
      </c>
      <c r="AK55" s="846" t="s">
        <v>194</v>
      </c>
      <c r="AL55" s="846" t="s">
        <v>194</v>
      </c>
      <c r="AM55" s="846" t="s">
        <v>194</v>
      </c>
      <c r="AN55" s="846" t="s">
        <v>194</v>
      </c>
      <c r="AO55" s="846" t="s">
        <v>194</v>
      </c>
      <c r="AP55" s="846" t="s">
        <v>194</v>
      </c>
      <c r="AQ55" s="846" t="s">
        <v>194</v>
      </c>
    </row>
    <row r="56" ht="15.75" customHeight="1">
      <c r="A56" s="849">
        <v>1.0</v>
      </c>
      <c r="B56" s="15"/>
      <c r="C56" s="855" t="str">
        <f>"Diluted Net Income Available to Common Stockholders"</f>
        <v>Diluted Net Income Available to Common Stockholders</v>
      </c>
      <c r="D56" s="866">
        <f t="shared" si="1"/>
        <v>8455</v>
      </c>
      <c r="E56" s="866">
        <f t="shared" si="2"/>
        <v>12674.625</v>
      </c>
      <c r="F56" s="866">
        <f t="shared" si="3"/>
        <v>-5217</v>
      </c>
      <c r="G56" s="866">
        <f t="shared" si="4"/>
        <v>51845</v>
      </c>
      <c r="H56" s="866">
        <f t="shared" si="5"/>
        <v>-232</v>
      </c>
      <c r="I56" s="866">
        <f t="shared" si="6"/>
        <v>20639.75</v>
      </c>
      <c r="J56" s="866">
        <f t="shared" si="7"/>
        <v>18829.28156</v>
      </c>
      <c r="K56" s="867">
        <f t="shared" si="8"/>
        <v>1.485588848</v>
      </c>
      <c r="L56" s="866" t="s">
        <v>194</v>
      </c>
      <c r="M56" s="866">
        <v>-5029.0</v>
      </c>
      <c r="N56" s="866">
        <v>-5217.0</v>
      </c>
      <c r="O56" s="866">
        <v>1367.0</v>
      </c>
      <c r="P56" s="866">
        <v>5325.0</v>
      </c>
      <c r="Q56" s="866">
        <v>11585.0</v>
      </c>
      <c r="R56" s="866">
        <v>20519.0</v>
      </c>
      <c r="S56" s="866">
        <v>21002.0</v>
      </c>
      <c r="T56" s="866">
        <v>51845.0</v>
      </c>
      <c r="U56" s="15"/>
      <c r="V56" s="851" t="s">
        <v>194</v>
      </c>
      <c r="W56" s="846" t="s">
        <v>194</v>
      </c>
      <c r="X56" s="846" t="s">
        <v>194</v>
      </c>
      <c r="Y56" s="846" t="s">
        <v>194</v>
      </c>
      <c r="Z56" s="846" t="s">
        <v>194</v>
      </c>
      <c r="AA56" s="846" t="s">
        <v>194</v>
      </c>
      <c r="AB56" s="846" t="s">
        <v>194</v>
      </c>
      <c r="AC56" s="846" t="s">
        <v>194</v>
      </c>
      <c r="AD56" s="846" t="s">
        <v>194</v>
      </c>
      <c r="AE56" s="846" t="s">
        <v>194</v>
      </c>
      <c r="AF56" s="846" t="s">
        <v>194</v>
      </c>
      <c r="AG56" s="846" t="s">
        <v>194</v>
      </c>
      <c r="AH56" s="846" t="s">
        <v>194</v>
      </c>
      <c r="AI56" s="846" t="s">
        <v>194</v>
      </c>
      <c r="AJ56" s="846" t="s">
        <v>194</v>
      </c>
      <c r="AK56" s="846" t="s">
        <v>194</v>
      </c>
      <c r="AL56" s="846" t="s">
        <v>194</v>
      </c>
      <c r="AM56" s="846" t="s">
        <v>194</v>
      </c>
      <c r="AN56" s="846" t="s">
        <v>194</v>
      </c>
      <c r="AO56" s="846" t="s">
        <v>194</v>
      </c>
      <c r="AP56" s="846" t="s">
        <v>194</v>
      </c>
      <c r="AQ56" s="846" t="s">
        <v>194</v>
      </c>
    </row>
    <row r="57" ht="15.75" customHeight="1">
      <c r="A57" s="849">
        <v>1.0</v>
      </c>
      <c r="B57" s="15"/>
      <c r="C57" s="855" t="str">
        <f>IF(SUBTOTAL(109,A58)=A58,"Basic EPS","Basic EPS")</f>
        <v>Basic EPS</v>
      </c>
      <c r="D57" s="867" t="str">
        <f t="shared" si="1"/>
        <v/>
      </c>
      <c r="E57" s="867" t="str">
        <f t="shared" si="2"/>
        <v/>
      </c>
      <c r="F57" s="867" t="str">
        <f t="shared" si="3"/>
        <v/>
      </c>
      <c r="G57" s="867" t="str">
        <f t="shared" si="4"/>
        <v/>
      </c>
      <c r="H57" s="867" t="str">
        <f t="shared" si="5"/>
        <v/>
      </c>
      <c r="I57" s="867" t="str">
        <f t="shared" si="6"/>
        <v/>
      </c>
      <c r="J57" s="867" t="str">
        <f t="shared" si="7"/>
        <v/>
      </c>
      <c r="K57" s="867" t="str">
        <f t="shared" si="8"/>
        <v/>
      </c>
      <c r="L57" s="867" t="s">
        <v>194</v>
      </c>
      <c r="M57" s="867" t="str">
        <f>IF(SUBTOTAL(109,#REF!)=#REF!,"",-20.15)</f>
        <v>#VALUE!</v>
      </c>
      <c r="N57" s="867" t="str">
        <f>IF(SUBTOTAL(109,#REF!)=#REF!,"",0.04)</f>
        <v>#VALUE!</v>
      </c>
      <c r="O57" s="867" t="str">
        <f>IF(SUBTOTAL(109,#REF!)=#REF!,"",0.014535)</f>
        <v>#VALUE!</v>
      </c>
      <c r="P57" s="867" t="str">
        <f>IF(SUBTOTAL(109,#REF!)=#REF!,"",0.33)</f>
        <v>#VALUE!</v>
      </c>
      <c r="Q57" s="867" t="str">
        <f>IF(SUBTOTAL(109,B58)=B58,"",0.6)</f>
        <v/>
      </c>
      <c r="R57" s="867" t="str">
        <f>IF(SUBTOTAL(109,D58)=D58,"",1.02)</f>
        <v/>
      </c>
      <c r="S57" s="867" t="str">
        <f>IF(SUBTOTAL(109,F58)=F58,"",1.02)</f>
        <v/>
      </c>
      <c r="T57" s="867" t="str">
        <f>IF(SUBTOTAL(109,H58)=H58,"",2.44)</f>
        <v/>
      </c>
      <c r="U57" s="15"/>
      <c r="V57" s="851" t="s">
        <v>194</v>
      </c>
      <c r="W57" s="846" t="s">
        <v>194</v>
      </c>
      <c r="X57" s="846" t="s">
        <v>194</v>
      </c>
      <c r="Y57" s="846" t="s">
        <v>194</v>
      </c>
      <c r="Z57" s="846" t="s">
        <v>194</v>
      </c>
      <c r="AA57" s="846" t="s">
        <v>194</v>
      </c>
      <c r="AB57" s="846" t="s">
        <v>194</v>
      </c>
      <c r="AC57" s="846" t="s">
        <v>194</v>
      </c>
      <c r="AD57" s="846" t="s">
        <v>194</v>
      </c>
      <c r="AE57" s="846" t="s">
        <v>194</v>
      </c>
      <c r="AF57" s="846" t="s">
        <v>194</v>
      </c>
      <c r="AG57" s="846" t="s">
        <v>194</v>
      </c>
      <c r="AH57" s="846" t="s">
        <v>194</v>
      </c>
      <c r="AI57" s="846" t="s">
        <v>194</v>
      </c>
      <c r="AJ57" s="846" t="s">
        <v>194</v>
      </c>
      <c r="AK57" s="846" t="s">
        <v>194</v>
      </c>
      <c r="AL57" s="846" t="s">
        <v>194</v>
      </c>
      <c r="AM57" s="846" t="s">
        <v>194</v>
      </c>
      <c r="AN57" s="846" t="s">
        <v>194</v>
      </c>
      <c r="AO57" s="846" t="s">
        <v>194</v>
      </c>
      <c r="AP57" s="846" t="s">
        <v>194</v>
      </c>
      <c r="AQ57" s="846" t="s">
        <v>194</v>
      </c>
    </row>
    <row r="58" ht="15.75" customHeight="1" outlineLevel="1">
      <c r="A58" s="849">
        <v>1.0</v>
      </c>
      <c r="B58" s="15"/>
      <c r="C58" s="869" t="str">
        <f>"    Basic EPS from Continuing Operations"</f>
        <v>    Basic EPS from Continuing Operations</v>
      </c>
      <c r="D58" s="871">
        <f t="shared" si="1"/>
        <v>0.465</v>
      </c>
      <c r="E58" s="871">
        <f t="shared" si="2"/>
        <v>-1.835683125</v>
      </c>
      <c r="F58" s="871">
        <f t="shared" si="3"/>
        <v>-20.15</v>
      </c>
      <c r="G58" s="871">
        <f t="shared" si="4"/>
        <v>2.44</v>
      </c>
      <c r="H58" s="871">
        <f t="shared" si="5"/>
        <v>0.03363375</v>
      </c>
      <c r="I58" s="871">
        <f t="shared" si="6"/>
        <v>1.02</v>
      </c>
      <c r="J58" s="871">
        <f t="shared" si="7"/>
        <v>7.440907692</v>
      </c>
      <c r="K58" s="871">
        <f t="shared" si="8"/>
        <v>-4.053481557</v>
      </c>
      <c r="L58" s="928" t="s">
        <v>194</v>
      </c>
      <c r="M58" s="928">
        <v>-20.15</v>
      </c>
      <c r="N58" s="928">
        <v>0.04</v>
      </c>
      <c r="O58" s="928">
        <v>0.014535</v>
      </c>
      <c r="P58" s="928">
        <v>0.33</v>
      </c>
      <c r="Q58" s="928">
        <v>0.6</v>
      </c>
      <c r="R58" s="928">
        <v>1.02</v>
      </c>
      <c r="S58" s="928">
        <v>1.02</v>
      </c>
      <c r="T58" s="928">
        <v>2.44</v>
      </c>
      <c r="U58" s="15"/>
      <c r="V58" s="851" t="s">
        <v>194</v>
      </c>
      <c r="W58" s="846" t="s">
        <v>194</v>
      </c>
      <c r="X58" s="846" t="s">
        <v>194</v>
      </c>
      <c r="Y58" s="846" t="s">
        <v>194</v>
      </c>
      <c r="Z58" s="846" t="s">
        <v>194</v>
      </c>
      <c r="AA58" s="846" t="s">
        <v>194</v>
      </c>
      <c r="AB58" s="846" t="s">
        <v>194</v>
      </c>
      <c r="AC58" s="846" t="s">
        <v>194</v>
      </c>
      <c r="AD58" s="846" t="s">
        <v>194</v>
      </c>
      <c r="AE58" s="846" t="s">
        <v>194</v>
      </c>
      <c r="AF58" s="846" t="s">
        <v>194</v>
      </c>
      <c r="AG58" s="846" t="s">
        <v>194</v>
      </c>
      <c r="AH58" s="846" t="s">
        <v>194</v>
      </c>
      <c r="AI58" s="846" t="s">
        <v>194</v>
      </c>
      <c r="AJ58" s="846" t="s">
        <v>194</v>
      </c>
      <c r="AK58" s="846" t="s">
        <v>194</v>
      </c>
      <c r="AL58" s="846" t="s">
        <v>194</v>
      </c>
      <c r="AM58" s="846" t="s">
        <v>194</v>
      </c>
      <c r="AN58" s="846" t="s">
        <v>194</v>
      </c>
      <c r="AO58" s="846" t="s">
        <v>194</v>
      </c>
      <c r="AP58" s="846" t="s">
        <v>194</v>
      </c>
      <c r="AQ58" s="846" t="s">
        <v>194</v>
      </c>
    </row>
    <row r="59" ht="15.75" customHeight="1" outlineLevel="1">
      <c r="A59" s="849">
        <v>1.0</v>
      </c>
      <c r="B59" s="15"/>
      <c r="C59" s="869" t="str">
        <f>"    Basic EPS from Discontinued Operations"</f>
        <v>    Basic EPS from Discontinued Operations</v>
      </c>
      <c r="D59" s="871">
        <f t="shared" si="1"/>
        <v>0</v>
      </c>
      <c r="E59" s="871">
        <f t="shared" si="2"/>
        <v>0</v>
      </c>
      <c r="F59" s="871">
        <f t="shared" si="3"/>
        <v>0</v>
      </c>
      <c r="G59" s="871">
        <f t="shared" si="4"/>
        <v>0</v>
      </c>
      <c r="H59" s="871">
        <f t="shared" si="5"/>
        <v>0</v>
      </c>
      <c r="I59" s="871">
        <f t="shared" si="6"/>
        <v>0</v>
      </c>
      <c r="J59" s="871">
        <f t="shared" si="7"/>
        <v>0</v>
      </c>
      <c r="K59" s="871" t="str">
        <f t="shared" si="8"/>
        <v>#DIV/0!</v>
      </c>
      <c r="L59" s="928" t="s">
        <v>194</v>
      </c>
      <c r="M59" s="928">
        <v>0.0</v>
      </c>
      <c r="N59" s="928" t="s">
        <v>194</v>
      </c>
      <c r="O59" s="928">
        <v>0.0</v>
      </c>
      <c r="P59" s="928" t="s">
        <v>194</v>
      </c>
      <c r="Q59" s="928" t="s">
        <v>194</v>
      </c>
      <c r="R59" s="928" t="s">
        <v>194</v>
      </c>
      <c r="S59" s="928" t="s">
        <v>194</v>
      </c>
      <c r="T59" s="928" t="s">
        <v>194</v>
      </c>
      <c r="U59" s="15"/>
      <c r="V59" s="851" t="s">
        <v>194</v>
      </c>
      <c r="W59" s="846" t="s">
        <v>194</v>
      </c>
      <c r="X59" s="846" t="s">
        <v>194</v>
      </c>
      <c r="Y59" s="846" t="s">
        <v>194</v>
      </c>
      <c r="Z59" s="846" t="s">
        <v>194</v>
      </c>
      <c r="AA59" s="846" t="s">
        <v>194</v>
      </c>
      <c r="AB59" s="846" t="s">
        <v>194</v>
      </c>
      <c r="AC59" s="846" t="s">
        <v>194</v>
      </c>
      <c r="AD59" s="846" t="s">
        <v>194</v>
      </c>
      <c r="AE59" s="846" t="s">
        <v>194</v>
      </c>
      <c r="AF59" s="846" t="s">
        <v>194</v>
      </c>
      <c r="AG59" s="846" t="s">
        <v>194</v>
      </c>
      <c r="AH59" s="846" t="s">
        <v>194</v>
      </c>
      <c r="AI59" s="846" t="s">
        <v>194</v>
      </c>
      <c r="AJ59" s="846" t="s">
        <v>194</v>
      </c>
      <c r="AK59" s="846" t="s">
        <v>194</v>
      </c>
      <c r="AL59" s="846" t="s">
        <v>194</v>
      </c>
      <c r="AM59" s="846" t="s">
        <v>194</v>
      </c>
      <c r="AN59" s="846" t="s">
        <v>194</v>
      </c>
      <c r="AO59" s="846" t="s">
        <v>194</v>
      </c>
      <c r="AP59" s="846" t="s">
        <v>194</v>
      </c>
      <c r="AQ59" s="846" t="s">
        <v>194</v>
      </c>
    </row>
    <row r="60" ht="15.75" customHeight="1" outlineLevel="1">
      <c r="A60" s="849">
        <v>1.0</v>
      </c>
      <c r="B60" s="15"/>
      <c r="C60" s="855" t="str">
        <f>"    Total Basic EPS"</f>
        <v>    Total Basic EPS</v>
      </c>
      <c r="D60" s="883">
        <f t="shared" si="1"/>
        <v>0.465</v>
      </c>
      <c r="E60" s="883">
        <f t="shared" si="2"/>
        <v>-1.835683125</v>
      </c>
      <c r="F60" s="883">
        <f t="shared" si="3"/>
        <v>-20.15</v>
      </c>
      <c r="G60" s="883">
        <f t="shared" si="4"/>
        <v>2.44</v>
      </c>
      <c r="H60" s="883">
        <f t="shared" si="5"/>
        <v>0.03363375</v>
      </c>
      <c r="I60" s="883">
        <f t="shared" si="6"/>
        <v>1.02</v>
      </c>
      <c r="J60" s="883">
        <f t="shared" si="7"/>
        <v>7.440907692</v>
      </c>
      <c r="K60" s="883">
        <f t="shared" si="8"/>
        <v>-4.053481557</v>
      </c>
      <c r="L60" s="883" t="s">
        <v>194</v>
      </c>
      <c r="M60" s="883">
        <v>-20.15</v>
      </c>
      <c r="N60" s="883">
        <v>0.04</v>
      </c>
      <c r="O60" s="883">
        <v>0.014535</v>
      </c>
      <c r="P60" s="883">
        <v>0.33</v>
      </c>
      <c r="Q60" s="883">
        <v>0.6</v>
      </c>
      <c r="R60" s="883">
        <v>1.02</v>
      </c>
      <c r="S60" s="883">
        <v>1.02</v>
      </c>
      <c r="T60" s="883">
        <v>2.44</v>
      </c>
      <c r="U60" s="15"/>
      <c r="V60" s="851" t="s">
        <v>194</v>
      </c>
      <c r="W60" s="846" t="s">
        <v>194</v>
      </c>
      <c r="X60" s="846" t="s">
        <v>194</v>
      </c>
      <c r="Y60" s="846" t="s">
        <v>194</v>
      </c>
      <c r="Z60" s="846" t="s">
        <v>194</v>
      </c>
      <c r="AA60" s="846" t="s">
        <v>194</v>
      </c>
      <c r="AB60" s="846" t="s">
        <v>194</v>
      </c>
      <c r="AC60" s="846" t="s">
        <v>194</v>
      </c>
      <c r="AD60" s="846" t="s">
        <v>194</v>
      </c>
      <c r="AE60" s="846" t="s">
        <v>194</v>
      </c>
      <c r="AF60" s="846" t="s">
        <v>194</v>
      </c>
      <c r="AG60" s="846" t="s">
        <v>194</v>
      </c>
      <c r="AH60" s="846" t="s">
        <v>194</v>
      </c>
      <c r="AI60" s="846" t="s">
        <v>194</v>
      </c>
      <c r="AJ60" s="846" t="s">
        <v>194</v>
      </c>
      <c r="AK60" s="846" t="s">
        <v>194</v>
      </c>
      <c r="AL60" s="846" t="s">
        <v>194</v>
      </c>
      <c r="AM60" s="846" t="s">
        <v>194</v>
      </c>
      <c r="AN60" s="846" t="s">
        <v>194</v>
      </c>
      <c r="AO60" s="846" t="s">
        <v>194</v>
      </c>
      <c r="AP60" s="846" t="s">
        <v>194</v>
      </c>
      <c r="AQ60" s="846" t="s">
        <v>194</v>
      </c>
    </row>
    <row r="61" ht="15.75" customHeight="1">
      <c r="A61" s="849">
        <v>1.0</v>
      </c>
      <c r="B61" s="15"/>
      <c r="C61" s="855" t="str">
        <f>IF(SUBTOTAL(109,A62)=A62,"Diluted EPS","Diluted EPS")</f>
        <v>Diluted EPS</v>
      </c>
      <c r="D61" s="867" t="str">
        <f t="shared" si="1"/>
        <v/>
      </c>
      <c r="E61" s="867" t="str">
        <f t="shared" si="2"/>
        <v/>
      </c>
      <c r="F61" s="867" t="str">
        <f t="shared" si="3"/>
        <v/>
      </c>
      <c r="G61" s="867" t="str">
        <f t="shared" si="4"/>
        <v/>
      </c>
      <c r="H61" s="867" t="str">
        <f t="shared" si="5"/>
        <v/>
      </c>
      <c r="I61" s="867" t="str">
        <f t="shared" si="6"/>
        <v/>
      </c>
      <c r="J61" s="867" t="str">
        <f t="shared" si="7"/>
        <v/>
      </c>
      <c r="K61" s="867" t="str">
        <f t="shared" si="8"/>
        <v/>
      </c>
      <c r="L61" s="867" t="s">
        <v>194</v>
      </c>
      <c r="M61" s="867" t="str">
        <f>IF(SUBTOTAL(109,#REF!)=#REF!,"",-20.15)</f>
        <v>#VALUE!</v>
      </c>
      <c r="N61" s="867" t="str">
        <f>IF(SUBTOTAL(109,#REF!)=#REF!,"",0.04)</f>
        <v>#VALUE!</v>
      </c>
      <c r="O61" s="867" t="str">
        <f>IF(SUBTOTAL(109,#REF!)=#REF!,"",0.014535)</f>
        <v>#VALUE!</v>
      </c>
      <c r="P61" s="867" t="str">
        <f>IF(SUBTOTAL(109,#REF!)=#REF!,"",0.3)</f>
        <v>#VALUE!</v>
      </c>
      <c r="Q61" s="867" t="str">
        <f>IF(SUBTOTAL(109,B62)=B62,"",0.56)</f>
        <v/>
      </c>
      <c r="R61" s="867" t="str">
        <f>IF(SUBTOTAL(109,D62)=D62,"",0.97)</f>
        <v/>
      </c>
      <c r="S61" s="867" t="str">
        <f>IF(SUBTOTAL(109,F62)=F62,"",0.96)</f>
        <v/>
      </c>
      <c r="T61" s="867" t="str">
        <f>IF(SUBTOTAL(109,H62)=H62,"",2.3)</f>
        <v/>
      </c>
      <c r="U61" s="15"/>
      <c r="V61" s="851" t="s">
        <v>194</v>
      </c>
      <c r="W61" s="846" t="s">
        <v>194</v>
      </c>
      <c r="X61" s="846" t="s">
        <v>194</v>
      </c>
      <c r="Y61" s="846" t="s">
        <v>194</v>
      </c>
      <c r="Z61" s="846" t="s">
        <v>194</v>
      </c>
      <c r="AA61" s="846" t="s">
        <v>194</v>
      </c>
      <c r="AB61" s="846" t="s">
        <v>194</v>
      </c>
      <c r="AC61" s="846" t="s">
        <v>194</v>
      </c>
      <c r="AD61" s="846" t="s">
        <v>194</v>
      </c>
      <c r="AE61" s="846" t="s">
        <v>194</v>
      </c>
      <c r="AF61" s="846" t="s">
        <v>194</v>
      </c>
      <c r="AG61" s="846" t="s">
        <v>194</v>
      </c>
      <c r="AH61" s="846" t="s">
        <v>194</v>
      </c>
      <c r="AI61" s="846" t="s">
        <v>194</v>
      </c>
      <c r="AJ61" s="846" t="s">
        <v>194</v>
      </c>
      <c r="AK61" s="846" t="s">
        <v>194</v>
      </c>
      <c r="AL61" s="846" t="s">
        <v>194</v>
      </c>
      <c r="AM61" s="846" t="s">
        <v>194</v>
      </c>
      <c r="AN61" s="846" t="s">
        <v>194</v>
      </c>
      <c r="AO61" s="846" t="s">
        <v>194</v>
      </c>
      <c r="AP61" s="846" t="s">
        <v>194</v>
      </c>
      <c r="AQ61" s="846" t="s">
        <v>194</v>
      </c>
    </row>
    <row r="62" ht="15.75" customHeight="1" outlineLevel="1">
      <c r="A62" s="849">
        <v>1.0</v>
      </c>
      <c r="B62" s="15"/>
      <c r="C62" s="869" t="str">
        <f>"    Diluted EPS from Continuing Operations"</f>
        <v>    Diluted EPS from Continuing Operations</v>
      </c>
      <c r="D62" s="871">
        <f t="shared" si="1"/>
        <v>0.43</v>
      </c>
      <c r="E62" s="871">
        <f t="shared" si="2"/>
        <v>-1.875683125</v>
      </c>
      <c r="F62" s="871">
        <f t="shared" si="3"/>
        <v>-20.15</v>
      </c>
      <c r="G62" s="871">
        <f t="shared" si="4"/>
        <v>2.3</v>
      </c>
      <c r="H62" s="871">
        <f t="shared" si="5"/>
        <v>0.03363375</v>
      </c>
      <c r="I62" s="871">
        <f t="shared" si="6"/>
        <v>0.9625</v>
      </c>
      <c r="J62" s="871">
        <f t="shared" si="7"/>
        <v>7.420386145</v>
      </c>
      <c r="K62" s="871">
        <f t="shared" si="8"/>
        <v>-3.956097939</v>
      </c>
      <c r="L62" s="928" t="s">
        <v>194</v>
      </c>
      <c r="M62" s="928">
        <v>-20.15</v>
      </c>
      <c r="N62" s="928">
        <v>0.04</v>
      </c>
      <c r="O62" s="928">
        <v>0.014535</v>
      </c>
      <c r="P62" s="928">
        <v>0.3</v>
      </c>
      <c r="Q62" s="928">
        <v>0.56</v>
      </c>
      <c r="R62" s="928">
        <v>0.97</v>
      </c>
      <c r="S62" s="928">
        <v>0.96</v>
      </c>
      <c r="T62" s="928">
        <v>2.3</v>
      </c>
      <c r="U62" s="15"/>
      <c r="V62" s="851" t="s">
        <v>194</v>
      </c>
      <c r="W62" s="846" t="s">
        <v>194</v>
      </c>
      <c r="X62" s="846" t="s">
        <v>194</v>
      </c>
      <c r="Y62" s="846" t="s">
        <v>194</v>
      </c>
      <c r="Z62" s="846" t="s">
        <v>194</v>
      </c>
      <c r="AA62" s="846" t="s">
        <v>194</v>
      </c>
      <c r="AB62" s="846" t="s">
        <v>194</v>
      </c>
      <c r="AC62" s="846" t="s">
        <v>194</v>
      </c>
      <c r="AD62" s="846" t="s">
        <v>194</v>
      </c>
      <c r="AE62" s="846" t="s">
        <v>194</v>
      </c>
      <c r="AF62" s="846" t="s">
        <v>194</v>
      </c>
      <c r="AG62" s="846" t="s">
        <v>194</v>
      </c>
      <c r="AH62" s="846" t="s">
        <v>194</v>
      </c>
      <c r="AI62" s="846" t="s">
        <v>194</v>
      </c>
      <c r="AJ62" s="846" t="s">
        <v>194</v>
      </c>
      <c r="AK62" s="846" t="s">
        <v>194</v>
      </c>
      <c r="AL62" s="846" t="s">
        <v>194</v>
      </c>
      <c r="AM62" s="846" t="s">
        <v>194</v>
      </c>
      <c r="AN62" s="846" t="s">
        <v>194</v>
      </c>
      <c r="AO62" s="846" t="s">
        <v>194</v>
      </c>
      <c r="AP62" s="846" t="s">
        <v>194</v>
      </c>
      <c r="AQ62" s="846" t="s">
        <v>194</v>
      </c>
    </row>
    <row r="63" ht="15.75" customHeight="1" outlineLevel="1">
      <c r="A63" s="849">
        <v>1.0</v>
      </c>
      <c r="B63" s="15"/>
      <c r="C63" s="869" t="str">
        <f>"    Diluted EPS from Discontinued Operations"</f>
        <v>    Diluted EPS from Discontinued Operations</v>
      </c>
      <c r="D63" s="871">
        <f t="shared" si="1"/>
        <v>0</v>
      </c>
      <c r="E63" s="871">
        <f t="shared" si="2"/>
        <v>0</v>
      </c>
      <c r="F63" s="871">
        <f t="shared" si="3"/>
        <v>0</v>
      </c>
      <c r="G63" s="871">
        <f t="shared" si="4"/>
        <v>0</v>
      </c>
      <c r="H63" s="871">
        <f t="shared" si="5"/>
        <v>0</v>
      </c>
      <c r="I63" s="871">
        <f t="shared" si="6"/>
        <v>0</v>
      </c>
      <c r="J63" s="871">
        <f t="shared" si="7"/>
        <v>0</v>
      </c>
      <c r="K63" s="871" t="str">
        <f t="shared" si="8"/>
        <v>#DIV/0!</v>
      </c>
      <c r="L63" s="928" t="s">
        <v>194</v>
      </c>
      <c r="M63" s="928">
        <v>0.0</v>
      </c>
      <c r="N63" s="928" t="s">
        <v>194</v>
      </c>
      <c r="O63" s="928">
        <v>0.0</v>
      </c>
      <c r="P63" s="928" t="s">
        <v>194</v>
      </c>
      <c r="Q63" s="928" t="s">
        <v>194</v>
      </c>
      <c r="R63" s="928" t="s">
        <v>194</v>
      </c>
      <c r="S63" s="928" t="s">
        <v>194</v>
      </c>
      <c r="T63" s="928" t="s">
        <v>194</v>
      </c>
      <c r="U63" s="15"/>
      <c r="V63" s="851" t="s">
        <v>194</v>
      </c>
      <c r="W63" s="846" t="s">
        <v>194</v>
      </c>
      <c r="X63" s="846" t="s">
        <v>194</v>
      </c>
      <c r="Y63" s="846" t="s">
        <v>194</v>
      </c>
      <c r="Z63" s="846" t="s">
        <v>194</v>
      </c>
      <c r="AA63" s="846" t="s">
        <v>194</v>
      </c>
      <c r="AB63" s="846" t="s">
        <v>194</v>
      </c>
      <c r="AC63" s="846" t="s">
        <v>194</v>
      </c>
      <c r="AD63" s="846" t="s">
        <v>194</v>
      </c>
      <c r="AE63" s="846" t="s">
        <v>194</v>
      </c>
      <c r="AF63" s="846" t="s">
        <v>194</v>
      </c>
      <c r="AG63" s="846" t="s">
        <v>194</v>
      </c>
      <c r="AH63" s="846" t="s">
        <v>194</v>
      </c>
      <c r="AI63" s="846" t="s">
        <v>194</v>
      </c>
      <c r="AJ63" s="846" t="s">
        <v>194</v>
      </c>
      <c r="AK63" s="846" t="s">
        <v>194</v>
      </c>
      <c r="AL63" s="846" t="s">
        <v>194</v>
      </c>
      <c r="AM63" s="846" t="s">
        <v>194</v>
      </c>
      <c r="AN63" s="846" t="s">
        <v>194</v>
      </c>
      <c r="AO63" s="846" t="s">
        <v>194</v>
      </c>
      <c r="AP63" s="846" t="s">
        <v>194</v>
      </c>
      <c r="AQ63" s="846" t="s">
        <v>194</v>
      </c>
    </row>
    <row r="64" ht="15.75" customHeight="1" outlineLevel="1">
      <c r="A64" s="849">
        <v>1.0</v>
      </c>
      <c r="B64" s="15"/>
      <c r="C64" s="855" t="str">
        <f>"    Total Diluted EPS"</f>
        <v>    Total Diluted EPS</v>
      </c>
      <c r="D64" s="883">
        <f t="shared" si="1"/>
        <v>0.43</v>
      </c>
      <c r="E64" s="883">
        <f t="shared" si="2"/>
        <v>-1.875683125</v>
      </c>
      <c r="F64" s="883">
        <f t="shared" si="3"/>
        <v>-20.15</v>
      </c>
      <c r="G64" s="883">
        <f t="shared" si="4"/>
        <v>2.3</v>
      </c>
      <c r="H64" s="883">
        <f t="shared" si="5"/>
        <v>0.03363375</v>
      </c>
      <c r="I64" s="883">
        <f t="shared" si="6"/>
        <v>0.9625</v>
      </c>
      <c r="J64" s="883">
        <f t="shared" si="7"/>
        <v>7.420386145</v>
      </c>
      <c r="K64" s="883">
        <f t="shared" si="8"/>
        <v>-3.956097939</v>
      </c>
      <c r="L64" s="883" t="s">
        <v>194</v>
      </c>
      <c r="M64" s="883">
        <v>-20.15</v>
      </c>
      <c r="N64" s="883">
        <v>0.04</v>
      </c>
      <c r="O64" s="883">
        <v>0.014535</v>
      </c>
      <c r="P64" s="883">
        <v>0.3</v>
      </c>
      <c r="Q64" s="883">
        <v>0.56</v>
      </c>
      <c r="R64" s="883">
        <v>0.97</v>
      </c>
      <c r="S64" s="883">
        <v>0.96</v>
      </c>
      <c r="T64" s="883">
        <v>2.3</v>
      </c>
      <c r="U64" s="15"/>
      <c r="V64" s="851" t="s">
        <v>194</v>
      </c>
      <c r="W64" s="846" t="s">
        <v>194</v>
      </c>
      <c r="X64" s="846" t="s">
        <v>194</v>
      </c>
      <c r="Y64" s="846" t="s">
        <v>194</v>
      </c>
      <c r="Z64" s="846" t="s">
        <v>194</v>
      </c>
      <c r="AA64" s="846" t="s">
        <v>194</v>
      </c>
      <c r="AB64" s="846" t="s">
        <v>194</v>
      </c>
      <c r="AC64" s="846" t="s">
        <v>194</v>
      </c>
      <c r="AD64" s="846" t="s">
        <v>194</v>
      </c>
      <c r="AE64" s="846" t="s">
        <v>194</v>
      </c>
      <c r="AF64" s="846" t="s">
        <v>194</v>
      </c>
      <c r="AG64" s="846" t="s">
        <v>194</v>
      </c>
      <c r="AH64" s="846" t="s">
        <v>194</v>
      </c>
      <c r="AI64" s="846" t="s">
        <v>194</v>
      </c>
      <c r="AJ64" s="846" t="s">
        <v>194</v>
      </c>
      <c r="AK64" s="846" t="s">
        <v>194</v>
      </c>
      <c r="AL64" s="846" t="s">
        <v>194</v>
      </c>
      <c r="AM64" s="846" t="s">
        <v>194</v>
      </c>
      <c r="AN64" s="846" t="s">
        <v>194</v>
      </c>
      <c r="AO64" s="846" t="s">
        <v>194</v>
      </c>
      <c r="AP64" s="846" t="s">
        <v>194</v>
      </c>
      <c r="AQ64" s="846" t="s">
        <v>194</v>
      </c>
    </row>
    <row r="65" ht="15.75" customHeight="1">
      <c r="A65" s="849">
        <v>1.0</v>
      </c>
      <c r="B65" s="15"/>
      <c r="C65" s="855" t="str">
        <f>"Basic Weighted Average Shares Outstanding"</f>
        <v>Basic Weighted Average Shares Outstanding</v>
      </c>
      <c r="D65" s="866">
        <f t="shared" si="1"/>
        <v>17790780</v>
      </c>
      <c r="E65" s="866">
        <f t="shared" si="2"/>
        <v>15870889.75</v>
      </c>
      <c r="F65" s="866">
        <f t="shared" si="3"/>
        <v>249519</v>
      </c>
      <c r="G65" s="866">
        <f t="shared" si="4"/>
        <v>21266696</v>
      </c>
      <c r="H65" s="866">
        <f t="shared" si="5"/>
        <v>14580526.5</v>
      </c>
      <c r="I65" s="866">
        <f t="shared" si="6"/>
        <v>20221315.75</v>
      </c>
      <c r="J65" s="866">
        <f t="shared" si="7"/>
        <v>6865068.142</v>
      </c>
      <c r="K65" s="867">
        <f t="shared" si="8"/>
        <v>0.4325572322</v>
      </c>
      <c r="L65" s="866" t="s">
        <v>194</v>
      </c>
      <c r="M65" s="866">
        <v>249519.0</v>
      </c>
      <c r="N65" s="866">
        <v>1.4601861E7</v>
      </c>
      <c r="O65" s="866">
        <v>1.4516523E7</v>
      </c>
      <c r="P65" s="866">
        <v>1.6182569E7</v>
      </c>
      <c r="Q65" s="866">
        <v>1.9398991E7</v>
      </c>
      <c r="R65" s="866">
        <v>2.0067152E7</v>
      </c>
      <c r="S65" s="866">
        <v>2.0683807E7</v>
      </c>
      <c r="T65" s="866">
        <v>2.1266696E7</v>
      </c>
      <c r="U65" s="15"/>
      <c r="V65" s="851" t="s">
        <v>194</v>
      </c>
      <c r="W65" s="846" t="s">
        <v>194</v>
      </c>
      <c r="X65" s="846" t="s">
        <v>194</v>
      </c>
      <c r="Y65" s="846" t="s">
        <v>194</v>
      </c>
      <c r="Z65" s="846" t="s">
        <v>194</v>
      </c>
      <c r="AA65" s="846" t="s">
        <v>194</v>
      </c>
      <c r="AB65" s="846" t="s">
        <v>194</v>
      </c>
      <c r="AC65" s="846" t="s">
        <v>194</v>
      </c>
      <c r="AD65" s="846" t="s">
        <v>194</v>
      </c>
      <c r="AE65" s="846" t="s">
        <v>194</v>
      </c>
      <c r="AF65" s="846" t="s">
        <v>194</v>
      </c>
      <c r="AG65" s="846" t="s">
        <v>194</v>
      </c>
      <c r="AH65" s="846" t="s">
        <v>194</v>
      </c>
      <c r="AI65" s="846" t="s">
        <v>194</v>
      </c>
      <c r="AJ65" s="846" t="s">
        <v>194</v>
      </c>
      <c r="AK65" s="846" t="s">
        <v>194</v>
      </c>
      <c r="AL65" s="846" t="s">
        <v>194</v>
      </c>
      <c r="AM65" s="846" t="s">
        <v>194</v>
      </c>
      <c r="AN65" s="846" t="s">
        <v>194</v>
      </c>
      <c r="AO65" s="846" t="s">
        <v>194</v>
      </c>
      <c r="AP65" s="846" t="s">
        <v>194</v>
      </c>
      <c r="AQ65" s="846" t="s">
        <v>194</v>
      </c>
    </row>
    <row r="66" ht="15.75" customHeight="1">
      <c r="A66" s="849">
        <v>1.0</v>
      </c>
      <c r="B66" s="15"/>
      <c r="C66" s="855" t="str">
        <f>"Diluted Weighted Average Shares Outstanding"</f>
        <v>Diluted Weighted Average Shares Outstanding</v>
      </c>
      <c r="D66" s="866">
        <f t="shared" si="1"/>
        <v>19372834</v>
      </c>
      <c r="E66" s="866">
        <f t="shared" si="2"/>
        <v>17042571.13</v>
      </c>
      <c r="F66" s="866">
        <f t="shared" si="3"/>
        <v>249519</v>
      </c>
      <c r="G66" s="866">
        <f t="shared" si="4"/>
        <v>22514513</v>
      </c>
      <c r="H66" s="866">
        <f t="shared" si="5"/>
        <v>16134517</v>
      </c>
      <c r="I66" s="866">
        <f t="shared" si="6"/>
        <v>21296397.25</v>
      </c>
      <c r="J66" s="866">
        <f t="shared" si="7"/>
        <v>7263213.039</v>
      </c>
      <c r="K66" s="867">
        <f t="shared" si="8"/>
        <v>0.4261805913</v>
      </c>
      <c r="L66" s="866" t="s">
        <v>194</v>
      </c>
      <c r="M66" s="866">
        <v>249519.0</v>
      </c>
      <c r="N66" s="866">
        <v>1.5486487E7</v>
      </c>
      <c r="O66" s="866">
        <v>1.6350527E7</v>
      </c>
      <c r="P66" s="866">
        <v>1.8037498E7</v>
      </c>
      <c r="Q66" s="866">
        <v>2.070817E7</v>
      </c>
      <c r="R66" s="866">
        <v>2.1095867E7</v>
      </c>
      <c r="S66" s="866">
        <v>2.1897988E7</v>
      </c>
      <c r="T66" s="866">
        <v>2.2514513E7</v>
      </c>
      <c r="U66" s="15"/>
      <c r="V66" s="851" t="s">
        <v>194</v>
      </c>
      <c r="W66" s="846" t="s">
        <v>194</v>
      </c>
      <c r="X66" s="846" t="s">
        <v>194</v>
      </c>
      <c r="Y66" s="846" t="s">
        <v>194</v>
      </c>
      <c r="Z66" s="846" t="s">
        <v>194</v>
      </c>
      <c r="AA66" s="846" t="s">
        <v>194</v>
      </c>
      <c r="AB66" s="846" t="s">
        <v>194</v>
      </c>
      <c r="AC66" s="846" t="s">
        <v>194</v>
      </c>
      <c r="AD66" s="846" t="s">
        <v>194</v>
      </c>
      <c r="AE66" s="846" t="s">
        <v>194</v>
      </c>
      <c r="AF66" s="846" t="s">
        <v>194</v>
      </c>
      <c r="AG66" s="846" t="s">
        <v>194</v>
      </c>
      <c r="AH66" s="846" t="s">
        <v>194</v>
      </c>
      <c r="AI66" s="846" t="s">
        <v>194</v>
      </c>
      <c r="AJ66" s="846" t="s">
        <v>194</v>
      </c>
      <c r="AK66" s="846" t="s">
        <v>194</v>
      </c>
      <c r="AL66" s="846" t="s">
        <v>194</v>
      </c>
      <c r="AM66" s="846" t="s">
        <v>194</v>
      </c>
      <c r="AN66" s="846" t="s">
        <v>194</v>
      </c>
      <c r="AO66" s="846" t="s">
        <v>194</v>
      </c>
      <c r="AP66" s="846" t="s">
        <v>194</v>
      </c>
      <c r="AQ66" s="846" t="s">
        <v>194</v>
      </c>
    </row>
    <row r="67" ht="15.75" customHeight="1">
      <c r="A67" s="849">
        <v>1.0</v>
      </c>
      <c r="B67" s="15"/>
      <c r="C67" s="855" t="str">
        <f>"Income Statement Supplemental Section"</f>
        <v>Income Statement Supplemental Section</v>
      </c>
      <c r="D67" s="867" t="s">
        <v>194</v>
      </c>
      <c r="E67" s="867" t="s">
        <v>194</v>
      </c>
      <c r="F67" s="867" t="s">
        <v>194</v>
      </c>
      <c r="G67" s="867" t="s">
        <v>194</v>
      </c>
      <c r="H67" s="867" t="s">
        <v>194</v>
      </c>
      <c r="I67" s="867" t="s">
        <v>194</v>
      </c>
      <c r="J67" s="867" t="s">
        <v>194</v>
      </c>
      <c r="K67" s="867" t="s">
        <v>194</v>
      </c>
      <c r="L67" s="867" t="s">
        <v>194</v>
      </c>
      <c r="M67" s="867" t="s">
        <v>194</v>
      </c>
      <c r="N67" s="867" t="s">
        <v>194</v>
      </c>
      <c r="O67" s="867" t="s">
        <v>194</v>
      </c>
      <c r="P67" s="867" t="s">
        <v>194</v>
      </c>
      <c r="Q67" s="867" t="s">
        <v>194</v>
      </c>
      <c r="R67" s="867" t="s">
        <v>194</v>
      </c>
      <c r="S67" s="867" t="s">
        <v>194</v>
      </c>
      <c r="T67" s="867" t="s">
        <v>194</v>
      </c>
      <c r="U67" s="15"/>
      <c r="V67" s="851" t="s">
        <v>194</v>
      </c>
      <c r="W67" s="846" t="s">
        <v>194</v>
      </c>
      <c r="X67" s="846" t="s">
        <v>194</v>
      </c>
      <c r="Y67" s="846" t="s">
        <v>194</v>
      </c>
      <c r="Z67" s="846" t="s">
        <v>194</v>
      </c>
      <c r="AA67" s="846" t="s">
        <v>194</v>
      </c>
      <c r="AB67" s="846" t="s">
        <v>194</v>
      </c>
      <c r="AC67" s="846" t="s">
        <v>194</v>
      </c>
      <c r="AD67" s="846" t="s">
        <v>194</v>
      </c>
      <c r="AE67" s="846" t="s">
        <v>194</v>
      </c>
      <c r="AF67" s="846" t="s">
        <v>194</v>
      </c>
      <c r="AG67" s="846" t="s">
        <v>194</v>
      </c>
      <c r="AH67" s="846" t="s">
        <v>194</v>
      </c>
      <c r="AI67" s="846" t="s">
        <v>194</v>
      </c>
      <c r="AJ67" s="846" t="s">
        <v>194</v>
      </c>
      <c r="AK67" s="846" t="s">
        <v>194</v>
      </c>
      <c r="AL67" s="846" t="s">
        <v>194</v>
      </c>
      <c r="AM67" s="846" t="s">
        <v>194</v>
      </c>
      <c r="AN67" s="846" t="s">
        <v>194</v>
      </c>
      <c r="AO67" s="846" t="s">
        <v>194</v>
      </c>
      <c r="AP67" s="846" t="s">
        <v>194</v>
      </c>
      <c r="AQ67" s="846" t="s">
        <v>194</v>
      </c>
    </row>
    <row r="68" ht="15.75" customHeight="1" outlineLevel="1">
      <c r="A68" s="849">
        <v>1.0</v>
      </c>
      <c r="B68" s="15"/>
      <c r="C68" s="869" t="str">
        <f>"    Reported Normalized and Operating Income/Expense Supplemental Section"</f>
        <v>    Reported Normalized and Operating Income/Expense Supplemental Section</v>
      </c>
      <c r="D68" s="889" t="s">
        <v>194</v>
      </c>
      <c r="E68" s="889" t="s">
        <v>194</v>
      </c>
      <c r="F68" s="889" t="s">
        <v>194</v>
      </c>
      <c r="G68" s="889" t="s">
        <v>194</v>
      </c>
      <c r="H68" s="889" t="s">
        <v>194</v>
      </c>
      <c r="I68" s="889" t="s">
        <v>194</v>
      </c>
      <c r="J68" s="889" t="s">
        <v>194</v>
      </c>
      <c r="K68" s="889" t="s">
        <v>194</v>
      </c>
      <c r="L68" s="890" t="s">
        <v>194</v>
      </c>
      <c r="M68" s="890" t="s">
        <v>194</v>
      </c>
      <c r="N68" s="890" t="s">
        <v>194</v>
      </c>
      <c r="O68" s="890" t="s">
        <v>194</v>
      </c>
      <c r="P68" s="890" t="s">
        <v>194</v>
      </c>
      <c r="Q68" s="890" t="s">
        <v>194</v>
      </c>
      <c r="R68" s="890" t="s">
        <v>194</v>
      </c>
      <c r="S68" s="890" t="s">
        <v>194</v>
      </c>
      <c r="T68" s="890" t="s">
        <v>194</v>
      </c>
      <c r="U68" s="15"/>
      <c r="V68" s="851" t="s">
        <v>194</v>
      </c>
      <c r="W68" s="846" t="s">
        <v>194</v>
      </c>
      <c r="X68" s="846" t="s">
        <v>194</v>
      </c>
      <c r="Y68" s="846" t="s">
        <v>194</v>
      </c>
      <c r="Z68" s="846" t="s">
        <v>194</v>
      </c>
      <c r="AA68" s="846" t="s">
        <v>194</v>
      </c>
      <c r="AB68" s="846" t="s">
        <v>194</v>
      </c>
      <c r="AC68" s="846" t="s">
        <v>194</v>
      </c>
      <c r="AD68" s="846" t="s">
        <v>194</v>
      </c>
      <c r="AE68" s="846" t="s">
        <v>194</v>
      </c>
      <c r="AF68" s="846" t="s">
        <v>194</v>
      </c>
      <c r="AG68" s="846" t="s">
        <v>194</v>
      </c>
      <c r="AH68" s="846" t="s">
        <v>194</v>
      </c>
      <c r="AI68" s="846" t="s">
        <v>194</v>
      </c>
      <c r="AJ68" s="846" t="s">
        <v>194</v>
      </c>
      <c r="AK68" s="846" t="s">
        <v>194</v>
      </c>
      <c r="AL68" s="846" t="s">
        <v>194</v>
      </c>
      <c r="AM68" s="846" t="s">
        <v>194</v>
      </c>
      <c r="AN68" s="846" t="s">
        <v>194</v>
      </c>
      <c r="AO68" s="846" t="s">
        <v>194</v>
      </c>
      <c r="AP68" s="846" t="s">
        <v>194</v>
      </c>
      <c r="AQ68" s="846" t="s">
        <v>194</v>
      </c>
    </row>
    <row r="69" ht="15.75" customHeight="1" outlineLevel="2">
      <c r="A69" s="916">
        <v>1.0</v>
      </c>
      <c r="B69" s="917"/>
      <c r="C69" s="918" t="str">
        <f>"        Reported Total Revenue"</f>
        <v>        Reported Total Revenue</v>
      </c>
      <c r="D69" s="919">
        <f t="shared" ref="D69:D74" si="25">IF(COUNT(M69:T69)&gt;0,MEDIAN(M69:T69),"")</f>
        <v>135771</v>
      </c>
      <c r="E69" s="919">
        <f t="shared" ref="E69:E74" si="26">IF(COUNT(M69:T69)&gt;0,AVERAGE(M69:T69),"")</f>
        <v>154571.625</v>
      </c>
      <c r="F69" s="919">
        <f t="shared" ref="F69:F74" si="27">IF(COUNT(M69:T69)&gt;0,MIN(M69:T69),"")</f>
        <v>30634</v>
      </c>
      <c r="G69" s="919">
        <f t="shared" ref="G69:G74" si="28">IF(COUNT(M69:T69)&gt;0,MAX(M69:T69),"")</f>
        <v>358111</v>
      </c>
      <c r="H69" s="919">
        <f t="shared" ref="H69:H74" si="29">IF(COUNT(M69:T69)&gt;0,QUARTILE(M69:T69,1),"")</f>
        <v>68726.25</v>
      </c>
      <c r="I69" s="919">
        <f t="shared" ref="I69:I74" si="30">IF(COUNT(M69:T69)&gt;0,QUARTILE(M69:T69,3),"")</f>
        <v>214481.25</v>
      </c>
      <c r="J69" s="919">
        <f t="shared" ref="J69:J74" si="31">IF(COUNT(M69:T69)&gt;1,STDEV(M69:T69),"")</f>
        <v>111739.6155</v>
      </c>
      <c r="K69" s="920">
        <f t="shared" ref="K69:K74" si="32">IF(COUNT(M69:T69)&gt;1,STDEV(M69:T69)/AVERAGE(M69:T69),"")</f>
        <v>0.7228986272</v>
      </c>
      <c r="L69" s="919" t="s">
        <v>194</v>
      </c>
      <c r="M69" s="919">
        <v>30634.0</v>
      </c>
      <c r="N69" s="919">
        <v>48576.0</v>
      </c>
      <c r="O69" s="919">
        <v>75443.0</v>
      </c>
      <c r="P69" s="919">
        <v>112537.0</v>
      </c>
      <c r="Q69" s="919">
        <v>159005.0</v>
      </c>
      <c r="R69" s="919">
        <v>202829.0</v>
      </c>
      <c r="S69" s="919">
        <v>249438.0</v>
      </c>
      <c r="T69" s="919">
        <v>358111.0</v>
      </c>
      <c r="U69" s="917"/>
      <c r="V69" s="921" t="s">
        <v>194</v>
      </c>
      <c r="W69" s="917" t="s">
        <v>194</v>
      </c>
      <c r="X69" s="917" t="s">
        <v>194</v>
      </c>
      <c r="Y69" s="917" t="s">
        <v>194</v>
      </c>
      <c r="Z69" s="917" t="s">
        <v>194</v>
      </c>
      <c r="AA69" s="917" t="s">
        <v>194</v>
      </c>
      <c r="AB69" s="917" t="s">
        <v>194</v>
      </c>
      <c r="AC69" s="917" t="s">
        <v>194</v>
      </c>
      <c r="AD69" s="917" t="s">
        <v>194</v>
      </c>
      <c r="AE69" s="917" t="s">
        <v>194</v>
      </c>
      <c r="AF69" s="917" t="s">
        <v>194</v>
      </c>
      <c r="AG69" s="917" t="s">
        <v>194</v>
      </c>
      <c r="AH69" s="917" t="s">
        <v>194</v>
      </c>
      <c r="AI69" s="917" t="s">
        <v>194</v>
      </c>
      <c r="AJ69" s="917" t="s">
        <v>194</v>
      </c>
      <c r="AK69" s="917" t="s">
        <v>194</v>
      </c>
      <c r="AL69" s="917" t="s">
        <v>194</v>
      </c>
      <c r="AM69" s="917" t="s">
        <v>194</v>
      </c>
      <c r="AN69" s="917" t="s">
        <v>194</v>
      </c>
      <c r="AO69" s="917" t="s">
        <v>194</v>
      </c>
      <c r="AP69" s="917" t="s">
        <v>194</v>
      </c>
      <c r="AQ69" s="917" t="s">
        <v>194</v>
      </c>
    </row>
    <row r="70" ht="15.75" customHeight="1" outlineLevel="2">
      <c r="A70" s="916">
        <v>1.0</v>
      </c>
      <c r="B70" s="917"/>
      <c r="C70" s="918" t="str">
        <f>"        Reported Operating Expense"</f>
        <v>        Reported Operating Expense</v>
      </c>
      <c r="D70" s="919">
        <f t="shared" si="25"/>
        <v>-53106.5</v>
      </c>
      <c r="E70" s="919">
        <f t="shared" si="26"/>
        <v>-61133.375</v>
      </c>
      <c r="F70" s="919">
        <f t="shared" si="27"/>
        <v>-140688</v>
      </c>
      <c r="G70" s="919">
        <f t="shared" si="28"/>
        <v>-16426</v>
      </c>
      <c r="H70" s="919">
        <f t="shared" si="29"/>
        <v>-79246.25</v>
      </c>
      <c r="I70" s="919">
        <f t="shared" si="30"/>
        <v>-31675.25</v>
      </c>
      <c r="J70" s="919">
        <f t="shared" si="31"/>
        <v>41360.89086</v>
      </c>
      <c r="K70" s="920">
        <f t="shared" si="32"/>
        <v>-0.6765680916</v>
      </c>
      <c r="L70" s="919" t="s">
        <v>194</v>
      </c>
      <c r="M70" s="919">
        <v>-16426.0</v>
      </c>
      <c r="N70" s="919">
        <v>-23120.0</v>
      </c>
      <c r="O70" s="919">
        <v>-34527.0</v>
      </c>
      <c r="P70" s="919">
        <v>-45006.0</v>
      </c>
      <c r="Q70" s="919">
        <v>-61207.0</v>
      </c>
      <c r="R70" s="919">
        <v>-74446.0</v>
      </c>
      <c r="S70" s="919">
        <v>-93647.0</v>
      </c>
      <c r="T70" s="919">
        <v>-140688.0</v>
      </c>
      <c r="U70" s="917"/>
      <c r="V70" s="921" t="s">
        <v>194</v>
      </c>
      <c r="W70" s="917" t="s">
        <v>194</v>
      </c>
      <c r="X70" s="917" t="s">
        <v>194</v>
      </c>
      <c r="Y70" s="917" t="s">
        <v>194</v>
      </c>
      <c r="Z70" s="917" t="s">
        <v>194</v>
      </c>
      <c r="AA70" s="917" t="s">
        <v>194</v>
      </c>
      <c r="AB70" s="917" t="s">
        <v>194</v>
      </c>
      <c r="AC70" s="917" t="s">
        <v>194</v>
      </c>
      <c r="AD70" s="917" t="s">
        <v>194</v>
      </c>
      <c r="AE70" s="917" t="s">
        <v>194</v>
      </c>
      <c r="AF70" s="917" t="s">
        <v>194</v>
      </c>
      <c r="AG70" s="917" t="s">
        <v>194</v>
      </c>
      <c r="AH70" s="917" t="s">
        <v>194</v>
      </c>
      <c r="AI70" s="917" t="s">
        <v>194</v>
      </c>
      <c r="AJ70" s="917" t="s">
        <v>194</v>
      </c>
      <c r="AK70" s="917" t="s">
        <v>194</v>
      </c>
      <c r="AL70" s="917" t="s">
        <v>194</v>
      </c>
      <c r="AM70" s="917" t="s">
        <v>194</v>
      </c>
      <c r="AN70" s="917" t="s">
        <v>194</v>
      </c>
      <c r="AO70" s="917" t="s">
        <v>194</v>
      </c>
      <c r="AP70" s="917" t="s">
        <v>194</v>
      </c>
      <c r="AQ70" s="917" t="s">
        <v>194</v>
      </c>
    </row>
    <row r="71" ht="15.75" customHeight="1" outlineLevel="2">
      <c r="A71" s="849">
        <v>1.0</v>
      </c>
      <c r="B71" s="15"/>
      <c r="C71" s="869" t="str">
        <f>"        Reported Total Operating Profit/Loss"</f>
        <v>        Reported Total Operating Profit/Loss</v>
      </c>
      <c r="D71" s="870">
        <f t="shared" si="25"/>
        <v>12781</v>
      </c>
      <c r="E71" s="870">
        <f t="shared" si="26"/>
        <v>14684.875</v>
      </c>
      <c r="F71" s="870">
        <f t="shared" si="27"/>
        <v>-1722</v>
      </c>
      <c r="G71" s="870">
        <f t="shared" si="28"/>
        <v>37892</v>
      </c>
      <c r="H71" s="870">
        <f t="shared" si="29"/>
        <v>3555.25</v>
      </c>
      <c r="I71" s="870">
        <f t="shared" si="30"/>
        <v>24045.5</v>
      </c>
      <c r="J71" s="870">
        <f t="shared" si="31"/>
        <v>13914.03902</v>
      </c>
      <c r="K71" s="871">
        <f t="shared" si="32"/>
        <v>0.9475081688</v>
      </c>
      <c r="L71" s="872" t="s">
        <v>194</v>
      </c>
      <c r="M71" s="872">
        <v>-1722.0</v>
      </c>
      <c r="N71" s="872">
        <v>829.0</v>
      </c>
      <c r="O71" s="872">
        <v>4464.0</v>
      </c>
      <c r="P71" s="872">
        <v>10511.0</v>
      </c>
      <c r="Q71" s="872">
        <v>15051.0</v>
      </c>
      <c r="R71" s="872">
        <v>22864.0</v>
      </c>
      <c r="S71" s="872">
        <v>27590.0</v>
      </c>
      <c r="T71" s="872">
        <v>37892.0</v>
      </c>
      <c r="U71" s="15"/>
      <c r="V71" s="851" t="s">
        <v>194</v>
      </c>
      <c r="W71" s="846" t="s">
        <v>194</v>
      </c>
      <c r="X71" s="846" t="s">
        <v>194</v>
      </c>
      <c r="Y71" s="846" t="s">
        <v>194</v>
      </c>
      <c r="Z71" s="846" t="s">
        <v>194</v>
      </c>
      <c r="AA71" s="846" t="s">
        <v>194</v>
      </c>
      <c r="AB71" s="846" t="s">
        <v>194</v>
      </c>
      <c r="AC71" s="846" t="s">
        <v>194</v>
      </c>
      <c r="AD71" s="846" t="s">
        <v>194</v>
      </c>
      <c r="AE71" s="846" t="s">
        <v>194</v>
      </c>
      <c r="AF71" s="846" t="s">
        <v>194</v>
      </c>
      <c r="AG71" s="846" t="s">
        <v>194</v>
      </c>
      <c r="AH71" s="846" t="s">
        <v>194</v>
      </c>
      <c r="AI71" s="846" t="s">
        <v>194</v>
      </c>
      <c r="AJ71" s="846" t="s">
        <v>194</v>
      </c>
      <c r="AK71" s="846" t="s">
        <v>194</v>
      </c>
      <c r="AL71" s="846" t="s">
        <v>194</v>
      </c>
      <c r="AM71" s="846" t="s">
        <v>194</v>
      </c>
      <c r="AN71" s="846" t="s">
        <v>194</v>
      </c>
      <c r="AO71" s="846" t="s">
        <v>194</v>
      </c>
      <c r="AP71" s="846" t="s">
        <v>194</v>
      </c>
      <c r="AQ71" s="846" t="s">
        <v>194</v>
      </c>
    </row>
    <row r="72" ht="15.75" customHeight="1" outlineLevel="2">
      <c r="A72" s="916">
        <v>1.0</v>
      </c>
      <c r="B72" s="917"/>
      <c r="C72" s="918" t="str">
        <f>"        Reported Normalized Income"</f>
        <v>        Reported Normalized Income</v>
      </c>
      <c r="D72" s="919">
        <f t="shared" si="25"/>
        <v>8291.5</v>
      </c>
      <c r="E72" s="919">
        <f t="shared" si="26"/>
        <v>14964.625</v>
      </c>
      <c r="F72" s="919">
        <f t="shared" si="27"/>
        <v>-2002</v>
      </c>
      <c r="G72" s="919">
        <f t="shared" si="28"/>
        <v>51845</v>
      </c>
      <c r="H72" s="919">
        <f t="shared" si="29"/>
        <v>2862</v>
      </c>
      <c r="I72" s="919">
        <f t="shared" si="30"/>
        <v>22534.25</v>
      </c>
      <c r="J72" s="919">
        <f t="shared" si="31"/>
        <v>18107.44562</v>
      </c>
      <c r="K72" s="920">
        <f t="shared" si="32"/>
        <v>1.210016664</v>
      </c>
      <c r="L72" s="919" t="s">
        <v>194</v>
      </c>
      <c r="M72" s="919">
        <v>-2002.0</v>
      </c>
      <c r="N72" s="919">
        <v>564.0</v>
      </c>
      <c r="O72" s="919">
        <v>3628.0</v>
      </c>
      <c r="P72" s="919">
        <v>6568.0</v>
      </c>
      <c r="Q72" s="919">
        <v>10015.0</v>
      </c>
      <c r="R72" s="919">
        <v>20519.0</v>
      </c>
      <c r="S72" s="919">
        <v>28580.0</v>
      </c>
      <c r="T72" s="919">
        <v>51845.0</v>
      </c>
      <c r="U72" s="917"/>
      <c r="V72" s="921" t="s">
        <v>194</v>
      </c>
      <c r="W72" s="917" t="s">
        <v>194</v>
      </c>
      <c r="X72" s="917" t="s">
        <v>194</v>
      </c>
      <c r="Y72" s="917" t="s">
        <v>194</v>
      </c>
      <c r="Z72" s="917" t="s">
        <v>194</v>
      </c>
      <c r="AA72" s="917" t="s">
        <v>194</v>
      </c>
      <c r="AB72" s="917" t="s">
        <v>194</v>
      </c>
      <c r="AC72" s="917" t="s">
        <v>194</v>
      </c>
      <c r="AD72" s="917" t="s">
        <v>194</v>
      </c>
      <c r="AE72" s="917" t="s">
        <v>194</v>
      </c>
      <c r="AF72" s="917" t="s">
        <v>194</v>
      </c>
      <c r="AG72" s="917" t="s">
        <v>194</v>
      </c>
      <c r="AH72" s="917" t="s">
        <v>194</v>
      </c>
      <c r="AI72" s="917" t="s">
        <v>194</v>
      </c>
      <c r="AJ72" s="917" t="s">
        <v>194</v>
      </c>
      <c r="AK72" s="917" t="s">
        <v>194</v>
      </c>
      <c r="AL72" s="917" t="s">
        <v>194</v>
      </c>
      <c r="AM72" s="917" t="s">
        <v>194</v>
      </c>
      <c r="AN72" s="917" t="s">
        <v>194</v>
      </c>
      <c r="AO72" s="917" t="s">
        <v>194</v>
      </c>
      <c r="AP72" s="917" t="s">
        <v>194</v>
      </c>
      <c r="AQ72" s="917" t="s">
        <v>194</v>
      </c>
    </row>
    <row r="73" ht="15.75" customHeight="1" outlineLevel="2">
      <c r="A73" s="849">
        <v>1.0</v>
      </c>
      <c r="B73" s="15"/>
      <c r="C73" s="869" t="str">
        <f>"        Reported Effective Tax Rate"</f>
        <v>        Reported Effective Tax Rate</v>
      </c>
      <c r="D73" s="938">
        <f t="shared" si="25"/>
        <v>0.097</v>
      </c>
      <c r="E73" s="938">
        <f t="shared" si="26"/>
        <v>0.09675714286</v>
      </c>
      <c r="F73" s="938">
        <f t="shared" si="27"/>
        <v>-0.282</v>
      </c>
      <c r="G73" s="938">
        <f t="shared" si="28"/>
        <v>0.321</v>
      </c>
      <c r="H73" s="938">
        <f t="shared" si="29"/>
        <v>0.018</v>
      </c>
      <c r="I73" s="938">
        <f t="shared" si="30"/>
        <v>0.25265</v>
      </c>
      <c r="J73" s="938">
        <f t="shared" si="31"/>
        <v>0.2074195736</v>
      </c>
      <c r="K73" s="871">
        <f t="shared" si="32"/>
        <v>2.143713296</v>
      </c>
      <c r="L73" s="939" t="s">
        <v>194</v>
      </c>
      <c r="M73" s="939">
        <v>0.006</v>
      </c>
      <c r="N73" s="939">
        <v>0.03</v>
      </c>
      <c r="O73" s="939" t="s">
        <v>194</v>
      </c>
      <c r="P73" s="939">
        <v>0.321</v>
      </c>
      <c r="Q73" s="939">
        <v>0.2133</v>
      </c>
      <c r="R73" s="939">
        <v>0.097</v>
      </c>
      <c r="S73" s="939">
        <v>0.292</v>
      </c>
      <c r="T73" s="939">
        <v>-0.282</v>
      </c>
      <c r="U73" s="15"/>
      <c r="V73" s="851" t="s">
        <v>194</v>
      </c>
      <c r="W73" s="846" t="s">
        <v>194</v>
      </c>
      <c r="X73" s="846" t="s">
        <v>194</v>
      </c>
      <c r="Y73" s="846" t="s">
        <v>194</v>
      </c>
      <c r="Z73" s="846" t="s">
        <v>194</v>
      </c>
      <c r="AA73" s="846" t="s">
        <v>194</v>
      </c>
      <c r="AB73" s="846" t="s">
        <v>194</v>
      </c>
      <c r="AC73" s="846" t="s">
        <v>194</v>
      </c>
      <c r="AD73" s="846" t="s">
        <v>194</v>
      </c>
      <c r="AE73" s="846" t="s">
        <v>194</v>
      </c>
      <c r="AF73" s="846" t="s">
        <v>194</v>
      </c>
      <c r="AG73" s="846" t="s">
        <v>194</v>
      </c>
      <c r="AH73" s="846" t="s">
        <v>194</v>
      </c>
      <c r="AI73" s="846" t="s">
        <v>194</v>
      </c>
      <c r="AJ73" s="846" t="s">
        <v>194</v>
      </c>
      <c r="AK73" s="846" t="s">
        <v>194</v>
      </c>
      <c r="AL73" s="846" t="s">
        <v>194</v>
      </c>
      <c r="AM73" s="846" t="s">
        <v>194</v>
      </c>
      <c r="AN73" s="846" t="s">
        <v>194</v>
      </c>
      <c r="AO73" s="846" t="s">
        <v>194</v>
      </c>
      <c r="AP73" s="846" t="s">
        <v>194</v>
      </c>
      <c r="AQ73" s="846" t="s">
        <v>194</v>
      </c>
    </row>
    <row r="74" ht="15.75" customHeight="1" outlineLevel="2">
      <c r="A74" s="916">
        <v>1.0</v>
      </c>
      <c r="B74" s="917"/>
      <c r="C74" s="918" t="str">
        <f>"        Reported Normalized EBITDA"</f>
        <v>        Reported Normalized EBITDA</v>
      </c>
      <c r="D74" s="919">
        <f t="shared" si="25"/>
        <v>28126.5</v>
      </c>
      <c r="E74" s="919">
        <f t="shared" si="26"/>
        <v>29086.375</v>
      </c>
      <c r="F74" s="919">
        <f t="shared" si="27"/>
        <v>1620</v>
      </c>
      <c r="G74" s="919">
        <f t="shared" si="28"/>
        <v>61281</v>
      </c>
      <c r="H74" s="919">
        <f t="shared" si="29"/>
        <v>11546.25</v>
      </c>
      <c r="I74" s="919">
        <f t="shared" si="30"/>
        <v>45248.5</v>
      </c>
      <c r="J74" s="919">
        <f t="shared" si="31"/>
        <v>21674.12841</v>
      </c>
      <c r="K74" s="920">
        <f t="shared" si="32"/>
        <v>0.7451643049</v>
      </c>
      <c r="L74" s="919" t="s">
        <v>194</v>
      </c>
      <c r="M74" s="919">
        <v>1620.0</v>
      </c>
      <c r="N74" s="919">
        <v>5883.0</v>
      </c>
      <c r="O74" s="919">
        <v>13434.0</v>
      </c>
      <c r="P74" s="919">
        <v>23954.0</v>
      </c>
      <c r="Q74" s="919">
        <v>32299.0</v>
      </c>
      <c r="R74" s="919">
        <v>43387.0</v>
      </c>
      <c r="S74" s="919">
        <v>50833.0</v>
      </c>
      <c r="T74" s="919">
        <v>61281.0</v>
      </c>
      <c r="U74" s="917"/>
      <c r="V74" s="921" t="s">
        <v>194</v>
      </c>
      <c r="W74" s="917" t="s">
        <v>194</v>
      </c>
      <c r="X74" s="917" t="s">
        <v>194</v>
      </c>
      <c r="Y74" s="917" t="s">
        <v>194</v>
      </c>
      <c r="Z74" s="917" t="s">
        <v>194</v>
      </c>
      <c r="AA74" s="917" t="s">
        <v>194</v>
      </c>
      <c r="AB74" s="917" t="s">
        <v>194</v>
      </c>
      <c r="AC74" s="917" t="s">
        <v>194</v>
      </c>
      <c r="AD74" s="917" t="s">
        <v>194</v>
      </c>
      <c r="AE74" s="917" t="s">
        <v>194</v>
      </c>
      <c r="AF74" s="917" t="s">
        <v>194</v>
      </c>
      <c r="AG74" s="917" t="s">
        <v>194</v>
      </c>
      <c r="AH74" s="917" t="s">
        <v>194</v>
      </c>
      <c r="AI74" s="917" t="s">
        <v>194</v>
      </c>
      <c r="AJ74" s="917" t="s">
        <v>194</v>
      </c>
      <c r="AK74" s="917" t="s">
        <v>194</v>
      </c>
      <c r="AL74" s="917" t="s">
        <v>194</v>
      </c>
      <c r="AM74" s="917" t="s">
        <v>194</v>
      </c>
      <c r="AN74" s="917" t="s">
        <v>194</v>
      </c>
      <c r="AO74" s="917" t="s">
        <v>194</v>
      </c>
      <c r="AP74" s="917" t="s">
        <v>194</v>
      </c>
      <c r="AQ74" s="917" t="s">
        <v>194</v>
      </c>
    </row>
    <row r="75" ht="15.75" customHeight="1">
      <c r="A75" s="849">
        <v>1.0</v>
      </c>
      <c r="B75" s="15"/>
      <c r="C75" s="855" t="str">
        <f>"Profitability Metrics"</f>
        <v>Profitability Metrics</v>
      </c>
      <c r="D75" s="867" t="s">
        <v>194</v>
      </c>
      <c r="E75" s="867" t="s">
        <v>194</v>
      </c>
      <c r="F75" s="867" t="s">
        <v>194</v>
      </c>
      <c r="G75" s="867" t="s">
        <v>194</v>
      </c>
      <c r="H75" s="867" t="s">
        <v>194</v>
      </c>
      <c r="I75" s="867" t="s">
        <v>194</v>
      </c>
      <c r="J75" s="867" t="s">
        <v>194</v>
      </c>
      <c r="K75" s="867" t="s">
        <v>194</v>
      </c>
      <c r="L75" s="867" t="s">
        <v>194</v>
      </c>
      <c r="M75" s="867" t="s">
        <v>194</v>
      </c>
      <c r="N75" s="867" t="s">
        <v>194</v>
      </c>
      <c r="O75" s="867" t="s">
        <v>194</v>
      </c>
      <c r="P75" s="867" t="s">
        <v>194</v>
      </c>
      <c r="Q75" s="867" t="s">
        <v>194</v>
      </c>
      <c r="R75" s="867" t="s">
        <v>194</v>
      </c>
      <c r="S75" s="867" t="s">
        <v>194</v>
      </c>
      <c r="T75" s="867" t="s">
        <v>194</v>
      </c>
      <c r="U75" s="15"/>
      <c r="V75" s="851" t="s">
        <v>194</v>
      </c>
      <c r="W75" s="846" t="s">
        <v>194</v>
      </c>
      <c r="X75" s="846" t="s">
        <v>194</v>
      </c>
      <c r="Y75" s="846" t="s">
        <v>194</v>
      </c>
      <c r="Z75" s="846" t="s">
        <v>194</v>
      </c>
      <c r="AA75" s="846" t="s">
        <v>194</v>
      </c>
      <c r="AB75" s="846" t="s">
        <v>194</v>
      </c>
      <c r="AC75" s="846" t="s">
        <v>194</v>
      </c>
      <c r="AD75" s="846" t="s">
        <v>194</v>
      </c>
      <c r="AE75" s="846" t="s">
        <v>194</v>
      </c>
      <c r="AF75" s="846" t="s">
        <v>194</v>
      </c>
      <c r="AG75" s="846" t="s">
        <v>194</v>
      </c>
      <c r="AH75" s="846" t="s">
        <v>194</v>
      </c>
      <c r="AI75" s="846" t="s">
        <v>194</v>
      </c>
      <c r="AJ75" s="846" t="s">
        <v>194</v>
      </c>
      <c r="AK75" s="846" t="s">
        <v>194</v>
      </c>
      <c r="AL75" s="846" t="s">
        <v>194</v>
      </c>
      <c r="AM75" s="846" t="s">
        <v>194</v>
      </c>
      <c r="AN75" s="846" t="s">
        <v>194</v>
      </c>
      <c r="AO75" s="846" t="s">
        <v>194</v>
      </c>
      <c r="AP75" s="846" t="s">
        <v>194</v>
      </c>
      <c r="AQ75" s="846" t="s">
        <v>194</v>
      </c>
    </row>
    <row r="76" ht="15.75" customHeight="1" outlineLevel="1">
      <c r="A76" s="849">
        <v>1.0</v>
      </c>
      <c r="B76" s="15"/>
      <c r="C76" s="869" t="str">
        <f>"    Earnings Before Interest, Tax, Depreciation, &amp; Amortization (EBITDA)"</f>
        <v>    Earnings Before Interest, Tax, Depreciation, &amp; Amortization (EBITDA)</v>
      </c>
      <c r="D76" s="870">
        <f t="shared" ref="D76:D93" si="33">IF(COUNT(M76:T76)&gt;0,MEDIAN(M76:T76),"")</f>
        <v>25599</v>
      </c>
      <c r="E76" s="870">
        <f t="shared" ref="E76:E93" si="34">IF(COUNT(M76:T76)&gt;0,AVERAGE(M76:T76),"")</f>
        <v>24655.625</v>
      </c>
      <c r="F76" s="870">
        <f t="shared" ref="F76:F93" si="35">IF(COUNT(M76:T76)&gt;0,MIN(M76:T76),"")</f>
        <v>1357</v>
      </c>
      <c r="G76" s="870">
        <f t="shared" ref="G76:G93" si="36">IF(COUNT(M76:T76)&gt;0,MAX(M76:T76),"")</f>
        <v>48491</v>
      </c>
      <c r="H76" s="870">
        <f t="shared" ref="H76:H93" si="37">IF(COUNT(M76:T76)&gt;0,QUARTILE(M76:T76,1),"")</f>
        <v>11199.25</v>
      </c>
      <c r="I76" s="870">
        <f t="shared" ref="I76:I93" si="38">IF(COUNT(M76:T76)&gt;0,QUARTILE(M76:T76,3),"")</f>
        <v>37368</v>
      </c>
      <c r="J76" s="870">
        <f t="shared" ref="J76:J93" si="39">IF(COUNT(M76:T76)&gt;1,STDEV(M76:T76),"")</f>
        <v>16996.13688</v>
      </c>
      <c r="K76" s="871">
        <f t="shared" ref="K76:K93" si="40">IF(COUNT(M76:T76)&gt;1,STDEV(M76:T76)/AVERAGE(M76:T76),"")</f>
        <v>0.6893411495</v>
      </c>
      <c r="L76" s="872" t="s">
        <v>194</v>
      </c>
      <c r="M76" s="872">
        <v>1357.0</v>
      </c>
      <c r="N76" s="872">
        <v>5971.0</v>
      </c>
      <c r="O76" s="872">
        <v>12942.0</v>
      </c>
      <c r="P76" s="872">
        <v>22539.0</v>
      </c>
      <c r="Q76" s="872">
        <v>28659.0</v>
      </c>
      <c r="R76" s="872">
        <v>36093.0</v>
      </c>
      <c r="S76" s="872">
        <v>41193.0</v>
      </c>
      <c r="T76" s="872">
        <v>48491.0</v>
      </c>
      <c r="U76" s="15"/>
      <c r="V76" s="851" t="s">
        <v>194</v>
      </c>
      <c r="W76" s="846" t="s">
        <v>194</v>
      </c>
      <c r="X76" s="846" t="s">
        <v>194</v>
      </c>
      <c r="Y76" s="846" t="s">
        <v>194</v>
      </c>
      <c r="Z76" s="846" t="s">
        <v>194</v>
      </c>
      <c r="AA76" s="846" t="s">
        <v>194</v>
      </c>
      <c r="AB76" s="846" t="s">
        <v>194</v>
      </c>
      <c r="AC76" s="846" t="s">
        <v>194</v>
      </c>
      <c r="AD76" s="846" t="s">
        <v>194</v>
      </c>
      <c r="AE76" s="846" t="s">
        <v>194</v>
      </c>
      <c r="AF76" s="846" t="s">
        <v>194</v>
      </c>
      <c r="AG76" s="846" t="s">
        <v>194</v>
      </c>
      <c r="AH76" s="846" t="s">
        <v>194</v>
      </c>
      <c r="AI76" s="846" t="s">
        <v>194</v>
      </c>
      <c r="AJ76" s="846" t="s">
        <v>194</v>
      </c>
      <c r="AK76" s="846" t="s">
        <v>194</v>
      </c>
      <c r="AL76" s="846" t="s">
        <v>194</v>
      </c>
      <c r="AM76" s="846" t="s">
        <v>194</v>
      </c>
      <c r="AN76" s="846" t="s">
        <v>194</v>
      </c>
      <c r="AO76" s="846" t="s">
        <v>194</v>
      </c>
      <c r="AP76" s="846" t="s">
        <v>194</v>
      </c>
      <c r="AQ76" s="846" t="s">
        <v>194</v>
      </c>
    </row>
    <row r="77" ht="15.75" customHeight="1" outlineLevel="1">
      <c r="A77" s="849">
        <v>1.0</v>
      </c>
      <c r="B77" s="15"/>
      <c r="C77" s="869" t="str">
        <f>"    Normalized EBITDA"</f>
        <v>    Normalized EBITDA</v>
      </c>
      <c r="D77" s="870">
        <f t="shared" si="33"/>
        <v>27136.5</v>
      </c>
      <c r="E77" s="870">
        <f t="shared" si="34"/>
        <v>25495.75</v>
      </c>
      <c r="F77" s="870">
        <f t="shared" si="35"/>
        <v>1559</v>
      </c>
      <c r="G77" s="870">
        <f t="shared" si="36"/>
        <v>49235</v>
      </c>
      <c r="H77" s="870">
        <f t="shared" si="37"/>
        <v>11665.25</v>
      </c>
      <c r="I77" s="870">
        <f t="shared" si="38"/>
        <v>38333.5</v>
      </c>
      <c r="J77" s="870">
        <f t="shared" si="39"/>
        <v>17283.36717</v>
      </c>
      <c r="K77" s="871">
        <f t="shared" si="40"/>
        <v>0.6778920868</v>
      </c>
      <c r="L77" s="872" t="s">
        <v>194</v>
      </c>
      <c r="M77" s="872">
        <v>1559.0</v>
      </c>
      <c r="N77" s="872">
        <v>6086.0</v>
      </c>
      <c r="O77" s="872">
        <v>13525.0</v>
      </c>
      <c r="P77" s="872">
        <v>24400.0</v>
      </c>
      <c r="Q77" s="872">
        <v>29873.0</v>
      </c>
      <c r="R77" s="872">
        <v>37023.0</v>
      </c>
      <c r="S77" s="872">
        <v>42265.0</v>
      </c>
      <c r="T77" s="872">
        <v>49235.0</v>
      </c>
      <c r="U77" s="15"/>
      <c r="V77" s="851" t="s">
        <v>194</v>
      </c>
      <c r="W77" s="846" t="s">
        <v>194</v>
      </c>
      <c r="X77" s="846" t="s">
        <v>194</v>
      </c>
      <c r="Y77" s="846" t="s">
        <v>194</v>
      </c>
      <c r="Z77" s="846" t="s">
        <v>194</v>
      </c>
      <c r="AA77" s="846" t="s">
        <v>194</v>
      </c>
      <c r="AB77" s="846" t="s">
        <v>194</v>
      </c>
      <c r="AC77" s="846" t="s">
        <v>194</v>
      </c>
      <c r="AD77" s="846" t="s">
        <v>194</v>
      </c>
      <c r="AE77" s="846" t="s">
        <v>194</v>
      </c>
      <c r="AF77" s="846" t="s">
        <v>194</v>
      </c>
      <c r="AG77" s="846" t="s">
        <v>194</v>
      </c>
      <c r="AH77" s="846" t="s">
        <v>194</v>
      </c>
      <c r="AI77" s="846" t="s">
        <v>194</v>
      </c>
      <c r="AJ77" s="846" t="s">
        <v>194</v>
      </c>
      <c r="AK77" s="846" t="s">
        <v>194</v>
      </c>
      <c r="AL77" s="846" t="s">
        <v>194</v>
      </c>
      <c r="AM77" s="846" t="s">
        <v>194</v>
      </c>
      <c r="AN77" s="846" t="s">
        <v>194</v>
      </c>
      <c r="AO77" s="846" t="s">
        <v>194</v>
      </c>
      <c r="AP77" s="846" t="s">
        <v>194</v>
      </c>
      <c r="AQ77" s="846" t="s">
        <v>194</v>
      </c>
    </row>
    <row r="78" ht="15.75" customHeight="1" outlineLevel="1">
      <c r="A78" s="849">
        <v>1.0</v>
      </c>
      <c r="B78" s="15"/>
      <c r="C78" s="869" t="str">
        <f>"    Earnings Before Interest, Tax and Amortization (EBITA)"</f>
        <v>    Earnings Before Interest, Tax and Amortization (EBITA)</v>
      </c>
      <c r="D78" s="870">
        <f t="shared" si="33"/>
        <v>25599</v>
      </c>
      <c r="E78" s="870">
        <f t="shared" si="34"/>
        <v>24655.625</v>
      </c>
      <c r="F78" s="870">
        <f t="shared" si="35"/>
        <v>1357</v>
      </c>
      <c r="G78" s="870">
        <f t="shared" si="36"/>
        <v>48491</v>
      </c>
      <c r="H78" s="870">
        <f t="shared" si="37"/>
        <v>11199.25</v>
      </c>
      <c r="I78" s="870">
        <f t="shared" si="38"/>
        <v>37368</v>
      </c>
      <c r="J78" s="870">
        <f t="shared" si="39"/>
        <v>16996.13688</v>
      </c>
      <c r="K78" s="871">
        <f t="shared" si="40"/>
        <v>0.6893411495</v>
      </c>
      <c r="L78" s="872" t="s">
        <v>194</v>
      </c>
      <c r="M78" s="872">
        <v>1357.0</v>
      </c>
      <c r="N78" s="872">
        <v>5971.0</v>
      </c>
      <c r="O78" s="872">
        <v>12942.0</v>
      </c>
      <c r="P78" s="872">
        <v>22539.0</v>
      </c>
      <c r="Q78" s="872">
        <v>28659.0</v>
      </c>
      <c r="R78" s="872">
        <v>36093.0</v>
      </c>
      <c r="S78" s="872">
        <v>41193.0</v>
      </c>
      <c r="T78" s="872">
        <v>48491.0</v>
      </c>
      <c r="U78" s="15"/>
      <c r="V78" s="851" t="s">
        <v>194</v>
      </c>
      <c r="W78" s="846" t="s">
        <v>194</v>
      </c>
      <c r="X78" s="846" t="s">
        <v>194</v>
      </c>
      <c r="Y78" s="846" t="s">
        <v>194</v>
      </c>
      <c r="Z78" s="846" t="s">
        <v>194</v>
      </c>
      <c r="AA78" s="846" t="s">
        <v>194</v>
      </c>
      <c r="AB78" s="846" t="s">
        <v>194</v>
      </c>
      <c r="AC78" s="846" t="s">
        <v>194</v>
      </c>
      <c r="AD78" s="846" t="s">
        <v>194</v>
      </c>
      <c r="AE78" s="846" t="s">
        <v>194</v>
      </c>
      <c r="AF78" s="846" t="s">
        <v>194</v>
      </c>
      <c r="AG78" s="846" t="s">
        <v>194</v>
      </c>
      <c r="AH78" s="846" t="s">
        <v>194</v>
      </c>
      <c r="AI78" s="846" t="s">
        <v>194</v>
      </c>
      <c r="AJ78" s="846" t="s">
        <v>194</v>
      </c>
      <c r="AK78" s="846" t="s">
        <v>194</v>
      </c>
      <c r="AL78" s="846" t="s">
        <v>194</v>
      </c>
      <c r="AM78" s="846" t="s">
        <v>194</v>
      </c>
      <c r="AN78" s="846" t="s">
        <v>194</v>
      </c>
      <c r="AO78" s="846" t="s">
        <v>194</v>
      </c>
      <c r="AP78" s="846" t="s">
        <v>194</v>
      </c>
      <c r="AQ78" s="846" t="s">
        <v>194</v>
      </c>
    </row>
    <row r="79" ht="15.75" customHeight="1" outlineLevel="1">
      <c r="A79" s="849">
        <v>1.0</v>
      </c>
      <c r="B79" s="15"/>
      <c r="C79" s="869" t="str">
        <f>"    Earnings Before Interest and Tax (EBIT)"</f>
        <v>    Earnings Before Interest and Tax (EBIT)</v>
      </c>
      <c r="D79" s="870">
        <f t="shared" si="33"/>
        <v>12553</v>
      </c>
      <c r="E79" s="870">
        <f t="shared" si="34"/>
        <v>14659</v>
      </c>
      <c r="F79" s="870">
        <f t="shared" si="35"/>
        <v>-1841</v>
      </c>
      <c r="G79" s="870">
        <f t="shared" si="36"/>
        <v>37196</v>
      </c>
      <c r="H79" s="870">
        <f t="shared" si="37"/>
        <v>3545.25</v>
      </c>
      <c r="I79" s="870">
        <f t="shared" si="38"/>
        <v>24124</v>
      </c>
      <c r="J79" s="870">
        <f t="shared" si="39"/>
        <v>13910.93823</v>
      </c>
      <c r="K79" s="871">
        <f t="shared" si="40"/>
        <v>0.9489691135</v>
      </c>
      <c r="L79" s="872" t="s">
        <v>194</v>
      </c>
      <c r="M79" s="872">
        <v>-1841.0</v>
      </c>
      <c r="N79" s="872">
        <v>987.0</v>
      </c>
      <c r="O79" s="872">
        <v>4398.0</v>
      </c>
      <c r="P79" s="872">
        <v>10459.0</v>
      </c>
      <c r="Q79" s="872">
        <v>14647.0</v>
      </c>
      <c r="R79" s="872">
        <v>22535.0</v>
      </c>
      <c r="S79" s="872">
        <v>28891.0</v>
      </c>
      <c r="T79" s="872">
        <v>37196.0</v>
      </c>
      <c r="U79" s="15"/>
      <c r="V79" s="851" t="s">
        <v>194</v>
      </c>
      <c r="W79" s="846" t="s">
        <v>194</v>
      </c>
      <c r="X79" s="846" t="s">
        <v>194</v>
      </c>
      <c r="Y79" s="846" t="s">
        <v>194</v>
      </c>
      <c r="Z79" s="846" t="s">
        <v>194</v>
      </c>
      <c r="AA79" s="846" t="s">
        <v>194</v>
      </c>
      <c r="AB79" s="846" t="s">
        <v>194</v>
      </c>
      <c r="AC79" s="846" t="s">
        <v>194</v>
      </c>
      <c r="AD79" s="846" t="s">
        <v>194</v>
      </c>
      <c r="AE79" s="846" t="s">
        <v>194</v>
      </c>
      <c r="AF79" s="846" t="s">
        <v>194</v>
      </c>
      <c r="AG79" s="846" t="s">
        <v>194</v>
      </c>
      <c r="AH79" s="846" t="s">
        <v>194</v>
      </c>
      <c r="AI79" s="846" t="s">
        <v>194</v>
      </c>
      <c r="AJ79" s="846" t="s">
        <v>194</v>
      </c>
      <c r="AK79" s="846" t="s">
        <v>194</v>
      </c>
      <c r="AL79" s="846" t="s">
        <v>194</v>
      </c>
      <c r="AM79" s="846" t="s">
        <v>194</v>
      </c>
      <c r="AN79" s="846" t="s">
        <v>194</v>
      </c>
      <c r="AO79" s="846" t="s">
        <v>194</v>
      </c>
      <c r="AP79" s="846" t="s">
        <v>194</v>
      </c>
      <c r="AQ79" s="846" t="s">
        <v>194</v>
      </c>
    </row>
    <row r="80" ht="15.75" customHeight="1" outlineLevel="1">
      <c r="A80" s="849">
        <v>1.0</v>
      </c>
      <c r="B80" s="15"/>
      <c r="C80" s="869" t="str">
        <f>"    Normalized EBIT"</f>
        <v>    Normalized EBIT</v>
      </c>
      <c r="D80" s="870">
        <f t="shared" si="33"/>
        <v>14090.5</v>
      </c>
      <c r="E80" s="870">
        <f t="shared" si="34"/>
        <v>15499.125</v>
      </c>
      <c r="F80" s="870">
        <f t="shared" si="35"/>
        <v>-1639</v>
      </c>
      <c r="G80" s="870">
        <f t="shared" si="36"/>
        <v>37940</v>
      </c>
      <c r="H80" s="870">
        <f t="shared" si="37"/>
        <v>4011.25</v>
      </c>
      <c r="I80" s="870">
        <f t="shared" si="38"/>
        <v>25089.5</v>
      </c>
      <c r="J80" s="870">
        <f t="shared" si="39"/>
        <v>14132.60159</v>
      </c>
      <c r="K80" s="871">
        <f t="shared" si="40"/>
        <v>0.9118322225</v>
      </c>
      <c r="L80" s="872" t="s">
        <v>194</v>
      </c>
      <c r="M80" s="872">
        <v>-1639.0</v>
      </c>
      <c r="N80" s="872">
        <v>1102.0</v>
      </c>
      <c r="O80" s="872">
        <v>4981.0</v>
      </c>
      <c r="P80" s="872">
        <v>12320.0</v>
      </c>
      <c r="Q80" s="872">
        <v>15861.0</v>
      </c>
      <c r="R80" s="872">
        <v>23465.0</v>
      </c>
      <c r="S80" s="872">
        <v>29963.0</v>
      </c>
      <c r="T80" s="872">
        <v>37940.0</v>
      </c>
      <c r="U80" s="15"/>
      <c r="V80" s="851" t="s">
        <v>194</v>
      </c>
      <c r="W80" s="846" t="s">
        <v>194</v>
      </c>
      <c r="X80" s="846" t="s">
        <v>194</v>
      </c>
      <c r="Y80" s="846" t="s">
        <v>194</v>
      </c>
      <c r="Z80" s="846" t="s">
        <v>194</v>
      </c>
      <c r="AA80" s="846" t="s">
        <v>194</v>
      </c>
      <c r="AB80" s="846" t="s">
        <v>194</v>
      </c>
      <c r="AC80" s="846" t="s">
        <v>194</v>
      </c>
      <c r="AD80" s="846" t="s">
        <v>194</v>
      </c>
      <c r="AE80" s="846" t="s">
        <v>194</v>
      </c>
      <c r="AF80" s="846" t="s">
        <v>194</v>
      </c>
      <c r="AG80" s="846" t="s">
        <v>194</v>
      </c>
      <c r="AH80" s="846" t="s">
        <v>194</v>
      </c>
      <c r="AI80" s="846" t="s">
        <v>194</v>
      </c>
      <c r="AJ80" s="846" t="s">
        <v>194</v>
      </c>
      <c r="AK80" s="846" t="s">
        <v>194</v>
      </c>
      <c r="AL80" s="846" t="s">
        <v>194</v>
      </c>
      <c r="AM80" s="846" t="s">
        <v>194</v>
      </c>
      <c r="AN80" s="846" t="s">
        <v>194</v>
      </c>
      <c r="AO80" s="846" t="s">
        <v>194</v>
      </c>
      <c r="AP80" s="846" t="s">
        <v>194</v>
      </c>
      <c r="AQ80" s="846" t="s">
        <v>194</v>
      </c>
    </row>
    <row r="81" ht="15.75" customHeight="1" outlineLevel="1">
      <c r="A81" s="849">
        <v>1.0</v>
      </c>
      <c r="B81" s="15"/>
      <c r="C81" s="869" t="str">
        <f>"    Earnings Before Interest, Tax, Depreciation, Amortization and Rent Expenses (EBITDAR)"</f>
        <v>    Earnings Before Interest, Tax, Depreciation, Amortization and Rent Expenses (EBITDAR)</v>
      </c>
      <c r="D81" s="870">
        <f t="shared" si="33"/>
        <v>25599</v>
      </c>
      <c r="E81" s="870">
        <f t="shared" si="34"/>
        <v>24655.625</v>
      </c>
      <c r="F81" s="870">
        <f t="shared" si="35"/>
        <v>1357</v>
      </c>
      <c r="G81" s="870">
        <f t="shared" si="36"/>
        <v>48491</v>
      </c>
      <c r="H81" s="870">
        <f t="shared" si="37"/>
        <v>11199.25</v>
      </c>
      <c r="I81" s="870">
        <f t="shared" si="38"/>
        <v>37368</v>
      </c>
      <c r="J81" s="870">
        <f t="shared" si="39"/>
        <v>16996.13688</v>
      </c>
      <c r="K81" s="871">
        <f t="shared" si="40"/>
        <v>0.6893411495</v>
      </c>
      <c r="L81" s="872" t="s">
        <v>194</v>
      </c>
      <c r="M81" s="872">
        <v>1357.0</v>
      </c>
      <c r="N81" s="872">
        <v>5971.0</v>
      </c>
      <c r="O81" s="872">
        <v>12942.0</v>
      </c>
      <c r="P81" s="872">
        <v>22539.0</v>
      </c>
      <c r="Q81" s="872">
        <v>28659.0</v>
      </c>
      <c r="R81" s="872">
        <v>36093.0</v>
      </c>
      <c r="S81" s="872">
        <v>41193.0</v>
      </c>
      <c r="T81" s="872">
        <v>48491.0</v>
      </c>
      <c r="U81" s="15"/>
      <c r="V81" s="851" t="s">
        <v>194</v>
      </c>
      <c r="W81" s="846" t="s">
        <v>194</v>
      </c>
      <c r="X81" s="846" t="s">
        <v>194</v>
      </c>
      <c r="Y81" s="846" t="s">
        <v>194</v>
      </c>
      <c r="Z81" s="846" t="s">
        <v>194</v>
      </c>
      <c r="AA81" s="846" t="s">
        <v>194</v>
      </c>
      <c r="AB81" s="846" t="s">
        <v>194</v>
      </c>
      <c r="AC81" s="846" t="s">
        <v>194</v>
      </c>
      <c r="AD81" s="846" t="s">
        <v>194</v>
      </c>
      <c r="AE81" s="846" t="s">
        <v>194</v>
      </c>
      <c r="AF81" s="846" t="s">
        <v>194</v>
      </c>
      <c r="AG81" s="846" t="s">
        <v>194</v>
      </c>
      <c r="AH81" s="846" t="s">
        <v>194</v>
      </c>
      <c r="AI81" s="846" t="s">
        <v>194</v>
      </c>
      <c r="AJ81" s="846" t="s">
        <v>194</v>
      </c>
      <c r="AK81" s="846" t="s">
        <v>194</v>
      </c>
      <c r="AL81" s="846" t="s">
        <v>194</v>
      </c>
      <c r="AM81" s="846" t="s">
        <v>194</v>
      </c>
      <c r="AN81" s="846" t="s">
        <v>194</v>
      </c>
      <c r="AO81" s="846" t="s">
        <v>194</v>
      </c>
      <c r="AP81" s="846" t="s">
        <v>194</v>
      </c>
      <c r="AQ81" s="846" t="s">
        <v>194</v>
      </c>
    </row>
    <row r="82" ht="15.75" customHeight="1" outlineLevel="1">
      <c r="A82" s="849">
        <v>1.0</v>
      </c>
      <c r="B82" s="15"/>
      <c r="C82" s="869" t="str">
        <f>"    Normalized EBITDAR"</f>
        <v>    Normalized EBITDAR</v>
      </c>
      <c r="D82" s="870">
        <f t="shared" si="33"/>
        <v>27136.5</v>
      </c>
      <c r="E82" s="870">
        <f t="shared" si="34"/>
        <v>25495.75</v>
      </c>
      <c r="F82" s="870">
        <f t="shared" si="35"/>
        <v>1559</v>
      </c>
      <c r="G82" s="870">
        <f t="shared" si="36"/>
        <v>49235</v>
      </c>
      <c r="H82" s="870">
        <f t="shared" si="37"/>
        <v>11665.25</v>
      </c>
      <c r="I82" s="870">
        <f t="shared" si="38"/>
        <v>38333.5</v>
      </c>
      <c r="J82" s="870">
        <f t="shared" si="39"/>
        <v>17283.36717</v>
      </c>
      <c r="K82" s="871">
        <f t="shared" si="40"/>
        <v>0.6778920868</v>
      </c>
      <c r="L82" s="872" t="s">
        <v>194</v>
      </c>
      <c r="M82" s="872">
        <v>1559.0</v>
      </c>
      <c r="N82" s="872">
        <v>6086.0</v>
      </c>
      <c r="O82" s="872">
        <v>13525.0</v>
      </c>
      <c r="P82" s="872">
        <v>24400.0</v>
      </c>
      <c r="Q82" s="872">
        <v>29873.0</v>
      </c>
      <c r="R82" s="872">
        <v>37023.0</v>
      </c>
      <c r="S82" s="872">
        <v>42265.0</v>
      </c>
      <c r="T82" s="872">
        <v>49235.0</v>
      </c>
      <c r="U82" s="15"/>
      <c r="V82" s="851" t="s">
        <v>194</v>
      </c>
      <c r="W82" s="846" t="s">
        <v>194</v>
      </c>
      <c r="X82" s="846" t="s">
        <v>194</v>
      </c>
      <c r="Y82" s="846" t="s">
        <v>194</v>
      </c>
      <c r="Z82" s="846" t="s">
        <v>194</v>
      </c>
      <c r="AA82" s="846" t="s">
        <v>194</v>
      </c>
      <c r="AB82" s="846" t="s">
        <v>194</v>
      </c>
      <c r="AC82" s="846" t="s">
        <v>194</v>
      </c>
      <c r="AD82" s="846" t="s">
        <v>194</v>
      </c>
      <c r="AE82" s="846" t="s">
        <v>194</v>
      </c>
      <c r="AF82" s="846" t="s">
        <v>194</v>
      </c>
      <c r="AG82" s="846" t="s">
        <v>194</v>
      </c>
      <c r="AH82" s="846" t="s">
        <v>194</v>
      </c>
      <c r="AI82" s="846" t="s">
        <v>194</v>
      </c>
      <c r="AJ82" s="846" t="s">
        <v>194</v>
      </c>
      <c r="AK82" s="846" t="s">
        <v>194</v>
      </c>
      <c r="AL82" s="846" t="s">
        <v>194</v>
      </c>
      <c r="AM82" s="846" t="s">
        <v>194</v>
      </c>
      <c r="AN82" s="846" t="s">
        <v>194</v>
      </c>
      <c r="AO82" s="846" t="s">
        <v>194</v>
      </c>
      <c r="AP82" s="846" t="s">
        <v>194</v>
      </c>
      <c r="AQ82" s="846" t="s">
        <v>194</v>
      </c>
    </row>
    <row r="83" ht="15.75" customHeight="1" outlineLevel="1">
      <c r="A83" s="849">
        <v>1.0</v>
      </c>
      <c r="B83" s="15"/>
      <c r="C83" s="869" t="str">
        <f>"    Interest and Dividend Income"</f>
        <v>    Interest and Dividend Income</v>
      </c>
      <c r="D83" s="870">
        <f t="shared" si="33"/>
        <v>107.5</v>
      </c>
      <c r="E83" s="870">
        <f t="shared" si="34"/>
        <v>572.125</v>
      </c>
      <c r="F83" s="870">
        <f t="shared" si="35"/>
        <v>12</v>
      </c>
      <c r="G83" s="870">
        <f t="shared" si="36"/>
        <v>3259</v>
      </c>
      <c r="H83" s="870">
        <f t="shared" si="37"/>
        <v>76.5</v>
      </c>
      <c r="I83" s="870">
        <f t="shared" si="38"/>
        <v>338.25</v>
      </c>
      <c r="J83" s="870">
        <f t="shared" si="39"/>
        <v>1112.200578</v>
      </c>
      <c r="K83" s="871">
        <f t="shared" si="40"/>
        <v>1.943981783</v>
      </c>
      <c r="L83" s="872" t="s">
        <v>194</v>
      </c>
      <c r="M83" s="872">
        <v>113.0</v>
      </c>
      <c r="N83" s="872">
        <v>88.0</v>
      </c>
      <c r="O83" s="872">
        <v>12.0</v>
      </c>
      <c r="P83" s="872">
        <v>42.0</v>
      </c>
      <c r="Q83" s="872">
        <v>102.0</v>
      </c>
      <c r="R83" s="872">
        <v>196.0</v>
      </c>
      <c r="S83" s="872">
        <v>765.0</v>
      </c>
      <c r="T83" s="872">
        <v>3259.0</v>
      </c>
      <c r="U83" s="15"/>
      <c r="V83" s="851" t="s">
        <v>194</v>
      </c>
      <c r="W83" s="846" t="s">
        <v>194</v>
      </c>
      <c r="X83" s="846" t="s">
        <v>194</v>
      </c>
      <c r="Y83" s="846" t="s">
        <v>194</v>
      </c>
      <c r="Z83" s="846" t="s">
        <v>194</v>
      </c>
      <c r="AA83" s="846" t="s">
        <v>194</v>
      </c>
      <c r="AB83" s="846" t="s">
        <v>194</v>
      </c>
      <c r="AC83" s="846" t="s">
        <v>194</v>
      </c>
      <c r="AD83" s="846" t="s">
        <v>194</v>
      </c>
      <c r="AE83" s="846" t="s">
        <v>194</v>
      </c>
      <c r="AF83" s="846" t="s">
        <v>194</v>
      </c>
      <c r="AG83" s="846" t="s">
        <v>194</v>
      </c>
      <c r="AH83" s="846" t="s">
        <v>194</v>
      </c>
      <c r="AI83" s="846" t="s">
        <v>194</v>
      </c>
      <c r="AJ83" s="846" t="s">
        <v>194</v>
      </c>
      <c r="AK83" s="846" t="s">
        <v>194</v>
      </c>
      <c r="AL83" s="846" t="s">
        <v>194</v>
      </c>
      <c r="AM83" s="846" t="s">
        <v>194</v>
      </c>
      <c r="AN83" s="846" t="s">
        <v>194</v>
      </c>
      <c r="AO83" s="846" t="s">
        <v>194</v>
      </c>
      <c r="AP83" s="846" t="s">
        <v>194</v>
      </c>
      <c r="AQ83" s="846" t="s">
        <v>194</v>
      </c>
    </row>
    <row r="84" ht="15.75" customHeight="1" outlineLevel="1">
      <c r="A84" s="849">
        <v>1.0</v>
      </c>
      <c r="B84" s="15"/>
      <c r="C84" s="869" t="str">
        <f>"    Normalized Basic EPS"</f>
        <v>    Normalized Basic EPS</v>
      </c>
      <c r="D84" s="871">
        <f t="shared" si="33"/>
        <v>0.5286586647</v>
      </c>
      <c r="E84" s="871">
        <f t="shared" si="34"/>
        <v>-1.736763668</v>
      </c>
      <c r="F84" s="871">
        <f t="shared" si="35"/>
        <v>-19.62378757</v>
      </c>
      <c r="G84" s="871">
        <f t="shared" si="36"/>
        <v>2.465538523</v>
      </c>
      <c r="H84" s="871">
        <f t="shared" si="37"/>
        <v>0.04588951188</v>
      </c>
      <c r="I84" s="871">
        <f t="shared" si="38"/>
        <v>1.057982906</v>
      </c>
      <c r="J84" s="871">
        <f t="shared" si="39"/>
        <v>7.269085395</v>
      </c>
      <c r="K84" s="871">
        <f t="shared" si="40"/>
        <v>-4.185420002</v>
      </c>
      <c r="L84" s="928" t="s">
        <v>194</v>
      </c>
      <c r="M84" s="928">
        <v>-19.623787567279443</v>
      </c>
      <c r="N84" s="928">
        <v>0.04763943719228665</v>
      </c>
      <c r="O84" s="928">
        <v>0.040639735961910436</v>
      </c>
      <c r="P84" s="928">
        <v>0.40808519154159023</v>
      </c>
      <c r="Q84" s="928">
        <v>0.6492321378983061</v>
      </c>
      <c r="R84" s="928">
        <v>1.0618489878384336</v>
      </c>
      <c r="S84" s="928">
        <v>1.0566942120471343</v>
      </c>
      <c r="T84" s="928">
        <v>2.4655385227681816</v>
      </c>
      <c r="U84" s="15"/>
      <c r="V84" s="851" t="s">
        <v>194</v>
      </c>
      <c r="W84" s="846" t="s">
        <v>194</v>
      </c>
      <c r="X84" s="846" t="s">
        <v>194</v>
      </c>
      <c r="Y84" s="846" t="s">
        <v>194</v>
      </c>
      <c r="Z84" s="846" t="s">
        <v>194</v>
      </c>
      <c r="AA84" s="846" t="s">
        <v>194</v>
      </c>
      <c r="AB84" s="846" t="s">
        <v>194</v>
      </c>
      <c r="AC84" s="846" t="s">
        <v>194</v>
      </c>
      <c r="AD84" s="846" t="s">
        <v>194</v>
      </c>
      <c r="AE84" s="846" t="s">
        <v>194</v>
      </c>
      <c r="AF84" s="846" t="s">
        <v>194</v>
      </c>
      <c r="AG84" s="846" t="s">
        <v>194</v>
      </c>
      <c r="AH84" s="846" t="s">
        <v>194</v>
      </c>
      <c r="AI84" s="846" t="s">
        <v>194</v>
      </c>
      <c r="AJ84" s="846" t="s">
        <v>194</v>
      </c>
      <c r="AK84" s="846" t="s">
        <v>194</v>
      </c>
      <c r="AL84" s="846" t="s">
        <v>194</v>
      </c>
      <c r="AM84" s="846" t="s">
        <v>194</v>
      </c>
      <c r="AN84" s="846" t="s">
        <v>194</v>
      </c>
      <c r="AO84" s="846" t="s">
        <v>194</v>
      </c>
      <c r="AP84" s="846" t="s">
        <v>194</v>
      </c>
      <c r="AQ84" s="846" t="s">
        <v>194</v>
      </c>
    </row>
    <row r="85" ht="15.75" customHeight="1" outlineLevel="1">
      <c r="A85" s="849">
        <v>1.0</v>
      </c>
      <c r="B85" s="15"/>
      <c r="C85" s="869" t="str">
        <f>"    Recommended Normalized Basic EPS"</f>
        <v>    Recommended Normalized Basic EPS</v>
      </c>
      <c r="D85" s="871">
        <f t="shared" si="33"/>
        <v>0.5286586647</v>
      </c>
      <c r="E85" s="871">
        <f t="shared" si="34"/>
        <v>-1.736763668</v>
      </c>
      <c r="F85" s="871">
        <f t="shared" si="35"/>
        <v>-19.62378757</v>
      </c>
      <c r="G85" s="871">
        <f t="shared" si="36"/>
        <v>2.465538523</v>
      </c>
      <c r="H85" s="871">
        <f t="shared" si="37"/>
        <v>0.04588951188</v>
      </c>
      <c r="I85" s="871">
        <f t="shared" si="38"/>
        <v>1.057982906</v>
      </c>
      <c r="J85" s="871">
        <f t="shared" si="39"/>
        <v>7.269085395</v>
      </c>
      <c r="K85" s="871">
        <f t="shared" si="40"/>
        <v>-4.185420002</v>
      </c>
      <c r="L85" s="928" t="s">
        <v>194</v>
      </c>
      <c r="M85" s="928">
        <v>-19.623787567279443</v>
      </c>
      <c r="N85" s="928">
        <v>0.04763943719228665</v>
      </c>
      <c r="O85" s="928">
        <v>0.040639735961910436</v>
      </c>
      <c r="P85" s="928">
        <v>0.40808519154159023</v>
      </c>
      <c r="Q85" s="928">
        <v>0.6492321378983061</v>
      </c>
      <c r="R85" s="928">
        <v>1.0618489878384336</v>
      </c>
      <c r="S85" s="928">
        <v>1.0566942120471343</v>
      </c>
      <c r="T85" s="928">
        <v>2.4655385227681816</v>
      </c>
      <c r="U85" s="15"/>
      <c r="V85" s="851" t="s">
        <v>194</v>
      </c>
      <c r="W85" s="846" t="s">
        <v>194</v>
      </c>
      <c r="X85" s="846" t="s">
        <v>194</v>
      </c>
      <c r="Y85" s="846" t="s">
        <v>194</v>
      </c>
      <c r="Z85" s="846" t="s">
        <v>194</v>
      </c>
      <c r="AA85" s="846" t="s">
        <v>194</v>
      </c>
      <c r="AB85" s="846" t="s">
        <v>194</v>
      </c>
      <c r="AC85" s="846" t="s">
        <v>194</v>
      </c>
      <c r="AD85" s="846" t="s">
        <v>194</v>
      </c>
      <c r="AE85" s="846" t="s">
        <v>194</v>
      </c>
      <c r="AF85" s="846" t="s">
        <v>194</v>
      </c>
      <c r="AG85" s="846" t="s">
        <v>194</v>
      </c>
      <c r="AH85" s="846" t="s">
        <v>194</v>
      </c>
      <c r="AI85" s="846" t="s">
        <v>194</v>
      </c>
      <c r="AJ85" s="846" t="s">
        <v>194</v>
      </c>
      <c r="AK85" s="846" t="s">
        <v>194</v>
      </c>
      <c r="AL85" s="846" t="s">
        <v>194</v>
      </c>
      <c r="AM85" s="846" t="s">
        <v>194</v>
      </c>
      <c r="AN85" s="846" t="s">
        <v>194</v>
      </c>
      <c r="AO85" s="846" t="s">
        <v>194</v>
      </c>
      <c r="AP85" s="846" t="s">
        <v>194</v>
      </c>
      <c r="AQ85" s="846" t="s">
        <v>194</v>
      </c>
    </row>
    <row r="86" ht="15.75" customHeight="1" outlineLevel="1">
      <c r="A86" s="849">
        <v>1.0</v>
      </c>
      <c r="B86" s="15"/>
      <c r="C86" s="869" t="str">
        <f>"    Normalized Diluted EPS"</f>
        <v>    Normalized Diluted EPS</v>
      </c>
      <c r="D86" s="871">
        <f t="shared" si="33"/>
        <v>0.4880873886</v>
      </c>
      <c r="E86" s="871">
        <f t="shared" si="34"/>
        <v>-1.779263389</v>
      </c>
      <c r="F86" s="871">
        <f t="shared" si="35"/>
        <v>-19.62378757</v>
      </c>
      <c r="G86" s="871">
        <f t="shared" si="36"/>
        <v>2.324123107</v>
      </c>
      <c r="H86" s="871">
        <f t="shared" si="37"/>
        <v>0.04483019614</v>
      </c>
      <c r="I86" s="871">
        <f t="shared" si="38"/>
        <v>0.9984467848</v>
      </c>
      <c r="J86" s="871">
        <f t="shared" si="39"/>
        <v>7.247515768</v>
      </c>
      <c r="K86" s="871">
        <f t="shared" si="40"/>
        <v>-4.073323721</v>
      </c>
      <c r="L86" s="928" t="s">
        <v>194</v>
      </c>
      <c r="M86" s="928">
        <v>-19.623787567279443</v>
      </c>
      <c r="N86" s="928">
        <v>0.04720305386237692</v>
      </c>
      <c r="O86" s="928">
        <v>0.037711622992029556</v>
      </c>
      <c r="P86" s="928">
        <v>0.37005511518282636</v>
      </c>
      <c r="Q86" s="928">
        <v>0.6061196619498488</v>
      </c>
      <c r="R86" s="928">
        <v>1.0098082714495686</v>
      </c>
      <c r="S86" s="928">
        <v>0.9946596226100772</v>
      </c>
      <c r="T86" s="928">
        <v>2.3241231067267587</v>
      </c>
      <c r="U86" s="15"/>
      <c r="V86" s="851" t="s">
        <v>194</v>
      </c>
      <c r="W86" s="846" t="s">
        <v>194</v>
      </c>
      <c r="X86" s="846" t="s">
        <v>194</v>
      </c>
      <c r="Y86" s="846" t="s">
        <v>194</v>
      </c>
      <c r="Z86" s="846" t="s">
        <v>194</v>
      </c>
      <c r="AA86" s="846" t="s">
        <v>194</v>
      </c>
      <c r="AB86" s="846" t="s">
        <v>194</v>
      </c>
      <c r="AC86" s="846" t="s">
        <v>194</v>
      </c>
      <c r="AD86" s="846" t="s">
        <v>194</v>
      </c>
      <c r="AE86" s="846" t="s">
        <v>194</v>
      </c>
      <c r="AF86" s="846" t="s">
        <v>194</v>
      </c>
      <c r="AG86" s="846" t="s">
        <v>194</v>
      </c>
      <c r="AH86" s="846" t="s">
        <v>194</v>
      </c>
      <c r="AI86" s="846" t="s">
        <v>194</v>
      </c>
      <c r="AJ86" s="846" t="s">
        <v>194</v>
      </c>
      <c r="AK86" s="846" t="s">
        <v>194</v>
      </c>
      <c r="AL86" s="846" t="s">
        <v>194</v>
      </c>
      <c r="AM86" s="846" t="s">
        <v>194</v>
      </c>
      <c r="AN86" s="846" t="s">
        <v>194</v>
      </c>
      <c r="AO86" s="846" t="s">
        <v>194</v>
      </c>
      <c r="AP86" s="846" t="s">
        <v>194</v>
      </c>
      <c r="AQ86" s="846" t="s">
        <v>194</v>
      </c>
    </row>
    <row r="87" ht="15.75" customHeight="1" outlineLevel="1">
      <c r="A87" s="849">
        <v>1.0</v>
      </c>
      <c r="B87" s="15"/>
      <c r="C87" s="869" t="str">
        <f>"    Recommended Normalized Diluted EPS"</f>
        <v>    Recommended Normalized Diluted EPS</v>
      </c>
      <c r="D87" s="871">
        <f t="shared" si="33"/>
        <v>0.4880873886</v>
      </c>
      <c r="E87" s="871">
        <f t="shared" si="34"/>
        <v>-1.779263389</v>
      </c>
      <c r="F87" s="871">
        <f t="shared" si="35"/>
        <v>-19.62378757</v>
      </c>
      <c r="G87" s="871">
        <f t="shared" si="36"/>
        <v>2.324123107</v>
      </c>
      <c r="H87" s="871">
        <f t="shared" si="37"/>
        <v>0.04483019614</v>
      </c>
      <c r="I87" s="871">
        <f t="shared" si="38"/>
        <v>0.9984467848</v>
      </c>
      <c r="J87" s="871">
        <f t="shared" si="39"/>
        <v>7.247515768</v>
      </c>
      <c r="K87" s="871">
        <f t="shared" si="40"/>
        <v>-4.073323721</v>
      </c>
      <c r="L87" s="928" t="s">
        <v>194</v>
      </c>
      <c r="M87" s="928">
        <v>-19.623787567279443</v>
      </c>
      <c r="N87" s="928">
        <v>0.04720305386237692</v>
      </c>
      <c r="O87" s="928">
        <v>0.037711622992029556</v>
      </c>
      <c r="P87" s="928">
        <v>0.37005511518282636</v>
      </c>
      <c r="Q87" s="928">
        <v>0.6061196619498488</v>
      </c>
      <c r="R87" s="928">
        <v>1.0098082714495686</v>
      </c>
      <c r="S87" s="928">
        <v>0.9946596226100772</v>
      </c>
      <c r="T87" s="928">
        <v>2.3241231067267587</v>
      </c>
      <c r="U87" s="15"/>
      <c r="V87" s="851" t="s">
        <v>194</v>
      </c>
      <c r="W87" s="846" t="s">
        <v>194</v>
      </c>
      <c r="X87" s="846" t="s">
        <v>194</v>
      </c>
      <c r="Y87" s="846" t="s">
        <v>194</v>
      </c>
      <c r="Z87" s="846" t="s">
        <v>194</v>
      </c>
      <c r="AA87" s="846" t="s">
        <v>194</v>
      </c>
      <c r="AB87" s="846" t="s">
        <v>194</v>
      </c>
      <c r="AC87" s="846" t="s">
        <v>194</v>
      </c>
      <c r="AD87" s="846" t="s">
        <v>194</v>
      </c>
      <c r="AE87" s="846" t="s">
        <v>194</v>
      </c>
      <c r="AF87" s="846" t="s">
        <v>194</v>
      </c>
      <c r="AG87" s="846" t="s">
        <v>194</v>
      </c>
      <c r="AH87" s="846" t="s">
        <v>194</v>
      </c>
      <c r="AI87" s="846" t="s">
        <v>194</v>
      </c>
      <c r="AJ87" s="846" t="s">
        <v>194</v>
      </c>
      <c r="AK87" s="846" t="s">
        <v>194</v>
      </c>
      <c r="AL87" s="846" t="s">
        <v>194</v>
      </c>
      <c r="AM87" s="846" t="s">
        <v>194</v>
      </c>
      <c r="AN87" s="846" t="s">
        <v>194</v>
      </c>
      <c r="AO87" s="846" t="s">
        <v>194</v>
      </c>
      <c r="AP87" s="846" t="s">
        <v>194</v>
      </c>
      <c r="AQ87" s="846" t="s">
        <v>194</v>
      </c>
    </row>
    <row r="88" ht="15.75" customHeight="1" outlineLevel="1">
      <c r="A88" s="849">
        <v>1.0</v>
      </c>
      <c r="B88" s="15"/>
      <c r="C88" s="869" t="str">
        <f>"    Normalized Income"</f>
        <v>    Normalized Income</v>
      </c>
      <c r="D88" s="870">
        <f t="shared" si="33"/>
        <v>16949.4219</v>
      </c>
      <c r="E88" s="870">
        <f t="shared" si="34"/>
        <v>17594.54485</v>
      </c>
      <c r="F88" s="870">
        <f t="shared" si="35"/>
        <v>-1870.7</v>
      </c>
      <c r="G88" s="870">
        <f t="shared" si="36"/>
        <v>52388.12</v>
      </c>
      <c r="H88" s="870">
        <f t="shared" si="37"/>
        <v>6236.10175</v>
      </c>
      <c r="I88" s="870">
        <f t="shared" si="38"/>
        <v>22774.2195</v>
      </c>
      <c r="J88" s="870">
        <f t="shared" si="39"/>
        <v>17282.19489</v>
      </c>
      <c r="K88" s="871">
        <f t="shared" si="40"/>
        <v>0.9822473408</v>
      </c>
      <c r="L88" s="872" t="s">
        <v>194</v>
      </c>
      <c r="M88" s="872">
        <v>-1870.7</v>
      </c>
      <c r="N88" s="872">
        <v>675.55</v>
      </c>
      <c r="O88" s="872">
        <v>25813.95</v>
      </c>
      <c r="P88" s="872">
        <v>8089.619</v>
      </c>
      <c r="Q88" s="872">
        <v>12540.053800000002</v>
      </c>
      <c r="R88" s="872">
        <v>21358.79</v>
      </c>
      <c r="S88" s="872">
        <v>21760.976</v>
      </c>
      <c r="T88" s="872">
        <v>52388.12</v>
      </c>
      <c r="U88" s="15"/>
      <c r="V88" s="851" t="s">
        <v>194</v>
      </c>
      <c r="W88" s="846" t="s">
        <v>194</v>
      </c>
      <c r="X88" s="846" t="s">
        <v>194</v>
      </c>
      <c r="Y88" s="846" t="s">
        <v>194</v>
      </c>
      <c r="Z88" s="846" t="s">
        <v>194</v>
      </c>
      <c r="AA88" s="846" t="s">
        <v>194</v>
      </c>
      <c r="AB88" s="846" t="s">
        <v>194</v>
      </c>
      <c r="AC88" s="846" t="s">
        <v>194</v>
      </c>
      <c r="AD88" s="846" t="s">
        <v>194</v>
      </c>
      <c r="AE88" s="846" t="s">
        <v>194</v>
      </c>
      <c r="AF88" s="846" t="s">
        <v>194</v>
      </c>
      <c r="AG88" s="846" t="s">
        <v>194</v>
      </c>
      <c r="AH88" s="846" t="s">
        <v>194</v>
      </c>
      <c r="AI88" s="846" t="s">
        <v>194</v>
      </c>
      <c r="AJ88" s="846" t="s">
        <v>194</v>
      </c>
      <c r="AK88" s="846" t="s">
        <v>194</v>
      </c>
      <c r="AL88" s="846" t="s">
        <v>194</v>
      </c>
      <c r="AM88" s="846" t="s">
        <v>194</v>
      </c>
      <c r="AN88" s="846" t="s">
        <v>194</v>
      </c>
      <c r="AO88" s="846" t="s">
        <v>194</v>
      </c>
      <c r="AP88" s="846" t="s">
        <v>194</v>
      </c>
      <c r="AQ88" s="846" t="s">
        <v>194</v>
      </c>
    </row>
    <row r="89" ht="15.75" customHeight="1" outlineLevel="1">
      <c r="A89" s="849">
        <v>1.0</v>
      </c>
      <c r="B89" s="15"/>
      <c r="C89" s="869" t="str">
        <f>"    Tax Effect of Unusual Items"</f>
        <v>    Tax Effect of Unusual Items</v>
      </c>
      <c r="D89" s="870">
        <f t="shared" si="33"/>
        <v>202.465</v>
      </c>
      <c r="E89" s="870">
        <f t="shared" si="34"/>
        <v>217.33015</v>
      </c>
      <c r="F89" s="870">
        <f t="shared" si="35"/>
        <v>3.45</v>
      </c>
      <c r="G89" s="870">
        <f t="shared" si="36"/>
        <v>597.381</v>
      </c>
      <c r="H89" s="870">
        <f t="shared" si="37"/>
        <v>85.3325</v>
      </c>
      <c r="I89" s="870">
        <f t="shared" si="38"/>
        <v>272.46565</v>
      </c>
      <c r="J89" s="870">
        <f t="shared" si="39"/>
        <v>184.8472261</v>
      </c>
      <c r="K89" s="871">
        <f t="shared" si="40"/>
        <v>0.8505365044</v>
      </c>
      <c r="L89" s="872" t="s">
        <v>194</v>
      </c>
      <c r="M89" s="872">
        <v>70.7</v>
      </c>
      <c r="N89" s="872">
        <v>3.45</v>
      </c>
      <c r="O89" s="872">
        <v>204.05</v>
      </c>
      <c r="P89" s="872">
        <v>597.381</v>
      </c>
      <c r="Q89" s="872">
        <v>258.9462</v>
      </c>
      <c r="R89" s="872">
        <v>90.21</v>
      </c>
      <c r="S89" s="872">
        <v>313.024</v>
      </c>
      <c r="T89" s="872">
        <v>200.88</v>
      </c>
      <c r="U89" s="15"/>
      <c r="V89" s="851" t="s">
        <v>194</v>
      </c>
      <c r="W89" s="846" t="s">
        <v>194</v>
      </c>
      <c r="X89" s="846" t="s">
        <v>194</v>
      </c>
      <c r="Y89" s="846" t="s">
        <v>194</v>
      </c>
      <c r="Z89" s="846" t="s">
        <v>194</v>
      </c>
      <c r="AA89" s="846" t="s">
        <v>194</v>
      </c>
      <c r="AB89" s="846" t="s">
        <v>194</v>
      </c>
      <c r="AC89" s="846" t="s">
        <v>194</v>
      </c>
      <c r="AD89" s="846" t="s">
        <v>194</v>
      </c>
      <c r="AE89" s="846" t="s">
        <v>194</v>
      </c>
      <c r="AF89" s="846" t="s">
        <v>194</v>
      </c>
      <c r="AG89" s="846" t="s">
        <v>194</v>
      </c>
      <c r="AH89" s="846" t="s">
        <v>194</v>
      </c>
      <c r="AI89" s="846" t="s">
        <v>194</v>
      </c>
      <c r="AJ89" s="846" t="s">
        <v>194</v>
      </c>
      <c r="AK89" s="846" t="s">
        <v>194</v>
      </c>
      <c r="AL89" s="846" t="s">
        <v>194</v>
      </c>
      <c r="AM89" s="846" t="s">
        <v>194</v>
      </c>
      <c r="AN89" s="846" t="s">
        <v>194</v>
      </c>
      <c r="AO89" s="846" t="s">
        <v>194</v>
      </c>
      <c r="AP89" s="846" t="s">
        <v>194</v>
      </c>
      <c r="AQ89" s="846" t="s">
        <v>194</v>
      </c>
    </row>
    <row r="90" ht="15.75" customHeight="1" outlineLevel="1">
      <c r="A90" s="849">
        <v>1.0</v>
      </c>
      <c r="B90" s="15"/>
      <c r="C90" s="869" t="str">
        <f>"    Total Unusual Items"</f>
        <v>    Total Unusual Items</v>
      </c>
      <c r="D90" s="870">
        <f t="shared" si="33"/>
        <v>837</v>
      </c>
      <c r="E90" s="870">
        <f t="shared" si="34"/>
        <v>840.125</v>
      </c>
      <c r="F90" s="870">
        <f t="shared" si="35"/>
        <v>115</v>
      </c>
      <c r="G90" s="870">
        <f t="shared" si="36"/>
        <v>1861</v>
      </c>
      <c r="H90" s="870">
        <f t="shared" si="37"/>
        <v>487.75</v>
      </c>
      <c r="I90" s="870">
        <f t="shared" si="38"/>
        <v>1107.5</v>
      </c>
      <c r="J90" s="870">
        <f t="shared" si="39"/>
        <v>567.2206518</v>
      </c>
      <c r="K90" s="871">
        <f t="shared" si="40"/>
        <v>0.6751622102</v>
      </c>
      <c r="L90" s="872" t="s">
        <v>194</v>
      </c>
      <c r="M90" s="872">
        <v>202.0</v>
      </c>
      <c r="N90" s="872">
        <v>115.0</v>
      </c>
      <c r="O90" s="872">
        <v>583.0</v>
      </c>
      <c r="P90" s="872">
        <v>1861.0</v>
      </c>
      <c r="Q90" s="872">
        <v>1214.0</v>
      </c>
      <c r="R90" s="872">
        <v>930.0</v>
      </c>
      <c r="S90" s="872">
        <v>1072.0</v>
      </c>
      <c r="T90" s="872">
        <v>744.0</v>
      </c>
      <c r="U90" s="15"/>
      <c r="V90" s="851" t="s">
        <v>194</v>
      </c>
      <c r="W90" s="846" t="s">
        <v>194</v>
      </c>
      <c r="X90" s="846" t="s">
        <v>194</v>
      </c>
      <c r="Y90" s="846" t="s">
        <v>194</v>
      </c>
      <c r="Z90" s="846" t="s">
        <v>194</v>
      </c>
      <c r="AA90" s="846" t="s">
        <v>194</v>
      </c>
      <c r="AB90" s="846" t="s">
        <v>194</v>
      </c>
      <c r="AC90" s="846" t="s">
        <v>194</v>
      </c>
      <c r="AD90" s="846" t="s">
        <v>194</v>
      </c>
      <c r="AE90" s="846" t="s">
        <v>194</v>
      </c>
      <c r="AF90" s="846" t="s">
        <v>194</v>
      </c>
      <c r="AG90" s="846" t="s">
        <v>194</v>
      </c>
      <c r="AH90" s="846" t="s">
        <v>194</v>
      </c>
      <c r="AI90" s="846" t="s">
        <v>194</v>
      </c>
      <c r="AJ90" s="846" t="s">
        <v>194</v>
      </c>
      <c r="AK90" s="846" t="s">
        <v>194</v>
      </c>
      <c r="AL90" s="846" t="s">
        <v>194</v>
      </c>
      <c r="AM90" s="846" t="s">
        <v>194</v>
      </c>
      <c r="AN90" s="846" t="s">
        <v>194</v>
      </c>
      <c r="AO90" s="846" t="s">
        <v>194</v>
      </c>
      <c r="AP90" s="846" t="s">
        <v>194</v>
      </c>
      <c r="AQ90" s="846" t="s">
        <v>194</v>
      </c>
    </row>
    <row r="91" ht="15.75" customHeight="1" outlineLevel="1">
      <c r="A91" s="849">
        <v>1.0</v>
      </c>
      <c r="B91" s="15"/>
      <c r="C91" s="869" t="str">
        <f>"    Total Unusual Items Excluding Goodwill"</f>
        <v>    Total Unusual Items Excluding Goodwill</v>
      </c>
      <c r="D91" s="870">
        <f t="shared" si="33"/>
        <v>837</v>
      </c>
      <c r="E91" s="870">
        <f t="shared" si="34"/>
        <v>840.125</v>
      </c>
      <c r="F91" s="870">
        <f t="shared" si="35"/>
        <v>115</v>
      </c>
      <c r="G91" s="870">
        <f t="shared" si="36"/>
        <v>1861</v>
      </c>
      <c r="H91" s="870">
        <f t="shared" si="37"/>
        <v>487.75</v>
      </c>
      <c r="I91" s="870">
        <f t="shared" si="38"/>
        <v>1107.5</v>
      </c>
      <c r="J91" s="870">
        <f t="shared" si="39"/>
        <v>567.2206518</v>
      </c>
      <c r="K91" s="871">
        <f t="shared" si="40"/>
        <v>0.6751622102</v>
      </c>
      <c r="L91" s="872" t="s">
        <v>194</v>
      </c>
      <c r="M91" s="872">
        <v>202.0</v>
      </c>
      <c r="N91" s="872">
        <v>115.0</v>
      </c>
      <c r="O91" s="872">
        <v>583.0</v>
      </c>
      <c r="P91" s="872">
        <v>1861.0</v>
      </c>
      <c r="Q91" s="872">
        <v>1214.0</v>
      </c>
      <c r="R91" s="872">
        <v>930.0</v>
      </c>
      <c r="S91" s="872">
        <v>1072.0</v>
      </c>
      <c r="T91" s="872">
        <v>744.0</v>
      </c>
      <c r="U91" s="15"/>
      <c r="V91" s="851" t="s">
        <v>194</v>
      </c>
      <c r="W91" s="846" t="s">
        <v>194</v>
      </c>
      <c r="X91" s="846" t="s">
        <v>194</v>
      </c>
      <c r="Y91" s="846" t="s">
        <v>194</v>
      </c>
      <c r="Z91" s="846" t="s">
        <v>194</v>
      </c>
      <c r="AA91" s="846" t="s">
        <v>194</v>
      </c>
      <c r="AB91" s="846" t="s">
        <v>194</v>
      </c>
      <c r="AC91" s="846" t="s">
        <v>194</v>
      </c>
      <c r="AD91" s="846" t="s">
        <v>194</v>
      </c>
      <c r="AE91" s="846" t="s">
        <v>194</v>
      </c>
      <c r="AF91" s="846" t="s">
        <v>194</v>
      </c>
      <c r="AG91" s="846" t="s">
        <v>194</v>
      </c>
      <c r="AH91" s="846" t="s">
        <v>194</v>
      </c>
      <c r="AI91" s="846" t="s">
        <v>194</v>
      </c>
      <c r="AJ91" s="846" t="s">
        <v>194</v>
      </c>
      <c r="AK91" s="846" t="s">
        <v>194</v>
      </c>
      <c r="AL91" s="846" t="s">
        <v>194</v>
      </c>
      <c r="AM91" s="846" t="s">
        <v>194</v>
      </c>
      <c r="AN91" s="846" t="s">
        <v>194</v>
      </c>
      <c r="AO91" s="846" t="s">
        <v>194</v>
      </c>
      <c r="AP91" s="846" t="s">
        <v>194</v>
      </c>
      <c r="AQ91" s="846" t="s">
        <v>194</v>
      </c>
    </row>
    <row r="92" ht="15.75" customHeight="1" outlineLevel="1">
      <c r="A92" s="849">
        <v>1.0</v>
      </c>
      <c r="B92" s="15"/>
      <c r="C92" s="869" t="str">
        <f>"    Cost of Revenue and Operating Expense"</f>
        <v>    Cost of Revenue and Operating Expense</v>
      </c>
      <c r="D92" s="870">
        <f t="shared" si="33"/>
        <v>122990</v>
      </c>
      <c r="E92" s="870">
        <f t="shared" si="34"/>
        <v>139886.75</v>
      </c>
      <c r="F92" s="870">
        <f t="shared" si="35"/>
        <v>32356</v>
      </c>
      <c r="G92" s="870">
        <f t="shared" si="36"/>
        <v>320219</v>
      </c>
      <c r="H92" s="870">
        <f t="shared" si="37"/>
        <v>65171</v>
      </c>
      <c r="I92" s="870">
        <f t="shared" si="38"/>
        <v>190435.75</v>
      </c>
      <c r="J92" s="870">
        <f t="shared" si="39"/>
        <v>97902.63798</v>
      </c>
      <c r="K92" s="871">
        <f t="shared" si="40"/>
        <v>0.6998707024</v>
      </c>
      <c r="L92" s="872" t="s">
        <v>194</v>
      </c>
      <c r="M92" s="872">
        <v>32356.0</v>
      </c>
      <c r="N92" s="872">
        <v>47747.0</v>
      </c>
      <c r="O92" s="872">
        <v>70979.0</v>
      </c>
      <c r="P92" s="872">
        <v>102026.0</v>
      </c>
      <c r="Q92" s="872">
        <v>143954.0</v>
      </c>
      <c r="R92" s="872">
        <v>179965.0</v>
      </c>
      <c r="S92" s="872">
        <v>221848.0</v>
      </c>
      <c r="T92" s="872">
        <v>320219.0</v>
      </c>
      <c r="U92" s="15"/>
      <c r="V92" s="851" t="s">
        <v>194</v>
      </c>
      <c r="W92" s="846" t="s">
        <v>194</v>
      </c>
      <c r="X92" s="846" t="s">
        <v>194</v>
      </c>
      <c r="Y92" s="846" t="s">
        <v>194</v>
      </c>
      <c r="Z92" s="846" t="s">
        <v>194</v>
      </c>
      <c r="AA92" s="846" t="s">
        <v>194</v>
      </c>
      <c r="AB92" s="846" t="s">
        <v>194</v>
      </c>
      <c r="AC92" s="846" t="s">
        <v>194</v>
      </c>
      <c r="AD92" s="846" t="s">
        <v>194</v>
      </c>
      <c r="AE92" s="846" t="s">
        <v>194</v>
      </c>
      <c r="AF92" s="846" t="s">
        <v>194</v>
      </c>
      <c r="AG92" s="846" t="s">
        <v>194</v>
      </c>
      <c r="AH92" s="846" t="s">
        <v>194</v>
      </c>
      <c r="AI92" s="846" t="s">
        <v>194</v>
      </c>
      <c r="AJ92" s="846" t="s">
        <v>194</v>
      </c>
      <c r="AK92" s="846" t="s">
        <v>194</v>
      </c>
      <c r="AL92" s="846" t="s">
        <v>194</v>
      </c>
      <c r="AM92" s="846" t="s">
        <v>194</v>
      </c>
      <c r="AN92" s="846" t="s">
        <v>194</v>
      </c>
      <c r="AO92" s="846" t="s">
        <v>194</v>
      </c>
      <c r="AP92" s="846" t="s">
        <v>194</v>
      </c>
      <c r="AQ92" s="846" t="s">
        <v>194</v>
      </c>
    </row>
    <row r="93" ht="15.75" customHeight="1" outlineLevel="1">
      <c r="A93" s="849">
        <v>1.0</v>
      </c>
      <c r="B93" s="15"/>
      <c r="C93" s="869" t="str">
        <f>"    Net Operating Profit After Tax (NOPAT)"</f>
        <v>    Net Operating Profit After Tax (NOPAT)</v>
      </c>
      <c r="D93" s="870">
        <f t="shared" si="33"/>
        <v>15934.747</v>
      </c>
      <c r="E93" s="870">
        <f t="shared" si="34"/>
        <v>16717.71338</v>
      </c>
      <c r="F93" s="870">
        <f t="shared" si="35"/>
        <v>-1905.8</v>
      </c>
      <c r="G93" s="870">
        <f t="shared" si="36"/>
        <v>49465.93</v>
      </c>
      <c r="H93" s="870">
        <f t="shared" si="37"/>
        <v>5565.97725</v>
      </c>
      <c r="I93" s="870">
        <f t="shared" si="38"/>
        <v>21793.41</v>
      </c>
      <c r="J93" s="870">
        <f t="shared" si="39"/>
        <v>16460.64498</v>
      </c>
      <c r="K93" s="871">
        <f t="shared" si="40"/>
        <v>0.9846229933</v>
      </c>
      <c r="L93" s="872" t="s">
        <v>194</v>
      </c>
      <c r="M93" s="872">
        <v>-1905.8</v>
      </c>
      <c r="N93" s="872">
        <v>956.85</v>
      </c>
      <c r="O93" s="872">
        <v>25792.5</v>
      </c>
      <c r="P93" s="872">
        <v>7102.353</v>
      </c>
      <c r="Q93" s="872">
        <v>11522.064</v>
      </c>
      <c r="R93" s="872">
        <v>20347.43</v>
      </c>
      <c r="S93" s="872">
        <v>20460.38</v>
      </c>
      <c r="T93" s="872">
        <v>49465.93</v>
      </c>
      <c r="U93" s="15"/>
      <c r="V93" s="851" t="s">
        <v>194</v>
      </c>
      <c r="W93" s="846" t="s">
        <v>194</v>
      </c>
      <c r="X93" s="846" t="s">
        <v>194</v>
      </c>
      <c r="Y93" s="846" t="s">
        <v>194</v>
      </c>
      <c r="Z93" s="846" t="s">
        <v>194</v>
      </c>
      <c r="AA93" s="846" t="s">
        <v>194</v>
      </c>
      <c r="AB93" s="846" t="s">
        <v>194</v>
      </c>
      <c r="AC93" s="846" t="s">
        <v>194</v>
      </c>
      <c r="AD93" s="846" t="s">
        <v>194</v>
      </c>
      <c r="AE93" s="846" t="s">
        <v>194</v>
      </c>
      <c r="AF93" s="846" t="s">
        <v>194</v>
      </c>
      <c r="AG93" s="846" t="s">
        <v>194</v>
      </c>
      <c r="AH93" s="846" t="s">
        <v>194</v>
      </c>
      <c r="AI93" s="846" t="s">
        <v>194</v>
      </c>
      <c r="AJ93" s="846" t="s">
        <v>194</v>
      </c>
      <c r="AK93" s="846" t="s">
        <v>194</v>
      </c>
      <c r="AL93" s="846" t="s">
        <v>194</v>
      </c>
      <c r="AM93" s="846" t="s">
        <v>194</v>
      </c>
      <c r="AN93" s="846" t="s">
        <v>194</v>
      </c>
      <c r="AO93" s="846" t="s">
        <v>194</v>
      </c>
      <c r="AP93" s="846" t="s">
        <v>194</v>
      </c>
      <c r="AQ93" s="846" t="s">
        <v>194</v>
      </c>
    </row>
    <row r="94" ht="15.75" customHeight="1">
      <c r="A94" s="849">
        <v>1.0</v>
      </c>
      <c r="B94" s="15"/>
      <c r="C94" s="855" t="str">
        <f>"Data Origination"</f>
        <v>Data Origination</v>
      </c>
      <c r="D94" s="867" t="s">
        <v>194</v>
      </c>
      <c r="E94" s="867" t="s">
        <v>194</v>
      </c>
      <c r="F94" s="867" t="s">
        <v>194</v>
      </c>
      <c r="G94" s="867" t="s">
        <v>194</v>
      </c>
      <c r="H94" s="867" t="s">
        <v>194</v>
      </c>
      <c r="I94" s="867" t="s">
        <v>194</v>
      </c>
      <c r="J94" s="867" t="s">
        <v>194</v>
      </c>
      <c r="K94" s="867" t="s">
        <v>194</v>
      </c>
      <c r="L94" s="867" t="s">
        <v>194</v>
      </c>
      <c r="M94" s="867" t="s">
        <v>194</v>
      </c>
      <c r="N94" s="867" t="s">
        <v>194</v>
      </c>
      <c r="O94" s="867" t="s">
        <v>194</v>
      </c>
      <c r="P94" s="867" t="s">
        <v>194</v>
      </c>
      <c r="Q94" s="867" t="s">
        <v>194</v>
      </c>
      <c r="R94" s="867" t="s">
        <v>194</v>
      </c>
      <c r="S94" s="867" t="s">
        <v>194</v>
      </c>
      <c r="T94" s="867" t="s">
        <v>194</v>
      </c>
      <c r="U94" s="15"/>
      <c r="V94" s="851" t="s">
        <v>194</v>
      </c>
      <c r="W94" s="846" t="s">
        <v>194</v>
      </c>
      <c r="X94" s="846" t="s">
        <v>194</v>
      </c>
      <c r="Y94" s="846" t="s">
        <v>194</v>
      </c>
      <c r="Z94" s="846" t="s">
        <v>194</v>
      </c>
      <c r="AA94" s="846" t="s">
        <v>194</v>
      </c>
      <c r="AB94" s="846" t="s">
        <v>194</v>
      </c>
      <c r="AC94" s="846" t="s">
        <v>194</v>
      </c>
      <c r="AD94" s="846" t="s">
        <v>194</v>
      </c>
      <c r="AE94" s="846" t="s">
        <v>194</v>
      </c>
      <c r="AF94" s="846" t="s">
        <v>194</v>
      </c>
      <c r="AG94" s="846" t="s">
        <v>194</v>
      </c>
      <c r="AH94" s="846" t="s">
        <v>194</v>
      </c>
      <c r="AI94" s="846" t="s">
        <v>194</v>
      </c>
      <c r="AJ94" s="846" t="s">
        <v>194</v>
      </c>
      <c r="AK94" s="846" t="s">
        <v>194</v>
      </c>
      <c r="AL94" s="846" t="s">
        <v>194</v>
      </c>
      <c r="AM94" s="846" t="s">
        <v>194</v>
      </c>
      <c r="AN94" s="846" t="s">
        <v>194</v>
      </c>
      <c r="AO94" s="846" t="s">
        <v>194</v>
      </c>
      <c r="AP94" s="846" t="s">
        <v>194</v>
      </c>
      <c r="AQ94" s="846" t="s">
        <v>194</v>
      </c>
    </row>
    <row r="95" ht="15.75" customHeight="1">
      <c r="A95" s="849">
        <v>1.0</v>
      </c>
      <c r="B95" s="15"/>
      <c r="C95" s="869" t="str">
        <f>"    Preliminary"</f>
        <v>    Preliminary</v>
      </c>
      <c r="D95" s="889" t="s">
        <v>194</v>
      </c>
      <c r="E95" s="889" t="s">
        <v>194</v>
      </c>
      <c r="F95" s="889" t="s">
        <v>194</v>
      </c>
      <c r="G95" s="889" t="s">
        <v>194</v>
      </c>
      <c r="H95" s="889" t="s">
        <v>194</v>
      </c>
      <c r="I95" s="889" t="s">
        <v>194</v>
      </c>
      <c r="J95" s="889" t="s">
        <v>194</v>
      </c>
      <c r="K95" s="889" t="s">
        <v>194</v>
      </c>
      <c r="L95" s="890" t="s">
        <v>194</v>
      </c>
      <c r="M95" s="890" t="s">
        <v>340</v>
      </c>
      <c r="N95" s="890" t="s">
        <v>340</v>
      </c>
      <c r="O95" s="890" t="s">
        <v>340</v>
      </c>
      <c r="P95" s="890" t="s">
        <v>340</v>
      </c>
      <c r="Q95" s="890" t="s">
        <v>340</v>
      </c>
      <c r="R95" s="890" t="s">
        <v>340</v>
      </c>
      <c r="S95" s="890" t="s">
        <v>340</v>
      </c>
      <c r="T95" s="890" t="s">
        <v>340</v>
      </c>
      <c r="U95" s="15"/>
      <c r="V95" s="851" t="s">
        <v>194</v>
      </c>
      <c r="W95" s="846" t="s">
        <v>194</v>
      </c>
      <c r="X95" s="846" t="s">
        <v>194</v>
      </c>
      <c r="Y95" s="846" t="s">
        <v>194</v>
      </c>
      <c r="Z95" s="846" t="s">
        <v>194</v>
      </c>
      <c r="AA95" s="846" t="s">
        <v>194</v>
      </c>
      <c r="AB95" s="846" t="s">
        <v>194</v>
      </c>
      <c r="AC95" s="846" t="s">
        <v>194</v>
      </c>
      <c r="AD95" s="846" t="s">
        <v>194</v>
      </c>
      <c r="AE95" s="846" t="s">
        <v>194</v>
      </c>
      <c r="AF95" s="846" t="s">
        <v>194</v>
      </c>
      <c r="AG95" s="846" t="s">
        <v>194</v>
      </c>
      <c r="AH95" s="846" t="s">
        <v>194</v>
      </c>
      <c r="AI95" s="846" t="s">
        <v>194</v>
      </c>
      <c r="AJ95" s="846" t="s">
        <v>194</v>
      </c>
      <c r="AK95" s="846" t="s">
        <v>194</v>
      </c>
      <c r="AL95" s="846" t="s">
        <v>194</v>
      </c>
      <c r="AM95" s="846" t="s">
        <v>194</v>
      </c>
      <c r="AN95" s="846" t="s">
        <v>194</v>
      </c>
      <c r="AO95" s="846" t="s">
        <v>194</v>
      </c>
      <c r="AP95" s="846" t="s">
        <v>194</v>
      </c>
      <c r="AQ95" s="846" t="s">
        <v>194</v>
      </c>
    </row>
    <row r="96" ht="15.75" customHeight="1">
      <c r="A96" s="849">
        <v>1.0</v>
      </c>
      <c r="B96" s="15"/>
      <c r="C96" s="869" t="str">
        <f>"    Original"</f>
        <v>    Original</v>
      </c>
      <c r="D96" s="889" t="s">
        <v>194</v>
      </c>
      <c r="E96" s="889" t="s">
        <v>194</v>
      </c>
      <c r="F96" s="889" t="s">
        <v>194</v>
      </c>
      <c r="G96" s="889" t="s">
        <v>194</v>
      </c>
      <c r="H96" s="889" t="s">
        <v>194</v>
      </c>
      <c r="I96" s="889" t="s">
        <v>194</v>
      </c>
      <c r="J96" s="889" t="s">
        <v>194</v>
      </c>
      <c r="K96" s="889" t="s">
        <v>194</v>
      </c>
      <c r="L96" s="890" t="s">
        <v>194</v>
      </c>
      <c r="M96" s="890" t="s">
        <v>340</v>
      </c>
      <c r="N96" s="890" t="s">
        <v>340</v>
      </c>
      <c r="O96" s="890" t="s">
        <v>340</v>
      </c>
      <c r="P96" s="890" t="s">
        <v>340</v>
      </c>
      <c r="Q96" s="890" t="s">
        <v>340</v>
      </c>
      <c r="R96" s="890" t="s">
        <v>340</v>
      </c>
      <c r="S96" s="890" t="s">
        <v>340</v>
      </c>
      <c r="T96" s="890" t="s">
        <v>340</v>
      </c>
      <c r="U96" s="15"/>
      <c r="V96" s="851" t="s">
        <v>194</v>
      </c>
      <c r="W96" s="846" t="s">
        <v>194</v>
      </c>
      <c r="X96" s="846" t="s">
        <v>194</v>
      </c>
      <c r="Y96" s="846" t="s">
        <v>194</v>
      </c>
      <c r="Z96" s="846" t="s">
        <v>194</v>
      </c>
      <c r="AA96" s="846" t="s">
        <v>194</v>
      </c>
      <c r="AB96" s="846" t="s">
        <v>194</v>
      </c>
      <c r="AC96" s="846" t="s">
        <v>194</v>
      </c>
      <c r="AD96" s="846" t="s">
        <v>194</v>
      </c>
      <c r="AE96" s="846" t="s">
        <v>194</v>
      </c>
      <c r="AF96" s="846" t="s">
        <v>194</v>
      </c>
      <c r="AG96" s="846" t="s">
        <v>194</v>
      </c>
      <c r="AH96" s="846" t="s">
        <v>194</v>
      </c>
      <c r="AI96" s="846" t="s">
        <v>194</v>
      </c>
      <c r="AJ96" s="846" t="s">
        <v>194</v>
      </c>
      <c r="AK96" s="846" t="s">
        <v>194</v>
      </c>
      <c r="AL96" s="846" t="s">
        <v>194</v>
      </c>
      <c r="AM96" s="846" t="s">
        <v>194</v>
      </c>
      <c r="AN96" s="846" t="s">
        <v>194</v>
      </c>
      <c r="AO96" s="846" t="s">
        <v>194</v>
      </c>
      <c r="AP96" s="846" t="s">
        <v>194</v>
      </c>
      <c r="AQ96" s="846" t="s">
        <v>194</v>
      </c>
    </row>
    <row r="97" ht="15.75" customHeight="1">
      <c r="A97" s="849">
        <v>1.0</v>
      </c>
      <c r="B97" s="15"/>
      <c r="C97" s="869" t="str">
        <f>"    Restated"</f>
        <v>    Restated</v>
      </c>
      <c r="D97" s="889" t="s">
        <v>194</v>
      </c>
      <c r="E97" s="889" t="s">
        <v>194</v>
      </c>
      <c r="F97" s="889" t="s">
        <v>194</v>
      </c>
      <c r="G97" s="889" t="s">
        <v>194</v>
      </c>
      <c r="H97" s="889" t="s">
        <v>194</v>
      </c>
      <c r="I97" s="889" t="s">
        <v>194</v>
      </c>
      <c r="J97" s="889" t="s">
        <v>194</v>
      </c>
      <c r="K97" s="889" t="s">
        <v>194</v>
      </c>
      <c r="L97" s="890" t="s">
        <v>194</v>
      </c>
      <c r="M97" s="890" t="s">
        <v>340</v>
      </c>
      <c r="N97" s="890" t="s">
        <v>340</v>
      </c>
      <c r="O97" s="890" t="s">
        <v>340</v>
      </c>
      <c r="P97" s="890" t="s">
        <v>340</v>
      </c>
      <c r="Q97" s="890" t="s">
        <v>340</v>
      </c>
      <c r="R97" s="890" t="s">
        <v>340</v>
      </c>
      <c r="S97" s="890" t="s">
        <v>340</v>
      </c>
      <c r="T97" s="890" t="s">
        <v>340</v>
      </c>
      <c r="U97" s="15"/>
      <c r="V97" s="851" t="s">
        <v>194</v>
      </c>
      <c r="W97" s="846" t="s">
        <v>194</v>
      </c>
      <c r="X97" s="846" t="s">
        <v>194</v>
      </c>
      <c r="Y97" s="846" t="s">
        <v>194</v>
      </c>
      <c r="Z97" s="846" t="s">
        <v>194</v>
      </c>
      <c r="AA97" s="846" t="s">
        <v>194</v>
      </c>
      <c r="AB97" s="846" t="s">
        <v>194</v>
      </c>
      <c r="AC97" s="846" t="s">
        <v>194</v>
      </c>
      <c r="AD97" s="846" t="s">
        <v>194</v>
      </c>
      <c r="AE97" s="846" t="s">
        <v>194</v>
      </c>
      <c r="AF97" s="846" t="s">
        <v>194</v>
      </c>
      <c r="AG97" s="846" t="s">
        <v>194</v>
      </c>
      <c r="AH97" s="846" t="s">
        <v>194</v>
      </c>
      <c r="AI97" s="846" t="s">
        <v>194</v>
      </c>
      <c r="AJ97" s="846" t="s">
        <v>194</v>
      </c>
      <c r="AK97" s="846" t="s">
        <v>194</v>
      </c>
      <c r="AL97" s="846" t="s">
        <v>194</v>
      </c>
      <c r="AM97" s="846" t="s">
        <v>194</v>
      </c>
      <c r="AN97" s="846" t="s">
        <v>194</v>
      </c>
      <c r="AO97" s="846" t="s">
        <v>194</v>
      </c>
      <c r="AP97" s="846" t="s">
        <v>194</v>
      </c>
      <c r="AQ97" s="846" t="s">
        <v>194</v>
      </c>
    </row>
    <row r="98" ht="15.75" customHeight="1">
      <c r="A98" s="849">
        <v>1.0</v>
      </c>
      <c r="B98" s="15"/>
      <c r="C98" s="869" t="str">
        <f>"    Calculated"</f>
        <v>    Calculated</v>
      </c>
      <c r="D98" s="889" t="s">
        <v>194</v>
      </c>
      <c r="E98" s="889" t="s">
        <v>194</v>
      </c>
      <c r="F98" s="889" t="s">
        <v>194</v>
      </c>
      <c r="G98" s="889" t="s">
        <v>194</v>
      </c>
      <c r="H98" s="889" t="s">
        <v>194</v>
      </c>
      <c r="I98" s="889" t="s">
        <v>194</v>
      </c>
      <c r="J98" s="889" t="s">
        <v>194</v>
      </c>
      <c r="K98" s="889" t="s">
        <v>194</v>
      </c>
      <c r="L98" s="890" t="s">
        <v>194</v>
      </c>
      <c r="M98" s="890" t="s">
        <v>340</v>
      </c>
      <c r="N98" s="890" t="s">
        <v>340</v>
      </c>
      <c r="O98" s="890" t="s">
        <v>340</v>
      </c>
      <c r="P98" s="890" t="s">
        <v>340</v>
      </c>
      <c r="Q98" s="890" t="s">
        <v>340</v>
      </c>
      <c r="R98" s="890" t="s">
        <v>340</v>
      </c>
      <c r="S98" s="890" t="s">
        <v>340</v>
      </c>
      <c r="T98" s="890" t="s">
        <v>340</v>
      </c>
      <c r="U98" s="15"/>
      <c r="V98" s="851" t="s">
        <v>194</v>
      </c>
      <c r="W98" s="846" t="s">
        <v>194</v>
      </c>
      <c r="X98" s="846" t="s">
        <v>194</v>
      </c>
      <c r="Y98" s="846" t="s">
        <v>194</v>
      </c>
      <c r="Z98" s="846" t="s">
        <v>194</v>
      </c>
      <c r="AA98" s="846" t="s">
        <v>194</v>
      </c>
      <c r="AB98" s="846" t="s">
        <v>194</v>
      </c>
      <c r="AC98" s="846" t="s">
        <v>194</v>
      </c>
      <c r="AD98" s="846" t="s">
        <v>194</v>
      </c>
      <c r="AE98" s="846" t="s">
        <v>194</v>
      </c>
      <c r="AF98" s="846" t="s">
        <v>194</v>
      </c>
      <c r="AG98" s="846" t="s">
        <v>194</v>
      </c>
      <c r="AH98" s="846" t="s">
        <v>194</v>
      </c>
      <c r="AI98" s="846" t="s">
        <v>194</v>
      </c>
      <c r="AJ98" s="846" t="s">
        <v>194</v>
      </c>
      <c r="AK98" s="846" t="s">
        <v>194</v>
      </c>
      <c r="AL98" s="846" t="s">
        <v>194</v>
      </c>
      <c r="AM98" s="846" t="s">
        <v>194</v>
      </c>
      <c r="AN98" s="846" t="s">
        <v>194</v>
      </c>
      <c r="AO98" s="846" t="s">
        <v>194</v>
      </c>
      <c r="AP98" s="846" t="s">
        <v>194</v>
      </c>
      <c r="AQ98" s="846" t="s">
        <v>194</v>
      </c>
    </row>
    <row r="99" ht="15.75" customHeight="1">
      <c r="A99" s="849" t="s">
        <v>194</v>
      </c>
      <c r="B99" s="15"/>
      <c r="C99" s="15"/>
      <c r="D99" s="15"/>
      <c r="E99" s="15"/>
      <c r="F99" s="15"/>
      <c r="G99" s="15"/>
      <c r="H99" s="15"/>
      <c r="I99" s="15"/>
      <c r="J99" s="15"/>
      <c r="K99" s="15"/>
      <c r="L99" s="15"/>
      <c r="M99" s="15"/>
      <c r="N99" s="15"/>
      <c r="O99" s="15"/>
      <c r="P99" s="15"/>
      <c r="Q99" s="15"/>
      <c r="R99" s="15"/>
      <c r="S99" s="15"/>
      <c r="T99" s="15"/>
      <c r="U99" s="15"/>
      <c r="V99" s="851" t="s">
        <v>194</v>
      </c>
      <c r="W99" s="846" t="s">
        <v>194</v>
      </c>
      <c r="X99" s="846" t="s">
        <v>194</v>
      </c>
      <c r="Y99" s="846" t="s">
        <v>194</v>
      </c>
      <c r="Z99" s="846" t="s">
        <v>194</v>
      </c>
      <c r="AA99" s="846" t="s">
        <v>194</v>
      </c>
      <c r="AB99" s="846" t="s">
        <v>194</v>
      </c>
      <c r="AC99" s="846" t="s">
        <v>194</v>
      </c>
      <c r="AD99" s="846" t="s">
        <v>194</v>
      </c>
      <c r="AE99" s="846" t="s">
        <v>194</v>
      </c>
      <c r="AF99" s="846" t="s">
        <v>194</v>
      </c>
      <c r="AG99" s="846" t="s">
        <v>194</v>
      </c>
      <c r="AH99" s="846" t="s">
        <v>194</v>
      </c>
      <c r="AI99" s="846" t="s">
        <v>194</v>
      </c>
      <c r="AJ99" s="846" t="s">
        <v>194</v>
      </c>
      <c r="AK99" s="846" t="s">
        <v>194</v>
      </c>
      <c r="AL99" s="846" t="s">
        <v>194</v>
      </c>
      <c r="AM99" s="846" t="s">
        <v>194</v>
      </c>
      <c r="AN99" s="846" t="s">
        <v>194</v>
      </c>
      <c r="AO99" s="846" t="s">
        <v>194</v>
      </c>
      <c r="AP99" s="846" t="s">
        <v>194</v>
      </c>
      <c r="AQ99" s="846" t="s">
        <v>194</v>
      </c>
    </row>
    <row r="100" ht="15.75" customHeight="1">
      <c r="A100" s="849" t="s">
        <v>194</v>
      </c>
      <c r="B100" s="15"/>
      <c r="C100" s="15"/>
      <c r="D100" s="15"/>
      <c r="E100" s="15"/>
      <c r="F100" s="15"/>
      <c r="G100" s="15"/>
      <c r="H100" s="15"/>
      <c r="I100" s="15"/>
      <c r="J100" s="15"/>
      <c r="K100" s="15"/>
      <c r="L100" s="15"/>
      <c r="M100" s="15"/>
      <c r="N100" s="15"/>
      <c r="O100" s="15"/>
      <c r="P100" s="15"/>
      <c r="Q100" s="15"/>
      <c r="R100" s="15"/>
      <c r="S100" s="15"/>
      <c r="T100" s="15"/>
      <c r="U100" s="15"/>
      <c r="V100" s="851" t="s">
        <v>194</v>
      </c>
      <c r="W100" s="846" t="s">
        <v>194</v>
      </c>
      <c r="X100" s="846" t="s">
        <v>194</v>
      </c>
      <c r="Y100" s="846" t="s">
        <v>194</v>
      </c>
      <c r="Z100" s="846" t="s">
        <v>194</v>
      </c>
      <c r="AA100" s="846" t="s">
        <v>194</v>
      </c>
      <c r="AB100" s="846" t="s">
        <v>194</v>
      </c>
      <c r="AC100" s="846" t="s">
        <v>194</v>
      </c>
      <c r="AD100" s="846" t="s">
        <v>194</v>
      </c>
      <c r="AE100" s="846" t="s">
        <v>194</v>
      </c>
      <c r="AF100" s="846" t="s">
        <v>194</v>
      </c>
      <c r="AG100" s="846" t="s">
        <v>194</v>
      </c>
      <c r="AH100" s="846" t="s">
        <v>194</v>
      </c>
      <c r="AI100" s="846" t="s">
        <v>194</v>
      </c>
      <c r="AJ100" s="846" t="s">
        <v>194</v>
      </c>
      <c r="AK100" s="846" t="s">
        <v>194</v>
      </c>
      <c r="AL100" s="846" t="s">
        <v>194</v>
      </c>
      <c r="AM100" s="846" t="s">
        <v>194</v>
      </c>
      <c r="AN100" s="846" t="s">
        <v>194</v>
      </c>
      <c r="AO100" s="846" t="s">
        <v>194</v>
      </c>
      <c r="AP100" s="846" t="s">
        <v>194</v>
      </c>
      <c r="AQ100" s="846" t="s">
        <v>194</v>
      </c>
    </row>
    <row r="101" ht="15.75" customHeight="1">
      <c r="A101" s="849" t="s">
        <v>194</v>
      </c>
      <c r="B101" s="15"/>
      <c r="C101" s="892" t="s">
        <v>344</v>
      </c>
      <c r="D101" s="15"/>
      <c r="E101" s="15"/>
      <c r="F101" s="15"/>
      <c r="G101" s="15"/>
      <c r="H101" s="15"/>
      <c r="I101" s="15"/>
      <c r="J101" s="15"/>
      <c r="K101" s="15"/>
      <c r="L101" s="15"/>
      <c r="M101" s="15"/>
      <c r="N101" s="15"/>
      <c r="O101" s="15"/>
      <c r="P101" s="15"/>
      <c r="Q101" s="15"/>
      <c r="R101" s="15"/>
      <c r="S101" s="15"/>
      <c r="T101" s="15"/>
      <c r="U101" s="15"/>
      <c r="V101" s="851" t="s">
        <v>194</v>
      </c>
      <c r="W101" s="846" t="s">
        <v>194</v>
      </c>
      <c r="X101" s="846" t="s">
        <v>194</v>
      </c>
      <c r="Y101" s="846" t="s">
        <v>194</v>
      </c>
      <c r="Z101" s="846" t="s">
        <v>194</v>
      </c>
      <c r="AA101" s="846" t="s">
        <v>194</v>
      </c>
      <c r="AB101" s="846" t="s">
        <v>194</v>
      </c>
      <c r="AC101" s="846" t="s">
        <v>194</v>
      </c>
      <c r="AD101" s="846" t="s">
        <v>194</v>
      </c>
      <c r="AE101" s="846" t="s">
        <v>194</v>
      </c>
      <c r="AF101" s="846" t="s">
        <v>194</v>
      </c>
      <c r="AG101" s="846" t="s">
        <v>194</v>
      </c>
      <c r="AH101" s="846" t="s">
        <v>194</v>
      </c>
      <c r="AI101" s="846" t="s">
        <v>194</v>
      </c>
      <c r="AJ101" s="846" t="s">
        <v>194</v>
      </c>
      <c r="AK101" s="846" t="s">
        <v>194</v>
      </c>
      <c r="AL101" s="846" t="s">
        <v>194</v>
      </c>
      <c r="AM101" s="846" t="s">
        <v>194</v>
      </c>
      <c r="AN101" s="846" t="s">
        <v>194</v>
      </c>
      <c r="AO101" s="846" t="s">
        <v>194</v>
      </c>
      <c r="AP101" s="846" t="s">
        <v>194</v>
      </c>
      <c r="AQ101" s="846" t="s">
        <v>194</v>
      </c>
    </row>
    <row r="102" ht="15.75" customHeight="1">
      <c r="A102" s="849" t="s">
        <v>194</v>
      </c>
      <c r="B102" s="15"/>
      <c r="C102" s="892" t="s">
        <v>345</v>
      </c>
      <c r="D102" s="15"/>
      <c r="E102" s="15"/>
      <c r="F102" s="15"/>
      <c r="G102" s="15"/>
      <c r="H102" s="15"/>
      <c r="I102" s="15"/>
      <c r="J102" s="15"/>
      <c r="K102" s="15"/>
      <c r="L102" s="15"/>
      <c r="M102" s="15"/>
      <c r="N102" s="15"/>
      <c r="O102" s="15"/>
      <c r="P102" s="15"/>
      <c r="Q102" s="15"/>
      <c r="R102" s="15"/>
      <c r="S102" s="15"/>
      <c r="T102" s="15"/>
      <c r="U102" s="15"/>
      <c r="V102" s="851" t="s">
        <v>194</v>
      </c>
      <c r="W102" s="846" t="s">
        <v>194</v>
      </c>
      <c r="X102" s="846" t="s">
        <v>194</v>
      </c>
      <c r="Y102" s="846" t="s">
        <v>194</v>
      </c>
      <c r="Z102" s="846" t="s">
        <v>194</v>
      </c>
      <c r="AA102" s="846" t="s">
        <v>194</v>
      </c>
      <c r="AB102" s="846" t="s">
        <v>194</v>
      </c>
      <c r="AC102" s="846" t="s">
        <v>194</v>
      </c>
      <c r="AD102" s="846" t="s">
        <v>194</v>
      </c>
      <c r="AE102" s="846" t="s">
        <v>194</v>
      </c>
      <c r="AF102" s="846" t="s">
        <v>194</v>
      </c>
      <c r="AG102" s="846" t="s">
        <v>194</v>
      </c>
      <c r="AH102" s="846" t="s">
        <v>194</v>
      </c>
      <c r="AI102" s="846" t="s">
        <v>194</v>
      </c>
      <c r="AJ102" s="846" t="s">
        <v>194</v>
      </c>
      <c r="AK102" s="846" t="s">
        <v>194</v>
      </c>
      <c r="AL102" s="846" t="s">
        <v>194</v>
      </c>
      <c r="AM102" s="846" t="s">
        <v>194</v>
      </c>
      <c r="AN102" s="846" t="s">
        <v>194</v>
      </c>
      <c r="AO102" s="846" t="s">
        <v>194</v>
      </c>
      <c r="AP102" s="846" t="s">
        <v>194</v>
      </c>
      <c r="AQ102" s="846" t="s">
        <v>194</v>
      </c>
    </row>
    <row r="103" ht="15.75" customHeight="1">
      <c r="A103" s="849" t="s">
        <v>194</v>
      </c>
      <c r="B103" s="15"/>
      <c r="C103" s="15"/>
      <c r="D103" s="15"/>
      <c r="E103" s="15"/>
      <c r="F103" s="15"/>
      <c r="G103" s="15"/>
      <c r="H103" s="15"/>
      <c r="I103" s="15"/>
      <c r="J103" s="15"/>
      <c r="K103" s="15"/>
      <c r="L103" s="15"/>
      <c r="M103" s="15"/>
      <c r="N103" s="15"/>
      <c r="O103" s="15"/>
      <c r="P103" s="15"/>
      <c r="Q103" s="15"/>
      <c r="R103" s="15"/>
      <c r="S103" s="15"/>
      <c r="T103" s="15"/>
      <c r="U103" s="15"/>
      <c r="V103" s="851" t="s">
        <v>194</v>
      </c>
      <c r="W103" s="846" t="s">
        <v>194</v>
      </c>
      <c r="X103" s="846" t="s">
        <v>194</v>
      </c>
      <c r="Y103" s="846" t="s">
        <v>194</v>
      </c>
      <c r="Z103" s="846" t="s">
        <v>194</v>
      </c>
      <c r="AA103" s="846" t="s">
        <v>194</v>
      </c>
      <c r="AB103" s="846" t="s">
        <v>194</v>
      </c>
      <c r="AC103" s="846" t="s">
        <v>194</v>
      </c>
      <c r="AD103" s="846" t="s">
        <v>194</v>
      </c>
      <c r="AE103" s="846" t="s">
        <v>194</v>
      </c>
      <c r="AF103" s="846" t="s">
        <v>194</v>
      </c>
      <c r="AG103" s="846" t="s">
        <v>194</v>
      </c>
      <c r="AH103" s="846" t="s">
        <v>194</v>
      </c>
      <c r="AI103" s="846" t="s">
        <v>194</v>
      </c>
      <c r="AJ103" s="846" t="s">
        <v>194</v>
      </c>
      <c r="AK103" s="846" t="s">
        <v>194</v>
      </c>
      <c r="AL103" s="846" t="s">
        <v>194</v>
      </c>
      <c r="AM103" s="846" t="s">
        <v>194</v>
      </c>
      <c r="AN103" s="846" t="s">
        <v>194</v>
      </c>
      <c r="AO103" s="846" t="s">
        <v>194</v>
      </c>
      <c r="AP103" s="846" t="s">
        <v>194</v>
      </c>
      <c r="AQ103" s="846" t="s">
        <v>194</v>
      </c>
    </row>
    <row r="104" ht="15.75" customHeight="1">
      <c r="A104" s="846" t="s">
        <v>194</v>
      </c>
      <c r="B104" s="893" t="s">
        <v>194</v>
      </c>
      <c r="C104" s="893" t="s">
        <v>194</v>
      </c>
      <c r="D104" s="893" t="s">
        <v>194</v>
      </c>
      <c r="E104" s="893" t="s">
        <v>194</v>
      </c>
      <c r="F104" s="893" t="s">
        <v>194</v>
      </c>
      <c r="G104" s="893" t="s">
        <v>194</v>
      </c>
      <c r="H104" s="893" t="s">
        <v>194</v>
      </c>
      <c r="I104" s="893" t="s">
        <v>194</v>
      </c>
      <c r="J104" s="893" t="s">
        <v>194</v>
      </c>
      <c r="K104" s="893" t="s">
        <v>194</v>
      </c>
      <c r="L104" s="893" t="s">
        <v>194</v>
      </c>
      <c r="M104" s="893" t="s">
        <v>194</v>
      </c>
      <c r="N104" s="893" t="s">
        <v>194</v>
      </c>
      <c r="O104" s="893" t="s">
        <v>194</v>
      </c>
      <c r="P104" s="893" t="s">
        <v>194</v>
      </c>
      <c r="Q104" s="893" t="s">
        <v>194</v>
      </c>
      <c r="R104" s="893" t="s">
        <v>194</v>
      </c>
      <c r="S104" s="893" t="s">
        <v>194</v>
      </c>
      <c r="T104" s="893" t="s">
        <v>194</v>
      </c>
      <c r="U104" s="893" t="s">
        <v>194</v>
      </c>
      <c r="V104" s="846" t="s">
        <v>194</v>
      </c>
      <c r="W104" s="846" t="s">
        <v>194</v>
      </c>
      <c r="X104" s="846" t="s">
        <v>194</v>
      </c>
      <c r="Y104" s="846" t="s">
        <v>194</v>
      </c>
      <c r="Z104" s="846" t="s">
        <v>194</v>
      </c>
      <c r="AA104" s="846" t="s">
        <v>194</v>
      </c>
      <c r="AB104" s="846" t="s">
        <v>194</v>
      </c>
      <c r="AC104" s="846" t="s">
        <v>194</v>
      </c>
      <c r="AD104" s="846" t="s">
        <v>194</v>
      </c>
      <c r="AE104" s="846" t="s">
        <v>194</v>
      </c>
      <c r="AF104" s="846" t="s">
        <v>194</v>
      </c>
      <c r="AG104" s="846" t="s">
        <v>194</v>
      </c>
      <c r="AH104" s="846" t="s">
        <v>194</v>
      </c>
      <c r="AI104" s="846" t="s">
        <v>194</v>
      </c>
      <c r="AJ104" s="846" t="s">
        <v>194</v>
      </c>
      <c r="AK104" s="846" t="s">
        <v>194</v>
      </c>
      <c r="AL104" s="846" t="s">
        <v>194</v>
      </c>
      <c r="AM104" s="846" t="s">
        <v>194</v>
      </c>
      <c r="AN104" s="846" t="s">
        <v>194</v>
      </c>
      <c r="AO104" s="846" t="s">
        <v>194</v>
      </c>
      <c r="AP104" s="846" t="s">
        <v>194</v>
      </c>
      <c r="AQ104" s="846" t="s">
        <v>194</v>
      </c>
    </row>
    <row r="105" ht="15.75" customHeight="1">
      <c r="A105" s="846" t="s">
        <v>194</v>
      </c>
      <c r="B105" s="846" t="s">
        <v>194</v>
      </c>
      <c r="C105" s="846" t="s">
        <v>194</v>
      </c>
      <c r="D105" s="846" t="s">
        <v>194</v>
      </c>
      <c r="E105" s="846" t="s">
        <v>194</v>
      </c>
      <c r="F105" s="846" t="s">
        <v>194</v>
      </c>
      <c r="G105" s="846" t="s">
        <v>194</v>
      </c>
      <c r="H105" s="846" t="s">
        <v>194</v>
      </c>
      <c r="I105" s="846" t="s">
        <v>194</v>
      </c>
      <c r="J105" s="846" t="s">
        <v>194</v>
      </c>
      <c r="K105" s="846" t="s">
        <v>194</v>
      </c>
      <c r="L105" s="846" t="s">
        <v>194</v>
      </c>
      <c r="M105" s="846" t="s">
        <v>194</v>
      </c>
      <c r="N105" s="846" t="s">
        <v>194</v>
      </c>
      <c r="O105" s="846" t="s">
        <v>194</v>
      </c>
      <c r="P105" s="846" t="s">
        <v>194</v>
      </c>
      <c r="Q105" s="846" t="s">
        <v>194</v>
      </c>
      <c r="R105" s="846" t="s">
        <v>194</v>
      </c>
      <c r="S105" s="846" t="s">
        <v>194</v>
      </c>
      <c r="T105" s="846" t="s">
        <v>194</v>
      </c>
      <c r="U105" s="846" t="s">
        <v>194</v>
      </c>
      <c r="V105" s="846" t="s">
        <v>194</v>
      </c>
      <c r="W105" s="846" t="s">
        <v>194</v>
      </c>
      <c r="X105" s="846" t="s">
        <v>194</v>
      </c>
      <c r="Y105" s="846" t="s">
        <v>194</v>
      </c>
      <c r="Z105" s="846" t="s">
        <v>194</v>
      </c>
      <c r="AA105" s="846" t="s">
        <v>194</v>
      </c>
      <c r="AB105" s="846" t="s">
        <v>194</v>
      </c>
      <c r="AC105" s="846" t="s">
        <v>194</v>
      </c>
      <c r="AD105" s="846" t="s">
        <v>194</v>
      </c>
      <c r="AE105" s="846" t="s">
        <v>194</v>
      </c>
      <c r="AF105" s="846" t="s">
        <v>194</v>
      </c>
      <c r="AG105" s="846" t="s">
        <v>194</v>
      </c>
      <c r="AH105" s="846" t="s">
        <v>194</v>
      </c>
      <c r="AI105" s="846" t="s">
        <v>194</v>
      </c>
      <c r="AJ105" s="846" t="s">
        <v>194</v>
      </c>
      <c r="AK105" s="846" t="s">
        <v>194</v>
      </c>
      <c r="AL105" s="846" t="s">
        <v>194</v>
      </c>
      <c r="AM105" s="846" t="s">
        <v>194</v>
      </c>
      <c r="AN105" s="846" t="s">
        <v>194</v>
      </c>
      <c r="AO105" s="846" t="s">
        <v>194</v>
      </c>
      <c r="AP105" s="846" t="s">
        <v>194</v>
      </c>
      <c r="AQ105" s="846" t="s">
        <v>194</v>
      </c>
    </row>
    <row r="106" ht="15.75" customHeight="1">
      <c r="A106" s="846" t="s">
        <v>194</v>
      </c>
      <c r="B106" s="846" t="s">
        <v>194</v>
      </c>
      <c r="C106" s="846" t="s">
        <v>194</v>
      </c>
      <c r="D106" s="846" t="s">
        <v>194</v>
      </c>
      <c r="E106" s="846" t="s">
        <v>194</v>
      </c>
      <c r="F106" s="846" t="s">
        <v>194</v>
      </c>
      <c r="G106" s="846" t="s">
        <v>194</v>
      </c>
      <c r="H106" s="846" t="s">
        <v>194</v>
      </c>
      <c r="I106" s="846" t="s">
        <v>194</v>
      </c>
      <c r="J106" s="846" t="s">
        <v>194</v>
      </c>
      <c r="K106" s="846" t="s">
        <v>194</v>
      </c>
      <c r="L106" s="846" t="s">
        <v>194</v>
      </c>
      <c r="M106" s="846" t="s">
        <v>194</v>
      </c>
      <c r="N106" s="846" t="s">
        <v>194</v>
      </c>
      <c r="O106" s="846" t="s">
        <v>194</v>
      </c>
      <c r="P106" s="846" t="s">
        <v>194</v>
      </c>
      <c r="Q106" s="846" t="s">
        <v>194</v>
      </c>
      <c r="R106" s="846" t="s">
        <v>194</v>
      </c>
      <c r="S106" s="846" t="s">
        <v>194</v>
      </c>
      <c r="T106" s="846" t="s">
        <v>194</v>
      </c>
      <c r="U106" s="846" t="s">
        <v>194</v>
      </c>
      <c r="V106" s="846" t="s">
        <v>194</v>
      </c>
      <c r="W106" s="846" t="s">
        <v>194</v>
      </c>
      <c r="X106" s="846" t="s">
        <v>194</v>
      </c>
      <c r="Y106" s="846" t="s">
        <v>194</v>
      </c>
      <c r="Z106" s="846" t="s">
        <v>194</v>
      </c>
      <c r="AA106" s="846" t="s">
        <v>194</v>
      </c>
      <c r="AB106" s="846" t="s">
        <v>194</v>
      </c>
      <c r="AC106" s="846" t="s">
        <v>194</v>
      </c>
      <c r="AD106" s="846" t="s">
        <v>194</v>
      </c>
      <c r="AE106" s="846" t="s">
        <v>194</v>
      </c>
      <c r="AF106" s="846" t="s">
        <v>194</v>
      </c>
      <c r="AG106" s="846" t="s">
        <v>194</v>
      </c>
      <c r="AH106" s="846" t="s">
        <v>194</v>
      </c>
      <c r="AI106" s="846" t="s">
        <v>194</v>
      </c>
      <c r="AJ106" s="846" t="s">
        <v>194</v>
      </c>
      <c r="AK106" s="846" t="s">
        <v>194</v>
      </c>
      <c r="AL106" s="846" t="s">
        <v>194</v>
      </c>
      <c r="AM106" s="846" t="s">
        <v>194</v>
      </c>
      <c r="AN106" s="846" t="s">
        <v>194</v>
      </c>
      <c r="AO106" s="846" t="s">
        <v>194</v>
      </c>
      <c r="AP106" s="846" t="s">
        <v>194</v>
      </c>
      <c r="AQ106" s="846" t="s">
        <v>194</v>
      </c>
    </row>
    <row r="107" ht="15.75" customHeight="1">
      <c r="A107" s="846" t="s">
        <v>194</v>
      </c>
      <c r="B107" s="846" t="s">
        <v>194</v>
      </c>
      <c r="C107" s="846" t="s">
        <v>194</v>
      </c>
      <c r="D107" s="846" t="s">
        <v>194</v>
      </c>
      <c r="E107" s="846" t="s">
        <v>194</v>
      </c>
      <c r="F107" s="846" t="s">
        <v>194</v>
      </c>
      <c r="G107" s="846" t="s">
        <v>194</v>
      </c>
      <c r="H107" s="846" t="s">
        <v>194</v>
      </c>
      <c r="I107" s="846" t="s">
        <v>194</v>
      </c>
      <c r="J107" s="846" t="s">
        <v>194</v>
      </c>
      <c r="K107" s="846" t="s">
        <v>194</v>
      </c>
      <c r="L107" s="846" t="s">
        <v>194</v>
      </c>
      <c r="M107" s="846" t="s">
        <v>194</v>
      </c>
      <c r="N107" s="846" t="s">
        <v>194</v>
      </c>
      <c r="O107" s="846" t="s">
        <v>194</v>
      </c>
      <c r="P107" s="846" t="s">
        <v>194</v>
      </c>
      <c r="Q107" s="846" t="s">
        <v>194</v>
      </c>
      <c r="R107" s="846" t="s">
        <v>194</v>
      </c>
      <c r="S107" s="846" t="s">
        <v>194</v>
      </c>
      <c r="T107" s="846" t="s">
        <v>194</v>
      </c>
      <c r="U107" s="846" t="s">
        <v>194</v>
      </c>
      <c r="V107" s="846" t="s">
        <v>194</v>
      </c>
      <c r="W107" s="846" t="s">
        <v>194</v>
      </c>
      <c r="X107" s="846" t="s">
        <v>194</v>
      </c>
      <c r="Y107" s="846" t="s">
        <v>194</v>
      </c>
      <c r="Z107" s="846" t="s">
        <v>194</v>
      </c>
      <c r="AA107" s="846" t="s">
        <v>194</v>
      </c>
      <c r="AB107" s="846" t="s">
        <v>194</v>
      </c>
      <c r="AC107" s="846" t="s">
        <v>194</v>
      </c>
      <c r="AD107" s="846" t="s">
        <v>194</v>
      </c>
      <c r="AE107" s="846" t="s">
        <v>194</v>
      </c>
      <c r="AF107" s="846" t="s">
        <v>194</v>
      </c>
      <c r="AG107" s="846" t="s">
        <v>194</v>
      </c>
      <c r="AH107" s="846" t="s">
        <v>194</v>
      </c>
      <c r="AI107" s="846" t="s">
        <v>194</v>
      </c>
      <c r="AJ107" s="846" t="s">
        <v>194</v>
      </c>
      <c r="AK107" s="846" t="s">
        <v>194</v>
      </c>
      <c r="AL107" s="846" t="s">
        <v>194</v>
      </c>
      <c r="AM107" s="846" t="s">
        <v>194</v>
      </c>
      <c r="AN107" s="846" t="s">
        <v>194</v>
      </c>
      <c r="AO107" s="846" t="s">
        <v>194</v>
      </c>
      <c r="AP107" s="846" t="s">
        <v>194</v>
      </c>
      <c r="AQ107" s="846" t="s">
        <v>194</v>
      </c>
    </row>
    <row r="108" ht="15.75" customHeight="1">
      <c r="A108" s="846" t="s">
        <v>194</v>
      </c>
      <c r="B108" s="846" t="s">
        <v>194</v>
      </c>
      <c r="C108" s="846" t="s">
        <v>194</v>
      </c>
      <c r="D108" s="846" t="s">
        <v>194</v>
      </c>
      <c r="E108" s="846" t="s">
        <v>194</v>
      </c>
      <c r="F108" s="846" t="s">
        <v>194</v>
      </c>
      <c r="G108" s="846" t="s">
        <v>194</v>
      </c>
      <c r="H108" s="846" t="s">
        <v>194</v>
      </c>
      <c r="I108" s="846" t="s">
        <v>194</v>
      </c>
      <c r="J108" s="846" t="s">
        <v>194</v>
      </c>
      <c r="K108" s="846" t="s">
        <v>194</v>
      </c>
      <c r="L108" s="846" t="s">
        <v>194</v>
      </c>
      <c r="M108" s="846" t="s">
        <v>194</v>
      </c>
      <c r="N108" s="846" t="s">
        <v>194</v>
      </c>
      <c r="O108" s="846" t="s">
        <v>194</v>
      </c>
      <c r="P108" s="846" t="s">
        <v>194</v>
      </c>
      <c r="Q108" s="846" t="s">
        <v>194</v>
      </c>
      <c r="R108" s="846" t="s">
        <v>194</v>
      </c>
      <c r="S108" s="846" t="s">
        <v>194</v>
      </c>
      <c r="T108" s="846" t="s">
        <v>194</v>
      </c>
      <c r="U108" s="846" t="s">
        <v>194</v>
      </c>
      <c r="V108" s="846" t="s">
        <v>194</v>
      </c>
      <c r="W108" s="846" t="s">
        <v>194</v>
      </c>
      <c r="X108" s="846" t="s">
        <v>194</v>
      </c>
      <c r="Y108" s="846" t="s">
        <v>194</v>
      </c>
      <c r="Z108" s="846" t="s">
        <v>194</v>
      </c>
      <c r="AA108" s="846" t="s">
        <v>194</v>
      </c>
      <c r="AB108" s="846" t="s">
        <v>194</v>
      </c>
      <c r="AC108" s="846" t="s">
        <v>194</v>
      </c>
      <c r="AD108" s="846" t="s">
        <v>194</v>
      </c>
      <c r="AE108" s="846" t="s">
        <v>194</v>
      </c>
      <c r="AF108" s="846" t="s">
        <v>194</v>
      </c>
      <c r="AG108" s="846" t="s">
        <v>194</v>
      </c>
      <c r="AH108" s="846" t="s">
        <v>194</v>
      </c>
      <c r="AI108" s="846" t="s">
        <v>194</v>
      </c>
      <c r="AJ108" s="846" t="s">
        <v>194</v>
      </c>
      <c r="AK108" s="846" t="s">
        <v>194</v>
      </c>
      <c r="AL108" s="846" t="s">
        <v>194</v>
      </c>
      <c r="AM108" s="846" t="s">
        <v>194</v>
      </c>
      <c r="AN108" s="846" t="s">
        <v>194</v>
      </c>
      <c r="AO108" s="846" t="s">
        <v>194</v>
      </c>
      <c r="AP108" s="846" t="s">
        <v>194</v>
      </c>
      <c r="AQ108" s="846" t="s">
        <v>194</v>
      </c>
    </row>
    <row r="109" ht="15.75" customHeight="1">
      <c r="A109" s="846" t="s">
        <v>194</v>
      </c>
      <c r="B109" s="846" t="s">
        <v>194</v>
      </c>
      <c r="C109" s="846" t="s">
        <v>194</v>
      </c>
      <c r="D109" s="846" t="s">
        <v>194</v>
      </c>
      <c r="E109" s="846" t="s">
        <v>194</v>
      </c>
      <c r="F109" s="846" t="s">
        <v>194</v>
      </c>
      <c r="G109" s="846" t="s">
        <v>194</v>
      </c>
      <c r="H109" s="846" t="s">
        <v>194</v>
      </c>
      <c r="I109" s="846" t="s">
        <v>194</v>
      </c>
      <c r="J109" s="846" t="s">
        <v>194</v>
      </c>
      <c r="K109" s="846" t="s">
        <v>194</v>
      </c>
      <c r="L109" s="846" t="s">
        <v>194</v>
      </c>
      <c r="M109" s="846" t="s">
        <v>194</v>
      </c>
      <c r="N109" s="846" t="s">
        <v>194</v>
      </c>
      <c r="O109" s="846" t="s">
        <v>194</v>
      </c>
      <c r="P109" s="846" t="s">
        <v>194</v>
      </c>
      <c r="Q109" s="846" t="s">
        <v>194</v>
      </c>
      <c r="R109" s="846" t="s">
        <v>194</v>
      </c>
      <c r="S109" s="846" t="s">
        <v>194</v>
      </c>
      <c r="T109" s="846" t="s">
        <v>194</v>
      </c>
      <c r="U109" s="846" t="s">
        <v>194</v>
      </c>
      <c r="V109" s="846" t="s">
        <v>194</v>
      </c>
      <c r="W109" s="846" t="s">
        <v>194</v>
      </c>
      <c r="X109" s="846" t="s">
        <v>194</v>
      </c>
      <c r="Y109" s="846" t="s">
        <v>194</v>
      </c>
      <c r="Z109" s="846" t="s">
        <v>194</v>
      </c>
      <c r="AA109" s="846" t="s">
        <v>194</v>
      </c>
      <c r="AB109" s="846" t="s">
        <v>194</v>
      </c>
      <c r="AC109" s="846" t="s">
        <v>194</v>
      </c>
      <c r="AD109" s="846" t="s">
        <v>194</v>
      </c>
      <c r="AE109" s="846" t="s">
        <v>194</v>
      </c>
      <c r="AF109" s="846" t="s">
        <v>194</v>
      </c>
      <c r="AG109" s="846" t="s">
        <v>194</v>
      </c>
      <c r="AH109" s="846" t="s">
        <v>194</v>
      </c>
      <c r="AI109" s="846" t="s">
        <v>194</v>
      </c>
      <c r="AJ109" s="846" t="s">
        <v>194</v>
      </c>
      <c r="AK109" s="846" t="s">
        <v>194</v>
      </c>
      <c r="AL109" s="846" t="s">
        <v>194</v>
      </c>
      <c r="AM109" s="846" t="s">
        <v>194</v>
      </c>
      <c r="AN109" s="846" t="s">
        <v>194</v>
      </c>
      <c r="AO109" s="846" t="s">
        <v>194</v>
      </c>
      <c r="AP109" s="846" t="s">
        <v>194</v>
      </c>
      <c r="AQ109" s="846" t="s">
        <v>194</v>
      </c>
    </row>
    <row r="110" ht="15.75" customHeight="1">
      <c r="A110" s="846" t="s">
        <v>194</v>
      </c>
      <c r="B110" s="846" t="s">
        <v>194</v>
      </c>
      <c r="C110" s="846" t="s">
        <v>194</v>
      </c>
      <c r="D110" s="846" t="s">
        <v>194</v>
      </c>
      <c r="E110" s="846" t="s">
        <v>194</v>
      </c>
      <c r="F110" s="846" t="s">
        <v>194</v>
      </c>
      <c r="G110" s="846" t="s">
        <v>194</v>
      </c>
      <c r="H110" s="846" t="s">
        <v>194</v>
      </c>
      <c r="I110" s="846" t="s">
        <v>194</v>
      </c>
      <c r="J110" s="846" t="s">
        <v>194</v>
      </c>
      <c r="K110" s="846" t="s">
        <v>194</v>
      </c>
      <c r="L110" s="846" t="s">
        <v>194</v>
      </c>
      <c r="M110" s="846" t="s">
        <v>194</v>
      </c>
      <c r="N110" s="846" t="s">
        <v>194</v>
      </c>
      <c r="O110" s="846" t="s">
        <v>194</v>
      </c>
      <c r="P110" s="846" t="s">
        <v>194</v>
      </c>
      <c r="Q110" s="846" t="s">
        <v>194</v>
      </c>
      <c r="R110" s="846" t="s">
        <v>194</v>
      </c>
      <c r="S110" s="846" t="s">
        <v>194</v>
      </c>
      <c r="T110" s="846" t="s">
        <v>194</v>
      </c>
      <c r="U110" s="846" t="s">
        <v>194</v>
      </c>
      <c r="V110" s="846" t="s">
        <v>194</v>
      </c>
      <c r="W110" s="846" t="s">
        <v>194</v>
      </c>
      <c r="X110" s="846" t="s">
        <v>194</v>
      </c>
      <c r="Y110" s="846" t="s">
        <v>194</v>
      </c>
      <c r="Z110" s="846" t="s">
        <v>194</v>
      </c>
      <c r="AA110" s="846" t="s">
        <v>194</v>
      </c>
      <c r="AB110" s="846" t="s">
        <v>194</v>
      </c>
      <c r="AC110" s="846" t="s">
        <v>194</v>
      </c>
      <c r="AD110" s="846" t="s">
        <v>194</v>
      </c>
      <c r="AE110" s="846" t="s">
        <v>194</v>
      </c>
      <c r="AF110" s="846" t="s">
        <v>194</v>
      </c>
      <c r="AG110" s="846" t="s">
        <v>194</v>
      </c>
      <c r="AH110" s="846" t="s">
        <v>194</v>
      </c>
      <c r="AI110" s="846" t="s">
        <v>194</v>
      </c>
      <c r="AJ110" s="846" t="s">
        <v>194</v>
      </c>
      <c r="AK110" s="846" t="s">
        <v>194</v>
      </c>
      <c r="AL110" s="846" t="s">
        <v>194</v>
      </c>
      <c r="AM110" s="846" t="s">
        <v>194</v>
      </c>
      <c r="AN110" s="846" t="s">
        <v>194</v>
      </c>
      <c r="AO110" s="846" t="s">
        <v>194</v>
      </c>
      <c r="AP110" s="846" t="s">
        <v>194</v>
      </c>
      <c r="AQ110" s="846" t="s">
        <v>194</v>
      </c>
    </row>
    <row r="111" ht="15.75" customHeight="1">
      <c r="A111" s="846" t="s">
        <v>194</v>
      </c>
      <c r="B111" s="846" t="s">
        <v>194</v>
      </c>
      <c r="C111" s="846" t="s">
        <v>194</v>
      </c>
      <c r="D111" s="846" t="s">
        <v>194</v>
      </c>
      <c r="E111" s="846" t="s">
        <v>194</v>
      </c>
      <c r="F111" s="846" t="s">
        <v>194</v>
      </c>
      <c r="G111" s="846" t="s">
        <v>194</v>
      </c>
      <c r="H111" s="846" t="s">
        <v>194</v>
      </c>
      <c r="I111" s="846" t="s">
        <v>194</v>
      </c>
      <c r="J111" s="846" t="s">
        <v>194</v>
      </c>
      <c r="K111" s="846" t="s">
        <v>194</v>
      </c>
      <c r="L111" s="846" t="s">
        <v>194</v>
      </c>
      <c r="M111" s="846" t="s">
        <v>194</v>
      </c>
      <c r="N111" s="846" t="s">
        <v>194</v>
      </c>
      <c r="O111" s="846" t="s">
        <v>194</v>
      </c>
      <c r="P111" s="846" t="s">
        <v>194</v>
      </c>
      <c r="Q111" s="846" t="s">
        <v>194</v>
      </c>
      <c r="R111" s="846" t="s">
        <v>194</v>
      </c>
      <c r="S111" s="846" t="s">
        <v>194</v>
      </c>
      <c r="T111" s="846" t="s">
        <v>194</v>
      </c>
      <c r="U111" s="846" t="s">
        <v>194</v>
      </c>
      <c r="V111" s="846" t="s">
        <v>194</v>
      </c>
      <c r="W111" s="846" t="s">
        <v>194</v>
      </c>
      <c r="X111" s="846" t="s">
        <v>194</v>
      </c>
      <c r="Y111" s="846" t="s">
        <v>194</v>
      </c>
      <c r="Z111" s="846" t="s">
        <v>194</v>
      </c>
      <c r="AA111" s="846" t="s">
        <v>194</v>
      </c>
      <c r="AB111" s="846" t="s">
        <v>194</v>
      </c>
      <c r="AC111" s="846" t="s">
        <v>194</v>
      </c>
      <c r="AD111" s="846" t="s">
        <v>194</v>
      </c>
      <c r="AE111" s="846" t="s">
        <v>194</v>
      </c>
      <c r="AF111" s="846" t="s">
        <v>194</v>
      </c>
      <c r="AG111" s="846" t="s">
        <v>194</v>
      </c>
      <c r="AH111" s="846" t="s">
        <v>194</v>
      </c>
      <c r="AI111" s="846" t="s">
        <v>194</v>
      </c>
      <c r="AJ111" s="846" t="s">
        <v>194</v>
      </c>
      <c r="AK111" s="846" t="s">
        <v>194</v>
      </c>
      <c r="AL111" s="846" t="s">
        <v>194</v>
      </c>
      <c r="AM111" s="846" t="s">
        <v>194</v>
      </c>
      <c r="AN111" s="846" t="s">
        <v>194</v>
      </c>
      <c r="AO111" s="846" t="s">
        <v>194</v>
      </c>
      <c r="AP111" s="846" t="s">
        <v>194</v>
      </c>
      <c r="AQ111" s="846" t="s">
        <v>194</v>
      </c>
    </row>
    <row r="112" ht="15.75" customHeight="1">
      <c r="A112" s="846" t="s">
        <v>194</v>
      </c>
      <c r="B112" s="846" t="s">
        <v>194</v>
      </c>
      <c r="C112" s="846" t="s">
        <v>194</v>
      </c>
      <c r="D112" s="846" t="s">
        <v>194</v>
      </c>
      <c r="E112" s="846" t="s">
        <v>194</v>
      </c>
      <c r="F112" s="846" t="s">
        <v>194</v>
      </c>
      <c r="G112" s="846" t="s">
        <v>194</v>
      </c>
      <c r="H112" s="846" t="s">
        <v>194</v>
      </c>
      <c r="I112" s="846" t="s">
        <v>194</v>
      </c>
      <c r="J112" s="846" t="s">
        <v>194</v>
      </c>
      <c r="K112" s="846" t="s">
        <v>194</v>
      </c>
      <c r="L112" s="846" t="s">
        <v>194</v>
      </c>
      <c r="M112" s="846" t="s">
        <v>194</v>
      </c>
      <c r="N112" s="846" t="s">
        <v>194</v>
      </c>
      <c r="O112" s="846" t="s">
        <v>194</v>
      </c>
      <c r="P112" s="846" t="s">
        <v>194</v>
      </c>
      <c r="Q112" s="846" t="s">
        <v>194</v>
      </c>
      <c r="R112" s="846" t="s">
        <v>194</v>
      </c>
      <c r="S112" s="846" t="s">
        <v>194</v>
      </c>
      <c r="T112" s="846" t="s">
        <v>194</v>
      </c>
      <c r="U112" s="846" t="s">
        <v>194</v>
      </c>
      <c r="V112" s="846" t="s">
        <v>194</v>
      </c>
      <c r="W112" s="846" t="s">
        <v>194</v>
      </c>
      <c r="X112" s="846" t="s">
        <v>194</v>
      </c>
      <c r="Y112" s="846" t="s">
        <v>194</v>
      </c>
      <c r="Z112" s="846" t="s">
        <v>194</v>
      </c>
      <c r="AA112" s="846" t="s">
        <v>194</v>
      </c>
      <c r="AB112" s="846" t="s">
        <v>194</v>
      </c>
      <c r="AC112" s="846" t="s">
        <v>194</v>
      </c>
      <c r="AD112" s="846" t="s">
        <v>194</v>
      </c>
      <c r="AE112" s="846" t="s">
        <v>194</v>
      </c>
      <c r="AF112" s="846" t="s">
        <v>194</v>
      </c>
      <c r="AG112" s="846" t="s">
        <v>194</v>
      </c>
      <c r="AH112" s="846" t="s">
        <v>194</v>
      </c>
      <c r="AI112" s="846" t="s">
        <v>194</v>
      </c>
      <c r="AJ112" s="846" t="s">
        <v>194</v>
      </c>
      <c r="AK112" s="846" t="s">
        <v>194</v>
      </c>
      <c r="AL112" s="846" t="s">
        <v>194</v>
      </c>
      <c r="AM112" s="846" t="s">
        <v>194</v>
      </c>
      <c r="AN112" s="846" t="s">
        <v>194</v>
      </c>
      <c r="AO112" s="846" t="s">
        <v>194</v>
      </c>
      <c r="AP112" s="846" t="s">
        <v>194</v>
      </c>
      <c r="AQ112" s="846" t="s">
        <v>194</v>
      </c>
    </row>
    <row r="113" ht="15.75" customHeight="1">
      <c r="A113" s="846" t="s">
        <v>194</v>
      </c>
      <c r="B113" s="846" t="s">
        <v>194</v>
      </c>
      <c r="C113" s="846" t="s">
        <v>194</v>
      </c>
      <c r="D113" s="846" t="s">
        <v>194</v>
      </c>
      <c r="E113" s="846" t="s">
        <v>194</v>
      </c>
      <c r="F113" s="846" t="s">
        <v>194</v>
      </c>
      <c r="G113" s="846" t="s">
        <v>194</v>
      </c>
      <c r="H113" s="846" t="s">
        <v>194</v>
      </c>
      <c r="I113" s="846" t="s">
        <v>194</v>
      </c>
      <c r="J113" s="846" t="s">
        <v>194</v>
      </c>
      <c r="K113" s="846" t="s">
        <v>194</v>
      </c>
      <c r="L113" s="846" t="s">
        <v>194</v>
      </c>
      <c r="M113" s="846" t="s">
        <v>194</v>
      </c>
      <c r="N113" s="846" t="s">
        <v>194</v>
      </c>
      <c r="O113" s="846" t="s">
        <v>194</v>
      </c>
      <c r="P113" s="846" t="s">
        <v>194</v>
      </c>
      <c r="Q113" s="846" t="s">
        <v>194</v>
      </c>
      <c r="R113" s="846" t="s">
        <v>194</v>
      </c>
      <c r="S113" s="846" t="s">
        <v>194</v>
      </c>
      <c r="T113" s="846" t="s">
        <v>194</v>
      </c>
      <c r="U113" s="846" t="s">
        <v>194</v>
      </c>
      <c r="V113" s="846" t="s">
        <v>194</v>
      </c>
      <c r="W113" s="846" t="s">
        <v>194</v>
      </c>
      <c r="X113" s="846" t="s">
        <v>194</v>
      </c>
      <c r="Y113" s="846" t="s">
        <v>194</v>
      </c>
      <c r="Z113" s="846" t="s">
        <v>194</v>
      </c>
      <c r="AA113" s="846" t="s">
        <v>194</v>
      </c>
      <c r="AB113" s="846" t="s">
        <v>194</v>
      </c>
      <c r="AC113" s="846" t="s">
        <v>194</v>
      </c>
      <c r="AD113" s="846" t="s">
        <v>194</v>
      </c>
      <c r="AE113" s="846" t="s">
        <v>194</v>
      </c>
      <c r="AF113" s="846" t="s">
        <v>194</v>
      </c>
      <c r="AG113" s="846" t="s">
        <v>194</v>
      </c>
      <c r="AH113" s="846" t="s">
        <v>194</v>
      </c>
      <c r="AI113" s="846" t="s">
        <v>194</v>
      </c>
      <c r="AJ113" s="846" t="s">
        <v>194</v>
      </c>
      <c r="AK113" s="846" t="s">
        <v>194</v>
      </c>
      <c r="AL113" s="846" t="s">
        <v>194</v>
      </c>
      <c r="AM113" s="846" t="s">
        <v>194</v>
      </c>
      <c r="AN113" s="846" t="s">
        <v>194</v>
      </c>
      <c r="AO113" s="846" t="s">
        <v>194</v>
      </c>
      <c r="AP113" s="846" t="s">
        <v>194</v>
      </c>
      <c r="AQ113" s="846" t="s">
        <v>194</v>
      </c>
    </row>
    <row r="114" ht="15.75" customHeight="1">
      <c r="A114" s="846" t="s">
        <v>194</v>
      </c>
      <c r="B114" s="846" t="s">
        <v>194</v>
      </c>
      <c r="C114" s="846" t="s">
        <v>194</v>
      </c>
      <c r="D114" s="846" t="s">
        <v>194</v>
      </c>
      <c r="E114" s="846" t="s">
        <v>194</v>
      </c>
      <c r="F114" s="846" t="s">
        <v>194</v>
      </c>
      <c r="G114" s="846" t="s">
        <v>194</v>
      </c>
      <c r="H114" s="846" t="s">
        <v>194</v>
      </c>
      <c r="I114" s="846" t="s">
        <v>194</v>
      </c>
      <c r="J114" s="846" t="s">
        <v>194</v>
      </c>
      <c r="K114" s="846" t="s">
        <v>194</v>
      </c>
      <c r="L114" s="846" t="s">
        <v>194</v>
      </c>
      <c r="M114" s="846" t="s">
        <v>194</v>
      </c>
      <c r="N114" s="846" t="s">
        <v>194</v>
      </c>
      <c r="O114" s="846" t="s">
        <v>194</v>
      </c>
      <c r="P114" s="846" t="s">
        <v>194</v>
      </c>
      <c r="Q114" s="846" t="s">
        <v>194</v>
      </c>
      <c r="R114" s="846" t="s">
        <v>194</v>
      </c>
      <c r="S114" s="846" t="s">
        <v>194</v>
      </c>
      <c r="T114" s="846" t="s">
        <v>194</v>
      </c>
      <c r="U114" s="846" t="s">
        <v>194</v>
      </c>
      <c r="V114" s="846" t="s">
        <v>194</v>
      </c>
      <c r="W114" s="846" t="s">
        <v>194</v>
      </c>
      <c r="X114" s="846" t="s">
        <v>194</v>
      </c>
      <c r="Y114" s="846" t="s">
        <v>194</v>
      </c>
      <c r="Z114" s="846" t="s">
        <v>194</v>
      </c>
      <c r="AA114" s="846" t="s">
        <v>194</v>
      </c>
      <c r="AB114" s="846" t="s">
        <v>194</v>
      </c>
      <c r="AC114" s="846" t="s">
        <v>194</v>
      </c>
      <c r="AD114" s="846" t="s">
        <v>194</v>
      </c>
      <c r="AE114" s="846" t="s">
        <v>194</v>
      </c>
      <c r="AF114" s="846" t="s">
        <v>194</v>
      </c>
      <c r="AG114" s="846" t="s">
        <v>194</v>
      </c>
      <c r="AH114" s="846" t="s">
        <v>194</v>
      </c>
      <c r="AI114" s="846" t="s">
        <v>194</v>
      </c>
      <c r="AJ114" s="846" t="s">
        <v>194</v>
      </c>
      <c r="AK114" s="846" t="s">
        <v>194</v>
      </c>
      <c r="AL114" s="846" t="s">
        <v>194</v>
      </c>
      <c r="AM114" s="846" t="s">
        <v>194</v>
      </c>
      <c r="AN114" s="846" t="s">
        <v>194</v>
      </c>
      <c r="AO114" s="846" t="s">
        <v>194</v>
      </c>
      <c r="AP114" s="846" t="s">
        <v>194</v>
      </c>
      <c r="AQ114" s="846" t="s">
        <v>194</v>
      </c>
    </row>
    <row r="115" ht="15.75" customHeight="1">
      <c r="A115" s="846" t="s">
        <v>194</v>
      </c>
      <c r="B115" s="846" t="s">
        <v>194</v>
      </c>
      <c r="C115" s="846" t="s">
        <v>194</v>
      </c>
      <c r="D115" s="846" t="s">
        <v>194</v>
      </c>
      <c r="E115" s="846" t="s">
        <v>194</v>
      </c>
      <c r="F115" s="846" t="s">
        <v>194</v>
      </c>
      <c r="G115" s="846" t="s">
        <v>194</v>
      </c>
      <c r="H115" s="846" t="s">
        <v>194</v>
      </c>
      <c r="I115" s="846" t="s">
        <v>194</v>
      </c>
      <c r="J115" s="846" t="s">
        <v>194</v>
      </c>
      <c r="K115" s="846" t="s">
        <v>194</v>
      </c>
      <c r="L115" s="846" t="s">
        <v>194</v>
      </c>
      <c r="M115" s="846" t="s">
        <v>194</v>
      </c>
      <c r="N115" s="846" t="s">
        <v>194</v>
      </c>
      <c r="O115" s="846" t="s">
        <v>194</v>
      </c>
      <c r="P115" s="846" t="s">
        <v>194</v>
      </c>
      <c r="Q115" s="846" t="s">
        <v>194</v>
      </c>
      <c r="R115" s="846" t="s">
        <v>194</v>
      </c>
      <c r="S115" s="846" t="s">
        <v>194</v>
      </c>
      <c r="T115" s="846" t="s">
        <v>194</v>
      </c>
      <c r="U115" s="846" t="s">
        <v>194</v>
      </c>
      <c r="V115" s="846" t="s">
        <v>194</v>
      </c>
      <c r="W115" s="846" t="s">
        <v>194</v>
      </c>
      <c r="X115" s="846" t="s">
        <v>194</v>
      </c>
      <c r="Y115" s="846" t="s">
        <v>194</v>
      </c>
      <c r="Z115" s="846" t="s">
        <v>194</v>
      </c>
      <c r="AA115" s="846" t="s">
        <v>194</v>
      </c>
      <c r="AB115" s="846" t="s">
        <v>194</v>
      </c>
      <c r="AC115" s="846" t="s">
        <v>194</v>
      </c>
      <c r="AD115" s="846" t="s">
        <v>194</v>
      </c>
      <c r="AE115" s="846" t="s">
        <v>194</v>
      </c>
      <c r="AF115" s="846" t="s">
        <v>194</v>
      </c>
      <c r="AG115" s="846" t="s">
        <v>194</v>
      </c>
      <c r="AH115" s="846" t="s">
        <v>194</v>
      </c>
      <c r="AI115" s="846" t="s">
        <v>194</v>
      </c>
      <c r="AJ115" s="846" t="s">
        <v>194</v>
      </c>
      <c r="AK115" s="846" t="s">
        <v>194</v>
      </c>
      <c r="AL115" s="846" t="s">
        <v>194</v>
      </c>
      <c r="AM115" s="846" t="s">
        <v>194</v>
      </c>
      <c r="AN115" s="846" t="s">
        <v>194</v>
      </c>
      <c r="AO115" s="846" t="s">
        <v>194</v>
      </c>
      <c r="AP115" s="846" t="s">
        <v>194</v>
      </c>
      <c r="AQ115" s="846" t="s">
        <v>194</v>
      </c>
    </row>
    <row r="116" ht="15.75" customHeight="1">
      <c r="A116" s="846" t="s">
        <v>194</v>
      </c>
      <c r="B116" s="846" t="s">
        <v>194</v>
      </c>
      <c r="C116" s="846" t="s">
        <v>194</v>
      </c>
      <c r="D116" s="846" t="s">
        <v>194</v>
      </c>
      <c r="E116" s="846" t="s">
        <v>194</v>
      </c>
      <c r="F116" s="846" t="s">
        <v>194</v>
      </c>
      <c r="G116" s="846" t="s">
        <v>194</v>
      </c>
      <c r="H116" s="846" t="s">
        <v>194</v>
      </c>
      <c r="I116" s="846" t="s">
        <v>194</v>
      </c>
      <c r="J116" s="846" t="s">
        <v>194</v>
      </c>
      <c r="K116" s="846" t="s">
        <v>194</v>
      </c>
      <c r="L116" s="846" t="s">
        <v>194</v>
      </c>
      <c r="M116" s="846" t="s">
        <v>194</v>
      </c>
      <c r="N116" s="846" t="s">
        <v>194</v>
      </c>
      <c r="O116" s="846" t="s">
        <v>194</v>
      </c>
      <c r="P116" s="846" t="s">
        <v>194</v>
      </c>
      <c r="Q116" s="846" t="s">
        <v>194</v>
      </c>
      <c r="R116" s="846" t="s">
        <v>194</v>
      </c>
      <c r="S116" s="846" t="s">
        <v>194</v>
      </c>
      <c r="T116" s="846" t="s">
        <v>194</v>
      </c>
      <c r="U116" s="846" t="s">
        <v>194</v>
      </c>
      <c r="V116" s="846" t="s">
        <v>194</v>
      </c>
      <c r="W116" s="846" t="s">
        <v>194</v>
      </c>
      <c r="X116" s="846" t="s">
        <v>194</v>
      </c>
      <c r="Y116" s="846" t="s">
        <v>194</v>
      </c>
      <c r="Z116" s="846" t="s">
        <v>194</v>
      </c>
      <c r="AA116" s="846" t="s">
        <v>194</v>
      </c>
      <c r="AB116" s="846" t="s">
        <v>194</v>
      </c>
      <c r="AC116" s="846" t="s">
        <v>194</v>
      </c>
      <c r="AD116" s="846" t="s">
        <v>194</v>
      </c>
      <c r="AE116" s="846" t="s">
        <v>194</v>
      </c>
      <c r="AF116" s="846" t="s">
        <v>194</v>
      </c>
      <c r="AG116" s="846" t="s">
        <v>194</v>
      </c>
      <c r="AH116" s="846" t="s">
        <v>194</v>
      </c>
      <c r="AI116" s="846" t="s">
        <v>194</v>
      </c>
      <c r="AJ116" s="846" t="s">
        <v>194</v>
      </c>
      <c r="AK116" s="846" t="s">
        <v>194</v>
      </c>
      <c r="AL116" s="846" t="s">
        <v>194</v>
      </c>
      <c r="AM116" s="846" t="s">
        <v>194</v>
      </c>
      <c r="AN116" s="846" t="s">
        <v>194</v>
      </c>
      <c r="AO116" s="846" t="s">
        <v>194</v>
      </c>
      <c r="AP116" s="846" t="s">
        <v>194</v>
      </c>
      <c r="AQ116" s="846" t="s">
        <v>194</v>
      </c>
    </row>
    <row r="117" ht="15.75" customHeight="1">
      <c r="A117" s="846" t="s">
        <v>194</v>
      </c>
      <c r="B117" s="846" t="s">
        <v>194</v>
      </c>
      <c r="C117" s="846" t="s">
        <v>194</v>
      </c>
      <c r="D117" s="846" t="s">
        <v>194</v>
      </c>
      <c r="E117" s="846" t="s">
        <v>194</v>
      </c>
      <c r="F117" s="846" t="s">
        <v>194</v>
      </c>
      <c r="G117" s="846" t="s">
        <v>194</v>
      </c>
      <c r="H117" s="846" t="s">
        <v>194</v>
      </c>
      <c r="I117" s="846" t="s">
        <v>194</v>
      </c>
      <c r="J117" s="846" t="s">
        <v>194</v>
      </c>
      <c r="K117" s="846" t="s">
        <v>194</v>
      </c>
      <c r="L117" s="846" t="s">
        <v>194</v>
      </c>
      <c r="M117" s="846" t="s">
        <v>194</v>
      </c>
      <c r="N117" s="846" t="s">
        <v>194</v>
      </c>
      <c r="O117" s="846" t="s">
        <v>194</v>
      </c>
      <c r="P117" s="846" t="s">
        <v>194</v>
      </c>
      <c r="Q117" s="846" t="s">
        <v>194</v>
      </c>
      <c r="R117" s="846" t="s">
        <v>194</v>
      </c>
      <c r="S117" s="846" t="s">
        <v>194</v>
      </c>
      <c r="T117" s="846" t="s">
        <v>194</v>
      </c>
      <c r="U117" s="846" t="s">
        <v>194</v>
      </c>
      <c r="V117" s="846" t="s">
        <v>194</v>
      </c>
      <c r="W117" s="846" t="s">
        <v>194</v>
      </c>
      <c r="X117" s="846" t="s">
        <v>194</v>
      </c>
      <c r="Y117" s="846" t="s">
        <v>194</v>
      </c>
      <c r="Z117" s="846" t="s">
        <v>194</v>
      </c>
      <c r="AA117" s="846" t="s">
        <v>194</v>
      </c>
      <c r="AB117" s="846" t="s">
        <v>194</v>
      </c>
      <c r="AC117" s="846" t="s">
        <v>194</v>
      </c>
      <c r="AD117" s="846" t="s">
        <v>194</v>
      </c>
      <c r="AE117" s="846" t="s">
        <v>194</v>
      </c>
      <c r="AF117" s="846" t="s">
        <v>194</v>
      </c>
      <c r="AG117" s="846" t="s">
        <v>194</v>
      </c>
      <c r="AH117" s="846" t="s">
        <v>194</v>
      </c>
      <c r="AI117" s="846" t="s">
        <v>194</v>
      </c>
      <c r="AJ117" s="846" t="s">
        <v>194</v>
      </c>
      <c r="AK117" s="846" t="s">
        <v>194</v>
      </c>
      <c r="AL117" s="846" t="s">
        <v>194</v>
      </c>
      <c r="AM117" s="846" t="s">
        <v>194</v>
      </c>
      <c r="AN117" s="846" t="s">
        <v>194</v>
      </c>
      <c r="AO117" s="846" t="s">
        <v>194</v>
      </c>
      <c r="AP117" s="846" t="s">
        <v>194</v>
      </c>
      <c r="AQ117" s="846" t="s">
        <v>194</v>
      </c>
    </row>
    <row r="118" ht="15.75" customHeight="1">
      <c r="A118" s="846" t="s">
        <v>194</v>
      </c>
      <c r="B118" s="846" t="s">
        <v>194</v>
      </c>
      <c r="C118" s="846" t="s">
        <v>194</v>
      </c>
      <c r="D118" s="846" t="s">
        <v>194</v>
      </c>
      <c r="E118" s="846" t="s">
        <v>194</v>
      </c>
      <c r="F118" s="846" t="s">
        <v>194</v>
      </c>
      <c r="G118" s="846" t="s">
        <v>194</v>
      </c>
      <c r="H118" s="846" t="s">
        <v>194</v>
      </c>
      <c r="I118" s="846" t="s">
        <v>194</v>
      </c>
      <c r="J118" s="846" t="s">
        <v>194</v>
      </c>
      <c r="K118" s="846" t="s">
        <v>194</v>
      </c>
      <c r="L118" s="846" t="s">
        <v>194</v>
      </c>
      <c r="M118" s="846" t="s">
        <v>194</v>
      </c>
      <c r="N118" s="846" t="s">
        <v>194</v>
      </c>
      <c r="O118" s="846" t="s">
        <v>194</v>
      </c>
      <c r="P118" s="846" t="s">
        <v>194</v>
      </c>
      <c r="Q118" s="846" t="s">
        <v>194</v>
      </c>
      <c r="R118" s="846" t="s">
        <v>194</v>
      </c>
      <c r="S118" s="846" t="s">
        <v>194</v>
      </c>
      <c r="T118" s="846" t="s">
        <v>194</v>
      </c>
      <c r="U118" s="846" t="s">
        <v>194</v>
      </c>
      <c r="V118" s="846" t="s">
        <v>194</v>
      </c>
      <c r="W118" s="846" t="s">
        <v>194</v>
      </c>
      <c r="X118" s="846" t="s">
        <v>194</v>
      </c>
      <c r="Y118" s="846" t="s">
        <v>194</v>
      </c>
      <c r="Z118" s="846" t="s">
        <v>194</v>
      </c>
      <c r="AA118" s="846" t="s">
        <v>194</v>
      </c>
      <c r="AB118" s="846" t="s">
        <v>194</v>
      </c>
      <c r="AC118" s="846" t="s">
        <v>194</v>
      </c>
      <c r="AD118" s="846" t="s">
        <v>194</v>
      </c>
      <c r="AE118" s="846" t="s">
        <v>194</v>
      </c>
      <c r="AF118" s="846" t="s">
        <v>194</v>
      </c>
      <c r="AG118" s="846" t="s">
        <v>194</v>
      </c>
      <c r="AH118" s="846" t="s">
        <v>194</v>
      </c>
      <c r="AI118" s="846" t="s">
        <v>194</v>
      </c>
      <c r="AJ118" s="846" t="s">
        <v>194</v>
      </c>
      <c r="AK118" s="846" t="s">
        <v>194</v>
      </c>
      <c r="AL118" s="846" t="s">
        <v>194</v>
      </c>
      <c r="AM118" s="846" t="s">
        <v>194</v>
      </c>
      <c r="AN118" s="846" t="s">
        <v>194</v>
      </c>
      <c r="AO118" s="846" t="s">
        <v>194</v>
      </c>
      <c r="AP118" s="846" t="s">
        <v>194</v>
      </c>
      <c r="AQ118" s="846" t="s">
        <v>194</v>
      </c>
    </row>
    <row r="119" ht="15.75" customHeight="1">
      <c r="A119" s="846" t="s">
        <v>194</v>
      </c>
      <c r="B119" s="846" t="s">
        <v>194</v>
      </c>
      <c r="C119" s="846" t="s">
        <v>194</v>
      </c>
      <c r="D119" s="846" t="s">
        <v>194</v>
      </c>
      <c r="E119" s="846" t="s">
        <v>194</v>
      </c>
      <c r="F119" s="846" t="s">
        <v>194</v>
      </c>
      <c r="G119" s="846" t="s">
        <v>194</v>
      </c>
      <c r="H119" s="846" t="s">
        <v>194</v>
      </c>
      <c r="I119" s="846" t="s">
        <v>194</v>
      </c>
      <c r="J119" s="846" t="s">
        <v>194</v>
      </c>
      <c r="K119" s="846" t="s">
        <v>194</v>
      </c>
      <c r="L119" s="846" t="s">
        <v>194</v>
      </c>
      <c r="M119" s="846" t="s">
        <v>194</v>
      </c>
      <c r="N119" s="846" t="s">
        <v>194</v>
      </c>
      <c r="O119" s="846" t="s">
        <v>194</v>
      </c>
      <c r="P119" s="846" t="s">
        <v>194</v>
      </c>
      <c r="Q119" s="846" t="s">
        <v>194</v>
      </c>
      <c r="R119" s="846" t="s">
        <v>194</v>
      </c>
      <c r="S119" s="846" t="s">
        <v>194</v>
      </c>
      <c r="T119" s="846" t="s">
        <v>194</v>
      </c>
      <c r="U119" s="846" t="s">
        <v>194</v>
      </c>
      <c r="V119" s="846" t="s">
        <v>194</v>
      </c>
      <c r="W119" s="846" t="s">
        <v>194</v>
      </c>
      <c r="X119" s="846" t="s">
        <v>194</v>
      </c>
      <c r="Y119" s="846" t="s">
        <v>194</v>
      </c>
      <c r="Z119" s="846" t="s">
        <v>194</v>
      </c>
      <c r="AA119" s="846" t="s">
        <v>194</v>
      </c>
      <c r="AB119" s="846" t="s">
        <v>194</v>
      </c>
      <c r="AC119" s="846" t="s">
        <v>194</v>
      </c>
      <c r="AD119" s="846" t="s">
        <v>194</v>
      </c>
      <c r="AE119" s="846" t="s">
        <v>194</v>
      </c>
      <c r="AF119" s="846" t="s">
        <v>194</v>
      </c>
      <c r="AG119" s="846" t="s">
        <v>194</v>
      </c>
      <c r="AH119" s="846" t="s">
        <v>194</v>
      </c>
      <c r="AI119" s="846" t="s">
        <v>194</v>
      </c>
      <c r="AJ119" s="846" t="s">
        <v>194</v>
      </c>
      <c r="AK119" s="846" t="s">
        <v>194</v>
      </c>
      <c r="AL119" s="846" t="s">
        <v>194</v>
      </c>
      <c r="AM119" s="846" t="s">
        <v>194</v>
      </c>
      <c r="AN119" s="846" t="s">
        <v>194</v>
      </c>
      <c r="AO119" s="846" t="s">
        <v>194</v>
      </c>
      <c r="AP119" s="846" t="s">
        <v>194</v>
      </c>
      <c r="AQ119" s="846" t="s">
        <v>194</v>
      </c>
    </row>
    <row r="120" ht="15.75" customHeight="1">
      <c r="A120" s="846" t="s">
        <v>194</v>
      </c>
      <c r="B120" s="846" t="s">
        <v>194</v>
      </c>
      <c r="C120" s="846" t="s">
        <v>194</v>
      </c>
      <c r="D120" s="846" t="s">
        <v>194</v>
      </c>
      <c r="E120" s="846" t="s">
        <v>194</v>
      </c>
      <c r="F120" s="846" t="s">
        <v>194</v>
      </c>
      <c r="G120" s="846" t="s">
        <v>194</v>
      </c>
      <c r="H120" s="846" t="s">
        <v>194</v>
      </c>
      <c r="I120" s="846" t="s">
        <v>194</v>
      </c>
      <c r="J120" s="846" t="s">
        <v>194</v>
      </c>
      <c r="K120" s="846" t="s">
        <v>194</v>
      </c>
      <c r="L120" s="846" t="s">
        <v>194</v>
      </c>
      <c r="M120" s="846" t="s">
        <v>194</v>
      </c>
      <c r="N120" s="846" t="s">
        <v>194</v>
      </c>
      <c r="O120" s="846" t="s">
        <v>194</v>
      </c>
      <c r="P120" s="846" t="s">
        <v>194</v>
      </c>
      <c r="Q120" s="846" t="s">
        <v>194</v>
      </c>
      <c r="R120" s="846" t="s">
        <v>194</v>
      </c>
      <c r="S120" s="846" t="s">
        <v>194</v>
      </c>
      <c r="T120" s="846" t="s">
        <v>194</v>
      </c>
      <c r="U120" s="846" t="s">
        <v>194</v>
      </c>
      <c r="V120" s="846" t="s">
        <v>194</v>
      </c>
      <c r="W120" s="846" t="s">
        <v>194</v>
      </c>
      <c r="X120" s="846" t="s">
        <v>194</v>
      </c>
      <c r="Y120" s="846" t="s">
        <v>194</v>
      </c>
      <c r="Z120" s="846" t="s">
        <v>194</v>
      </c>
      <c r="AA120" s="846" t="s">
        <v>194</v>
      </c>
      <c r="AB120" s="846" t="s">
        <v>194</v>
      </c>
      <c r="AC120" s="846" t="s">
        <v>194</v>
      </c>
      <c r="AD120" s="846" t="s">
        <v>194</v>
      </c>
      <c r="AE120" s="846" t="s">
        <v>194</v>
      </c>
      <c r="AF120" s="846" t="s">
        <v>194</v>
      </c>
      <c r="AG120" s="846" t="s">
        <v>194</v>
      </c>
      <c r="AH120" s="846" t="s">
        <v>194</v>
      </c>
      <c r="AI120" s="846" t="s">
        <v>194</v>
      </c>
      <c r="AJ120" s="846" t="s">
        <v>194</v>
      </c>
      <c r="AK120" s="846" t="s">
        <v>194</v>
      </c>
      <c r="AL120" s="846" t="s">
        <v>194</v>
      </c>
      <c r="AM120" s="846" t="s">
        <v>194</v>
      </c>
      <c r="AN120" s="846" t="s">
        <v>194</v>
      </c>
      <c r="AO120" s="846" t="s">
        <v>194</v>
      </c>
      <c r="AP120" s="846" t="s">
        <v>194</v>
      </c>
      <c r="AQ120" s="846" t="s">
        <v>194</v>
      </c>
    </row>
    <row r="121" ht="15.75" customHeight="1">
      <c r="A121" s="846" t="s">
        <v>194</v>
      </c>
      <c r="B121" s="846" t="s">
        <v>194</v>
      </c>
      <c r="C121" s="846" t="s">
        <v>194</v>
      </c>
      <c r="D121" s="846" t="s">
        <v>194</v>
      </c>
      <c r="E121" s="846" t="s">
        <v>194</v>
      </c>
      <c r="F121" s="846" t="s">
        <v>194</v>
      </c>
      <c r="G121" s="846" t="s">
        <v>194</v>
      </c>
      <c r="H121" s="846" t="s">
        <v>194</v>
      </c>
      <c r="I121" s="846" t="s">
        <v>194</v>
      </c>
      <c r="J121" s="846" t="s">
        <v>194</v>
      </c>
      <c r="K121" s="846" t="s">
        <v>194</v>
      </c>
      <c r="L121" s="846" t="s">
        <v>194</v>
      </c>
      <c r="M121" s="846" t="s">
        <v>194</v>
      </c>
      <c r="N121" s="846" t="s">
        <v>194</v>
      </c>
      <c r="O121" s="846" t="s">
        <v>194</v>
      </c>
      <c r="P121" s="846" t="s">
        <v>194</v>
      </c>
      <c r="Q121" s="846" t="s">
        <v>194</v>
      </c>
      <c r="R121" s="846" t="s">
        <v>194</v>
      </c>
      <c r="S121" s="846" t="s">
        <v>194</v>
      </c>
      <c r="T121" s="846" t="s">
        <v>194</v>
      </c>
      <c r="U121" s="846" t="s">
        <v>194</v>
      </c>
      <c r="V121" s="846" t="s">
        <v>194</v>
      </c>
      <c r="W121" s="846" t="s">
        <v>194</v>
      </c>
      <c r="X121" s="846" t="s">
        <v>194</v>
      </c>
      <c r="Y121" s="846" t="s">
        <v>194</v>
      </c>
      <c r="Z121" s="846" t="s">
        <v>194</v>
      </c>
      <c r="AA121" s="846" t="s">
        <v>194</v>
      </c>
      <c r="AB121" s="846" t="s">
        <v>194</v>
      </c>
      <c r="AC121" s="846" t="s">
        <v>194</v>
      </c>
      <c r="AD121" s="846" t="s">
        <v>194</v>
      </c>
      <c r="AE121" s="846" t="s">
        <v>194</v>
      </c>
      <c r="AF121" s="846" t="s">
        <v>194</v>
      </c>
      <c r="AG121" s="846" t="s">
        <v>194</v>
      </c>
      <c r="AH121" s="846" t="s">
        <v>194</v>
      </c>
      <c r="AI121" s="846" t="s">
        <v>194</v>
      </c>
      <c r="AJ121" s="846" t="s">
        <v>194</v>
      </c>
      <c r="AK121" s="846" t="s">
        <v>194</v>
      </c>
      <c r="AL121" s="846" t="s">
        <v>194</v>
      </c>
      <c r="AM121" s="846" t="s">
        <v>194</v>
      </c>
      <c r="AN121" s="846" t="s">
        <v>194</v>
      </c>
      <c r="AO121" s="846" t="s">
        <v>194</v>
      </c>
      <c r="AP121" s="846" t="s">
        <v>194</v>
      </c>
      <c r="AQ121" s="846" t="s">
        <v>194</v>
      </c>
    </row>
    <row r="122" ht="15.75" customHeight="1">
      <c r="A122" s="846" t="s">
        <v>194</v>
      </c>
      <c r="B122" s="846" t="s">
        <v>194</v>
      </c>
      <c r="C122" s="846" t="s">
        <v>194</v>
      </c>
      <c r="D122" s="846" t="s">
        <v>194</v>
      </c>
      <c r="E122" s="846" t="s">
        <v>194</v>
      </c>
      <c r="F122" s="846" t="s">
        <v>194</v>
      </c>
      <c r="G122" s="846" t="s">
        <v>194</v>
      </c>
      <c r="H122" s="846" t="s">
        <v>194</v>
      </c>
      <c r="I122" s="846" t="s">
        <v>194</v>
      </c>
      <c r="J122" s="846" t="s">
        <v>194</v>
      </c>
      <c r="K122" s="846" t="s">
        <v>194</v>
      </c>
      <c r="L122" s="846" t="s">
        <v>194</v>
      </c>
      <c r="M122" s="846" t="s">
        <v>194</v>
      </c>
      <c r="N122" s="846" t="s">
        <v>194</v>
      </c>
      <c r="O122" s="846" t="s">
        <v>194</v>
      </c>
      <c r="P122" s="846" t="s">
        <v>194</v>
      </c>
      <c r="Q122" s="846" t="s">
        <v>194</v>
      </c>
      <c r="R122" s="846" t="s">
        <v>194</v>
      </c>
      <c r="S122" s="846" t="s">
        <v>194</v>
      </c>
      <c r="T122" s="846" t="s">
        <v>194</v>
      </c>
      <c r="U122" s="846" t="s">
        <v>194</v>
      </c>
      <c r="V122" s="846" t="s">
        <v>194</v>
      </c>
      <c r="W122" s="846" t="s">
        <v>194</v>
      </c>
      <c r="X122" s="846" t="s">
        <v>194</v>
      </c>
      <c r="Y122" s="846" t="s">
        <v>194</v>
      </c>
      <c r="Z122" s="846" t="s">
        <v>194</v>
      </c>
      <c r="AA122" s="846" t="s">
        <v>194</v>
      </c>
      <c r="AB122" s="846" t="s">
        <v>194</v>
      </c>
      <c r="AC122" s="846" t="s">
        <v>194</v>
      </c>
      <c r="AD122" s="846" t="s">
        <v>194</v>
      </c>
      <c r="AE122" s="846" t="s">
        <v>194</v>
      </c>
      <c r="AF122" s="846" t="s">
        <v>194</v>
      </c>
      <c r="AG122" s="846" t="s">
        <v>194</v>
      </c>
      <c r="AH122" s="846" t="s">
        <v>194</v>
      </c>
      <c r="AI122" s="846" t="s">
        <v>194</v>
      </c>
      <c r="AJ122" s="846" t="s">
        <v>194</v>
      </c>
      <c r="AK122" s="846" t="s">
        <v>194</v>
      </c>
      <c r="AL122" s="846" t="s">
        <v>194</v>
      </c>
      <c r="AM122" s="846" t="s">
        <v>194</v>
      </c>
      <c r="AN122" s="846" t="s">
        <v>194</v>
      </c>
      <c r="AO122" s="846" t="s">
        <v>194</v>
      </c>
      <c r="AP122" s="846" t="s">
        <v>194</v>
      </c>
      <c r="AQ122" s="846" t="s">
        <v>194</v>
      </c>
    </row>
    <row r="123" ht="15.75" customHeight="1">
      <c r="A123" s="846" t="s">
        <v>194</v>
      </c>
      <c r="B123" s="846" t="s">
        <v>194</v>
      </c>
      <c r="C123" s="846" t="s">
        <v>194</v>
      </c>
      <c r="D123" s="846" t="s">
        <v>194</v>
      </c>
      <c r="E123" s="846" t="s">
        <v>194</v>
      </c>
      <c r="F123" s="846" t="s">
        <v>194</v>
      </c>
      <c r="G123" s="846" t="s">
        <v>194</v>
      </c>
      <c r="H123" s="846" t="s">
        <v>194</v>
      </c>
      <c r="I123" s="846" t="s">
        <v>194</v>
      </c>
      <c r="J123" s="846" t="s">
        <v>194</v>
      </c>
      <c r="K123" s="846" t="s">
        <v>194</v>
      </c>
      <c r="L123" s="846" t="s">
        <v>194</v>
      </c>
      <c r="M123" s="846" t="s">
        <v>194</v>
      </c>
      <c r="N123" s="846" t="s">
        <v>194</v>
      </c>
      <c r="O123" s="846" t="s">
        <v>194</v>
      </c>
      <c r="P123" s="846" t="s">
        <v>194</v>
      </c>
      <c r="Q123" s="846" t="s">
        <v>194</v>
      </c>
      <c r="R123" s="846" t="s">
        <v>194</v>
      </c>
      <c r="S123" s="846" t="s">
        <v>194</v>
      </c>
      <c r="T123" s="846" t="s">
        <v>194</v>
      </c>
      <c r="U123" s="846" t="s">
        <v>194</v>
      </c>
      <c r="V123" s="846" t="s">
        <v>194</v>
      </c>
      <c r="W123" s="846" t="s">
        <v>194</v>
      </c>
      <c r="X123" s="846" t="s">
        <v>194</v>
      </c>
      <c r="Y123" s="846" t="s">
        <v>194</v>
      </c>
      <c r="Z123" s="846" t="s">
        <v>194</v>
      </c>
      <c r="AA123" s="846" t="s">
        <v>194</v>
      </c>
      <c r="AB123" s="846" t="s">
        <v>194</v>
      </c>
      <c r="AC123" s="846" t="s">
        <v>194</v>
      </c>
      <c r="AD123" s="846" t="s">
        <v>194</v>
      </c>
      <c r="AE123" s="846" t="s">
        <v>194</v>
      </c>
      <c r="AF123" s="846" t="s">
        <v>194</v>
      </c>
      <c r="AG123" s="846" t="s">
        <v>194</v>
      </c>
      <c r="AH123" s="846" t="s">
        <v>194</v>
      </c>
      <c r="AI123" s="846" t="s">
        <v>194</v>
      </c>
      <c r="AJ123" s="846" t="s">
        <v>194</v>
      </c>
      <c r="AK123" s="846" t="s">
        <v>194</v>
      </c>
      <c r="AL123" s="846" t="s">
        <v>194</v>
      </c>
      <c r="AM123" s="846" t="s">
        <v>194</v>
      </c>
      <c r="AN123" s="846" t="s">
        <v>194</v>
      </c>
      <c r="AO123" s="846" t="s">
        <v>194</v>
      </c>
      <c r="AP123" s="846" t="s">
        <v>194</v>
      </c>
      <c r="AQ123" s="846" t="s">
        <v>194</v>
      </c>
    </row>
    <row r="124" ht="15.75" customHeight="1">
      <c r="A124" s="846" t="s">
        <v>194</v>
      </c>
      <c r="B124" s="846" t="s">
        <v>194</v>
      </c>
      <c r="C124" s="846" t="s">
        <v>194</v>
      </c>
      <c r="D124" s="846" t="s">
        <v>194</v>
      </c>
      <c r="E124" s="846" t="s">
        <v>194</v>
      </c>
      <c r="F124" s="846" t="s">
        <v>194</v>
      </c>
      <c r="G124" s="846" t="s">
        <v>194</v>
      </c>
      <c r="H124" s="846" t="s">
        <v>194</v>
      </c>
      <c r="I124" s="846" t="s">
        <v>194</v>
      </c>
      <c r="J124" s="846" t="s">
        <v>194</v>
      </c>
      <c r="K124" s="846" t="s">
        <v>194</v>
      </c>
      <c r="L124" s="846" t="s">
        <v>194</v>
      </c>
      <c r="M124" s="846" t="s">
        <v>194</v>
      </c>
      <c r="N124" s="846" t="s">
        <v>194</v>
      </c>
      <c r="O124" s="846" t="s">
        <v>194</v>
      </c>
      <c r="P124" s="846" t="s">
        <v>194</v>
      </c>
      <c r="Q124" s="846" t="s">
        <v>194</v>
      </c>
      <c r="R124" s="846" t="s">
        <v>194</v>
      </c>
      <c r="S124" s="846" t="s">
        <v>194</v>
      </c>
      <c r="T124" s="846" t="s">
        <v>194</v>
      </c>
      <c r="U124" s="846" t="s">
        <v>194</v>
      </c>
      <c r="V124" s="846" t="s">
        <v>194</v>
      </c>
      <c r="W124" s="846" t="s">
        <v>194</v>
      </c>
      <c r="X124" s="846" t="s">
        <v>194</v>
      </c>
      <c r="Y124" s="846" t="s">
        <v>194</v>
      </c>
      <c r="Z124" s="846" t="s">
        <v>194</v>
      </c>
      <c r="AA124" s="846" t="s">
        <v>194</v>
      </c>
      <c r="AB124" s="846" t="s">
        <v>194</v>
      </c>
      <c r="AC124" s="846" t="s">
        <v>194</v>
      </c>
      <c r="AD124" s="846" t="s">
        <v>194</v>
      </c>
      <c r="AE124" s="846" t="s">
        <v>194</v>
      </c>
      <c r="AF124" s="846" t="s">
        <v>194</v>
      </c>
      <c r="AG124" s="846" t="s">
        <v>194</v>
      </c>
      <c r="AH124" s="846" t="s">
        <v>194</v>
      </c>
      <c r="AI124" s="846" t="s">
        <v>194</v>
      </c>
      <c r="AJ124" s="846" t="s">
        <v>194</v>
      </c>
      <c r="AK124" s="846" t="s">
        <v>194</v>
      </c>
      <c r="AL124" s="846" t="s">
        <v>194</v>
      </c>
      <c r="AM124" s="846" t="s">
        <v>194</v>
      </c>
      <c r="AN124" s="846" t="s">
        <v>194</v>
      </c>
      <c r="AO124" s="846" t="s">
        <v>194</v>
      </c>
      <c r="AP124" s="846" t="s">
        <v>194</v>
      </c>
      <c r="AQ124" s="846" t="s">
        <v>194</v>
      </c>
    </row>
    <row r="125" ht="15.75" customHeight="1">
      <c r="A125" s="846" t="s">
        <v>194</v>
      </c>
      <c r="B125" s="846" t="s">
        <v>194</v>
      </c>
      <c r="C125" s="846" t="s">
        <v>194</v>
      </c>
      <c r="D125" s="846" t="s">
        <v>194</v>
      </c>
      <c r="E125" s="846" t="s">
        <v>194</v>
      </c>
      <c r="F125" s="846" t="s">
        <v>194</v>
      </c>
      <c r="G125" s="846" t="s">
        <v>194</v>
      </c>
      <c r="H125" s="846" t="s">
        <v>194</v>
      </c>
      <c r="I125" s="846" t="s">
        <v>194</v>
      </c>
      <c r="J125" s="846" t="s">
        <v>194</v>
      </c>
      <c r="K125" s="846" t="s">
        <v>194</v>
      </c>
      <c r="L125" s="846" t="s">
        <v>194</v>
      </c>
      <c r="M125" s="846" t="s">
        <v>194</v>
      </c>
      <c r="N125" s="846" t="s">
        <v>194</v>
      </c>
      <c r="O125" s="846" t="s">
        <v>194</v>
      </c>
      <c r="P125" s="846" t="s">
        <v>194</v>
      </c>
      <c r="Q125" s="846" t="s">
        <v>194</v>
      </c>
      <c r="R125" s="846" t="s">
        <v>194</v>
      </c>
      <c r="S125" s="846" t="s">
        <v>194</v>
      </c>
      <c r="T125" s="846" t="s">
        <v>194</v>
      </c>
      <c r="U125" s="846" t="s">
        <v>194</v>
      </c>
      <c r="V125" s="846" t="s">
        <v>194</v>
      </c>
      <c r="W125" s="846" t="s">
        <v>194</v>
      </c>
      <c r="X125" s="846" t="s">
        <v>194</v>
      </c>
      <c r="Y125" s="846" t="s">
        <v>194</v>
      </c>
      <c r="Z125" s="846" t="s">
        <v>194</v>
      </c>
      <c r="AA125" s="846" t="s">
        <v>194</v>
      </c>
      <c r="AB125" s="846" t="s">
        <v>194</v>
      </c>
      <c r="AC125" s="846" t="s">
        <v>194</v>
      </c>
      <c r="AD125" s="846" t="s">
        <v>194</v>
      </c>
      <c r="AE125" s="846" t="s">
        <v>194</v>
      </c>
      <c r="AF125" s="846" t="s">
        <v>194</v>
      </c>
      <c r="AG125" s="846" t="s">
        <v>194</v>
      </c>
      <c r="AH125" s="846" t="s">
        <v>194</v>
      </c>
      <c r="AI125" s="846" t="s">
        <v>194</v>
      </c>
      <c r="AJ125" s="846" t="s">
        <v>194</v>
      </c>
      <c r="AK125" s="846" t="s">
        <v>194</v>
      </c>
      <c r="AL125" s="846" t="s">
        <v>194</v>
      </c>
      <c r="AM125" s="846" t="s">
        <v>194</v>
      </c>
      <c r="AN125" s="846" t="s">
        <v>194</v>
      </c>
      <c r="AO125" s="846" t="s">
        <v>194</v>
      </c>
      <c r="AP125" s="846" t="s">
        <v>194</v>
      </c>
      <c r="AQ125" s="846" t="s">
        <v>194</v>
      </c>
    </row>
    <row r="126" ht="15.75" customHeight="1">
      <c r="A126" s="846" t="s">
        <v>194</v>
      </c>
      <c r="B126" s="846" t="s">
        <v>194</v>
      </c>
      <c r="C126" s="846" t="s">
        <v>194</v>
      </c>
      <c r="D126" s="846" t="s">
        <v>194</v>
      </c>
      <c r="E126" s="846" t="s">
        <v>194</v>
      </c>
      <c r="F126" s="846" t="s">
        <v>194</v>
      </c>
      <c r="G126" s="846" t="s">
        <v>194</v>
      </c>
      <c r="H126" s="846" t="s">
        <v>194</v>
      </c>
      <c r="I126" s="846" t="s">
        <v>194</v>
      </c>
      <c r="J126" s="846" t="s">
        <v>194</v>
      </c>
      <c r="K126" s="846" t="s">
        <v>194</v>
      </c>
      <c r="L126" s="846" t="s">
        <v>194</v>
      </c>
      <c r="M126" s="846" t="s">
        <v>194</v>
      </c>
      <c r="N126" s="846" t="s">
        <v>194</v>
      </c>
      <c r="O126" s="846" t="s">
        <v>194</v>
      </c>
      <c r="P126" s="846" t="s">
        <v>194</v>
      </c>
      <c r="Q126" s="846" t="s">
        <v>194</v>
      </c>
      <c r="R126" s="846" t="s">
        <v>194</v>
      </c>
      <c r="S126" s="846" t="s">
        <v>194</v>
      </c>
      <c r="T126" s="846" t="s">
        <v>194</v>
      </c>
      <c r="U126" s="846" t="s">
        <v>194</v>
      </c>
      <c r="V126" s="846" t="s">
        <v>194</v>
      </c>
      <c r="W126" s="846" t="s">
        <v>194</v>
      </c>
      <c r="X126" s="846" t="s">
        <v>194</v>
      </c>
      <c r="Y126" s="846" t="s">
        <v>194</v>
      </c>
      <c r="Z126" s="846" t="s">
        <v>194</v>
      </c>
      <c r="AA126" s="846" t="s">
        <v>194</v>
      </c>
      <c r="AB126" s="846" t="s">
        <v>194</v>
      </c>
      <c r="AC126" s="846" t="s">
        <v>194</v>
      </c>
      <c r="AD126" s="846" t="s">
        <v>194</v>
      </c>
      <c r="AE126" s="846" t="s">
        <v>194</v>
      </c>
      <c r="AF126" s="846" t="s">
        <v>194</v>
      </c>
      <c r="AG126" s="846" t="s">
        <v>194</v>
      </c>
      <c r="AH126" s="846" t="s">
        <v>194</v>
      </c>
      <c r="AI126" s="846" t="s">
        <v>194</v>
      </c>
      <c r="AJ126" s="846" t="s">
        <v>194</v>
      </c>
      <c r="AK126" s="846" t="s">
        <v>194</v>
      </c>
      <c r="AL126" s="846" t="s">
        <v>194</v>
      </c>
      <c r="AM126" s="846" t="s">
        <v>194</v>
      </c>
      <c r="AN126" s="846" t="s">
        <v>194</v>
      </c>
      <c r="AO126" s="846" t="s">
        <v>194</v>
      </c>
      <c r="AP126" s="846" t="s">
        <v>194</v>
      </c>
      <c r="AQ126" s="846" t="s">
        <v>194</v>
      </c>
    </row>
    <row r="127" ht="15.75" customHeight="1">
      <c r="A127" s="846" t="s">
        <v>194</v>
      </c>
      <c r="B127" s="846" t="s">
        <v>194</v>
      </c>
      <c r="C127" s="846" t="s">
        <v>194</v>
      </c>
      <c r="D127" s="846" t="s">
        <v>194</v>
      </c>
      <c r="E127" s="846" t="s">
        <v>194</v>
      </c>
      <c r="F127" s="846" t="s">
        <v>194</v>
      </c>
      <c r="G127" s="846" t="s">
        <v>194</v>
      </c>
      <c r="H127" s="846" t="s">
        <v>194</v>
      </c>
      <c r="I127" s="846" t="s">
        <v>194</v>
      </c>
      <c r="J127" s="846" t="s">
        <v>194</v>
      </c>
      <c r="K127" s="846" t="s">
        <v>194</v>
      </c>
      <c r="L127" s="846" t="s">
        <v>194</v>
      </c>
      <c r="M127" s="846" t="s">
        <v>194</v>
      </c>
      <c r="N127" s="846" t="s">
        <v>194</v>
      </c>
      <c r="O127" s="846" t="s">
        <v>194</v>
      </c>
      <c r="P127" s="846" t="s">
        <v>194</v>
      </c>
      <c r="Q127" s="846" t="s">
        <v>194</v>
      </c>
      <c r="R127" s="846" t="s">
        <v>194</v>
      </c>
      <c r="S127" s="846" t="s">
        <v>194</v>
      </c>
      <c r="T127" s="846" t="s">
        <v>194</v>
      </c>
      <c r="U127" s="846" t="s">
        <v>194</v>
      </c>
      <c r="V127" s="846" t="s">
        <v>194</v>
      </c>
      <c r="W127" s="846" t="s">
        <v>194</v>
      </c>
      <c r="X127" s="846" t="s">
        <v>194</v>
      </c>
      <c r="Y127" s="846" t="s">
        <v>194</v>
      </c>
      <c r="Z127" s="846" t="s">
        <v>194</v>
      </c>
      <c r="AA127" s="846" t="s">
        <v>194</v>
      </c>
      <c r="AB127" s="846" t="s">
        <v>194</v>
      </c>
      <c r="AC127" s="846" t="s">
        <v>194</v>
      </c>
      <c r="AD127" s="846" t="s">
        <v>194</v>
      </c>
      <c r="AE127" s="846" t="s">
        <v>194</v>
      </c>
      <c r="AF127" s="846" t="s">
        <v>194</v>
      </c>
      <c r="AG127" s="846" t="s">
        <v>194</v>
      </c>
      <c r="AH127" s="846" t="s">
        <v>194</v>
      </c>
      <c r="AI127" s="846" t="s">
        <v>194</v>
      </c>
      <c r="AJ127" s="846" t="s">
        <v>194</v>
      </c>
      <c r="AK127" s="846" t="s">
        <v>194</v>
      </c>
      <c r="AL127" s="846" t="s">
        <v>194</v>
      </c>
      <c r="AM127" s="846" t="s">
        <v>194</v>
      </c>
      <c r="AN127" s="846" t="s">
        <v>194</v>
      </c>
      <c r="AO127" s="846" t="s">
        <v>194</v>
      </c>
      <c r="AP127" s="846" t="s">
        <v>194</v>
      </c>
      <c r="AQ127" s="846" t="s">
        <v>194</v>
      </c>
    </row>
    <row r="128" ht="15.75" customHeight="1">
      <c r="A128" s="846" t="s">
        <v>194</v>
      </c>
      <c r="B128" s="846" t="s">
        <v>194</v>
      </c>
      <c r="C128" s="846" t="s">
        <v>194</v>
      </c>
      <c r="D128" s="846" t="s">
        <v>194</v>
      </c>
      <c r="E128" s="846" t="s">
        <v>194</v>
      </c>
      <c r="F128" s="846" t="s">
        <v>194</v>
      </c>
      <c r="G128" s="846" t="s">
        <v>194</v>
      </c>
      <c r="H128" s="846" t="s">
        <v>194</v>
      </c>
      <c r="I128" s="846" t="s">
        <v>194</v>
      </c>
      <c r="J128" s="846" t="s">
        <v>194</v>
      </c>
      <c r="K128" s="846" t="s">
        <v>194</v>
      </c>
      <c r="L128" s="846" t="s">
        <v>194</v>
      </c>
      <c r="M128" s="846" t="s">
        <v>194</v>
      </c>
      <c r="N128" s="846" t="s">
        <v>194</v>
      </c>
      <c r="O128" s="846" t="s">
        <v>194</v>
      </c>
      <c r="P128" s="846" t="s">
        <v>194</v>
      </c>
      <c r="Q128" s="846" t="s">
        <v>194</v>
      </c>
      <c r="R128" s="846" t="s">
        <v>194</v>
      </c>
      <c r="S128" s="846" t="s">
        <v>194</v>
      </c>
      <c r="T128" s="846" t="s">
        <v>194</v>
      </c>
      <c r="U128" s="846" t="s">
        <v>194</v>
      </c>
      <c r="V128" s="846" t="s">
        <v>194</v>
      </c>
      <c r="W128" s="846" t="s">
        <v>194</v>
      </c>
      <c r="X128" s="846" t="s">
        <v>194</v>
      </c>
      <c r="Y128" s="846" t="s">
        <v>194</v>
      </c>
      <c r="Z128" s="846" t="s">
        <v>194</v>
      </c>
      <c r="AA128" s="846" t="s">
        <v>194</v>
      </c>
      <c r="AB128" s="846" t="s">
        <v>194</v>
      </c>
      <c r="AC128" s="846" t="s">
        <v>194</v>
      </c>
      <c r="AD128" s="846" t="s">
        <v>194</v>
      </c>
      <c r="AE128" s="846" t="s">
        <v>194</v>
      </c>
      <c r="AF128" s="846" t="s">
        <v>194</v>
      </c>
      <c r="AG128" s="846" t="s">
        <v>194</v>
      </c>
      <c r="AH128" s="846" t="s">
        <v>194</v>
      </c>
      <c r="AI128" s="846" t="s">
        <v>194</v>
      </c>
      <c r="AJ128" s="846" t="s">
        <v>194</v>
      </c>
      <c r="AK128" s="846" t="s">
        <v>194</v>
      </c>
      <c r="AL128" s="846" t="s">
        <v>194</v>
      </c>
      <c r="AM128" s="846" t="s">
        <v>194</v>
      </c>
      <c r="AN128" s="846" t="s">
        <v>194</v>
      </c>
      <c r="AO128" s="846" t="s">
        <v>194</v>
      </c>
      <c r="AP128" s="846" t="s">
        <v>194</v>
      </c>
      <c r="AQ128" s="846" t="s">
        <v>194</v>
      </c>
    </row>
    <row r="129" ht="15.75" customHeight="1">
      <c r="A129" s="846" t="s">
        <v>194</v>
      </c>
      <c r="B129" s="846" t="s">
        <v>194</v>
      </c>
      <c r="C129" s="846" t="s">
        <v>194</v>
      </c>
      <c r="D129" s="846" t="s">
        <v>194</v>
      </c>
      <c r="E129" s="846" t="s">
        <v>194</v>
      </c>
      <c r="F129" s="846" t="s">
        <v>194</v>
      </c>
      <c r="G129" s="846" t="s">
        <v>194</v>
      </c>
      <c r="H129" s="846" t="s">
        <v>194</v>
      </c>
      <c r="I129" s="846" t="s">
        <v>194</v>
      </c>
      <c r="J129" s="846" t="s">
        <v>194</v>
      </c>
      <c r="K129" s="846" t="s">
        <v>194</v>
      </c>
      <c r="L129" s="846" t="s">
        <v>194</v>
      </c>
      <c r="M129" s="846" t="s">
        <v>194</v>
      </c>
      <c r="N129" s="846" t="s">
        <v>194</v>
      </c>
      <c r="O129" s="846" t="s">
        <v>194</v>
      </c>
      <c r="P129" s="846" t="s">
        <v>194</v>
      </c>
      <c r="Q129" s="846" t="s">
        <v>194</v>
      </c>
      <c r="R129" s="846" t="s">
        <v>194</v>
      </c>
      <c r="S129" s="846" t="s">
        <v>194</v>
      </c>
      <c r="T129" s="846" t="s">
        <v>194</v>
      </c>
      <c r="U129" s="846" t="s">
        <v>194</v>
      </c>
      <c r="V129" s="846" t="s">
        <v>194</v>
      </c>
      <c r="W129" s="846" t="s">
        <v>194</v>
      </c>
      <c r="X129" s="846" t="s">
        <v>194</v>
      </c>
      <c r="Y129" s="846" t="s">
        <v>194</v>
      </c>
      <c r="Z129" s="846" t="s">
        <v>194</v>
      </c>
      <c r="AA129" s="846" t="s">
        <v>194</v>
      </c>
      <c r="AB129" s="846" t="s">
        <v>194</v>
      </c>
      <c r="AC129" s="846" t="s">
        <v>194</v>
      </c>
      <c r="AD129" s="846" t="s">
        <v>194</v>
      </c>
      <c r="AE129" s="846" t="s">
        <v>194</v>
      </c>
      <c r="AF129" s="846" t="s">
        <v>194</v>
      </c>
      <c r="AG129" s="846" t="s">
        <v>194</v>
      </c>
      <c r="AH129" s="846" t="s">
        <v>194</v>
      </c>
      <c r="AI129" s="846" t="s">
        <v>194</v>
      </c>
      <c r="AJ129" s="846" t="s">
        <v>194</v>
      </c>
      <c r="AK129" s="846" t="s">
        <v>194</v>
      </c>
      <c r="AL129" s="846" t="s">
        <v>194</v>
      </c>
      <c r="AM129" s="846" t="s">
        <v>194</v>
      </c>
      <c r="AN129" s="846" t="s">
        <v>194</v>
      </c>
      <c r="AO129" s="846" t="s">
        <v>194</v>
      </c>
      <c r="AP129" s="846" t="s">
        <v>194</v>
      </c>
      <c r="AQ129" s="846" t="s">
        <v>194</v>
      </c>
    </row>
    <row r="130" ht="15.75" customHeight="1">
      <c r="A130" s="846" t="s">
        <v>194</v>
      </c>
      <c r="B130" s="846" t="s">
        <v>194</v>
      </c>
      <c r="C130" s="846" t="s">
        <v>194</v>
      </c>
      <c r="D130" s="846" t="s">
        <v>194</v>
      </c>
      <c r="E130" s="846" t="s">
        <v>194</v>
      </c>
      <c r="F130" s="846" t="s">
        <v>194</v>
      </c>
      <c r="G130" s="846" t="s">
        <v>194</v>
      </c>
      <c r="H130" s="846" t="s">
        <v>194</v>
      </c>
      <c r="I130" s="846" t="s">
        <v>194</v>
      </c>
      <c r="J130" s="846" t="s">
        <v>194</v>
      </c>
      <c r="K130" s="846" t="s">
        <v>194</v>
      </c>
      <c r="L130" s="846" t="s">
        <v>194</v>
      </c>
      <c r="M130" s="846" t="s">
        <v>194</v>
      </c>
      <c r="N130" s="846" t="s">
        <v>194</v>
      </c>
      <c r="O130" s="846" t="s">
        <v>194</v>
      </c>
      <c r="P130" s="846" t="s">
        <v>194</v>
      </c>
      <c r="Q130" s="846" t="s">
        <v>194</v>
      </c>
      <c r="R130" s="846" t="s">
        <v>194</v>
      </c>
      <c r="S130" s="846" t="s">
        <v>194</v>
      </c>
      <c r="T130" s="846" t="s">
        <v>194</v>
      </c>
      <c r="U130" s="846" t="s">
        <v>194</v>
      </c>
      <c r="V130" s="846" t="s">
        <v>194</v>
      </c>
      <c r="W130" s="846" t="s">
        <v>194</v>
      </c>
      <c r="X130" s="846" t="s">
        <v>194</v>
      </c>
      <c r="Y130" s="846" t="s">
        <v>194</v>
      </c>
      <c r="Z130" s="846" t="s">
        <v>194</v>
      </c>
      <c r="AA130" s="846" t="s">
        <v>194</v>
      </c>
      <c r="AB130" s="846" t="s">
        <v>194</v>
      </c>
      <c r="AC130" s="846" t="s">
        <v>194</v>
      </c>
      <c r="AD130" s="846" t="s">
        <v>194</v>
      </c>
      <c r="AE130" s="846" t="s">
        <v>194</v>
      </c>
      <c r="AF130" s="846" t="s">
        <v>194</v>
      </c>
      <c r="AG130" s="846" t="s">
        <v>194</v>
      </c>
      <c r="AH130" s="846" t="s">
        <v>194</v>
      </c>
      <c r="AI130" s="846" t="s">
        <v>194</v>
      </c>
      <c r="AJ130" s="846" t="s">
        <v>194</v>
      </c>
      <c r="AK130" s="846" t="s">
        <v>194</v>
      </c>
      <c r="AL130" s="846" t="s">
        <v>194</v>
      </c>
      <c r="AM130" s="846" t="s">
        <v>194</v>
      </c>
      <c r="AN130" s="846" t="s">
        <v>194</v>
      </c>
      <c r="AO130" s="846" t="s">
        <v>194</v>
      </c>
      <c r="AP130" s="846" t="s">
        <v>194</v>
      </c>
      <c r="AQ130" s="846" t="s">
        <v>194</v>
      </c>
    </row>
    <row r="131" ht="15.75" customHeight="1">
      <c r="A131" s="846" t="s">
        <v>194</v>
      </c>
      <c r="B131" s="846" t="s">
        <v>194</v>
      </c>
      <c r="C131" s="846" t="s">
        <v>194</v>
      </c>
      <c r="D131" s="846" t="s">
        <v>194</v>
      </c>
      <c r="E131" s="846" t="s">
        <v>194</v>
      </c>
      <c r="F131" s="846" t="s">
        <v>194</v>
      </c>
      <c r="G131" s="846" t="s">
        <v>194</v>
      </c>
      <c r="H131" s="846" t="s">
        <v>194</v>
      </c>
      <c r="I131" s="846" t="s">
        <v>194</v>
      </c>
      <c r="J131" s="846" t="s">
        <v>194</v>
      </c>
      <c r="K131" s="846" t="s">
        <v>194</v>
      </c>
      <c r="L131" s="846" t="s">
        <v>194</v>
      </c>
      <c r="M131" s="846" t="s">
        <v>194</v>
      </c>
      <c r="N131" s="846" t="s">
        <v>194</v>
      </c>
      <c r="O131" s="846" t="s">
        <v>194</v>
      </c>
      <c r="P131" s="846" t="s">
        <v>194</v>
      </c>
      <c r="Q131" s="846" t="s">
        <v>194</v>
      </c>
      <c r="R131" s="846" t="s">
        <v>194</v>
      </c>
      <c r="S131" s="846" t="s">
        <v>194</v>
      </c>
      <c r="T131" s="846" t="s">
        <v>194</v>
      </c>
      <c r="U131" s="846" t="s">
        <v>194</v>
      </c>
      <c r="V131" s="846" t="s">
        <v>194</v>
      </c>
      <c r="W131" s="846" t="s">
        <v>194</v>
      </c>
      <c r="X131" s="846" t="s">
        <v>194</v>
      </c>
      <c r="Y131" s="846" t="s">
        <v>194</v>
      </c>
      <c r="Z131" s="846" t="s">
        <v>194</v>
      </c>
      <c r="AA131" s="846" t="s">
        <v>194</v>
      </c>
      <c r="AB131" s="846" t="s">
        <v>194</v>
      </c>
      <c r="AC131" s="846" t="s">
        <v>194</v>
      </c>
      <c r="AD131" s="846" t="s">
        <v>194</v>
      </c>
      <c r="AE131" s="846" t="s">
        <v>194</v>
      </c>
      <c r="AF131" s="846" t="s">
        <v>194</v>
      </c>
      <c r="AG131" s="846" t="s">
        <v>194</v>
      </c>
      <c r="AH131" s="846" t="s">
        <v>194</v>
      </c>
      <c r="AI131" s="846" t="s">
        <v>194</v>
      </c>
      <c r="AJ131" s="846" t="s">
        <v>194</v>
      </c>
      <c r="AK131" s="846" t="s">
        <v>194</v>
      </c>
      <c r="AL131" s="846" t="s">
        <v>194</v>
      </c>
      <c r="AM131" s="846" t="s">
        <v>194</v>
      </c>
      <c r="AN131" s="846" t="s">
        <v>194</v>
      </c>
      <c r="AO131" s="846" t="s">
        <v>194</v>
      </c>
      <c r="AP131" s="846" t="s">
        <v>194</v>
      </c>
      <c r="AQ131" s="846" t="s">
        <v>194</v>
      </c>
    </row>
    <row r="132" ht="15.75" customHeight="1">
      <c r="A132" s="846" t="s">
        <v>194</v>
      </c>
      <c r="B132" s="846" t="s">
        <v>194</v>
      </c>
      <c r="C132" s="846" t="s">
        <v>194</v>
      </c>
      <c r="D132" s="846" t="s">
        <v>194</v>
      </c>
      <c r="E132" s="846" t="s">
        <v>194</v>
      </c>
      <c r="F132" s="846" t="s">
        <v>194</v>
      </c>
      <c r="G132" s="846" t="s">
        <v>194</v>
      </c>
      <c r="H132" s="846" t="s">
        <v>194</v>
      </c>
      <c r="I132" s="846" t="s">
        <v>194</v>
      </c>
      <c r="J132" s="846" t="s">
        <v>194</v>
      </c>
      <c r="K132" s="846" t="s">
        <v>194</v>
      </c>
      <c r="L132" s="846" t="s">
        <v>194</v>
      </c>
      <c r="M132" s="846" t="s">
        <v>194</v>
      </c>
      <c r="N132" s="846" t="s">
        <v>194</v>
      </c>
      <c r="O132" s="846" t="s">
        <v>194</v>
      </c>
      <c r="P132" s="846" t="s">
        <v>194</v>
      </c>
      <c r="Q132" s="846" t="s">
        <v>194</v>
      </c>
      <c r="R132" s="846" t="s">
        <v>194</v>
      </c>
      <c r="S132" s="846" t="s">
        <v>194</v>
      </c>
      <c r="T132" s="846" t="s">
        <v>194</v>
      </c>
      <c r="U132" s="846" t="s">
        <v>194</v>
      </c>
      <c r="V132" s="846" t="s">
        <v>194</v>
      </c>
      <c r="W132" s="846" t="s">
        <v>194</v>
      </c>
      <c r="X132" s="846" t="s">
        <v>194</v>
      </c>
      <c r="Y132" s="846" t="s">
        <v>194</v>
      </c>
      <c r="Z132" s="846" t="s">
        <v>194</v>
      </c>
      <c r="AA132" s="846" t="s">
        <v>194</v>
      </c>
      <c r="AB132" s="846" t="s">
        <v>194</v>
      </c>
      <c r="AC132" s="846" t="s">
        <v>194</v>
      </c>
      <c r="AD132" s="846" t="s">
        <v>194</v>
      </c>
      <c r="AE132" s="846" t="s">
        <v>194</v>
      </c>
      <c r="AF132" s="846" t="s">
        <v>194</v>
      </c>
      <c r="AG132" s="846" t="s">
        <v>194</v>
      </c>
      <c r="AH132" s="846" t="s">
        <v>194</v>
      </c>
      <c r="AI132" s="846" t="s">
        <v>194</v>
      </c>
      <c r="AJ132" s="846" t="s">
        <v>194</v>
      </c>
      <c r="AK132" s="846" t="s">
        <v>194</v>
      </c>
      <c r="AL132" s="846" t="s">
        <v>194</v>
      </c>
      <c r="AM132" s="846" t="s">
        <v>194</v>
      </c>
      <c r="AN132" s="846" t="s">
        <v>194</v>
      </c>
      <c r="AO132" s="846" t="s">
        <v>194</v>
      </c>
      <c r="AP132" s="846" t="s">
        <v>194</v>
      </c>
      <c r="AQ132" s="846" t="s">
        <v>194</v>
      </c>
    </row>
    <row r="133" ht="15.75" customHeight="1">
      <c r="A133" s="846" t="s">
        <v>194</v>
      </c>
      <c r="B133" s="846" t="s">
        <v>194</v>
      </c>
      <c r="C133" s="846" t="s">
        <v>194</v>
      </c>
      <c r="D133" s="846" t="s">
        <v>194</v>
      </c>
      <c r="E133" s="846" t="s">
        <v>194</v>
      </c>
      <c r="F133" s="846" t="s">
        <v>194</v>
      </c>
      <c r="G133" s="846" t="s">
        <v>194</v>
      </c>
      <c r="H133" s="846" t="s">
        <v>194</v>
      </c>
      <c r="I133" s="846" t="s">
        <v>194</v>
      </c>
      <c r="J133" s="846" t="s">
        <v>194</v>
      </c>
      <c r="K133" s="846" t="s">
        <v>194</v>
      </c>
      <c r="L133" s="846" t="s">
        <v>194</v>
      </c>
      <c r="M133" s="846" t="s">
        <v>194</v>
      </c>
      <c r="N133" s="846" t="s">
        <v>194</v>
      </c>
      <c r="O133" s="846" t="s">
        <v>194</v>
      </c>
      <c r="P133" s="846" t="s">
        <v>194</v>
      </c>
      <c r="Q133" s="846" t="s">
        <v>194</v>
      </c>
      <c r="R133" s="846" t="s">
        <v>194</v>
      </c>
      <c r="S133" s="846" t="s">
        <v>194</v>
      </c>
      <c r="T133" s="846" t="s">
        <v>194</v>
      </c>
      <c r="U133" s="846" t="s">
        <v>194</v>
      </c>
      <c r="V133" s="846" t="s">
        <v>194</v>
      </c>
      <c r="W133" s="846" t="s">
        <v>194</v>
      </c>
      <c r="X133" s="846" t="s">
        <v>194</v>
      </c>
      <c r="Y133" s="846" t="s">
        <v>194</v>
      </c>
      <c r="Z133" s="846" t="s">
        <v>194</v>
      </c>
      <c r="AA133" s="846" t="s">
        <v>194</v>
      </c>
      <c r="AB133" s="846" t="s">
        <v>194</v>
      </c>
      <c r="AC133" s="846" t="s">
        <v>194</v>
      </c>
      <c r="AD133" s="846" t="s">
        <v>194</v>
      </c>
      <c r="AE133" s="846" t="s">
        <v>194</v>
      </c>
      <c r="AF133" s="846" t="s">
        <v>194</v>
      </c>
      <c r="AG133" s="846" t="s">
        <v>194</v>
      </c>
      <c r="AH133" s="846" t="s">
        <v>194</v>
      </c>
      <c r="AI133" s="846" t="s">
        <v>194</v>
      </c>
      <c r="AJ133" s="846" t="s">
        <v>194</v>
      </c>
      <c r="AK133" s="846" t="s">
        <v>194</v>
      </c>
      <c r="AL133" s="846" t="s">
        <v>194</v>
      </c>
      <c r="AM133" s="846" t="s">
        <v>194</v>
      </c>
      <c r="AN133" s="846" t="s">
        <v>194</v>
      </c>
      <c r="AO133" s="846" t="s">
        <v>194</v>
      </c>
      <c r="AP133" s="846" t="s">
        <v>194</v>
      </c>
      <c r="AQ133" s="846" t="s">
        <v>194</v>
      </c>
    </row>
    <row r="134" ht="15.75" customHeight="1">
      <c r="A134" s="846" t="s">
        <v>194</v>
      </c>
      <c r="B134" s="846" t="s">
        <v>194</v>
      </c>
      <c r="C134" s="846" t="s">
        <v>194</v>
      </c>
      <c r="D134" s="846" t="s">
        <v>194</v>
      </c>
      <c r="E134" s="846" t="s">
        <v>194</v>
      </c>
      <c r="F134" s="846" t="s">
        <v>194</v>
      </c>
      <c r="G134" s="846" t="s">
        <v>194</v>
      </c>
      <c r="H134" s="846" t="s">
        <v>194</v>
      </c>
      <c r="I134" s="846" t="s">
        <v>194</v>
      </c>
      <c r="J134" s="846" t="s">
        <v>194</v>
      </c>
      <c r="K134" s="846" t="s">
        <v>194</v>
      </c>
      <c r="L134" s="846" t="s">
        <v>194</v>
      </c>
      <c r="M134" s="846" t="s">
        <v>194</v>
      </c>
      <c r="N134" s="846" t="s">
        <v>194</v>
      </c>
      <c r="O134" s="846" t="s">
        <v>194</v>
      </c>
      <c r="P134" s="846" t="s">
        <v>194</v>
      </c>
      <c r="Q134" s="846" t="s">
        <v>194</v>
      </c>
      <c r="R134" s="846" t="s">
        <v>194</v>
      </c>
      <c r="S134" s="846" t="s">
        <v>194</v>
      </c>
      <c r="T134" s="846" t="s">
        <v>194</v>
      </c>
      <c r="U134" s="846" t="s">
        <v>194</v>
      </c>
      <c r="V134" s="846" t="s">
        <v>194</v>
      </c>
      <c r="W134" s="846" t="s">
        <v>194</v>
      </c>
      <c r="X134" s="846" t="s">
        <v>194</v>
      </c>
      <c r="Y134" s="846" t="s">
        <v>194</v>
      </c>
      <c r="Z134" s="846" t="s">
        <v>194</v>
      </c>
      <c r="AA134" s="846" t="s">
        <v>194</v>
      </c>
      <c r="AB134" s="846" t="s">
        <v>194</v>
      </c>
      <c r="AC134" s="846" t="s">
        <v>194</v>
      </c>
      <c r="AD134" s="846" t="s">
        <v>194</v>
      </c>
      <c r="AE134" s="846" t="s">
        <v>194</v>
      </c>
      <c r="AF134" s="846" t="s">
        <v>194</v>
      </c>
      <c r="AG134" s="846" t="s">
        <v>194</v>
      </c>
      <c r="AH134" s="846" t="s">
        <v>194</v>
      </c>
      <c r="AI134" s="846" t="s">
        <v>194</v>
      </c>
      <c r="AJ134" s="846" t="s">
        <v>194</v>
      </c>
      <c r="AK134" s="846" t="s">
        <v>194</v>
      </c>
      <c r="AL134" s="846" t="s">
        <v>194</v>
      </c>
      <c r="AM134" s="846" t="s">
        <v>194</v>
      </c>
      <c r="AN134" s="846" t="s">
        <v>194</v>
      </c>
      <c r="AO134" s="846" t="s">
        <v>194</v>
      </c>
      <c r="AP134" s="846" t="s">
        <v>194</v>
      </c>
      <c r="AQ134" s="846" t="s">
        <v>194</v>
      </c>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row>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5:D6"/>
    <mergeCell ref="E5:E6"/>
    <mergeCell ref="F5:F6"/>
    <mergeCell ref="G5:G6"/>
    <mergeCell ref="H5:H6"/>
    <mergeCell ref="I5:I6"/>
    <mergeCell ref="J5:J6"/>
    <mergeCell ref="K5:K6"/>
  </mergeCells>
  <conditionalFormatting sqref="D10:T10 D20:T20 D27:T28 D44:T49 D54:T57 D61:T61 D65:T67 D75:T75 D94:T94">
    <cfRule type="expression" dxfId="1" priority="1">
      <formula>NOT(SUBTOTAL(109,$A11)=$A11)</formula>
    </cfRule>
  </conditionalFormatting>
  <printOptions/>
  <pageMargins bottom="0.75" footer="0.0" header="0.0" left="0.7" right="0.7" top="0.75"/>
  <pageSetup paperSize="9"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4.43" defaultRowHeight="15.0" outlineLevelCol="1" outlineLevelRow="3"/>
  <cols>
    <col customWidth="1" min="1" max="1" width="1.0"/>
    <col customWidth="1" min="2" max="2" width="2.0"/>
    <col customWidth="1" min="3" max="3" width="70.57"/>
    <col customWidth="1" hidden="1" min="4" max="10" width="12.57" outlineLevel="1"/>
    <col customWidth="1" hidden="1" min="11" max="11" width="10.57" outlineLevel="1"/>
    <col customWidth="1" min="12" max="12" width="2.57"/>
    <col customWidth="1" min="13" max="17" width="14.57"/>
    <col customWidth="1" min="18" max="18" width="1.86"/>
    <col customWidth="1" min="19" max="40" width="14.57"/>
  </cols>
  <sheetData>
    <row r="1" ht="6.0" customHeight="1">
      <c r="A1" s="846"/>
      <c r="B1" s="847"/>
      <c r="C1" s="847"/>
      <c r="D1" s="847"/>
      <c r="E1" s="847"/>
      <c r="F1" s="847"/>
      <c r="G1" s="847"/>
      <c r="H1" s="847"/>
      <c r="I1" s="847"/>
      <c r="J1" s="847"/>
      <c r="K1" s="847"/>
      <c r="L1" s="847"/>
      <c r="M1" s="847"/>
      <c r="N1" s="847"/>
      <c r="O1" s="847"/>
      <c r="P1" s="847"/>
      <c r="Q1" s="847"/>
      <c r="R1" s="847"/>
      <c r="S1" s="846"/>
      <c r="T1" s="846"/>
      <c r="U1" s="846"/>
      <c r="V1" s="846"/>
      <c r="W1" s="846"/>
      <c r="X1" s="846"/>
      <c r="Y1" s="846"/>
      <c r="Z1" s="846"/>
      <c r="AA1" s="846"/>
      <c r="AB1" s="846"/>
      <c r="AC1" s="846"/>
      <c r="AD1" s="846"/>
      <c r="AE1" s="846"/>
      <c r="AF1" s="846"/>
      <c r="AG1" s="846"/>
      <c r="AH1" s="846"/>
      <c r="AI1" s="846"/>
      <c r="AJ1" s="846"/>
      <c r="AK1" s="846"/>
      <c r="AL1" s="846"/>
      <c r="AM1" s="846"/>
      <c r="AN1" s="846"/>
    </row>
    <row r="2" ht="39.75" customHeight="1">
      <c r="A2" s="849"/>
      <c r="B2" s="15"/>
      <c r="C2" s="15"/>
      <c r="D2" s="15"/>
      <c r="E2" s="15"/>
      <c r="F2" s="15"/>
      <c r="G2" s="15"/>
      <c r="H2" s="15"/>
      <c r="I2" s="15"/>
      <c r="J2" s="15"/>
      <c r="K2" s="15"/>
      <c r="L2" s="15"/>
      <c r="M2" s="15"/>
      <c r="N2" s="15"/>
      <c r="O2" s="15"/>
      <c r="P2" s="15"/>
      <c r="Q2" s="15"/>
      <c r="R2" s="15"/>
      <c r="S2" s="851"/>
      <c r="T2" s="846"/>
      <c r="U2" s="846"/>
      <c r="V2" s="846"/>
      <c r="W2" s="846"/>
      <c r="X2" s="846"/>
      <c r="Y2" s="846"/>
      <c r="Z2" s="846"/>
      <c r="AA2" s="846"/>
      <c r="AB2" s="846"/>
      <c r="AC2" s="846"/>
      <c r="AD2" s="846"/>
      <c r="AE2" s="846"/>
      <c r="AF2" s="846"/>
      <c r="AG2" s="846"/>
      <c r="AH2" s="846"/>
      <c r="AI2" s="846"/>
      <c r="AJ2" s="846"/>
      <c r="AK2" s="846"/>
      <c r="AL2" s="846"/>
      <c r="AM2" s="846"/>
      <c r="AN2" s="846"/>
    </row>
    <row r="3" ht="18.75" customHeight="1">
      <c r="A3" s="849"/>
      <c r="B3" s="15"/>
      <c r="C3" s="852" t="s">
        <v>346</v>
      </c>
      <c r="D3" s="15"/>
      <c r="E3" s="15"/>
      <c r="F3" s="15"/>
      <c r="G3" s="15"/>
      <c r="H3" s="15"/>
      <c r="I3" s="15"/>
      <c r="J3" s="15"/>
      <c r="K3" s="15"/>
      <c r="L3" s="15"/>
      <c r="M3" s="15"/>
      <c r="N3" s="15"/>
      <c r="O3" s="15"/>
      <c r="P3" s="15"/>
      <c r="Q3" s="15"/>
      <c r="R3" s="15"/>
      <c r="S3" s="851"/>
      <c r="T3" s="846"/>
      <c r="U3" s="846"/>
      <c r="V3" s="846"/>
      <c r="W3" s="846"/>
      <c r="X3" s="846"/>
      <c r="Y3" s="846"/>
      <c r="Z3" s="846"/>
      <c r="AA3" s="846"/>
      <c r="AB3" s="846"/>
      <c r="AC3" s="846"/>
      <c r="AD3" s="846"/>
      <c r="AE3" s="846"/>
      <c r="AF3" s="846"/>
      <c r="AG3" s="846"/>
      <c r="AH3" s="846"/>
      <c r="AI3" s="846"/>
      <c r="AJ3" s="846"/>
      <c r="AK3" s="846"/>
      <c r="AL3" s="846"/>
      <c r="AM3" s="846"/>
      <c r="AN3" s="846"/>
    </row>
    <row r="4">
      <c r="A4" s="849" t="s">
        <v>194</v>
      </c>
      <c r="B4" s="15"/>
      <c r="C4" s="853" t="s">
        <v>195</v>
      </c>
      <c r="D4" s="854" t="s">
        <v>196</v>
      </c>
      <c r="E4" s="855" t="s">
        <v>194</v>
      </c>
      <c r="F4" s="855" t="s">
        <v>194</v>
      </c>
      <c r="G4" s="855" t="s">
        <v>194</v>
      </c>
      <c r="H4" s="855" t="s">
        <v>194</v>
      </c>
      <c r="I4" s="855" t="s">
        <v>194</v>
      </c>
      <c r="J4" s="855" t="s">
        <v>194</v>
      </c>
      <c r="K4" s="855" t="s">
        <v>194</v>
      </c>
      <c r="L4" s="15"/>
      <c r="M4" s="15"/>
      <c r="N4" s="15"/>
      <c r="O4" s="15"/>
      <c r="P4" s="15"/>
      <c r="Q4" s="15"/>
      <c r="R4" s="15"/>
      <c r="S4" s="851" t="s">
        <v>194</v>
      </c>
      <c r="T4" s="846" t="s">
        <v>194</v>
      </c>
      <c r="U4" s="846" t="s">
        <v>194</v>
      </c>
      <c r="V4" s="846" t="s">
        <v>194</v>
      </c>
      <c r="W4" s="846" t="s">
        <v>194</v>
      </c>
      <c r="X4" s="846" t="s">
        <v>194</v>
      </c>
      <c r="Y4" s="846" t="s">
        <v>194</v>
      </c>
      <c r="Z4" s="846" t="s">
        <v>194</v>
      </c>
      <c r="AA4" s="846" t="s">
        <v>194</v>
      </c>
      <c r="AB4" s="846" t="s">
        <v>194</v>
      </c>
      <c r="AC4" s="846" t="s">
        <v>194</v>
      </c>
      <c r="AD4" s="846" t="s">
        <v>194</v>
      </c>
      <c r="AE4" s="846" t="s">
        <v>194</v>
      </c>
      <c r="AF4" s="846" t="s">
        <v>194</v>
      </c>
      <c r="AG4" s="846" t="s">
        <v>194</v>
      </c>
      <c r="AH4" s="846" t="s">
        <v>194</v>
      </c>
      <c r="AI4" s="846" t="s">
        <v>194</v>
      </c>
      <c r="AJ4" s="846" t="s">
        <v>194</v>
      </c>
      <c r="AK4" s="846" t="s">
        <v>194</v>
      </c>
      <c r="AL4" s="846" t="s">
        <v>194</v>
      </c>
      <c r="AM4" s="846" t="s">
        <v>194</v>
      </c>
      <c r="AN4" s="846" t="s">
        <v>194</v>
      </c>
    </row>
    <row r="5">
      <c r="A5" s="849" t="s">
        <v>194</v>
      </c>
      <c r="B5" s="15"/>
      <c r="C5" s="853" t="s">
        <v>359</v>
      </c>
      <c r="D5" s="856" t="s">
        <v>174</v>
      </c>
      <c r="E5" s="856" t="s">
        <v>198</v>
      </c>
      <c r="F5" s="856" t="s">
        <v>199</v>
      </c>
      <c r="G5" s="856" t="s">
        <v>200</v>
      </c>
      <c r="H5" s="856" t="s">
        <v>201</v>
      </c>
      <c r="I5" s="856" t="s">
        <v>202</v>
      </c>
      <c r="J5" s="856" t="s">
        <v>203</v>
      </c>
      <c r="K5" s="856" t="s">
        <v>204</v>
      </c>
      <c r="L5" s="15"/>
      <c r="M5" s="858" t="str">
        <f>HYPERLINK("https://my.pitchbook.com?c=52157-62", "FY 2014")</f>
        <v>FY 2014</v>
      </c>
      <c r="N5" s="858" t="str">
        <f>HYPERLINK("https://my.pitchbook.com?c=52157-62", "FY 2015")</f>
        <v>FY 2015</v>
      </c>
      <c r="O5" s="858" t="str">
        <f>HYPERLINK("https://my.pitchbook.com?c=52157-62", "FY 2016")</f>
        <v>FY 2016</v>
      </c>
      <c r="P5" s="858" t="str">
        <f>HYPERLINK("https://my.pitchbook.com?c=52157-62", "FY 2017")</f>
        <v>FY 2017</v>
      </c>
      <c r="Q5" s="858" t="str">
        <f>HYPERLINK("https://my.pitchbook.com?c=52157-62", "FY 2018")</f>
        <v>FY 2018</v>
      </c>
      <c r="R5" s="15"/>
      <c r="S5" s="851" t="s">
        <v>194</v>
      </c>
      <c r="T5" s="846" t="s">
        <v>194</v>
      </c>
      <c r="U5" s="846" t="s">
        <v>194</v>
      </c>
      <c r="V5" s="846" t="s">
        <v>194</v>
      </c>
      <c r="W5" s="846" t="s">
        <v>194</v>
      </c>
      <c r="X5" s="846" t="s">
        <v>194</v>
      </c>
      <c r="Y5" s="846" t="s">
        <v>194</v>
      </c>
      <c r="Z5" s="846" t="s">
        <v>194</v>
      </c>
      <c r="AA5" s="846" t="s">
        <v>194</v>
      </c>
      <c r="AB5" s="846" t="s">
        <v>194</v>
      </c>
      <c r="AC5" s="846" t="s">
        <v>194</v>
      </c>
      <c r="AD5" s="846" t="s">
        <v>194</v>
      </c>
      <c r="AE5" s="846" t="s">
        <v>194</v>
      </c>
      <c r="AF5" s="846" t="s">
        <v>194</v>
      </c>
      <c r="AG5" s="846" t="s">
        <v>194</v>
      </c>
      <c r="AH5" s="846" t="s">
        <v>194</v>
      </c>
      <c r="AI5" s="846" t="s">
        <v>194</v>
      </c>
      <c r="AJ5" s="846" t="s">
        <v>194</v>
      </c>
      <c r="AK5" s="846" t="s">
        <v>194</v>
      </c>
      <c r="AL5" s="846" t="s">
        <v>194</v>
      </c>
      <c r="AM5" s="846" t="s">
        <v>194</v>
      </c>
      <c r="AN5" s="846" t="s">
        <v>194</v>
      </c>
    </row>
    <row r="6">
      <c r="A6" s="849" t="s">
        <v>194</v>
      </c>
      <c r="B6" s="15"/>
      <c r="C6" s="859" t="s">
        <v>221</v>
      </c>
      <c r="D6" s="860"/>
      <c r="E6" s="860"/>
      <c r="F6" s="860"/>
      <c r="G6" s="860"/>
      <c r="H6" s="860"/>
      <c r="I6" s="860"/>
      <c r="J6" s="860"/>
      <c r="K6" s="860"/>
      <c r="L6" s="15"/>
      <c r="M6" s="15">
        <v>2014.0</v>
      </c>
      <c r="N6" s="15">
        <v>2015.0</v>
      </c>
      <c r="O6" s="15">
        <v>2016.0</v>
      </c>
      <c r="P6" s="15">
        <v>2017.0</v>
      </c>
      <c r="Q6" s="15">
        <v>2018.0</v>
      </c>
      <c r="R6" s="15"/>
      <c r="S6" s="851" t="s">
        <v>194</v>
      </c>
      <c r="T6" s="846" t="s">
        <v>194</v>
      </c>
      <c r="U6" s="846" t="s">
        <v>194</v>
      </c>
      <c r="V6" s="846" t="s">
        <v>194</v>
      </c>
      <c r="W6" s="846" t="s">
        <v>194</v>
      </c>
      <c r="X6" s="846" t="s">
        <v>194</v>
      </c>
      <c r="Y6" s="846" t="s">
        <v>194</v>
      </c>
      <c r="Z6" s="846" t="s">
        <v>194</v>
      </c>
      <c r="AA6" s="846" t="s">
        <v>194</v>
      </c>
      <c r="AB6" s="846" t="s">
        <v>194</v>
      </c>
      <c r="AC6" s="846" t="s">
        <v>194</v>
      </c>
      <c r="AD6" s="846" t="s">
        <v>194</v>
      </c>
      <c r="AE6" s="846" t="s">
        <v>194</v>
      </c>
      <c r="AF6" s="846" t="s">
        <v>194</v>
      </c>
      <c r="AG6" s="846" t="s">
        <v>194</v>
      </c>
      <c r="AH6" s="846" t="s">
        <v>194</v>
      </c>
      <c r="AI6" s="846" t="s">
        <v>194</v>
      </c>
      <c r="AJ6" s="846" t="s">
        <v>194</v>
      </c>
      <c r="AK6" s="846" t="s">
        <v>194</v>
      </c>
      <c r="AL6" s="846" t="s">
        <v>194</v>
      </c>
      <c r="AM6" s="846" t="s">
        <v>194</v>
      </c>
      <c r="AN6" s="846" t="s">
        <v>194</v>
      </c>
    </row>
    <row r="7">
      <c r="A7" s="849" t="s">
        <v>194</v>
      </c>
      <c r="B7" s="15"/>
      <c r="C7" s="15"/>
      <c r="D7" s="855" t="s">
        <v>194</v>
      </c>
      <c r="E7" s="855" t="s">
        <v>194</v>
      </c>
      <c r="F7" s="855" t="s">
        <v>194</v>
      </c>
      <c r="G7" s="855" t="s">
        <v>194</v>
      </c>
      <c r="H7" s="855" t="s">
        <v>194</v>
      </c>
      <c r="I7" s="855" t="s">
        <v>194</v>
      </c>
      <c r="J7" s="855" t="s">
        <v>194</v>
      </c>
      <c r="K7" s="855" t="s">
        <v>194</v>
      </c>
      <c r="L7" s="15"/>
      <c r="M7" s="15"/>
      <c r="N7" s="15"/>
      <c r="O7" s="15"/>
      <c r="P7" s="15"/>
      <c r="Q7" s="15"/>
      <c r="R7" s="15"/>
      <c r="S7" s="851" t="s">
        <v>194</v>
      </c>
      <c r="T7" s="846" t="s">
        <v>194</v>
      </c>
      <c r="U7" s="846" t="s">
        <v>194</v>
      </c>
      <c r="V7" s="846" t="s">
        <v>194</v>
      </c>
      <c r="W7" s="846" t="s">
        <v>194</v>
      </c>
      <c r="X7" s="846" t="s">
        <v>194</v>
      </c>
      <c r="Y7" s="846" t="s">
        <v>194</v>
      </c>
      <c r="Z7" s="846" t="s">
        <v>194</v>
      </c>
      <c r="AA7" s="846" t="s">
        <v>194</v>
      </c>
      <c r="AB7" s="846" t="s">
        <v>194</v>
      </c>
      <c r="AC7" s="846" t="s">
        <v>194</v>
      </c>
      <c r="AD7" s="846" t="s">
        <v>194</v>
      </c>
      <c r="AE7" s="846" t="s">
        <v>194</v>
      </c>
      <c r="AF7" s="846" t="s">
        <v>194</v>
      </c>
      <c r="AG7" s="846" t="s">
        <v>194</v>
      </c>
      <c r="AH7" s="846" t="s">
        <v>194</v>
      </c>
      <c r="AI7" s="846" t="s">
        <v>194</v>
      </c>
      <c r="AJ7" s="846" t="s">
        <v>194</v>
      </c>
      <c r="AK7" s="846" t="s">
        <v>194</v>
      </c>
      <c r="AL7" s="846" t="s">
        <v>194</v>
      </c>
      <c r="AM7" s="846" t="s">
        <v>194</v>
      </c>
      <c r="AN7" s="846" t="s">
        <v>194</v>
      </c>
    </row>
    <row r="8">
      <c r="A8" s="849" t="s">
        <v>194</v>
      </c>
      <c r="B8" s="15"/>
      <c r="C8" s="15"/>
      <c r="D8" s="855" t="s">
        <v>194</v>
      </c>
      <c r="E8" s="855" t="s">
        <v>194</v>
      </c>
      <c r="F8" s="855" t="s">
        <v>194</v>
      </c>
      <c r="G8" s="855" t="s">
        <v>194</v>
      </c>
      <c r="H8" s="855" t="s">
        <v>194</v>
      </c>
      <c r="I8" s="855" t="s">
        <v>194</v>
      </c>
      <c r="J8" s="855" t="s">
        <v>194</v>
      </c>
      <c r="K8" s="855" t="s">
        <v>194</v>
      </c>
      <c r="L8" s="15"/>
      <c r="M8" s="863" t="s">
        <v>360</v>
      </c>
      <c r="N8" s="863" t="s">
        <v>361</v>
      </c>
      <c r="O8" s="863" t="s">
        <v>362</v>
      </c>
      <c r="P8" s="863" t="s">
        <v>362</v>
      </c>
      <c r="Q8" s="863" t="s">
        <v>362</v>
      </c>
      <c r="R8" s="15"/>
      <c r="S8" s="851" t="s">
        <v>194</v>
      </c>
      <c r="T8" s="846" t="s">
        <v>194</v>
      </c>
      <c r="U8" s="846" t="s">
        <v>194</v>
      </c>
      <c r="V8" s="846" t="s">
        <v>194</v>
      </c>
      <c r="W8" s="846" t="s">
        <v>194</v>
      </c>
      <c r="X8" s="846" t="s">
        <v>194</v>
      </c>
      <c r="Y8" s="846" t="s">
        <v>194</v>
      </c>
      <c r="Z8" s="846" t="s">
        <v>194</v>
      </c>
      <c r="AA8" s="846" t="s">
        <v>194</v>
      </c>
      <c r="AB8" s="846" t="s">
        <v>194</v>
      </c>
      <c r="AC8" s="846" t="s">
        <v>194</v>
      </c>
      <c r="AD8" s="846" t="s">
        <v>194</v>
      </c>
      <c r="AE8" s="846" t="s">
        <v>194</v>
      </c>
      <c r="AF8" s="846" t="s">
        <v>194</v>
      </c>
      <c r="AG8" s="846" t="s">
        <v>194</v>
      </c>
      <c r="AH8" s="846" t="s">
        <v>194</v>
      </c>
      <c r="AI8" s="846" t="s">
        <v>194</v>
      </c>
      <c r="AJ8" s="846" t="s">
        <v>194</v>
      </c>
      <c r="AK8" s="846" t="s">
        <v>194</v>
      </c>
      <c r="AL8" s="846" t="s">
        <v>194</v>
      </c>
      <c r="AM8" s="846" t="s">
        <v>194</v>
      </c>
      <c r="AN8" s="846" t="s">
        <v>194</v>
      </c>
    </row>
    <row r="9">
      <c r="A9" s="849" t="s">
        <v>194</v>
      </c>
      <c r="B9" s="15"/>
      <c r="C9" s="15"/>
      <c r="D9" s="855" t="s">
        <v>194</v>
      </c>
      <c r="E9" s="855" t="s">
        <v>194</v>
      </c>
      <c r="F9" s="855" t="s">
        <v>194</v>
      </c>
      <c r="G9" s="855" t="s">
        <v>194</v>
      </c>
      <c r="H9" s="855" t="s">
        <v>194</v>
      </c>
      <c r="I9" s="855" t="s">
        <v>194</v>
      </c>
      <c r="J9" s="855" t="s">
        <v>194</v>
      </c>
      <c r="K9" s="855" t="s">
        <v>194</v>
      </c>
      <c r="L9" s="15"/>
      <c r="M9" s="901" t="str">
        <f>HYPERLINK("https://my.pitchbook.com/profile/52157-62/company/financials?reportId=31304162465&amp;financialGroup=INCOME_STATEMENT&amp;period=ANN&amp;exchangeId=NAS&amp;exchangeSymbol=IRTC", "View 10-K")</f>
        <v>View 10-K</v>
      </c>
      <c r="N9" s="901" t="str">
        <f>HYPERLINK("https://my.pitchbook.com/profile/52157-62/company/financials?reportId=31304162529&amp;financialGroup=INCOME_STATEMENT&amp;period=ANN&amp;exchangeId=NAS&amp;exchangeSymbol=IRTC", "View IPO-A")</f>
        <v>View IPO-A</v>
      </c>
      <c r="O9" s="901" t="str">
        <f>HYPERLINK("https://my.pitchbook.com/profile/52157-62/company/financials?reportId=31304162593&amp;financialGroup=INCOME_STATEMENT&amp;period=ANN&amp;exchangeId=NAS&amp;exchangeSymbol=IRTC", "View 10-K")</f>
        <v>View 10-K</v>
      </c>
      <c r="P9" s="901" t="str">
        <f>HYPERLINK("https://my.pitchbook.com/profile/52157-62/company/financials?reportId=31304162657&amp;financialGroup=INCOME_STATEMENT&amp;period=ANN&amp;exchangeId=NAS&amp;exchangeSymbol=IRTC", "View 10-K")</f>
        <v>View 10-K</v>
      </c>
      <c r="Q9" s="901" t="str">
        <f>HYPERLINK("https://my.pitchbook.com/profile/52157-62/company/financials?reportId=31304162721&amp;financialGroup=INCOME_STATEMENT&amp;period=ANN&amp;exchangeId=NAS&amp;exchangeSymbol=IRTC", "View 10-K")</f>
        <v>View 10-K</v>
      </c>
      <c r="R9" s="15"/>
      <c r="S9" s="851" t="s">
        <v>194</v>
      </c>
      <c r="T9" s="846" t="s">
        <v>194</v>
      </c>
      <c r="U9" s="846" t="s">
        <v>194</v>
      </c>
      <c r="V9" s="846" t="s">
        <v>194</v>
      </c>
      <c r="W9" s="846" t="s">
        <v>194</v>
      </c>
      <c r="X9" s="846" t="s">
        <v>194</v>
      </c>
      <c r="Y9" s="846" t="s">
        <v>194</v>
      </c>
      <c r="Z9" s="846" t="s">
        <v>194</v>
      </c>
      <c r="AA9" s="846" t="s">
        <v>194</v>
      </c>
      <c r="AB9" s="846" t="s">
        <v>194</v>
      </c>
      <c r="AC9" s="846" t="s">
        <v>194</v>
      </c>
      <c r="AD9" s="846" t="s">
        <v>194</v>
      </c>
      <c r="AE9" s="846" t="s">
        <v>194</v>
      </c>
      <c r="AF9" s="846" t="s">
        <v>194</v>
      </c>
      <c r="AG9" s="846" t="s">
        <v>194</v>
      </c>
      <c r="AH9" s="846" t="s">
        <v>194</v>
      </c>
      <c r="AI9" s="846" t="s">
        <v>194</v>
      </c>
      <c r="AJ9" s="846" t="s">
        <v>194</v>
      </c>
      <c r="AK9" s="846" t="s">
        <v>194</v>
      </c>
      <c r="AL9" s="846" t="s">
        <v>194</v>
      </c>
      <c r="AM9" s="846" t="s">
        <v>194</v>
      </c>
      <c r="AN9" s="846" t="s">
        <v>194</v>
      </c>
    </row>
    <row r="10">
      <c r="A10" s="849">
        <v>1.0</v>
      </c>
      <c r="B10" s="15"/>
      <c r="C10" s="855"/>
      <c r="D10" s="866">
        <f t="shared" ref="D10:D48" si="1">IF(COUNT(M10:Q10)&gt;0,MEDIAN(M10:Q10),"")</f>
        <v>2016</v>
      </c>
      <c r="E10" s="866">
        <f t="shared" ref="E10:E48" si="2">IF(COUNT(M10:Q10)&gt;0,AVERAGE(M10:Q10),"")</f>
        <v>2016</v>
      </c>
      <c r="F10" s="866">
        <f t="shared" ref="F10:F48" si="3">IF(COUNT(M10:Q10)&gt;0,MIN(M10:Q10),"")</f>
        <v>2014</v>
      </c>
      <c r="G10" s="866">
        <f t="shared" ref="G10:G48" si="4">IF(COUNT(M10:Q10)&gt;0,MAX(M10:Q10),"")</f>
        <v>2018</v>
      </c>
      <c r="H10" s="866">
        <f t="shared" ref="H10:H48" si="5">IF(COUNT(M10:Q10)&gt;0,QUARTILE(M10:Q10,1),"")</f>
        <v>2015</v>
      </c>
      <c r="I10" s="866">
        <f t="shared" ref="I10:I48" si="6">IF(COUNT(M10:Q10)&gt;0,QUARTILE(M10:Q10,3),"")</f>
        <v>2017</v>
      </c>
      <c r="J10" s="866">
        <f t="shared" ref="J10:J48" si="7">IF(COUNT(M10:Q10)&gt;1,STDEV(M10:Q10),"")</f>
        <v>1.58113883</v>
      </c>
      <c r="K10" s="867">
        <f t="shared" ref="K10:K48" si="8">IF(COUNT(M10:Q10)&gt;1,STDEV(M10:Q10)/AVERAGE(M10:Q10),"")</f>
        <v>0.0007842950546</v>
      </c>
      <c r="L10" s="866" t="s">
        <v>194</v>
      </c>
      <c r="M10" s="15">
        <v>2014.0</v>
      </c>
      <c r="N10" s="15">
        <v>2015.0</v>
      </c>
      <c r="O10" s="15">
        <v>2016.0</v>
      </c>
      <c r="P10" s="15">
        <v>2017.0</v>
      </c>
      <c r="Q10" s="15">
        <v>2018.0</v>
      </c>
      <c r="R10" s="15"/>
      <c r="S10" s="851" t="s">
        <v>194</v>
      </c>
      <c r="T10" s="846" t="s">
        <v>194</v>
      </c>
      <c r="U10" s="846" t="s">
        <v>194</v>
      </c>
      <c r="V10" s="846" t="s">
        <v>194</v>
      </c>
      <c r="W10" s="846" t="s">
        <v>194</v>
      </c>
      <c r="X10" s="846" t="s">
        <v>194</v>
      </c>
      <c r="Y10" s="846" t="s">
        <v>194</v>
      </c>
      <c r="Z10" s="846" t="s">
        <v>194</v>
      </c>
      <c r="AA10" s="846" t="s">
        <v>194</v>
      </c>
      <c r="AB10" s="846" t="s">
        <v>194</v>
      </c>
      <c r="AC10" s="846" t="s">
        <v>194</v>
      </c>
      <c r="AD10" s="846" t="s">
        <v>194</v>
      </c>
      <c r="AE10" s="846" t="s">
        <v>194</v>
      </c>
      <c r="AF10" s="846" t="s">
        <v>194</v>
      </c>
      <c r="AG10" s="846" t="s">
        <v>194</v>
      </c>
      <c r="AH10" s="846" t="s">
        <v>194</v>
      </c>
      <c r="AI10" s="846" t="s">
        <v>194</v>
      </c>
      <c r="AJ10" s="846" t="s">
        <v>194</v>
      </c>
      <c r="AK10" s="846" t="s">
        <v>194</v>
      </c>
      <c r="AL10" s="846" t="s">
        <v>194</v>
      </c>
      <c r="AM10" s="846" t="s">
        <v>194</v>
      </c>
      <c r="AN10" s="846" t="s">
        <v>194</v>
      </c>
    </row>
    <row r="11" outlineLevel="1">
      <c r="A11" s="849">
        <v>1.0</v>
      </c>
      <c r="B11" s="15"/>
      <c r="C11" s="869" t="str">
        <f>IF(SUBTOTAL(109,A12)=A12,"    Revenue","    Total Revenue")</f>
        <v>    Revenue</v>
      </c>
      <c r="D11" s="870" t="str">
        <f t="shared" si="1"/>
        <v>#VALUE!</v>
      </c>
      <c r="E11" s="870" t="str">
        <f t="shared" si="2"/>
        <v>#VALUE!</v>
      </c>
      <c r="F11" s="870" t="str">
        <f t="shared" si="3"/>
        <v>#VALUE!</v>
      </c>
      <c r="G11" s="870" t="str">
        <f t="shared" si="4"/>
        <v>#VALUE!</v>
      </c>
      <c r="H11" s="870" t="str">
        <f t="shared" si="5"/>
        <v>#VALUE!</v>
      </c>
      <c r="I11" s="870" t="str">
        <f t="shared" si="6"/>
        <v>#VALUE!</v>
      </c>
      <c r="J11" s="870" t="str">
        <f t="shared" si="7"/>
        <v/>
      </c>
      <c r="K11" s="871" t="str">
        <f t="shared" si="8"/>
        <v/>
      </c>
      <c r="L11" s="872" t="s">
        <v>194</v>
      </c>
      <c r="M11" s="872" t="str">
        <f>IF(SUBTOTAL(109,#REF!)=#REF!,"",21749)</f>
        <v>#VALUE!</v>
      </c>
      <c r="N11" s="872" t="str">
        <f>IF(SUBTOTAL(109,#REF!)=#REF!,"",36140)</f>
        <v>#VALUE!</v>
      </c>
      <c r="O11" s="872" t="str">
        <f>IF(SUBTOTAL(109,A12)=A12,"",64072)</f>
        <v/>
      </c>
      <c r="P11" s="872">
        <f>IF(SUBTOTAL(109,C12)=C12,"",98509)</f>
        <v>98509</v>
      </c>
      <c r="Q11" s="872" t="str">
        <f>IF(SUBTOTAL(109,E12)=E12,"",147293)</f>
        <v/>
      </c>
      <c r="R11" s="15"/>
      <c r="S11" s="851" t="s">
        <v>194</v>
      </c>
      <c r="T11" s="846" t="s">
        <v>194</v>
      </c>
      <c r="U11" s="846" t="s">
        <v>194</v>
      </c>
      <c r="V11" s="846" t="s">
        <v>194</v>
      </c>
      <c r="W11" s="846" t="s">
        <v>194</v>
      </c>
      <c r="X11" s="846" t="s">
        <v>194</v>
      </c>
      <c r="Y11" s="846" t="s">
        <v>194</v>
      </c>
      <c r="Z11" s="846" t="s">
        <v>194</v>
      </c>
      <c r="AA11" s="846" t="s">
        <v>194</v>
      </c>
      <c r="AB11" s="846" t="s">
        <v>194</v>
      </c>
      <c r="AC11" s="846" t="s">
        <v>194</v>
      </c>
      <c r="AD11" s="846" t="s">
        <v>194</v>
      </c>
      <c r="AE11" s="846" t="s">
        <v>194</v>
      </c>
      <c r="AF11" s="846" t="s">
        <v>194</v>
      </c>
      <c r="AG11" s="846" t="s">
        <v>194</v>
      </c>
      <c r="AH11" s="846" t="s">
        <v>194</v>
      </c>
      <c r="AI11" s="846" t="s">
        <v>194</v>
      </c>
      <c r="AJ11" s="846" t="s">
        <v>194</v>
      </c>
      <c r="AK11" s="846" t="s">
        <v>194</v>
      </c>
      <c r="AL11" s="846" t="s">
        <v>194</v>
      </c>
      <c r="AM11" s="846" t="s">
        <v>194</v>
      </c>
      <c r="AN11" s="846" t="s">
        <v>194</v>
      </c>
    </row>
    <row r="12" outlineLevel="2">
      <c r="A12" s="849">
        <v>1.0</v>
      </c>
      <c r="B12" s="15"/>
      <c r="C12" s="869" t="str">
        <f>"        Business Revenue"</f>
        <v>        Business Revenue</v>
      </c>
      <c r="D12" s="870">
        <f t="shared" si="1"/>
        <v>64072</v>
      </c>
      <c r="E12" s="870">
        <f t="shared" si="2"/>
        <v>73552.6</v>
      </c>
      <c r="F12" s="870">
        <f t="shared" si="3"/>
        <v>21749</v>
      </c>
      <c r="G12" s="870">
        <f t="shared" si="4"/>
        <v>147293</v>
      </c>
      <c r="H12" s="870">
        <f t="shared" si="5"/>
        <v>36140</v>
      </c>
      <c r="I12" s="870">
        <f t="shared" si="6"/>
        <v>98509</v>
      </c>
      <c r="J12" s="870">
        <f t="shared" si="7"/>
        <v>50580.79152</v>
      </c>
      <c r="K12" s="871">
        <f t="shared" si="8"/>
        <v>0.6876818972</v>
      </c>
      <c r="L12" s="872" t="s">
        <v>194</v>
      </c>
      <c r="M12" s="872">
        <v>21749.0</v>
      </c>
      <c r="N12" s="872">
        <v>36140.0</v>
      </c>
      <c r="O12" s="872">
        <v>64072.0</v>
      </c>
      <c r="P12" s="872">
        <v>98509.0</v>
      </c>
      <c r="Q12" s="872">
        <v>147293.0</v>
      </c>
      <c r="R12" s="15"/>
      <c r="S12" s="851" t="s">
        <v>194</v>
      </c>
      <c r="T12" s="846" t="s">
        <v>194</v>
      </c>
      <c r="U12" s="846" t="s">
        <v>194</v>
      </c>
      <c r="V12" s="846" t="s">
        <v>194</v>
      </c>
      <c r="W12" s="846" t="s">
        <v>194</v>
      </c>
      <c r="X12" s="846" t="s">
        <v>194</v>
      </c>
      <c r="Y12" s="846" t="s">
        <v>194</v>
      </c>
      <c r="Z12" s="846" t="s">
        <v>194</v>
      </c>
      <c r="AA12" s="846" t="s">
        <v>194</v>
      </c>
      <c r="AB12" s="846" t="s">
        <v>194</v>
      </c>
      <c r="AC12" s="846" t="s">
        <v>194</v>
      </c>
      <c r="AD12" s="846" t="s">
        <v>194</v>
      </c>
      <c r="AE12" s="846" t="s">
        <v>194</v>
      </c>
      <c r="AF12" s="846" t="s">
        <v>194</v>
      </c>
      <c r="AG12" s="846" t="s">
        <v>194</v>
      </c>
      <c r="AH12" s="846" t="s">
        <v>194</v>
      </c>
      <c r="AI12" s="846" t="s">
        <v>194</v>
      </c>
      <c r="AJ12" s="846" t="s">
        <v>194</v>
      </c>
      <c r="AK12" s="846" t="s">
        <v>194</v>
      </c>
      <c r="AL12" s="846" t="s">
        <v>194</v>
      </c>
      <c r="AM12" s="846" t="s">
        <v>194</v>
      </c>
      <c r="AN12" s="846" t="s">
        <v>194</v>
      </c>
    </row>
    <row r="13" outlineLevel="2">
      <c r="A13" s="916">
        <v>1.0</v>
      </c>
      <c r="B13" s="917"/>
      <c r="C13" s="974" t="str">
        <f>"        Total Revenue"</f>
        <v>        Total Revenue</v>
      </c>
      <c r="D13" s="975">
        <f t="shared" si="1"/>
        <v>64072</v>
      </c>
      <c r="E13" s="975">
        <f t="shared" si="2"/>
        <v>73552.6</v>
      </c>
      <c r="F13" s="975">
        <f t="shared" si="3"/>
        <v>21749</v>
      </c>
      <c r="G13" s="975">
        <f t="shared" si="4"/>
        <v>147293</v>
      </c>
      <c r="H13" s="975">
        <f t="shared" si="5"/>
        <v>36140</v>
      </c>
      <c r="I13" s="975">
        <f t="shared" si="6"/>
        <v>98509</v>
      </c>
      <c r="J13" s="975">
        <f t="shared" si="7"/>
        <v>50580.79152</v>
      </c>
      <c r="K13" s="976">
        <f t="shared" si="8"/>
        <v>0.6876818972</v>
      </c>
      <c r="L13" s="975" t="s">
        <v>194</v>
      </c>
      <c r="M13" s="975">
        <v>21749.0</v>
      </c>
      <c r="N13" s="975">
        <v>36140.0</v>
      </c>
      <c r="O13" s="975">
        <v>64072.0</v>
      </c>
      <c r="P13" s="975">
        <v>98509.0</v>
      </c>
      <c r="Q13" s="975">
        <v>147293.0</v>
      </c>
      <c r="R13" s="917"/>
      <c r="S13" s="921" t="s">
        <v>194</v>
      </c>
      <c r="T13" s="917" t="s">
        <v>194</v>
      </c>
      <c r="U13" s="917" t="s">
        <v>194</v>
      </c>
      <c r="V13" s="917" t="s">
        <v>194</v>
      </c>
      <c r="W13" s="917" t="s">
        <v>194</v>
      </c>
      <c r="X13" s="917" t="s">
        <v>194</v>
      </c>
      <c r="Y13" s="917" t="s">
        <v>194</v>
      </c>
      <c r="Z13" s="917" t="s">
        <v>194</v>
      </c>
      <c r="AA13" s="917" t="s">
        <v>194</v>
      </c>
      <c r="AB13" s="917" t="s">
        <v>194</v>
      </c>
      <c r="AC13" s="917" t="s">
        <v>194</v>
      </c>
      <c r="AD13" s="917" t="s">
        <v>194</v>
      </c>
      <c r="AE13" s="917" t="s">
        <v>194</v>
      </c>
      <c r="AF13" s="917" t="s">
        <v>194</v>
      </c>
      <c r="AG13" s="917" t="s">
        <v>194</v>
      </c>
      <c r="AH13" s="917" t="s">
        <v>194</v>
      </c>
      <c r="AI13" s="917" t="s">
        <v>194</v>
      </c>
      <c r="AJ13" s="917" t="s">
        <v>194</v>
      </c>
      <c r="AK13" s="917" t="s">
        <v>194</v>
      </c>
      <c r="AL13" s="917" t="s">
        <v>194</v>
      </c>
      <c r="AM13" s="917" t="s">
        <v>194</v>
      </c>
      <c r="AN13" s="917" t="s">
        <v>194</v>
      </c>
    </row>
    <row r="14" outlineLevel="1">
      <c r="A14" s="916">
        <v>1.0</v>
      </c>
      <c r="B14" s="917"/>
      <c r="C14" s="918" t="str">
        <f>"    Cost of Revenue"</f>
        <v>    Cost of Revenue</v>
      </c>
      <c r="D14" s="919">
        <f t="shared" si="1"/>
        <v>20883</v>
      </c>
      <c r="E14" s="919">
        <f t="shared" si="2"/>
        <v>22492.2</v>
      </c>
      <c r="F14" s="919">
        <f t="shared" si="3"/>
        <v>10591</v>
      </c>
      <c r="G14" s="919">
        <f t="shared" si="4"/>
        <v>38579</v>
      </c>
      <c r="H14" s="919">
        <f t="shared" si="5"/>
        <v>14700</v>
      </c>
      <c r="I14" s="919">
        <f t="shared" si="6"/>
        <v>27708</v>
      </c>
      <c r="J14" s="919">
        <f t="shared" si="7"/>
        <v>11078.53974</v>
      </c>
      <c r="K14" s="920">
        <f t="shared" si="8"/>
        <v>0.4925502946</v>
      </c>
      <c r="L14" s="919" t="s">
        <v>194</v>
      </c>
      <c r="M14" s="919">
        <v>10591.0</v>
      </c>
      <c r="N14" s="919">
        <v>14700.0</v>
      </c>
      <c r="O14" s="919">
        <v>20883.0</v>
      </c>
      <c r="P14" s="919">
        <v>27708.0</v>
      </c>
      <c r="Q14" s="919">
        <v>38579.0</v>
      </c>
      <c r="R14" s="917"/>
      <c r="S14" s="921" t="s">
        <v>194</v>
      </c>
      <c r="T14" s="917" t="s">
        <v>194</v>
      </c>
      <c r="U14" s="917" t="s">
        <v>194</v>
      </c>
      <c r="V14" s="917" t="s">
        <v>194</v>
      </c>
      <c r="W14" s="917" t="s">
        <v>194</v>
      </c>
      <c r="X14" s="917" t="s">
        <v>194</v>
      </c>
      <c r="Y14" s="917" t="s">
        <v>194</v>
      </c>
      <c r="Z14" s="917" t="s">
        <v>194</v>
      </c>
      <c r="AA14" s="917" t="s">
        <v>194</v>
      </c>
      <c r="AB14" s="917" t="s">
        <v>194</v>
      </c>
      <c r="AC14" s="917" t="s">
        <v>194</v>
      </c>
      <c r="AD14" s="917" t="s">
        <v>194</v>
      </c>
      <c r="AE14" s="917" t="s">
        <v>194</v>
      </c>
      <c r="AF14" s="917" t="s">
        <v>194</v>
      </c>
      <c r="AG14" s="917" t="s">
        <v>194</v>
      </c>
      <c r="AH14" s="917" t="s">
        <v>194</v>
      </c>
      <c r="AI14" s="917" t="s">
        <v>194</v>
      </c>
      <c r="AJ14" s="917" t="s">
        <v>194</v>
      </c>
      <c r="AK14" s="917" t="s">
        <v>194</v>
      </c>
      <c r="AL14" s="917" t="s">
        <v>194</v>
      </c>
      <c r="AM14" s="917" t="s">
        <v>194</v>
      </c>
      <c r="AN14" s="917" t="s">
        <v>194</v>
      </c>
    </row>
    <row r="15" outlineLevel="1">
      <c r="A15" s="916">
        <v>1.0</v>
      </c>
      <c r="B15" s="917"/>
      <c r="C15" s="977" t="str">
        <f>"    Total Gross Profit"</f>
        <v>    Total Gross Profit</v>
      </c>
      <c r="D15" s="975">
        <f t="shared" si="1"/>
        <v>43189</v>
      </c>
      <c r="E15" s="975">
        <f t="shared" si="2"/>
        <v>51060.4</v>
      </c>
      <c r="F15" s="975">
        <f t="shared" si="3"/>
        <v>11158</v>
      </c>
      <c r="G15" s="975">
        <f t="shared" si="4"/>
        <v>108714</v>
      </c>
      <c r="H15" s="975">
        <f t="shared" si="5"/>
        <v>21440</v>
      </c>
      <c r="I15" s="975">
        <f t="shared" si="6"/>
        <v>70801</v>
      </c>
      <c r="J15" s="975">
        <f t="shared" si="7"/>
        <v>39513.15427</v>
      </c>
      <c r="K15" s="976">
        <f t="shared" si="8"/>
        <v>0.7738512481</v>
      </c>
      <c r="L15" s="975" t="s">
        <v>194</v>
      </c>
      <c r="M15" s="975">
        <v>11158.0</v>
      </c>
      <c r="N15" s="975">
        <v>21440.0</v>
      </c>
      <c r="O15" s="975">
        <v>43189.0</v>
      </c>
      <c r="P15" s="975">
        <v>70801.0</v>
      </c>
      <c r="Q15" s="975">
        <v>108714.0</v>
      </c>
      <c r="R15" s="917"/>
      <c r="S15" s="921" t="s">
        <v>194</v>
      </c>
      <c r="T15" s="917" t="s">
        <v>194</v>
      </c>
      <c r="U15" s="917" t="s">
        <v>194</v>
      </c>
      <c r="V15" s="917" t="s">
        <v>194</v>
      </c>
      <c r="W15" s="917" t="s">
        <v>194</v>
      </c>
      <c r="X15" s="917" t="s">
        <v>194</v>
      </c>
      <c r="Y15" s="917" t="s">
        <v>194</v>
      </c>
      <c r="Z15" s="917" t="s">
        <v>194</v>
      </c>
      <c r="AA15" s="917" t="s">
        <v>194</v>
      </c>
      <c r="AB15" s="917" t="s">
        <v>194</v>
      </c>
      <c r="AC15" s="917" t="s">
        <v>194</v>
      </c>
      <c r="AD15" s="917" t="s">
        <v>194</v>
      </c>
      <c r="AE15" s="917" t="s">
        <v>194</v>
      </c>
      <c r="AF15" s="917" t="s">
        <v>194</v>
      </c>
      <c r="AG15" s="917" t="s">
        <v>194</v>
      </c>
      <c r="AH15" s="917" t="s">
        <v>194</v>
      </c>
      <c r="AI15" s="917" t="s">
        <v>194</v>
      </c>
      <c r="AJ15" s="917" t="s">
        <v>194</v>
      </c>
      <c r="AK15" s="917" t="s">
        <v>194</v>
      </c>
      <c r="AL15" s="917" t="s">
        <v>194</v>
      </c>
      <c r="AM15" s="917" t="s">
        <v>194</v>
      </c>
      <c r="AN15" s="917" t="s">
        <v>194</v>
      </c>
    </row>
    <row r="16">
      <c r="A16" s="849">
        <v>1.0</v>
      </c>
      <c r="B16" s="15"/>
      <c r="C16" s="855" t="str">
        <f>IF(SUBTOTAL(109,A17)=A17,"Operating (Income)/Expenses","Operating (Income)/Expenses")</f>
        <v>Operating (Income)/Expenses</v>
      </c>
      <c r="D16" s="866" t="str">
        <f t="shared" si="1"/>
        <v>#VALUE!</v>
      </c>
      <c r="E16" s="866" t="str">
        <f t="shared" si="2"/>
        <v>#VALUE!</v>
      </c>
      <c r="F16" s="866" t="str">
        <f t="shared" si="3"/>
        <v>#VALUE!</v>
      </c>
      <c r="G16" s="866" t="str">
        <f t="shared" si="4"/>
        <v>#VALUE!</v>
      </c>
      <c r="H16" s="866" t="str">
        <f t="shared" si="5"/>
        <v>#VALUE!</v>
      </c>
      <c r="I16" s="866" t="str">
        <f t="shared" si="6"/>
        <v>#VALUE!</v>
      </c>
      <c r="J16" s="866" t="str">
        <f t="shared" si="7"/>
        <v/>
      </c>
      <c r="K16" s="867" t="str">
        <f t="shared" si="8"/>
        <v/>
      </c>
      <c r="L16" s="866" t="s">
        <v>194</v>
      </c>
      <c r="M16" s="866" t="str">
        <f>IF(SUBTOTAL(109,#REF!)=#REF!,"",25923)</f>
        <v>#VALUE!</v>
      </c>
      <c r="N16" s="866" t="str">
        <f>IF(SUBTOTAL(109,#REF!)=#REF!,"",43071)</f>
        <v>#VALUE!</v>
      </c>
      <c r="O16" s="866" t="str">
        <f>IF(SUBTOTAL(109,A17)=A17,"",58771)</f>
        <v/>
      </c>
      <c r="P16" s="866">
        <f>IF(SUBTOTAL(109,C17)=C17,"",98072)</f>
        <v>98072</v>
      </c>
      <c r="Q16" s="866" t="str">
        <f>IF(SUBTOTAL(109,E17)=E17,"",152332)</f>
        <v/>
      </c>
      <c r="R16" s="15"/>
      <c r="S16" s="851" t="s">
        <v>194</v>
      </c>
      <c r="T16" s="846" t="s">
        <v>194</v>
      </c>
      <c r="U16" s="846" t="s">
        <v>194</v>
      </c>
      <c r="V16" s="846" t="s">
        <v>194</v>
      </c>
      <c r="W16" s="846" t="s">
        <v>194</v>
      </c>
      <c r="X16" s="846" t="s">
        <v>194</v>
      </c>
      <c r="Y16" s="846" t="s">
        <v>194</v>
      </c>
      <c r="Z16" s="846" t="s">
        <v>194</v>
      </c>
      <c r="AA16" s="846" t="s">
        <v>194</v>
      </c>
      <c r="AB16" s="846" t="s">
        <v>194</v>
      </c>
      <c r="AC16" s="846" t="s">
        <v>194</v>
      </c>
      <c r="AD16" s="846" t="s">
        <v>194</v>
      </c>
      <c r="AE16" s="846" t="s">
        <v>194</v>
      </c>
      <c r="AF16" s="846" t="s">
        <v>194</v>
      </c>
      <c r="AG16" s="846" t="s">
        <v>194</v>
      </c>
      <c r="AH16" s="846" t="s">
        <v>194</v>
      </c>
      <c r="AI16" s="846" t="s">
        <v>194</v>
      </c>
      <c r="AJ16" s="846" t="s">
        <v>194</v>
      </c>
      <c r="AK16" s="846" t="s">
        <v>194</v>
      </c>
      <c r="AL16" s="846" t="s">
        <v>194</v>
      </c>
      <c r="AM16" s="846" t="s">
        <v>194</v>
      </c>
      <c r="AN16" s="846" t="s">
        <v>194</v>
      </c>
    </row>
    <row r="17" outlineLevel="1">
      <c r="A17" s="916">
        <v>1.0</v>
      </c>
      <c r="B17" s="917"/>
      <c r="C17" s="918" t="str">
        <f>"    Selling, General and Administrative Expenses"</f>
        <v>    Selling, General and Administrative Expenses</v>
      </c>
      <c r="D17" s="919">
        <f t="shared" si="1"/>
        <v>51621</v>
      </c>
      <c r="E17" s="919">
        <f t="shared" si="2"/>
        <v>64977.4</v>
      </c>
      <c r="F17" s="919">
        <f t="shared" si="3"/>
        <v>20225</v>
      </c>
      <c r="G17" s="919">
        <f t="shared" si="4"/>
        <v>131582</v>
      </c>
      <c r="H17" s="919">
        <f t="shared" si="5"/>
        <v>36722</v>
      </c>
      <c r="I17" s="919">
        <f t="shared" si="6"/>
        <v>84737</v>
      </c>
      <c r="J17" s="919">
        <f t="shared" si="7"/>
        <v>44176.21784</v>
      </c>
      <c r="K17" s="920">
        <f t="shared" si="8"/>
        <v>0.6798705063</v>
      </c>
      <c r="L17" s="919" t="s">
        <v>194</v>
      </c>
      <c r="M17" s="919">
        <v>20225.0</v>
      </c>
      <c r="N17" s="919">
        <v>36722.0</v>
      </c>
      <c r="O17" s="919">
        <v>51621.0</v>
      </c>
      <c r="P17" s="919">
        <v>84737.0</v>
      </c>
      <c r="Q17" s="919">
        <v>131582.0</v>
      </c>
      <c r="R17" s="917"/>
      <c r="S17" s="921" t="s">
        <v>194</v>
      </c>
      <c r="T17" s="917" t="s">
        <v>194</v>
      </c>
      <c r="U17" s="917" t="s">
        <v>194</v>
      </c>
      <c r="V17" s="917" t="s">
        <v>194</v>
      </c>
      <c r="W17" s="917" t="s">
        <v>194</v>
      </c>
      <c r="X17" s="917" t="s">
        <v>194</v>
      </c>
      <c r="Y17" s="917" t="s">
        <v>194</v>
      </c>
      <c r="Z17" s="917" t="s">
        <v>194</v>
      </c>
      <c r="AA17" s="917" t="s">
        <v>194</v>
      </c>
      <c r="AB17" s="917" t="s">
        <v>194</v>
      </c>
      <c r="AC17" s="917" t="s">
        <v>194</v>
      </c>
      <c r="AD17" s="917" t="s">
        <v>194</v>
      </c>
      <c r="AE17" s="917" t="s">
        <v>194</v>
      </c>
      <c r="AF17" s="917" t="s">
        <v>194</v>
      </c>
      <c r="AG17" s="917" t="s">
        <v>194</v>
      </c>
      <c r="AH17" s="917" t="s">
        <v>194</v>
      </c>
      <c r="AI17" s="917" t="s">
        <v>194</v>
      </c>
      <c r="AJ17" s="917" t="s">
        <v>194</v>
      </c>
      <c r="AK17" s="917" t="s">
        <v>194</v>
      </c>
      <c r="AL17" s="917" t="s">
        <v>194</v>
      </c>
      <c r="AM17" s="917" t="s">
        <v>194</v>
      </c>
      <c r="AN17" s="917" t="s">
        <v>194</v>
      </c>
    </row>
    <row r="18" outlineLevel="1">
      <c r="A18" s="916">
        <v>1.0</v>
      </c>
      <c r="B18" s="917"/>
      <c r="C18" s="918" t="str">
        <f>"    Research and Development Expenses"</f>
        <v>    Research and Development Expenses</v>
      </c>
      <c r="D18" s="919">
        <f t="shared" si="1"/>
        <v>7150</v>
      </c>
      <c r="E18" s="919">
        <f t="shared" si="2"/>
        <v>10656.4</v>
      </c>
      <c r="F18" s="919">
        <f t="shared" si="3"/>
        <v>5698</v>
      </c>
      <c r="G18" s="919">
        <f t="shared" si="4"/>
        <v>20750</v>
      </c>
      <c r="H18" s="919">
        <f t="shared" si="5"/>
        <v>6349</v>
      </c>
      <c r="I18" s="919">
        <f t="shared" si="6"/>
        <v>13335</v>
      </c>
      <c r="J18" s="919">
        <f t="shared" si="7"/>
        <v>6412.681288</v>
      </c>
      <c r="K18" s="920">
        <f t="shared" si="8"/>
        <v>0.6017680725</v>
      </c>
      <c r="L18" s="919" t="s">
        <v>194</v>
      </c>
      <c r="M18" s="919">
        <v>5698.0</v>
      </c>
      <c r="N18" s="919">
        <v>6349.0</v>
      </c>
      <c r="O18" s="919">
        <v>7150.0</v>
      </c>
      <c r="P18" s="919">
        <v>13335.0</v>
      </c>
      <c r="Q18" s="919">
        <v>20750.0</v>
      </c>
      <c r="R18" s="917"/>
      <c r="S18" s="921" t="s">
        <v>194</v>
      </c>
      <c r="T18" s="917" t="s">
        <v>194</v>
      </c>
      <c r="U18" s="917" t="s">
        <v>194</v>
      </c>
      <c r="V18" s="917" t="s">
        <v>194</v>
      </c>
      <c r="W18" s="917" t="s">
        <v>194</v>
      </c>
      <c r="X18" s="917" t="s">
        <v>194</v>
      </c>
      <c r="Y18" s="917" t="s">
        <v>194</v>
      </c>
      <c r="Z18" s="917" t="s">
        <v>194</v>
      </c>
      <c r="AA18" s="917" t="s">
        <v>194</v>
      </c>
      <c r="AB18" s="917" t="s">
        <v>194</v>
      </c>
      <c r="AC18" s="917" t="s">
        <v>194</v>
      </c>
      <c r="AD18" s="917" t="s">
        <v>194</v>
      </c>
      <c r="AE18" s="917" t="s">
        <v>194</v>
      </c>
      <c r="AF18" s="917" t="s">
        <v>194</v>
      </c>
      <c r="AG18" s="917" t="s">
        <v>194</v>
      </c>
      <c r="AH18" s="917" t="s">
        <v>194</v>
      </c>
      <c r="AI18" s="917" t="s">
        <v>194</v>
      </c>
      <c r="AJ18" s="917" t="s">
        <v>194</v>
      </c>
      <c r="AK18" s="917" t="s">
        <v>194</v>
      </c>
      <c r="AL18" s="917" t="s">
        <v>194</v>
      </c>
      <c r="AM18" s="917" t="s">
        <v>194</v>
      </c>
      <c r="AN18" s="917" t="s">
        <v>194</v>
      </c>
    </row>
    <row r="19" outlineLevel="1">
      <c r="A19" s="849">
        <v>1.0</v>
      </c>
      <c r="B19" s="15"/>
      <c r="C19" s="855" t="str">
        <f>"    Total Operating (Income)/Expenses"</f>
        <v>    Total Operating (Income)/Expenses</v>
      </c>
      <c r="D19" s="882">
        <f t="shared" si="1"/>
        <v>58771</v>
      </c>
      <c r="E19" s="882">
        <f t="shared" si="2"/>
        <v>75633.8</v>
      </c>
      <c r="F19" s="882">
        <f t="shared" si="3"/>
        <v>25923</v>
      </c>
      <c r="G19" s="882">
        <f t="shared" si="4"/>
        <v>152332</v>
      </c>
      <c r="H19" s="882">
        <f t="shared" si="5"/>
        <v>43071</v>
      </c>
      <c r="I19" s="882">
        <f t="shared" si="6"/>
        <v>98072</v>
      </c>
      <c r="J19" s="882">
        <f t="shared" si="7"/>
        <v>50502.32744</v>
      </c>
      <c r="K19" s="883">
        <f t="shared" si="8"/>
        <v>0.6677216726</v>
      </c>
      <c r="L19" s="882" t="s">
        <v>194</v>
      </c>
      <c r="M19" s="882">
        <v>25923.0</v>
      </c>
      <c r="N19" s="882">
        <v>43071.0</v>
      </c>
      <c r="O19" s="882">
        <v>58771.0</v>
      </c>
      <c r="P19" s="882">
        <v>98072.0</v>
      </c>
      <c r="Q19" s="882">
        <v>152332.0</v>
      </c>
      <c r="R19" s="15"/>
      <c r="S19" s="851" t="s">
        <v>194</v>
      </c>
      <c r="T19" s="846" t="s">
        <v>194</v>
      </c>
      <c r="U19" s="846" t="s">
        <v>194</v>
      </c>
      <c r="V19" s="846" t="s">
        <v>194</v>
      </c>
      <c r="W19" s="846" t="s">
        <v>194</v>
      </c>
      <c r="X19" s="846" t="s">
        <v>194</v>
      </c>
      <c r="Y19" s="846" t="s">
        <v>194</v>
      </c>
      <c r="Z19" s="846" t="s">
        <v>194</v>
      </c>
      <c r="AA19" s="846" t="s">
        <v>194</v>
      </c>
      <c r="AB19" s="846" t="s">
        <v>194</v>
      </c>
      <c r="AC19" s="846" t="s">
        <v>194</v>
      </c>
      <c r="AD19" s="846" t="s">
        <v>194</v>
      </c>
      <c r="AE19" s="846" t="s">
        <v>194</v>
      </c>
      <c r="AF19" s="846" t="s">
        <v>194</v>
      </c>
      <c r="AG19" s="846" t="s">
        <v>194</v>
      </c>
      <c r="AH19" s="846" t="s">
        <v>194</v>
      </c>
      <c r="AI19" s="846" t="s">
        <v>194</v>
      </c>
      <c r="AJ19" s="846" t="s">
        <v>194</v>
      </c>
      <c r="AK19" s="846" t="s">
        <v>194</v>
      </c>
      <c r="AL19" s="846" t="s">
        <v>194</v>
      </c>
      <c r="AM19" s="846" t="s">
        <v>194</v>
      </c>
      <c r="AN19" s="846" t="s">
        <v>194</v>
      </c>
    </row>
    <row r="20">
      <c r="A20" s="849">
        <v>1.0</v>
      </c>
      <c r="B20" s="15"/>
      <c r="C20" s="855" t="str">
        <f>"Total Operating Profit/(Loss)"</f>
        <v>Total Operating Profit/(Loss)</v>
      </c>
      <c r="D20" s="866">
        <f t="shared" si="1"/>
        <v>-21631</v>
      </c>
      <c r="E20" s="866">
        <f t="shared" si="2"/>
        <v>-24573.4</v>
      </c>
      <c r="F20" s="866">
        <f t="shared" si="3"/>
        <v>-43618</v>
      </c>
      <c r="G20" s="866">
        <f t="shared" si="4"/>
        <v>-14765</v>
      </c>
      <c r="H20" s="866">
        <f t="shared" si="5"/>
        <v>-27271</v>
      </c>
      <c r="I20" s="866">
        <f t="shared" si="6"/>
        <v>-15582</v>
      </c>
      <c r="J20" s="866">
        <f t="shared" si="7"/>
        <v>11786.44918</v>
      </c>
      <c r="K20" s="867">
        <f t="shared" si="8"/>
        <v>-0.4796425884</v>
      </c>
      <c r="L20" s="866" t="s">
        <v>194</v>
      </c>
      <c r="M20" s="866">
        <v>-14765.0</v>
      </c>
      <c r="N20" s="866">
        <v>-21631.0</v>
      </c>
      <c r="O20" s="866">
        <v>-15582.0</v>
      </c>
      <c r="P20" s="866">
        <v>-27271.0</v>
      </c>
      <c r="Q20" s="866">
        <v>-43618.0</v>
      </c>
      <c r="R20" s="15"/>
      <c r="S20" s="851" t="s">
        <v>194</v>
      </c>
      <c r="T20" s="846" t="s">
        <v>194</v>
      </c>
      <c r="U20" s="846" t="s">
        <v>194</v>
      </c>
      <c r="V20" s="846" t="s">
        <v>194</v>
      </c>
      <c r="W20" s="846" t="s">
        <v>194</v>
      </c>
      <c r="X20" s="846" t="s">
        <v>194</v>
      </c>
      <c r="Y20" s="846" t="s">
        <v>194</v>
      </c>
      <c r="Z20" s="846" t="s">
        <v>194</v>
      </c>
      <c r="AA20" s="846" t="s">
        <v>194</v>
      </c>
      <c r="AB20" s="846" t="s">
        <v>194</v>
      </c>
      <c r="AC20" s="846" t="s">
        <v>194</v>
      </c>
      <c r="AD20" s="846" t="s">
        <v>194</v>
      </c>
      <c r="AE20" s="846" t="s">
        <v>194</v>
      </c>
      <c r="AF20" s="846" t="s">
        <v>194</v>
      </c>
      <c r="AG20" s="846" t="s">
        <v>194</v>
      </c>
      <c r="AH20" s="846" t="s">
        <v>194</v>
      </c>
      <c r="AI20" s="846" t="s">
        <v>194</v>
      </c>
      <c r="AJ20" s="846" t="s">
        <v>194</v>
      </c>
      <c r="AK20" s="846" t="s">
        <v>194</v>
      </c>
      <c r="AL20" s="846" t="s">
        <v>194</v>
      </c>
      <c r="AM20" s="846" t="s">
        <v>194</v>
      </c>
      <c r="AN20" s="846" t="s">
        <v>194</v>
      </c>
    </row>
    <row r="21" ht="15.75" customHeight="1" collapsed="1">
      <c r="A21" s="849">
        <v>1.0</v>
      </c>
      <c r="B21" s="15"/>
      <c r="C21" s="855" t="str">
        <f>IF(SUBTOTAL(109,A22)=A22,"Non-Operating Income/(Expenses)","Non-Operating Income/(Expenses), Total")</f>
        <v>Non-Operating Income/(Expenses), Total</v>
      </c>
      <c r="D21" s="866" t="str">
        <f t="shared" si="1"/>
        <v>#VALUE!</v>
      </c>
      <c r="E21" s="866" t="str">
        <f t="shared" si="2"/>
        <v>#VALUE!</v>
      </c>
      <c r="F21" s="866" t="str">
        <f t="shared" si="3"/>
        <v>#VALUE!</v>
      </c>
      <c r="G21" s="866" t="str">
        <f t="shared" si="4"/>
        <v>#VALUE!</v>
      </c>
      <c r="H21" s="866" t="str">
        <f t="shared" si="5"/>
        <v>#VALUE!</v>
      </c>
      <c r="I21" s="866" t="str">
        <f t="shared" si="6"/>
        <v>#VALUE!</v>
      </c>
      <c r="J21" s="866" t="str">
        <f t="shared" si="7"/>
        <v>#VALUE!</v>
      </c>
      <c r="K21" s="867" t="str">
        <f t="shared" si="8"/>
        <v>#VALUE!</v>
      </c>
      <c r="L21" s="866" t="s">
        <v>194</v>
      </c>
      <c r="M21" s="866" t="str">
        <f>IF(SUBTOTAL(109,#REF!)=#REF!,"",-1067)</f>
        <v>#VALUE!</v>
      </c>
      <c r="N21" s="866" t="str">
        <f>IF(SUBTOTAL(109,#REF!)=#REF!,"",-1168)</f>
        <v>#VALUE!</v>
      </c>
      <c r="O21" s="866">
        <f>IF(SUBTOTAL(109,A22)=A22,"",-5321)</f>
        <v>-5321</v>
      </c>
      <c r="P21" s="866">
        <f>IF(SUBTOTAL(109,C22)=C22,"",-2149)</f>
        <v>-2149</v>
      </c>
      <c r="Q21" s="866" t="str">
        <f>IF(SUBTOTAL(109,E22)=E22,"",-4618)</f>
        <v>#VALUE!</v>
      </c>
      <c r="R21" s="15"/>
      <c r="S21" s="851" t="s">
        <v>194</v>
      </c>
      <c r="T21" s="846" t="s">
        <v>194</v>
      </c>
      <c r="U21" s="846" t="s">
        <v>194</v>
      </c>
      <c r="V21" s="846" t="s">
        <v>194</v>
      </c>
      <c r="W21" s="846" t="s">
        <v>194</v>
      </c>
      <c r="X21" s="846" t="s">
        <v>194</v>
      </c>
      <c r="Y21" s="846" t="s">
        <v>194</v>
      </c>
      <c r="Z21" s="846" t="s">
        <v>194</v>
      </c>
      <c r="AA21" s="846" t="s">
        <v>194</v>
      </c>
      <c r="AB21" s="846" t="s">
        <v>194</v>
      </c>
      <c r="AC21" s="846" t="s">
        <v>194</v>
      </c>
      <c r="AD21" s="846" t="s">
        <v>194</v>
      </c>
      <c r="AE21" s="846" t="s">
        <v>194</v>
      </c>
      <c r="AF21" s="846" t="s">
        <v>194</v>
      </c>
      <c r="AG21" s="846" t="s">
        <v>194</v>
      </c>
      <c r="AH21" s="846" t="s">
        <v>194</v>
      </c>
      <c r="AI21" s="846" t="s">
        <v>194</v>
      </c>
      <c r="AJ21" s="846" t="s">
        <v>194</v>
      </c>
      <c r="AK21" s="846" t="s">
        <v>194</v>
      </c>
      <c r="AL21" s="846" t="s">
        <v>194</v>
      </c>
      <c r="AM21" s="846" t="s">
        <v>194</v>
      </c>
      <c r="AN21" s="846" t="s">
        <v>194</v>
      </c>
    </row>
    <row r="22" ht="15.75" hidden="1" customHeight="1" outlineLevel="1">
      <c r="A22" s="849">
        <v>1.0</v>
      </c>
      <c r="B22" s="15"/>
      <c r="C22" s="869" t="str">
        <f>IF(SUBTOTAL(109,A23)=A23,"    Net Finance (Income)/Expense","    Total Net Finance (Income)/Expense")</f>
        <v>    Total Net Finance (Income)/Expense</v>
      </c>
      <c r="D22" s="870" t="str">
        <f t="shared" si="1"/>
        <v>#VALUE!</v>
      </c>
      <c r="E22" s="870" t="str">
        <f t="shared" si="2"/>
        <v>#VALUE!</v>
      </c>
      <c r="F22" s="870" t="str">
        <f t="shared" si="3"/>
        <v>#VALUE!</v>
      </c>
      <c r="G22" s="870" t="str">
        <f t="shared" si="4"/>
        <v>#VALUE!</v>
      </c>
      <c r="H22" s="870" t="str">
        <f t="shared" si="5"/>
        <v>#VALUE!</v>
      </c>
      <c r="I22" s="870" t="str">
        <f t="shared" si="6"/>
        <v>#VALUE!</v>
      </c>
      <c r="J22" s="870" t="str">
        <f t="shared" si="7"/>
        <v>#VALUE!</v>
      </c>
      <c r="K22" s="871" t="str">
        <f t="shared" si="8"/>
        <v>#VALUE!</v>
      </c>
      <c r="L22" s="872" t="s">
        <v>194</v>
      </c>
      <c r="M22" s="872" t="str">
        <f t="shared" ref="M22:M23" si="9">IF(SUBTOTAL(109,#REF!)=#REF!,"",774)</f>
        <v>#VALUE!</v>
      </c>
      <c r="N22" s="872" t="str">
        <f t="shared" ref="N22:N23" si="10">IF(SUBTOTAL(109,#REF!)=#REF!,"",1059)</f>
        <v>#VALUE!</v>
      </c>
      <c r="O22" s="872">
        <f t="shared" ref="O22:O23" si="11">IF(SUBTOTAL(109,A23)=A23,"",3248)</f>
        <v>3248</v>
      </c>
      <c r="P22" s="872">
        <f t="shared" ref="P22:P23" si="12">IF(SUBTOTAL(109,C23)=C23,"",3386)</f>
        <v>3386</v>
      </c>
      <c r="Q22" s="872" t="str">
        <f t="shared" ref="Q22:Q23" si="13">IF(SUBTOTAL(109,E23)=E23,"",3115)</f>
        <v>#VALUE!</v>
      </c>
      <c r="R22" s="15"/>
      <c r="S22" s="851" t="s">
        <v>194</v>
      </c>
      <c r="T22" s="846" t="s">
        <v>194</v>
      </c>
      <c r="U22" s="846" t="s">
        <v>194</v>
      </c>
      <c r="V22" s="846" t="s">
        <v>194</v>
      </c>
      <c r="W22" s="846" t="s">
        <v>194</v>
      </c>
      <c r="X22" s="846" t="s">
        <v>194</v>
      </c>
      <c r="Y22" s="846" t="s">
        <v>194</v>
      </c>
      <c r="Z22" s="846" t="s">
        <v>194</v>
      </c>
      <c r="AA22" s="846" t="s">
        <v>194</v>
      </c>
      <c r="AB22" s="846" t="s">
        <v>194</v>
      </c>
      <c r="AC22" s="846" t="s">
        <v>194</v>
      </c>
      <c r="AD22" s="846" t="s">
        <v>194</v>
      </c>
      <c r="AE22" s="846" t="s">
        <v>194</v>
      </c>
      <c r="AF22" s="846" t="s">
        <v>194</v>
      </c>
      <c r="AG22" s="846" t="s">
        <v>194</v>
      </c>
      <c r="AH22" s="846" t="s">
        <v>194</v>
      </c>
      <c r="AI22" s="846" t="s">
        <v>194</v>
      </c>
      <c r="AJ22" s="846" t="s">
        <v>194</v>
      </c>
      <c r="AK22" s="846" t="s">
        <v>194</v>
      </c>
      <c r="AL22" s="846" t="s">
        <v>194</v>
      </c>
      <c r="AM22" s="846" t="s">
        <v>194</v>
      </c>
      <c r="AN22" s="846" t="s">
        <v>194</v>
      </c>
    </row>
    <row r="23" ht="15.75" hidden="1" customHeight="1" outlineLevel="2">
      <c r="A23" s="849">
        <v>1.0</v>
      </c>
      <c r="B23" s="15"/>
      <c r="C23" s="869" t="str">
        <f>IF(SUBTOTAL(109,A24)=A24,"        Net Interest (Income)/Expense","        Net Interest (Income)/Expense")</f>
        <v>        Net Interest (Income)/Expense</v>
      </c>
      <c r="D23" s="870" t="str">
        <f t="shared" si="1"/>
        <v>#VALUE!</v>
      </c>
      <c r="E23" s="870" t="str">
        <f t="shared" si="2"/>
        <v>#VALUE!</v>
      </c>
      <c r="F23" s="870" t="str">
        <f t="shared" si="3"/>
        <v>#VALUE!</v>
      </c>
      <c r="G23" s="870" t="str">
        <f t="shared" si="4"/>
        <v>#VALUE!</v>
      </c>
      <c r="H23" s="870" t="str">
        <f t="shared" si="5"/>
        <v>#VALUE!</v>
      </c>
      <c r="I23" s="870" t="str">
        <f t="shared" si="6"/>
        <v>#VALUE!</v>
      </c>
      <c r="J23" s="870" t="str">
        <f t="shared" si="7"/>
        <v>#VALUE!</v>
      </c>
      <c r="K23" s="871" t="str">
        <f t="shared" si="8"/>
        <v>#VALUE!</v>
      </c>
      <c r="L23" s="872" t="s">
        <v>194</v>
      </c>
      <c r="M23" s="872" t="str">
        <f t="shared" si="9"/>
        <v>#VALUE!</v>
      </c>
      <c r="N23" s="872" t="str">
        <f t="shared" si="10"/>
        <v>#VALUE!</v>
      </c>
      <c r="O23" s="872">
        <f t="shared" si="11"/>
        <v>3248</v>
      </c>
      <c r="P23" s="872">
        <f t="shared" si="12"/>
        <v>3386</v>
      </c>
      <c r="Q23" s="872">
        <f t="shared" si="13"/>
        <v>3115</v>
      </c>
      <c r="R23" s="15"/>
      <c r="S23" s="851" t="s">
        <v>194</v>
      </c>
      <c r="T23" s="846" t="s">
        <v>194</v>
      </c>
      <c r="U23" s="846" t="s">
        <v>194</v>
      </c>
      <c r="V23" s="846" t="s">
        <v>194</v>
      </c>
      <c r="W23" s="846" t="s">
        <v>194</v>
      </c>
      <c r="X23" s="846" t="s">
        <v>194</v>
      </c>
      <c r="Y23" s="846" t="s">
        <v>194</v>
      </c>
      <c r="Z23" s="846" t="s">
        <v>194</v>
      </c>
      <c r="AA23" s="846" t="s">
        <v>194</v>
      </c>
      <c r="AB23" s="846" t="s">
        <v>194</v>
      </c>
      <c r="AC23" s="846" t="s">
        <v>194</v>
      </c>
      <c r="AD23" s="846" t="s">
        <v>194</v>
      </c>
      <c r="AE23" s="846" t="s">
        <v>194</v>
      </c>
      <c r="AF23" s="846" t="s">
        <v>194</v>
      </c>
      <c r="AG23" s="846" t="s">
        <v>194</v>
      </c>
      <c r="AH23" s="846" t="s">
        <v>194</v>
      </c>
      <c r="AI23" s="846" t="s">
        <v>194</v>
      </c>
      <c r="AJ23" s="846" t="s">
        <v>194</v>
      </c>
      <c r="AK23" s="846" t="s">
        <v>194</v>
      </c>
      <c r="AL23" s="846" t="s">
        <v>194</v>
      </c>
      <c r="AM23" s="846" t="s">
        <v>194</v>
      </c>
      <c r="AN23" s="846" t="s">
        <v>194</v>
      </c>
    </row>
    <row r="24" ht="15.75" hidden="1" customHeight="1" outlineLevel="3">
      <c r="A24" s="849">
        <v>1.0</v>
      </c>
      <c r="B24" s="15"/>
      <c r="C24" s="869" t="str">
        <f>"            Interest Expense Net of Capitalized Interest"</f>
        <v>            Interest Expense Net of Capitalized Interest</v>
      </c>
      <c r="D24" s="870">
        <f t="shared" si="1"/>
        <v>3115</v>
      </c>
      <c r="E24" s="870">
        <f t="shared" si="2"/>
        <v>2316.4</v>
      </c>
      <c r="F24" s="870">
        <f t="shared" si="3"/>
        <v>774</v>
      </c>
      <c r="G24" s="870">
        <f t="shared" si="4"/>
        <v>3386</v>
      </c>
      <c r="H24" s="870">
        <f t="shared" si="5"/>
        <v>1059</v>
      </c>
      <c r="I24" s="870">
        <f t="shared" si="6"/>
        <v>3248</v>
      </c>
      <c r="J24" s="870">
        <f t="shared" si="7"/>
        <v>1285.470459</v>
      </c>
      <c r="K24" s="871">
        <f t="shared" si="8"/>
        <v>0.554943213</v>
      </c>
      <c r="L24" s="872" t="s">
        <v>194</v>
      </c>
      <c r="M24" s="872">
        <v>774.0</v>
      </c>
      <c r="N24" s="872">
        <v>1059.0</v>
      </c>
      <c r="O24" s="872">
        <v>3248.0</v>
      </c>
      <c r="P24" s="872">
        <v>3386.0</v>
      </c>
      <c r="Q24" s="872">
        <v>3115.0</v>
      </c>
      <c r="R24" s="15"/>
      <c r="S24" s="851" t="s">
        <v>194</v>
      </c>
      <c r="T24" s="846" t="s">
        <v>194</v>
      </c>
      <c r="U24" s="846" t="s">
        <v>194</v>
      </c>
      <c r="V24" s="846" t="s">
        <v>194</v>
      </c>
      <c r="W24" s="846" t="s">
        <v>194</v>
      </c>
      <c r="X24" s="846" t="s">
        <v>194</v>
      </c>
      <c r="Y24" s="846" t="s">
        <v>194</v>
      </c>
      <c r="Z24" s="846" t="s">
        <v>194</v>
      </c>
      <c r="AA24" s="846" t="s">
        <v>194</v>
      </c>
      <c r="AB24" s="846" t="s">
        <v>194</v>
      </c>
      <c r="AC24" s="846" t="s">
        <v>194</v>
      </c>
      <c r="AD24" s="846" t="s">
        <v>194</v>
      </c>
      <c r="AE24" s="846" t="s">
        <v>194</v>
      </c>
      <c r="AF24" s="846" t="s">
        <v>194</v>
      </c>
      <c r="AG24" s="846" t="s">
        <v>194</v>
      </c>
      <c r="AH24" s="846" t="s">
        <v>194</v>
      </c>
      <c r="AI24" s="846" t="s">
        <v>194</v>
      </c>
      <c r="AJ24" s="846" t="s">
        <v>194</v>
      </c>
      <c r="AK24" s="846" t="s">
        <v>194</v>
      </c>
      <c r="AL24" s="846" t="s">
        <v>194</v>
      </c>
      <c r="AM24" s="846" t="s">
        <v>194</v>
      </c>
      <c r="AN24" s="846" t="s">
        <v>194</v>
      </c>
    </row>
    <row r="25" ht="15.75" hidden="1" customHeight="1" outlineLevel="3">
      <c r="A25" s="849">
        <v>1.0</v>
      </c>
      <c r="B25" s="15"/>
      <c r="C25" s="881" t="str">
        <f>"            Total Net Interest (Income)/Expense"</f>
        <v>            Total Net Interest (Income)/Expense</v>
      </c>
      <c r="D25" s="882">
        <f t="shared" si="1"/>
        <v>3115</v>
      </c>
      <c r="E25" s="882">
        <f t="shared" si="2"/>
        <v>2316.4</v>
      </c>
      <c r="F25" s="882">
        <f t="shared" si="3"/>
        <v>774</v>
      </c>
      <c r="G25" s="882">
        <f t="shared" si="4"/>
        <v>3386</v>
      </c>
      <c r="H25" s="882">
        <f t="shared" si="5"/>
        <v>1059</v>
      </c>
      <c r="I25" s="882">
        <f t="shared" si="6"/>
        <v>3248</v>
      </c>
      <c r="J25" s="882">
        <f t="shared" si="7"/>
        <v>1285.470459</v>
      </c>
      <c r="K25" s="883">
        <f t="shared" si="8"/>
        <v>0.554943213</v>
      </c>
      <c r="L25" s="884" t="s">
        <v>194</v>
      </c>
      <c r="M25" s="884">
        <v>774.0</v>
      </c>
      <c r="N25" s="884">
        <v>1059.0</v>
      </c>
      <c r="O25" s="884">
        <v>3248.0</v>
      </c>
      <c r="P25" s="884">
        <v>3386.0</v>
      </c>
      <c r="Q25" s="884">
        <v>3115.0</v>
      </c>
      <c r="R25" s="15"/>
      <c r="S25" s="851" t="s">
        <v>194</v>
      </c>
      <c r="T25" s="846" t="s">
        <v>194</v>
      </c>
      <c r="U25" s="846" t="s">
        <v>194</v>
      </c>
      <c r="V25" s="846" t="s">
        <v>194</v>
      </c>
      <c r="W25" s="846" t="s">
        <v>194</v>
      </c>
      <c r="X25" s="846" t="s">
        <v>194</v>
      </c>
      <c r="Y25" s="846" t="s">
        <v>194</v>
      </c>
      <c r="Z25" s="846" t="s">
        <v>194</v>
      </c>
      <c r="AA25" s="846" t="s">
        <v>194</v>
      </c>
      <c r="AB25" s="846" t="s">
        <v>194</v>
      </c>
      <c r="AC25" s="846" t="s">
        <v>194</v>
      </c>
      <c r="AD25" s="846" t="s">
        <v>194</v>
      </c>
      <c r="AE25" s="846" t="s">
        <v>194</v>
      </c>
      <c r="AF25" s="846" t="s">
        <v>194</v>
      </c>
      <c r="AG25" s="846" t="s">
        <v>194</v>
      </c>
      <c r="AH25" s="846" t="s">
        <v>194</v>
      </c>
      <c r="AI25" s="846" t="s">
        <v>194</v>
      </c>
      <c r="AJ25" s="846" t="s">
        <v>194</v>
      </c>
      <c r="AK25" s="846" t="s">
        <v>194</v>
      </c>
      <c r="AL25" s="846" t="s">
        <v>194</v>
      </c>
      <c r="AM25" s="846" t="s">
        <v>194</v>
      </c>
      <c r="AN25" s="846" t="s">
        <v>194</v>
      </c>
    </row>
    <row r="26" ht="15.75" hidden="1" customHeight="1" outlineLevel="2">
      <c r="A26" s="849">
        <v>1.0</v>
      </c>
      <c r="B26" s="15"/>
      <c r="C26" s="881" t="str">
        <f>"        Total Net Finance (Income)/Expense"</f>
        <v>        Total Net Finance (Income)/Expense</v>
      </c>
      <c r="D26" s="882">
        <f t="shared" si="1"/>
        <v>3115</v>
      </c>
      <c r="E26" s="882">
        <f t="shared" si="2"/>
        <v>2316.4</v>
      </c>
      <c r="F26" s="882">
        <f t="shared" si="3"/>
        <v>774</v>
      </c>
      <c r="G26" s="882">
        <f t="shared" si="4"/>
        <v>3386</v>
      </c>
      <c r="H26" s="882">
        <f t="shared" si="5"/>
        <v>1059</v>
      </c>
      <c r="I26" s="882">
        <f t="shared" si="6"/>
        <v>3248</v>
      </c>
      <c r="J26" s="882">
        <f t="shared" si="7"/>
        <v>1285.470459</v>
      </c>
      <c r="K26" s="883">
        <f t="shared" si="8"/>
        <v>0.554943213</v>
      </c>
      <c r="L26" s="884" t="s">
        <v>194</v>
      </c>
      <c r="M26" s="884">
        <v>774.0</v>
      </c>
      <c r="N26" s="884">
        <v>1059.0</v>
      </c>
      <c r="O26" s="884">
        <v>3248.0</v>
      </c>
      <c r="P26" s="884">
        <v>3386.0</v>
      </c>
      <c r="Q26" s="884">
        <v>3115.0</v>
      </c>
      <c r="R26" s="15"/>
      <c r="S26" s="851" t="s">
        <v>194</v>
      </c>
      <c r="T26" s="846" t="s">
        <v>194</v>
      </c>
      <c r="U26" s="846" t="s">
        <v>194</v>
      </c>
      <c r="V26" s="846" t="s">
        <v>194</v>
      </c>
      <c r="W26" s="846" t="s">
        <v>194</v>
      </c>
      <c r="X26" s="846" t="s">
        <v>194</v>
      </c>
      <c r="Y26" s="846" t="s">
        <v>194</v>
      </c>
      <c r="Z26" s="846" t="s">
        <v>194</v>
      </c>
      <c r="AA26" s="846" t="s">
        <v>194</v>
      </c>
      <c r="AB26" s="846" t="s">
        <v>194</v>
      </c>
      <c r="AC26" s="846" t="s">
        <v>194</v>
      </c>
      <c r="AD26" s="846" t="s">
        <v>194</v>
      </c>
      <c r="AE26" s="846" t="s">
        <v>194</v>
      </c>
      <c r="AF26" s="846" t="s">
        <v>194</v>
      </c>
      <c r="AG26" s="846" t="s">
        <v>194</v>
      </c>
      <c r="AH26" s="846" t="s">
        <v>194</v>
      </c>
      <c r="AI26" s="846" t="s">
        <v>194</v>
      </c>
      <c r="AJ26" s="846" t="s">
        <v>194</v>
      </c>
      <c r="AK26" s="846" t="s">
        <v>194</v>
      </c>
      <c r="AL26" s="846" t="s">
        <v>194</v>
      </c>
      <c r="AM26" s="846" t="s">
        <v>194</v>
      </c>
      <c r="AN26" s="846" t="s">
        <v>194</v>
      </c>
    </row>
    <row r="27" ht="15.75" hidden="1" customHeight="1" outlineLevel="1">
      <c r="A27" s="849">
        <v>1.0</v>
      </c>
      <c r="B27" s="15"/>
      <c r="C27" s="869" t="str">
        <f>IF(SUBTOTAL(109,A28)=A28,"    Irregular (Income)/Expenses","    Irregular (Income)/Expenses")</f>
        <v>    Irregular (Income)/Expenses</v>
      </c>
      <c r="D27" s="870" t="str">
        <f t="shared" si="1"/>
        <v>#VALUE!</v>
      </c>
      <c r="E27" s="870" t="str">
        <f t="shared" si="2"/>
        <v>#VALUE!</v>
      </c>
      <c r="F27" s="870" t="str">
        <f t="shared" si="3"/>
        <v>#VALUE!</v>
      </c>
      <c r="G27" s="870" t="str">
        <f t="shared" si="4"/>
        <v>#VALUE!</v>
      </c>
      <c r="H27" s="870" t="str">
        <f t="shared" si="5"/>
        <v>#VALUE!</v>
      </c>
      <c r="I27" s="870" t="str">
        <f t="shared" si="6"/>
        <v>#VALUE!</v>
      </c>
      <c r="J27" s="870" t="str">
        <f t="shared" si="7"/>
        <v>#VALUE!</v>
      </c>
      <c r="K27" s="871" t="str">
        <f t="shared" si="8"/>
        <v>#VALUE!</v>
      </c>
      <c r="L27" s="872" t="s">
        <v>194</v>
      </c>
      <c r="M27" s="872" t="str">
        <f>IF(SUBTOTAL(109,#REF!)=#REF!,"",293)</f>
        <v>#VALUE!</v>
      </c>
      <c r="N27" s="872" t="str">
        <f>IF(SUBTOTAL(109,#REF!)=#REF!,"",109)</f>
        <v>#VALUE!</v>
      </c>
      <c r="O27" s="872">
        <f>IF(SUBTOTAL(109,A28)=A28,"",0)</f>
        <v>0</v>
      </c>
      <c r="P27" s="872">
        <f>IF(SUBTOTAL(109,C28)=C28,"",0)</f>
        <v>0</v>
      </c>
      <c r="Q27" s="872">
        <f>IF(SUBTOTAL(109,E28)=E28,"",3029)</f>
        <v>3029</v>
      </c>
      <c r="R27" s="15"/>
      <c r="S27" s="851" t="s">
        <v>194</v>
      </c>
      <c r="T27" s="846" t="s">
        <v>194</v>
      </c>
      <c r="U27" s="846" t="s">
        <v>194</v>
      </c>
      <c r="V27" s="846" t="s">
        <v>194</v>
      </c>
      <c r="W27" s="846" t="s">
        <v>194</v>
      </c>
      <c r="X27" s="846" t="s">
        <v>194</v>
      </c>
      <c r="Y27" s="846" t="s">
        <v>194</v>
      </c>
      <c r="Z27" s="846" t="s">
        <v>194</v>
      </c>
      <c r="AA27" s="846" t="s">
        <v>194</v>
      </c>
      <c r="AB27" s="846" t="s">
        <v>194</v>
      </c>
      <c r="AC27" s="846" t="s">
        <v>194</v>
      </c>
      <c r="AD27" s="846" t="s">
        <v>194</v>
      </c>
      <c r="AE27" s="846" t="s">
        <v>194</v>
      </c>
      <c r="AF27" s="846" t="s">
        <v>194</v>
      </c>
      <c r="AG27" s="846" t="s">
        <v>194</v>
      </c>
      <c r="AH27" s="846" t="s">
        <v>194</v>
      </c>
      <c r="AI27" s="846" t="s">
        <v>194</v>
      </c>
      <c r="AJ27" s="846" t="s">
        <v>194</v>
      </c>
      <c r="AK27" s="846" t="s">
        <v>194</v>
      </c>
      <c r="AL27" s="846" t="s">
        <v>194</v>
      </c>
      <c r="AM27" s="846" t="s">
        <v>194</v>
      </c>
      <c r="AN27" s="846" t="s">
        <v>194</v>
      </c>
    </row>
    <row r="28" ht="15.75" hidden="1" customHeight="1" outlineLevel="2">
      <c r="A28" s="849">
        <v>1.0</v>
      </c>
      <c r="B28" s="15"/>
      <c r="C28" s="869" t="str">
        <f>"        (Gain)/Loss on Extinguishment of Debt"</f>
        <v>        (Gain)/Loss on Extinguishment of Debt</v>
      </c>
      <c r="D28" s="870">
        <f t="shared" si="1"/>
        <v>0</v>
      </c>
      <c r="E28" s="870">
        <f t="shared" si="2"/>
        <v>1009.666667</v>
      </c>
      <c r="F28" s="870">
        <f t="shared" si="3"/>
        <v>0</v>
      </c>
      <c r="G28" s="870">
        <f t="shared" si="4"/>
        <v>3029</v>
      </c>
      <c r="H28" s="870">
        <f t="shared" si="5"/>
        <v>0</v>
      </c>
      <c r="I28" s="870">
        <f t="shared" si="6"/>
        <v>1514.5</v>
      </c>
      <c r="J28" s="870">
        <f t="shared" si="7"/>
        <v>1748.793965</v>
      </c>
      <c r="K28" s="871">
        <f t="shared" si="8"/>
        <v>1.732050808</v>
      </c>
      <c r="L28" s="872" t="s">
        <v>194</v>
      </c>
      <c r="M28" s="872" t="s">
        <v>194</v>
      </c>
      <c r="N28" s="872" t="s">
        <v>194</v>
      </c>
      <c r="O28" s="872">
        <v>0.0</v>
      </c>
      <c r="P28" s="872">
        <v>0.0</v>
      </c>
      <c r="Q28" s="872">
        <v>3029.0</v>
      </c>
      <c r="R28" s="15"/>
      <c r="S28" s="851" t="s">
        <v>194</v>
      </c>
      <c r="T28" s="846" t="s">
        <v>194</v>
      </c>
      <c r="U28" s="846" t="s">
        <v>194</v>
      </c>
      <c r="V28" s="846" t="s">
        <v>194</v>
      </c>
      <c r="W28" s="846" t="s">
        <v>194</v>
      </c>
      <c r="X28" s="846" t="s">
        <v>194</v>
      </c>
      <c r="Y28" s="846" t="s">
        <v>194</v>
      </c>
      <c r="Z28" s="846" t="s">
        <v>194</v>
      </c>
      <c r="AA28" s="846" t="s">
        <v>194</v>
      </c>
      <c r="AB28" s="846" t="s">
        <v>194</v>
      </c>
      <c r="AC28" s="846" t="s">
        <v>194</v>
      </c>
      <c r="AD28" s="846" t="s">
        <v>194</v>
      </c>
      <c r="AE28" s="846" t="s">
        <v>194</v>
      </c>
      <c r="AF28" s="846" t="s">
        <v>194</v>
      </c>
      <c r="AG28" s="846" t="s">
        <v>194</v>
      </c>
      <c r="AH28" s="846" t="s">
        <v>194</v>
      </c>
      <c r="AI28" s="846" t="s">
        <v>194</v>
      </c>
      <c r="AJ28" s="846" t="s">
        <v>194</v>
      </c>
      <c r="AK28" s="846" t="s">
        <v>194</v>
      </c>
      <c r="AL28" s="846" t="s">
        <v>194</v>
      </c>
      <c r="AM28" s="846" t="s">
        <v>194</v>
      </c>
      <c r="AN28" s="846" t="s">
        <v>194</v>
      </c>
    </row>
    <row r="29" ht="15.75" hidden="1" customHeight="1" outlineLevel="2">
      <c r="A29" s="849">
        <v>1.0</v>
      </c>
      <c r="B29" s="15"/>
      <c r="C29" s="881" t="str">
        <f>"        Total Irregular (Income)/Expenses"</f>
        <v>        Total Irregular (Income)/Expenses</v>
      </c>
      <c r="D29" s="882">
        <f t="shared" si="1"/>
        <v>109</v>
      </c>
      <c r="E29" s="882">
        <f t="shared" si="2"/>
        <v>686.2</v>
      </c>
      <c r="F29" s="882">
        <f t="shared" si="3"/>
        <v>0</v>
      </c>
      <c r="G29" s="882">
        <f t="shared" si="4"/>
        <v>3029</v>
      </c>
      <c r="H29" s="882">
        <f t="shared" si="5"/>
        <v>0</v>
      </c>
      <c r="I29" s="882">
        <f t="shared" si="6"/>
        <v>293</v>
      </c>
      <c r="J29" s="882">
        <f t="shared" si="7"/>
        <v>1315.125355</v>
      </c>
      <c r="K29" s="883">
        <f t="shared" si="8"/>
        <v>1.916533598</v>
      </c>
      <c r="L29" s="884" t="s">
        <v>194</v>
      </c>
      <c r="M29" s="884">
        <v>293.0</v>
      </c>
      <c r="N29" s="884">
        <v>109.0</v>
      </c>
      <c r="O29" s="884">
        <v>0.0</v>
      </c>
      <c r="P29" s="884">
        <v>0.0</v>
      </c>
      <c r="Q29" s="884">
        <v>3029.0</v>
      </c>
      <c r="R29" s="15"/>
      <c r="S29" s="851" t="s">
        <v>194</v>
      </c>
      <c r="T29" s="846" t="s">
        <v>194</v>
      </c>
      <c r="U29" s="846" t="s">
        <v>194</v>
      </c>
      <c r="V29" s="846" t="s">
        <v>194</v>
      </c>
      <c r="W29" s="846" t="s">
        <v>194</v>
      </c>
      <c r="X29" s="846" t="s">
        <v>194</v>
      </c>
      <c r="Y29" s="846" t="s">
        <v>194</v>
      </c>
      <c r="Z29" s="846" t="s">
        <v>194</v>
      </c>
      <c r="AA29" s="846" t="s">
        <v>194</v>
      </c>
      <c r="AB29" s="846" t="s">
        <v>194</v>
      </c>
      <c r="AC29" s="846" t="s">
        <v>194</v>
      </c>
      <c r="AD29" s="846" t="s">
        <v>194</v>
      </c>
      <c r="AE29" s="846" t="s">
        <v>194</v>
      </c>
      <c r="AF29" s="846" t="s">
        <v>194</v>
      </c>
      <c r="AG29" s="846" t="s">
        <v>194</v>
      </c>
      <c r="AH29" s="846" t="s">
        <v>194</v>
      </c>
      <c r="AI29" s="846" t="s">
        <v>194</v>
      </c>
      <c r="AJ29" s="846" t="s">
        <v>194</v>
      </c>
      <c r="AK29" s="846" t="s">
        <v>194</v>
      </c>
      <c r="AL29" s="846" t="s">
        <v>194</v>
      </c>
      <c r="AM29" s="846" t="s">
        <v>194</v>
      </c>
      <c r="AN29" s="846" t="s">
        <v>194</v>
      </c>
    </row>
    <row r="30" ht="15.75" hidden="1" customHeight="1" outlineLevel="1">
      <c r="A30" s="849">
        <v>1.0</v>
      </c>
      <c r="B30" s="15"/>
      <c r="C30" s="869" t="str">
        <f>"    Other Income/(Expense), Non-Operating"</f>
        <v>    Other Income/(Expense), Non-Operating</v>
      </c>
      <c r="D30" s="870">
        <f t="shared" si="1"/>
        <v>1237</v>
      </c>
      <c r="E30" s="870">
        <f t="shared" si="2"/>
        <v>230</v>
      </c>
      <c r="F30" s="870">
        <f t="shared" si="3"/>
        <v>-2073</v>
      </c>
      <c r="G30" s="870">
        <f t="shared" si="4"/>
        <v>1526</v>
      </c>
      <c r="H30" s="870">
        <f t="shared" si="5"/>
        <v>-418</v>
      </c>
      <c r="I30" s="870">
        <f t="shared" si="6"/>
        <v>1381.5</v>
      </c>
      <c r="J30" s="870">
        <f t="shared" si="7"/>
        <v>1999.684225</v>
      </c>
      <c r="K30" s="871">
        <f t="shared" si="8"/>
        <v>8.694279239</v>
      </c>
      <c r="L30" s="872" t="s">
        <v>194</v>
      </c>
      <c r="M30" s="872" t="s">
        <v>194</v>
      </c>
      <c r="N30" s="872" t="s">
        <v>194</v>
      </c>
      <c r="O30" s="872">
        <v>-2073.0</v>
      </c>
      <c r="P30" s="872">
        <v>1237.0</v>
      </c>
      <c r="Q30" s="872">
        <v>1526.0</v>
      </c>
      <c r="R30" s="15"/>
      <c r="S30" s="851" t="s">
        <v>194</v>
      </c>
      <c r="T30" s="846" t="s">
        <v>194</v>
      </c>
      <c r="U30" s="846" t="s">
        <v>194</v>
      </c>
      <c r="V30" s="846" t="s">
        <v>194</v>
      </c>
      <c r="W30" s="846" t="s">
        <v>194</v>
      </c>
      <c r="X30" s="846" t="s">
        <v>194</v>
      </c>
      <c r="Y30" s="846" t="s">
        <v>194</v>
      </c>
      <c r="Z30" s="846" t="s">
        <v>194</v>
      </c>
      <c r="AA30" s="846" t="s">
        <v>194</v>
      </c>
      <c r="AB30" s="846" t="s">
        <v>194</v>
      </c>
      <c r="AC30" s="846" t="s">
        <v>194</v>
      </c>
      <c r="AD30" s="846" t="s">
        <v>194</v>
      </c>
      <c r="AE30" s="846" t="s">
        <v>194</v>
      </c>
      <c r="AF30" s="846" t="s">
        <v>194</v>
      </c>
      <c r="AG30" s="846" t="s">
        <v>194</v>
      </c>
      <c r="AH30" s="846" t="s">
        <v>194</v>
      </c>
      <c r="AI30" s="846" t="s">
        <v>194</v>
      </c>
      <c r="AJ30" s="846" t="s">
        <v>194</v>
      </c>
      <c r="AK30" s="846" t="s">
        <v>194</v>
      </c>
      <c r="AL30" s="846" t="s">
        <v>194</v>
      </c>
      <c r="AM30" s="846" t="s">
        <v>194</v>
      </c>
      <c r="AN30" s="846" t="s">
        <v>194</v>
      </c>
    </row>
    <row r="31" ht="15.75" hidden="1" customHeight="1" outlineLevel="1">
      <c r="A31" s="849">
        <v>1.0</v>
      </c>
      <c r="B31" s="15"/>
      <c r="C31" s="855" t="str">
        <f>"    Total Non-Operating Income/(Expenses), Total"</f>
        <v>    Total Non-Operating Income/(Expenses), Total</v>
      </c>
      <c r="D31" s="882">
        <f t="shared" si="1"/>
        <v>-2149</v>
      </c>
      <c r="E31" s="882">
        <f t="shared" si="2"/>
        <v>-2864.6</v>
      </c>
      <c r="F31" s="882">
        <f t="shared" si="3"/>
        <v>-5321</v>
      </c>
      <c r="G31" s="882">
        <f t="shared" si="4"/>
        <v>-1067</v>
      </c>
      <c r="H31" s="882">
        <f t="shared" si="5"/>
        <v>-4618</v>
      </c>
      <c r="I31" s="882">
        <f t="shared" si="6"/>
        <v>-1168</v>
      </c>
      <c r="J31" s="882">
        <f t="shared" si="7"/>
        <v>1983.06664</v>
      </c>
      <c r="K31" s="883">
        <f t="shared" si="8"/>
        <v>-0.6922665085</v>
      </c>
      <c r="L31" s="882" t="s">
        <v>194</v>
      </c>
      <c r="M31" s="882">
        <v>-1067.0</v>
      </c>
      <c r="N31" s="882">
        <v>-1168.0</v>
      </c>
      <c r="O31" s="882">
        <v>-5321.0</v>
      </c>
      <c r="P31" s="882">
        <v>-2149.0</v>
      </c>
      <c r="Q31" s="882">
        <v>-4618.0</v>
      </c>
      <c r="R31" s="15"/>
      <c r="S31" s="851" t="s">
        <v>194</v>
      </c>
      <c r="T31" s="846" t="s">
        <v>194</v>
      </c>
      <c r="U31" s="846" t="s">
        <v>194</v>
      </c>
      <c r="V31" s="846" t="s">
        <v>194</v>
      </c>
      <c r="W31" s="846" t="s">
        <v>194</v>
      </c>
      <c r="X31" s="846" t="s">
        <v>194</v>
      </c>
      <c r="Y31" s="846" t="s">
        <v>194</v>
      </c>
      <c r="Z31" s="846" t="s">
        <v>194</v>
      </c>
      <c r="AA31" s="846" t="s">
        <v>194</v>
      </c>
      <c r="AB31" s="846" t="s">
        <v>194</v>
      </c>
      <c r="AC31" s="846" t="s">
        <v>194</v>
      </c>
      <c r="AD31" s="846" t="s">
        <v>194</v>
      </c>
      <c r="AE31" s="846" t="s">
        <v>194</v>
      </c>
      <c r="AF31" s="846" t="s">
        <v>194</v>
      </c>
      <c r="AG31" s="846" t="s">
        <v>194</v>
      </c>
      <c r="AH31" s="846" t="s">
        <v>194</v>
      </c>
      <c r="AI31" s="846" t="s">
        <v>194</v>
      </c>
      <c r="AJ31" s="846" t="s">
        <v>194</v>
      </c>
      <c r="AK31" s="846" t="s">
        <v>194</v>
      </c>
      <c r="AL31" s="846" t="s">
        <v>194</v>
      </c>
      <c r="AM31" s="846" t="s">
        <v>194</v>
      </c>
      <c r="AN31" s="846" t="s">
        <v>194</v>
      </c>
    </row>
    <row r="32" ht="15.75" customHeight="1">
      <c r="A32" s="849">
        <v>1.0</v>
      </c>
      <c r="B32" s="15"/>
      <c r="C32" s="855" t="str">
        <f>"Pretax Income"</f>
        <v>Pretax Income</v>
      </c>
      <c r="D32" s="866">
        <f t="shared" si="1"/>
        <v>-22799</v>
      </c>
      <c r="E32" s="866">
        <f t="shared" si="2"/>
        <v>-27438</v>
      </c>
      <c r="F32" s="866">
        <f t="shared" si="3"/>
        <v>-48236</v>
      </c>
      <c r="G32" s="866">
        <f t="shared" si="4"/>
        <v>-15832</v>
      </c>
      <c r="H32" s="866">
        <f t="shared" si="5"/>
        <v>-29420</v>
      </c>
      <c r="I32" s="866">
        <f t="shared" si="6"/>
        <v>-20903</v>
      </c>
      <c r="J32" s="866">
        <f t="shared" si="7"/>
        <v>12603.67913</v>
      </c>
      <c r="K32" s="867">
        <f t="shared" si="8"/>
        <v>-0.4593512328</v>
      </c>
      <c r="L32" s="866" t="s">
        <v>194</v>
      </c>
      <c r="M32" s="866">
        <v>-15832.0</v>
      </c>
      <c r="N32" s="866">
        <v>-22799.0</v>
      </c>
      <c r="O32" s="866">
        <v>-20903.0</v>
      </c>
      <c r="P32" s="866">
        <v>-29420.0</v>
      </c>
      <c r="Q32" s="866">
        <v>-48236.0</v>
      </c>
      <c r="R32" s="15"/>
      <c r="S32" s="851" t="s">
        <v>194</v>
      </c>
      <c r="T32" s="846" t="s">
        <v>194</v>
      </c>
      <c r="U32" s="846" t="s">
        <v>194</v>
      </c>
      <c r="V32" s="846" t="s">
        <v>194</v>
      </c>
      <c r="W32" s="846" t="s">
        <v>194</v>
      </c>
      <c r="X32" s="846" t="s">
        <v>194</v>
      </c>
      <c r="Y32" s="846" t="s">
        <v>194</v>
      </c>
      <c r="Z32" s="846" t="s">
        <v>194</v>
      </c>
      <c r="AA32" s="846" t="s">
        <v>194</v>
      </c>
      <c r="AB32" s="846" t="s">
        <v>194</v>
      </c>
      <c r="AC32" s="846" t="s">
        <v>194</v>
      </c>
      <c r="AD32" s="846" t="s">
        <v>194</v>
      </c>
      <c r="AE32" s="846" t="s">
        <v>194</v>
      </c>
      <c r="AF32" s="846" t="s">
        <v>194</v>
      </c>
      <c r="AG32" s="846" t="s">
        <v>194</v>
      </c>
      <c r="AH32" s="846" t="s">
        <v>194</v>
      </c>
      <c r="AI32" s="846" t="s">
        <v>194</v>
      </c>
      <c r="AJ32" s="846" t="s">
        <v>194</v>
      </c>
      <c r="AK32" s="846" t="s">
        <v>194</v>
      </c>
      <c r="AL32" s="846" t="s">
        <v>194</v>
      </c>
      <c r="AM32" s="846" t="s">
        <v>194</v>
      </c>
      <c r="AN32" s="846" t="s">
        <v>194</v>
      </c>
    </row>
    <row r="33" ht="15.75" customHeight="1">
      <c r="A33" s="849">
        <v>1.0</v>
      </c>
      <c r="B33" s="15"/>
      <c r="C33" s="855" t="str">
        <f>"Provision for Income Tax"</f>
        <v>Provision for Income Tax</v>
      </c>
      <c r="D33" s="866">
        <f t="shared" si="1"/>
        <v>0</v>
      </c>
      <c r="E33" s="866">
        <f t="shared" si="2"/>
        <v>14.66666667</v>
      </c>
      <c r="F33" s="866">
        <f t="shared" si="3"/>
        <v>0</v>
      </c>
      <c r="G33" s="866">
        <f t="shared" si="4"/>
        <v>44</v>
      </c>
      <c r="H33" s="866">
        <f t="shared" si="5"/>
        <v>0</v>
      </c>
      <c r="I33" s="866">
        <f t="shared" si="6"/>
        <v>22</v>
      </c>
      <c r="J33" s="866">
        <f t="shared" si="7"/>
        <v>25.40341184</v>
      </c>
      <c r="K33" s="867">
        <f t="shared" si="8"/>
        <v>1.732050808</v>
      </c>
      <c r="L33" s="866" t="s">
        <v>194</v>
      </c>
      <c r="M33" s="866" t="s">
        <v>194</v>
      </c>
      <c r="N33" s="866" t="s">
        <v>194</v>
      </c>
      <c r="O33" s="866">
        <v>0.0</v>
      </c>
      <c r="P33" s="866">
        <v>0.0</v>
      </c>
      <c r="Q33" s="866">
        <v>44.0</v>
      </c>
      <c r="R33" s="15"/>
      <c r="S33" s="851" t="s">
        <v>194</v>
      </c>
      <c r="T33" s="846" t="s">
        <v>194</v>
      </c>
      <c r="U33" s="846" t="s">
        <v>194</v>
      </c>
      <c r="V33" s="846" t="s">
        <v>194</v>
      </c>
      <c r="W33" s="846" t="s">
        <v>194</v>
      </c>
      <c r="X33" s="846" t="s">
        <v>194</v>
      </c>
      <c r="Y33" s="846" t="s">
        <v>194</v>
      </c>
      <c r="Z33" s="846" t="s">
        <v>194</v>
      </c>
      <c r="AA33" s="846" t="s">
        <v>194</v>
      </c>
      <c r="AB33" s="846" t="s">
        <v>194</v>
      </c>
      <c r="AC33" s="846" t="s">
        <v>194</v>
      </c>
      <c r="AD33" s="846" t="s">
        <v>194</v>
      </c>
      <c r="AE33" s="846" t="s">
        <v>194</v>
      </c>
      <c r="AF33" s="846" t="s">
        <v>194</v>
      </c>
      <c r="AG33" s="846" t="s">
        <v>194</v>
      </c>
      <c r="AH33" s="846" t="s">
        <v>194</v>
      </c>
      <c r="AI33" s="846" t="s">
        <v>194</v>
      </c>
      <c r="AJ33" s="846" t="s">
        <v>194</v>
      </c>
      <c r="AK33" s="846" t="s">
        <v>194</v>
      </c>
      <c r="AL33" s="846" t="s">
        <v>194</v>
      </c>
      <c r="AM33" s="846" t="s">
        <v>194</v>
      </c>
      <c r="AN33" s="846" t="s">
        <v>194</v>
      </c>
    </row>
    <row r="34" ht="15.75" customHeight="1">
      <c r="A34" s="849">
        <v>1.0</v>
      </c>
      <c r="B34" s="15"/>
      <c r="C34" s="855" t="str">
        <f>"Net Income from Continuing Operations"</f>
        <v>Net Income from Continuing Operations</v>
      </c>
      <c r="D34" s="866">
        <f t="shared" si="1"/>
        <v>-22799</v>
      </c>
      <c r="E34" s="866">
        <f t="shared" si="2"/>
        <v>-27446.8</v>
      </c>
      <c r="F34" s="866">
        <f t="shared" si="3"/>
        <v>-48280</v>
      </c>
      <c r="G34" s="866">
        <f t="shared" si="4"/>
        <v>-15832</v>
      </c>
      <c r="H34" s="866">
        <f t="shared" si="5"/>
        <v>-29420</v>
      </c>
      <c r="I34" s="866">
        <f t="shared" si="6"/>
        <v>-20903</v>
      </c>
      <c r="J34" s="866">
        <f t="shared" si="7"/>
        <v>12621.8331</v>
      </c>
      <c r="K34" s="867">
        <f t="shared" si="8"/>
        <v>-0.4598653794</v>
      </c>
      <c r="L34" s="866" t="s">
        <v>194</v>
      </c>
      <c r="M34" s="866">
        <v>-15832.0</v>
      </c>
      <c r="N34" s="866">
        <v>-22799.0</v>
      </c>
      <c r="O34" s="866">
        <v>-20903.0</v>
      </c>
      <c r="P34" s="866">
        <v>-29420.0</v>
      </c>
      <c r="Q34" s="866">
        <v>-48280.0</v>
      </c>
      <c r="R34" s="15"/>
      <c r="S34" s="851" t="s">
        <v>194</v>
      </c>
      <c r="T34" s="846" t="s">
        <v>194</v>
      </c>
      <c r="U34" s="846" t="s">
        <v>194</v>
      </c>
      <c r="V34" s="846" t="s">
        <v>194</v>
      </c>
      <c r="W34" s="846" t="s">
        <v>194</v>
      </c>
      <c r="X34" s="846" t="s">
        <v>194</v>
      </c>
      <c r="Y34" s="846" t="s">
        <v>194</v>
      </c>
      <c r="Z34" s="846" t="s">
        <v>194</v>
      </c>
      <c r="AA34" s="846" t="s">
        <v>194</v>
      </c>
      <c r="AB34" s="846" t="s">
        <v>194</v>
      </c>
      <c r="AC34" s="846" t="s">
        <v>194</v>
      </c>
      <c r="AD34" s="846" t="s">
        <v>194</v>
      </c>
      <c r="AE34" s="846" t="s">
        <v>194</v>
      </c>
      <c r="AF34" s="846" t="s">
        <v>194</v>
      </c>
      <c r="AG34" s="846" t="s">
        <v>194</v>
      </c>
      <c r="AH34" s="846" t="s">
        <v>194</v>
      </c>
      <c r="AI34" s="846" t="s">
        <v>194</v>
      </c>
      <c r="AJ34" s="846" t="s">
        <v>194</v>
      </c>
      <c r="AK34" s="846" t="s">
        <v>194</v>
      </c>
      <c r="AL34" s="846" t="s">
        <v>194</v>
      </c>
      <c r="AM34" s="846" t="s">
        <v>194</v>
      </c>
      <c r="AN34" s="846" t="s">
        <v>194</v>
      </c>
    </row>
    <row r="35" ht="15.75" customHeight="1">
      <c r="A35" s="849">
        <v>1.0</v>
      </c>
      <c r="B35" s="15"/>
      <c r="C35" s="855" t="str">
        <f>"Net Income after Extraordinary Items and Discontinued Operations"</f>
        <v>Net Income after Extraordinary Items and Discontinued Operations</v>
      </c>
      <c r="D35" s="866">
        <f t="shared" si="1"/>
        <v>-22799</v>
      </c>
      <c r="E35" s="866">
        <f t="shared" si="2"/>
        <v>-27446.8</v>
      </c>
      <c r="F35" s="866">
        <f t="shared" si="3"/>
        <v>-48280</v>
      </c>
      <c r="G35" s="866">
        <f t="shared" si="4"/>
        <v>-15832</v>
      </c>
      <c r="H35" s="866">
        <f t="shared" si="5"/>
        <v>-29420</v>
      </c>
      <c r="I35" s="866">
        <f t="shared" si="6"/>
        <v>-20903</v>
      </c>
      <c r="J35" s="866">
        <f t="shared" si="7"/>
        <v>12621.8331</v>
      </c>
      <c r="K35" s="867">
        <f t="shared" si="8"/>
        <v>-0.4598653794</v>
      </c>
      <c r="L35" s="866" t="s">
        <v>194</v>
      </c>
      <c r="M35" s="866">
        <v>-15832.0</v>
      </c>
      <c r="N35" s="866">
        <v>-22799.0</v>
      </c>
      <c r="O35" s="866">
        <v>-20903.0</v>
      </c>
      <c r="P35" s="866">
        <v>-29420.0</v>
      </c>
      <c r="Q35" s="866">
        <v>-48280.0</v>
      </c>
      <c r="R35" s="15"/>
      <c r="S35" s="851" t="s">
        <v>194</v>
      </c>
      <c r="T35" s="846" t="s">
        <v>194</v>
      </c>
      <c r="U35" s="846" t="s">
        <v>194</v>
      </c>
      <c r="V35" s="846" t="s">
        <v>194</v>
      </c>
      <c r="W35" s="846" t="s">
        <v>194</v>
      </c>
      <c r="X35" s="846" t="s">
        <v>194</v>
      </c>
      <c r="Y35" s="846" t="s">
        <v>194</v>
      </c>
      <c r="Z35" s="846" t="s">
        <v>194</v>
      </c>
      <c r="AA35" s="846" t="s">
        <v>194</v>
      </c>
      <c r="AB35" s="846" t="s">
        <v>194</v>
      </c>
      <c r="AC35" s="846" t="s">
        <v>194</v>
      </c>
      <c r="AD35" s="846" t="s">
        <v>194</v>
      </c>
      <c r="AE35" s="846" t="s">
        <v>194</v>
      </c>
      <c r="AF35" s="846" t="s">
        <v>194</v>
      </c>
      <c r="AG35" s="846" t="s">
        <v>194</v>
      </c>
      <c r="AH35" s="846" t="s">
        <v>194</v>
      </c>
      <c r="AI35" s="846" t="s">
        <v>194</v>
      </c>
      <c r="AJ35" s="846" t="s">
        <v>194</v>
      </c>
      <c r="AK35" s="846" t="s">
        <v>194</v>
      </c>
      <c r="AL35" s="846" t="s">
        <v>194</v>
      </c>
      <c r="AM35" s="846" t="s">
        <v>194</v>
      </c>
      <c r="AN35" s="846" t="s">
        <v>194</v>
      </c>
    </row>
    <row r="36" ht="15.75" customHeight="1">
      <c r="A36" s="849">
        <v>1.0</v>
      </c>
      <c r="B36" s="15"/>
      <c r="C36" s="855" t="str">
        <f>"Net Income after Non-Controlling/Minority Interests"</f>
        <v>Net Income after Non-Controlling/Minority Interests</v>
      </c>
      <c r="D36" s="866">
        <f t="shared" si="1"/>
        <v>-22799</v>
      </c>
      <c r="E36" s="866">
        <f t="shared" si="2"/>
        <v>-27446.8</v>
      </c>
      <c r="F36" s="866">
        <f t="shared" si="3"/>
        <v>-48280</v>
      </c>
      <c r="G36" s="866">
        <f t="shared" si="4"/>
        <v>-15832</v>
      </c>
      <c r="H36" s="866">
        <f t="shared" si="5"/>
        <v>-29420</v>
      </c>
      <c r="I36" s="866">
        <f t="shared" si="6"/>
        <v>-20903</v>
      </c>
      <c r="J36" s="866">
        <f t="shared" si="7"/>
        <v>12621.8331</v>
      </c>
      <c r="K36" s="867">
        <f t="shared" si="8"/>
        <v>-0.4598653794</v>
      </c>
      <c r="L36" s="866" t="s">
        <v>194</v>
      </c>
      <c r="M36" s="866">
        <v>-15832.0</v>
      </c>
      <c r="N36" s="866">
        <v>-22799.0</v>
      </c>
      <c r="O36" s="866">
        <v>-20903.0</v>
      </c>
      <c r="P36" s="866">
        <v>-29420.0</v>
      </c>
      <c r="Q36" s="866">
        <v>-48280.0</v>
      </c>
      <c r="R36" s="15"/>
      <c r="S36" s="851" t="s">
        <v>194</v>
      </c>
      <c r="T36" s="846" t="s">
        <v>194</v>
      </c>
      <c r="U36" s="846" t="s">
        <v>194</v>
      </c>
      <c r="V36" s="846" t="s">
        <v>194</v>
      </c>
      <c r="W36" s="846" t="s">
        <v>194</v>
      </c>
      <c r="X36" s="846" t="s">
        <v>194</v>
      </c>
      <c r="Y36" s="846" t="s">
        <v>194</v>
      </c>
      <c r="Z36" s="846" t="s">
        <v>194</v>
      </c>
      <c r="AA36" s="846" t="s">
        <v>194</v>
      </c>
      <c r="AB36" s="846" t="s">
        <v>194</v>
      </c>
      <c r="AC36" s="846" t="s">
        <v>194</v>
      </c>
      <c r="AD36" s="846" t="s">
        <v>194</v>
      </c>
      <c r="AE36" s="846" t="s">
        <v>194</v>
      </c>
      <c r="AF36" s="846" t="s">
        <v>194</v>
      </c>
      <c r="AG36" s="846" t="s">
        <v>194</v>
      </c>
      <c r="AH36" s="846" t="s">
        <v>194</v>
      </c>
      <c r="AI36" s="846" t="s">
        <v>194</v>
      </c>
      <c r="AJ36" s="846" t="s">
        <v>194</v>
      </c>
      <c r="AK36" s="846" t="s">
        <v>194</v>
      </c>
      <c r="AL36" s="846" t="s">
        <v>194</v>
      </c>
      <c r="AM36" s="846" t="s">
        <v>194</v>
      </c>
      <c r="AN36" s="846" t="s">
        <v>194</v>
      </c>
    </row>
    <row r="37" ht="15.75" customHeight="1">
      <c r="A37" s="849">
        <v>1.0</v>
      </c>
      <c r="B37" s="15"/>
      <c r="C37" s="855" t="str">
        <f>"Net Income Available to Common Stockholders"</f>
        <v>Net Income Available to Common Stockholders</v>
      </c>
      <c r="D37" s="866">
        <f t="shared" si="1"/>
        <v>-22799</v>
      </c>
      <c r="E37" s="866">
        <f t="shared" si="2"/>
        <v>-27446.8</v>
      </c>
      <c r="F37" s="866">
        <f t="shared" si="3"/>
        <v>-48280</v>
      </c>
      <c r="G37" s="866">
        <f t="shared" si="4"/>
        <v>-15832</v>
      </c>
      <c r="H37" s="866">
        <f t="shared" si="5"/>
        <v>-29420</v>
      </c>
      <c r="I37" s="866">
        <f t="shared" si="6"/>
        <v>-20903</v>
      </c>
      <c r="J37" s="866">
        <f t="shared" si="7"/>
        <v>12621.8331</v>
      </c>
      <c r="K37" s="867">
        <f t="shared" si="8"/>
        <v>-0.4598653794</v>
      </c>
      <c r="L37" s="866" t="s">
        <v>194</v>
      </c>
      <c r="M37" s="866">
        <v>-15832.0</v>
      </c>
      <c r="N37" s="866">
        <v>-22799.0</v>
      </c>
      <c r="O37" s="866">
        <v>-20903.0</v>
      </c>
      <c r="P37" s="866">
        <v>-29420.0</v>
      </c>
      <c r="Q37" s="866">
        <v>-48280.0</v>
      </c>
      <c r="R37" s="15"/>
      <c r="S37" s="851" t="s">
        <v>194</v>
      </c>
      <c r="T37" s="846" t="s">
        <v>194</v>
      </c>
      <c r="U37" s="846" t="s">
        <v>194</v>
      </c>
      <c r="V37" s="846" t="s">
        <v>194</v>
      </c>
      <c r="W37" s="846" t="s">
        <v>194</v>
      </c>
      <c r="X37" s="846" t="s">
        <v>194</v>
      </c>
      <c r="Y37" s="846" t="s">
        <v>194</v>
      </c>
      <c r="Z37" s="846" t="s">
        <v>194</v>
      </c>
      <c r="AA37" s="846" t="s">
        <v>194</v>
      </c>
      <c r="AB37" s="846" t="s">
        <v>194</v>
      </c>
      <c r="AC37" s="846" t="s">
        <v>194</v>
      </c>
      <c r="AD37" s="846" t="s">
        <v>194</v>
      </c>
      <c r="AE37" s="846" t="s">
        <v>194</v>
      </c>
      <c r="AF37" s="846" t="s">
        <v>194</v>
      </c>
      <c r="AG37" s="846" t="s">
        <v>194</v>
      </c>
      <c r="AH37" s="846" t="s">
        <v>194</v>
      </c>
      <c r="AI37" s="846" t="s">
        <v>194</v>
      </c>
      <c r="AJ37" s="846" t="s">
        <v>194</v>
      </c>
      <c r="AK37" s="846" t="s">
        <v>194</v>
      </c>
      <c r="AL37" s="846" t="s">
        <v>194</v>
      </c>
      <c r="AM37" s="846" t="s">
        <v>194</v>
      </c>
      <c r="AN37" s="846" t="s">
        <v>194</v>
      </c>
    </row>
    <row r="38" ht="15.75" customHeight="1">
      <c r="A38" s="849">
        <v>1.0</v>
      </c>
      <c r="B38" s="15"/>
      <c r="C38" s="855" t="str">
        <f>"Diluted Net Income Available to Common Stockholders"</f>
        <v>Diluted Net Income Available to Common Stockholders</v>
      </c>
      <c r="D38" s="866">
        <f t="shared" si="1"/>
        <v>-22799</v>
      </c>
      <c r="E38" s="866">
        <f t="shared" si="2"/>
        <v>-27446.8</v>
      </c>
      <c r="F38" s="866">
        <f t="shared" si="3"/>
        <v>-48280</v>
      </c>
      <c r="G38" s="866">
        <f t="shared" si="4"/>
        <v>-15832</v>
      </c>
      <c r="H38" s="866">
        <f t="shared" si="5"/>
        <v>-29420</v>
      </c>
      <c r="I38" s="866">
        <f t="shared" si="6"/>
        <v>-20903</v>
      </c>
      <c r="J38" s="866">
        <f t="shared" si="7"/>
        <v>12621.8331</v>
      </c>
      <c r="K38" s="867">
        <f t="shared" si="8"/>
        <v>-0.4598653794</v>
      </c>
      <c r="L38" s="866" t="s">
        <v>194</v>
      </c>
      <c r="M38" s="866">
        <v>-15832.0</v>
      </c>
      <c r="N38" s="866">
        <v>-22799.0</v>
      </c>
      <c r="O38" s="866">
        <v>-20903.0</v>
      </c>
      <c r="P38" s="866">
        <v>-29420.0</v>
      </c>
      <c r="Q38" s="866">
        <v>-48280.0</v>
      </c>
      <c r="R38" s="15"/>
      <c r="S38" s="851" t="s">
        <v>194</v>
      </c>
      <c r="T38" s="846" t="s">
        <v>194</v>
      </c>
      <c r="U38" s="846" t="s">
        <v>194</v>
      </c>
      <c r="V38" s="846" t="s">
        <v>194</v>
      </c>
      <c r="W38" s="846" t="s">
        <v>194</v>
      </c>
      <c r="X38" s="846" t="s">
        <v>194</v>
      </c>
      <c r="Y38" s="846" t="s">
        <v>194</v>
      </c>
      <c r="Z38" s="846" t="s">
        <v>194</v>
      </c>
      <c r="AA38" s="846" t="s">
        <v>194</v>
      </c>
      <c r="AB38" s="846" t="s">
        <v>194</v>
      </c>
      <c r="AC38" s="846" t="s">
        <v>194</v>
      </c>
      <c r="AD38" s="846" t="s">
        <v>194</v>
      </c>
      <c r="AE38" s="846" t="s">
        <v>194</v>
      </c>
      <c r="AF38" s="846" t="s">
        <v>194</v>
      </c>
      <c r="AG38" s="846" t="s">
        <v>194</v>
      </c>
      <c r="AH38" s="846" t="s">
        <v>194</v>
      </c>
      <c r="AI38" s="846" t="s">
        <v>194</v>
      </c>
      <c r="AJ38" s="846" t="s">
        <v>194</v>
      </c>
      <c r="AK38" s="846" t="s">
        <v>194</v>
      </c>
      <c r="AL38" s="846" t="s">
        <v>194</v>
      </c>
      <c r="AM38" s="846" t="s">
        <v>194</v>
      </c>
      <c r="AN38" s="846" t="s">
        <v>194</v>
      </c>
    </row>
    <row r="39" ht="15.75" customHeight="1">
      <c r="A39" s="849">
        <v>1.0</v>
      </c>
      <c r="B39" s="15"/>
      <c r="C39" s="855" t="str">
        <f>IF(SUBTOTAL(109,A40)=A40,"Basic EPS","Basic EPS")</f>
        <v>Basic EPS</v>
      </c>
      <c r="D39" s="867" t="str">
        <f t="shared" si="1"/>
        <v>#VALUE!</v>
      </c>
      <c r="E39" s="867" t="str">
        <f t="shared" si="2"/>
        <v>#VALUE!</v>
      </c>
      <c r="F39" s="867" t="str">
        <f t="shared" si="3"/>
        <v>#VALUE!</v>
      </c>
      <c r="G39" s="867" t="str">
        <f t="shared" si="4"/>
        <v>#VALUE!</v>
      </c>
      <c r="H39" s="867" t="str">
        <f t="shared" si="5"/>
        <v>#VALUE!</v>
      </c>
      <c r="I39" s="867" t="str">
        <f t="shared" si="6"/>
        <v>#VALUE!</v>
      </c>
      <c r="J39" s="867" t="str">
        <f t="shared" si="7"/>
        <v/>
      </c>
      <c r="K39" s="867" t="str">
        <f t="shared" si="8"/>
        <v/>
      </c>
      <c r="L39" s="867" t="s">
        <v>194</v>
      </c>
      <c r="M39" s="867" t="str">
        <f>IF(SUBTOTAL(109,#REF!)=#REF!,"","")</f>
        <v>#VALUE!</v>
      </c>
      <c r="N39" s="867" t="str">
        <f>IF(SUBTOTAL(109,#REF!)=#REF!,"",-1.57)</f>
        <v>#VALUE!</v>
      </c>
      <c r="O39" s="867" t="str">
        <f>IF(SUBTOTAL(109,A40)=A40,"",-3.95)</f>
        <v/>
      </c>
      <c r="P39" s="867">
        <f>IF(SUBTOTAL(109,C40)=C40,"",-1.3)</f>
        <v>-1.3</v>
      </c>
      <c r="Q39" s="867" t="str">
        <f>IF(SUBTOTAL(109,E40)=E40,"",-2.02)</f>
        <v/>
      </c>
      <c r="R39" s="15"/>
      <c r="S39" s="851" t="s">
        <v>194</v>
      </c>
      <c r="T39" s="846" t="s">
        <v>194</v>
      </c>
      <c r="U39" s="846" t="s">
        <v>194</v>
      </c>
      <c r="V39" s="846" t="s">
        <v>194</v>
      </c>
      <c r="W39" s="846" t="s">
        <v>194</v>
      </c>
      <c r="X39" s="846" t="s">
        <v>194</v>
      </c>
      <c r="Y39" s="846" t="s">
        <v>194</v>
      </c>
      <c r="Z39" s="846" t="s">
        <v>194</v>
      </c>
      <c r="AA39" s="846" t="s">
        <v>194</v>
      </c>
      <c r="AB39" s="846" t="s">
        <v>194</v>
      </c>
      <c r="AC39" s="846" t="s">
        <v>194</v>
      </c>
      <c r="AD39" s="846" t="s">
        <v>194</v>
      </c>
      <c r="AE39" s="846" t="s">
        <v>194</v>
      </c>
      <c r="AF39" s="846" t="s">
        <v>194</v>
      </c>
      <c r="AG39" s="846" t="s">
        <v>194</v>
      </c>
      <c r="AH39" s="846" t="s">
        <v>194</v>
      </c>
      <c r="AI39" s="846" t="s">
        <v>194</v>
      </c>
      <c r="AJ39" s="846" t="s">
        <v>194</v>
      </c>
      <c r="AK39" s="846" t="s">
        <v>194</v>
      </c>
      <c r="AL39" s="846" t="s">
        <v>194</v>
      </c>
      <c r="AM39" s="846" t="s">
        <v>194</v>
      </c>
      <c r="AN39" s="846" t="s">
        <v>194</v>
      </c>
    </row>
    <row r="40" ht="15.75" customHeight="1" outlineLevel="1">
      <c r="A40" s="849">
        <v>1.0</v>
      </c>
      <c r="B40" s="15"/>
      <c r="C40" s="869" t="str">
        <f>"    Basic EPS from Continuing Operations"</f>
        <v>    Basic EPS from Continuing Operations</v>
      </c>
      <c r="D40" s="871">
        <f t="shared" si="1"/>
        <v>-1.795</v>
      </c>
      <c r="E40" s="871">
        <f t="shared" si="2"/>
        <v>-2.21</v>
      </c>
      <c r="F40" s="871">
        <f t="shared" si="3"/>
        <v>-3.95</v>
      </c>
      <c r="G40" s="871">
        <f t="shared" si="4"/>
        <v>-1.3</v>
      </c>
      <c r="H40" s="871">
        <f t="shared" si="5"/>
        <v>-2.5025</v>
      </c>
      <c r="I40" s="871">
        <f t="shared" si="6"/>
        <v>-1.5025</v>
      </c>
      <c r="J40" s="871">
        <f t="shared" si="7"/>
        <v>1.19741388</v>
      </c>
      <c r="K40" s="871">
        <f t="shared" si="8"/>
        <v>-0.5418162353</v>
      </c>
      <c r="L40" s="928" t="s">
        <v>194</v>
      </c>
      <c r="M40" s="928" t="s">
        <v>194</v>
      </c>
      <c r="N40" s="928">
        <v>-1.57</v>
      </c>
      <c r="O40" s="928">
        <v>-3.95</v>
      </c>
      <c r="P40" s="928">
        <v>-1.3</v>
      </c>
      <c r="Q40" s="928">
        <v>-2.02</v>
      </c>
      <c r="R40" s="15"/>
      <c r="S40" s="851" t="s">
        <v>194</v>
      </c>
      <c r="T40" s="846" t="s">
        <v>194</v>
      </c>
      <c r="U40" s="846" t="s">
        <v>194</v>
      </c>
      <c r="V40" s="846" t="s">
        <v>194</v>
      </c>
      <c r="W40" s="846" t="s">
        <v>194</v>
      </c>
      <c r="X40" s="846" t="s">
        <v>194</v>
      </c>
      <c r="Y40" s="846" t="s">
        <v>194</v>
      </c>
      <c r="Z40" s="846" t="s">
        <v>194</v>
      </c>
      <c r="AA40" s="846" t="s">
        <v>194</v>
      </c>
      <c r="AB40" s="846" t="s">
        <v>194</v>
      </c>
      <c r="AC40" s="846" t="s">
        <v>194</v>
      </c>
      <c r="AD40" s="846" t="s">
        <v>194</v>
      </c>
      <c r="AE40" s="846" t="s">
        <v>194</v>
      </c>
      <c r="AF40" s="846" t="s">
        <v>194</v>
      </c>
      <c r="AG40" s="846" t="s">
        <v>194</v>
      </c>
      <c r="AH40" s="846" t="s">
        <v>194</v>
      </c>
      <c r="AI40" s="846" t="s">
        <v>194</v>
      </c>
      <c r="AJ40" s="846" t="s">
        <v>194</v>
      </c>
      <c r="AK40" s="846" t="s">
        <v>194</v>
      </c>
      <c r="AL40" s="846" t="s">
        <v>194</v>
      </c>
      <c r="AM40" s="846" t="s">
        <v>194</v>
      </c>
      <c r="AN40" s="846" t="s">
        <v>194</v>
      </c>
    </row>
    <row r="41" ht="15.75" customHeight="1" outlineLevel="1">
      <c r="A41" s="849">
        <v>1.0</v>
      </c>
      <c r="B41" s="15"/>
      <c r="C41" s="869" t="str">
        <f>"    Basic EPS from Discontinued Operations"</f>
        <v>    Basic EPS from Discontinued Operations</v>
      </c>
      <c r="D41" s="871">
        <f t="shared" si="1"/>
        <v>0</v>
      </c>
      <c r="E41" s="871">
        <f t="shared" si="2"/>
        <v>0</v>
      </c>
      <c r="F41" s="871">
        <f t="shared" si="3"/>
        <v>0</v>
      </c>
      <c r="G41" s="871">
        <f t="shared" si="4"/>
        <v>0</v>
      </c>
      <c r="H41" s="871">
        <f t="shared" si="5"/>
        <v>0</v>
      </c>
      <c r="I41" s="871">
        <f t="shared" si="6"/>
        <v>0</v>
      </c>
      <c r="J41" s="871">
        <f t="shared" si="7"/>
        <v>0</v>
      </c>
      <c r="K41" s="871" t="str">
        <f t="shared" si="8"/>
        <v>#DIV/0!</v>
      </c>
      <c r="L41" s="928" t="s">
        <v>194</v>
      </c>
      <c r="M41" s="928" t="s">
        <v>194</v>
      </c>
      <c r="N41" s="928">
        <v>0.0</v>
      </c>
      <c r="O41" s="928">
        <v>0.0</v>
      </c>
      <c r="P41" s="928">
        <v>0.0</v>
      </c>
      <c r="Q41" s="928" t="s">
        <v>194</v>
      </c>
      <c r="R41" s="15"/>
      <c r="S41" s="851" t="s">
        <v>194</v>
      </c>
      <c r="T41" s="846" t="s">
        <v>194</v>
      </c>
      <c r="U41" s="846" t="s">
        <v>194</v>
      </c>
      <c r="V41" s="846" t="s">
        <v>194</v>
      </c>
      <c r="W41" s="846" t="s">
        <v>194</v>
      </c>
      <c r="X41" s="846" t="s">
        <v>194</v>
      </c>
      <c r="Y41" s="846" t="s">
        <v>194</v>
      </c>
      <c r="Z41" s="846" t="s">
        <v>194</v>
      </c>
      <c r="AA41" s="846" t="s">
        <v>194</v>
      </c>
      <c r="AB41" s="846" t="s">
        <v>194</v>
      </c>
      <c r="AC41" s="846" t="s">
        <v>194</v>
      </c>
      <c r="AD41" s="846" t="s">
        <v>194</v>
      </c>
      <c r="AE41" s="846" t="s">
        <v>194</v>
      </c>
      <c r="AF41" s="846" t="s">
        <v>194</v>
      </c>
      <c r="AG41" s="846" t="s">
        <v>194</v>
      </c>
      <c r="AH41" s="846" t="s">
        <v>194</v>
      </c>
      <c r="AI41" s="846" t="s">
        <v>194</v>
      </c>
      <c r="AJ41" s="846" t="s">
        <v>194</v>
      </c>
      <c r="AK41" s="846" t="s">
        <v>194</v>
      </c>
      <c r="AL41" s="846" t="s">
        <v>194</v>
      </c>
      <c r="AM41" s="846" t="s">
        <v>194</v>
      </c>
      <c r="AN41" s="846" t="s">
        <v>194</v>
      </c>
    </row>
    <row r="42" ht="15.75" customHeight="1" outlineLevel="1">
      <c r="A42" s="849">
        <v>1.0</v>
      </c>
      <c r="B42" s="15"/>
      <c r="C42" s="855" t="str">
        <f>"    Total Basic EPS"</f>
        <v>    Total Basic EPS</v>
      </c>
      <c r="D42" s="883">
        <f t="shared" si="1"/>
        <v>-1.795</v>
      </c>
      <c r="E42" s="883">
        <f t="shared" si="2"/>
        <v>-2.21</v>
      </c>
      <c r="F42" s="883">
        <f t="shared" si="3"/>
        <v>-3.95</v>
      </c>
      <c r="G42" s="883">
        <f t="shared" si="4"/>
        <v>-1.3</v>
      </c>
      <c r="H42" s="883">
        <f t="shared" si="5"/>
        <v>-2.5025</v>
      </c>
      <c r="I42" s="883">
        <f t="shared" si="6"/>
        <v>-1.5025</v>
      </c>
      <c r="J42" s="883">
        <f t="shared" si="7"/>
        <v>1.19741388</v>
      </c>
      <c r="K42" s="883">
        <f t="shared" si="8"/>
        <v>-0.5418162353</v>
      </c>
      <c r="L42" s="883" t="s">
        <v>194</v>
      </c>
      <c r="M42" s="883" t="s">
        <v>194</v>
      </c>
      <c r="N42" s="883">
        <v>-1.57</v>
      </c>
      <c r="O42" s="883">
        <v>-3.95</v>
      </c>
      <c r="P42" s="883">
        <v>-1.3</v>
      </c>
      <c r="Q42" s="883">
        <v>-2.02</v>
      </c>
      <c r="R42" s="15"/>
      <c r="S42" s="851" t="s">
        <v>194</v>
      </c>
      <c r="T42" s="846" t="s">
        <v>194</v>
      </c>
      <c r="U42" s="846" t="s">
        <v>194</v>
      </c>
      <c r="V42" s="846" t="s">
        <v>194</v>
      </c>
      <c r="W42" s="846" t="s">
        <v>194</v>
      </c>
      <c r="X42" s="846" t="s">
        <v>194</v>
      </c>
      <c r="Y42" s="846" t="s">
        <v>194</v>
      </c>
      <c r="Z42" s="846" t="s">
        <v>194</v>
      </c>
      <c r="AA42" s="846" t="s">
        <v>194</v>
      </c>
      <c r="AB42" s="846" t="s">
        <v>194</v>
      </c>
      <c r="AC42" s="846" t="s">
        <v>194</v>
      </c>
      <c r="AD42" s="846" t="s">
        <v>194</v>
      </c>
      <c r="AE42" s="846" t="s">
        <v>194</v>
      </c>
      <c r="AF42" s="846" t="s">
        <v>194</v>
      </c>
      <c r="AG42" s="846" t="s">
        <v>194</v>
      </c>
      <c r="AH42" s="846" t="s">
        <v>194</v>
      </c>
      <c r="AI42" s="846" t="s">
        <v>194</v>
      </c>
      <c r="AJ42" s="846" t="s">
        <v>194</v>
      </c>
      <c r="AK42" s="846" t="s">
        <v>194</v>
      </c>
      <c r="AL42" s="846" t="s">
        <v>194</v>
      </c>
      <c r="AM42" s="846" t="s">
        <v>194</v>
      </c>
      <c r="AN42" s="846" t="s">
        <v>194</v>
      </c>
    </row>
    <row r="43" ht="15.75" customHeight="1">
      <c r="A43" s="849">
        <v>1.0</v>
      </c>
      <c r="B43" s="15"/>
      <c r="C43" s="855" t="str">
        <f>IF(SUBTOTAL(109,A44)=A44,"Diluted EPS","Diluted EPS")</f>
        <v>Diluted EPS</v>
      </c>
      <c r="D43" s="867" t="str">
        <f t="shared" si="1"/>
        <v>#VALUE!</v>
      </c>
      <c r="E43" s="867" t="str">
        <f t="shared" si="2"/>
        <v>#VALUE!</v>
      </c>
      <c r="F43" s="867" t="str">
        <f t="shared" si="3"/>
        <v>#VALUE!</v>
      </c>
      <c r="G43" s="867" t="str">
        <f t="shared" si="4"/>
        <v>#VALUE!</v>
      </c>
      <c r="H43" s="867" t="str">
        <f t="shared" si="5"/>
        <v>#VALUE!</v>
      </c>
      <c r="I43" s="867" t="str">
        <f t="shared" si="6"/>
        <v>#VALUE!</v>
      </c>
      <c r="J43" s="867" t="str">
        <f t="shared" si="7"/>
        <v/>
      </c>
      <c r="K43" s="867" t="str">
        <f t="shared" si="8"/>
        <v/>
      </c>
      <c r="L43" s="867" t="s">
        <v>194</v>
      </c>
      <c r="M43" s="867" t="str">
        <f>IF(SUBTOTAL(109,#REF!)=#REF!,"","")</f>
        <v>#VALUE!</v>
      </c>
      <c r="N43" s="867" t="str">
        <f>IF(SUBTOTAL(109,#REF!)=#REF!,"",-1.57)</f>
        <v>#VALUE!</v>
      </c>
      <c r="O43" s="867" t="str">
        <f>IF(SUBTOTAL(109,A44)=A44,"",-3.95)</f>
        <v/>
      </c>
      <c r="P43" s="867">
        <f>IF(SUBTOTAL(109,C44)=C44,"",-1.3)</f>
        <v>-1.3</v>
      </c>
      <c r="Q43" s="867" t="str">
        <f>IF(SUBTOTAL(109,E44)=E44,"",-2.02)</f>
        <v/>
      </c>
      <c r="R43" s="15"/>
      <c r="S43" s="851" t="s">
        <v>194</v>
      </c>
      <c r="T43" s="846" t="s">
        <v>194</v>
      </c>
      <c r="U43" s="846" t="s">
        <v>194</v>
      </c>
      <c r="V43" s="846" t="s">
        <v>194</v>
      </c>
      <c r="W43" s="846" t="s">
        <v>194</v>
      </c>
      <c r="X43" s="846" t="s">
        <v>194</v>
      </c>
      <c r="Y43" s="846" t="s">
        <v>194</v>
      </c>
      <c r="Z43" s="846" t="s">
        <v>194</v>
      </c>
      <c r="AA43" s="846" t="s">
        <v>194</v>
      </c>
      <c r="AB43" s="846" t="s">
        <v>194</v>
      </c>
      <c r="AC43" s="846" t="s">
        <v>194</v>
      </c>
      <c r="AD43" s="846" t="s">
        <v>194</v>
      </c>
      <c r="AE43" s="846" t="s">
        <v>194</v>
      </c>
      <c r="AF43" s="846" t="s">
        <v>194</v>
      </c>
      <c r="AG43" s="846" t="s">
        <v>194</v>
      </c>
      <c r="AH43" s="846" t="s">
        <v>194</v>
      </c>
      <c r="AI43" s="846" t="s">
        <v>194</v>
      </c>
      <c r="AJ43" s="846" t="s">
        <v>194</v>
      </c>
      <c r="AK43" s="846" t="s">
        <v>194</v>
      </c>
      <c r="AL43" s="846" t="s">
        <v>194</v>
      </c>
      <c r="AM43" s="846" t="s">
        <v>194</v>
      </c>
      <c r="AN43" s="846" t="s">
        <v>194</v>
      </c>
    </row>
    <row r="44" ht="15.75" customHeight="1" outlineLevel="1">
      <c r="A44" s="849">
        <v>1.0</v>
      </c>
      <c r="B44" s="15"/>
      <c r="C44" s="869" t="str">
        <f>"    Diluted EPS from Continuing Operations"</f>
        <v>    Diluted EPS from Continuing Operations</v>
      </c>
      <c r="D44" s="871">
        <f t="shared" si="1"/>
        <v>-1.795</v>
      </c>
      <c r="E44" s="871">
        <f t="shared" si="2"/>
        <v>-2.21</v>
      </c>
      <c r="F44" s="871">
        <f t="shared" si="3"/>
        <v>-3.95</v>
      </c>
      <c r="G44" s="871">
        <f t="shared" si="4"/>
        <v>-1.3</v>
      </c>
      <c r="H44" s="871">
        <f t="shared" si="5"/>
        <v>-2.5025</v>
      </c>
      <c r="I44" s="871">
        <f t="shared" si="6"/>
        <v>-1.5025</v>
      </c>
      <c r="J44" s="871">
        <f t="shared" si="7"/>
        <v>1.19741388</v>
      </c>
      <c r="K44" s="871">
        <f t="shared" si="8"/>
        <v>-0.5418162353</v>
      </c>
      <c r="L44" s="928" t="s">
        <v>194</v>
      </c>
      <c r="M44" s="928" t="s">
        <v>194</v>
      </c>
      <c r="N44" s="928">
        <v>-1.57</v>
      </c>
      <c r="O44" s="928">
        <v>-3.95</v>
      </c>
      <c r="P44" s="928">
        <v>-1.3</v>
      </c>
      <c r="Q44" s="928">
        <v>-2.02</v>
      </c>
      <c r="R44" s="15"/>
      <c r="S44" s="851" t="s">
        <v>194</v>
      </c>
      <c r="T44" s="846" t="s">
        <v>194</v>
      </c>
      <c r="U44" s="846" t="s">
        <v>194</v>
      </c>
      <c r="V44" s="846" t="s">
        <v>194</v>
      </c>
      <c r="W44" s="846" t="s">
        <v>194</v>
      </c>
      <c r="X44" s="846" t="s">
        <v>194</v>
      </c>
      <c r="Y44" s="846" t="s">
        <v>194</v>
      </c>
      <c r="Z44" s="846" t="s">
        <v>194</v>
      </c>
      <c r="AA44" s="846" t="s">
        <v>194</v>
      </c>
      <c r="AB44" s="846" t="s">
        <v>194</v>
      </c>
      <c r="AC44" s="846" t="s">
        <v>194</v>
      </c>
      <c r="AD44" s="846" t="s">
        <v>194</v>
      </c>
      <c r="AE44" s="846" t="s">
        <v>194</v>
      </c>
      <c r="AF44" s="846" t="s">
        <v>194</v>
      </c>
      <c r="AG44" s="846" t="s">
        <v>194</v>
      </c>
      <c r="AH44" s="846" t="s">
        <v>194</v>
      </c>
      <c r="AI44" s="846" t="s">
        <v>194</v>
      </c>
      <c r="AJ44" s="846" t="s">
        <v>194</v>
      </c>
      <c r="AK44" s="846" t="s">
        <v>194</v>
      </c>
      <c r="AL44" s="846" t="s">
        <v>194</v>
      </c>
      <c r="AM44" s="846" t="s">
        <v>194</v>
      </c>
      <c r="AN44" s="846" t="s">
        <v>194</v>
      </c>
    </row>
    <row r="45" ht="15.75" customHeight="1" outlineLevel="1">
      <c r="A45" s="849">
        <v>1.0</v>
      </c>
      <c r="B45" s="15"/>
      <c r="C45" s="869" t="str">
        <f>"    Diluted EPS from Discontinued Operations"</f>
        <v>    Diluted EPS from Discontinued Operations</v>
      </c>
      <c r="D45" s="871">
        <f t="shared" si="1"/>
        <v>0</v>
      </c>
      <c r="E45" s="871">
        <f t="shared" si="2"/>
        <v>0</v>
      </c>
      <c r="F45" s="871">
        <f t="shared" si="3"/>
        <v>0</v>
      </c>
      <c r="G45" s="871">
        <f t="shared" si="4"/>
        <v>0</v>
      </c>
      <c r="H45" s="871">
        <f t="shared" si="5"/>
        <v>0</v>
      </c>
      <c r="I45" s="871">
        <f t="shared" si="6"/>
        <v>0</v>
      </c>
      <c r="J45" s="871">
        <f t="shared" si="7"/>
        <v>0</v>
      </c>
      <c r="K45" s="871" t="str">
        <f t="shared" si="8"/>
        <v>#DIV/0!</v>
      </c>
      <c r="L45" s="928" t="s">
        <v>194</v>
      </c>
      <c r="M45" s="928" t="s">
        <v>194</v>
      </c>
      <c r="N45" s="928">
        <v>0.0</v>
      </c>
      <c r="O45" s="928">
        <v>0.0</v>
      </c>
      <c r="P45" s="928">
        <v>0.0</v>
      </c>
      <c r="Q45" s="928" t="s">
        <v>194</v>
      </c>
      <c r="R45" s="15"/>
      <c r="S45" s="851" t="s">
        <v>194</v>
      </c>
      <c r="T45" s="846" t="s">
        <v>194</v>
      </c>
      <c r="U45" s="846" t="s">
        <v>194</v>
      </c>
      <c r="V45" s="846" t="s">
        <v>194</v>
      </c>
      <c r="W45" s="846" t="s">
        <v>194</v>
      </c>
      <c r="X45" s="846" t="s">
        <v>194</v>
      </c>
      <c r="Y45" s="846" t="s">
        <v>194</v>
      </c>
      <c r="Z45" s="846" t="s">
        <v>194</v>
      </c>
      <c r="AA45" s="846" t="s">
        <v>194</v>
      </c>
      <c r="AB45" s="846" t="s">
        <v>194</v>
      </c>
      <c r="AC45" s="846" t="s">
        <v>194</v>
      </c>
      <c r="AD45" s="846" t="s">
        <v>194</v>
      </c>
      <c r="AE45" s="846" t="s">
        <v>194</v>
      </c>
      <c r="AF45" s="846" t="s">
        <v>194</v>
      </c>
      <c r="AG45" s="846" t="s">
        <v>194</v>
      </c>
      <c r="AH45" s="846" t="s">
        <v>194</v>
      </c>
      <c r="AI45" s="846" t="s">
        <v>194</v>
      </c>
      <c r="AJ45" s="846" t="s">
        <v>194</v>
      </c>
      <c r="AK45" s="846" t="s">
        <v>194</v>
      </c>
      <c r="AL45" s="846" t="s">
        <v>194</v>
      </c>
      <c r="AM45" s="846" t="s">
        <v>194</v>
      </c>
      <c r="AN45" s="846" t="s">
        <v>194</v>
      </c>
    </row>
    <row r="46" ht="15.75" customHeight="1" outlineLevel="1">
      <c r="A46" s="849">
        <v>1.0</v>
      </c>
      <c r="B46" s="15"/>
      <c r="C46" s="855" t="str">
        <f>"    Total Diluted EPS"</f>
        <v>    Total Diluted EPS</v>
      </c>
      <c r="D46" s="883">
        <f t="shared" si="1"/>
        <v>-1.795</v>
      </c>
      <c r="E46" s="883">
        <f t="shared" si="2"/>
        <v>-2.21</v>
      </c>
      <c r="F46" s="883">
        <f t="shared" si="3"/>
        <v>-3.95</v>
      </c>
      <c r="G46" s="883">
        <f t="shared" si="4"/>
        <v>-1.3</v>
      </c>
      <c r="H46" s="883">
        <f t="shared" si="5"/>
        <v>-2.5025</v>
      </c>
      <c r="I46" s="883">
        <f t="shared" si="6"/>
        <v>-1.5025</v>
      </c>
      <c r="J46" s="883">
        <f t="shared" si="7"/>
        <v>1.19741388</v>
      </c>
      <c r="K46" s="883">
        <f t="shared" si="8"/>
        <v>-0.5418162353</v>
      </c>
      <c r="L46" s="883" t="s">
        <v>194</v>
      </c>
      <c r="M46" s="883" t="s">
        <v>194</v>
      </c>
      <c r="N46" s="883">
        <v>-1.57</v>
      </c>
      <c r="O46" s="883">
        <v>-3.95</v>
      </c>
      <c r="P46" s="883">
        <v>-1.3</v>
      </c>
      <c r="Q46" s="883">
        <v>-2.02</v>
      </c>
      <c r="R46" s="15"/>
      <c r="S46" s="851" t="s">
        <v>194</v>
      </c>
      <c r="T46" s="846" t="s">
        <v>194</v>
      </c>
      <c r="U46" s="846" t="s">
        <v>194</v>
      </c>
      <c r="V46" s="846" t="s">
        <v>194</v>
      </c>
      <c r="W46" s="846" t="s">
        <v>194</v>
      </c>
      <c r="X46" s="846" t="s">
        <v>194</v>
      </c>
      <c r="Y46" s="846" t="s">
        <v>194</v>
      </c>
      <c r="Z46" s="846" t="s">
        <v>194</v>
      </c>
      <c r="AA46" s="846" t="s">
        <v>194</v>
      </c>
      <c r="AB46" s="846" t="s">
        <v>194</v>
      </c>
      <c r="AC46" s="846" t="s">
        <v>194</v>
      </c>
      <c r="AD46" s="846" t="s">
        <v>194</v>
      </c>
      <c r="AE46" s="846" t="s">
        <v>194</v>
      </c>
      <c r="AF46" s="846" t="s">
        <v>194</v>
      </c>
      <c r="AG46" s="846" t="s">
        <v>194</v>
      </c>
      <c r="AH46" s="846" t="s">
        <v>194</v>
      </c>
      <c r="AI46" s="846" t="s">
        <v>194</v>
      </c>
      <c r="AJ46" s="846" t="s">
        <v>194</v>
      </c>
      <c r="AK46" s="846" t="s">
        <v>194</v>
      </c>
      <c r="AL46" s="846" t="s">
        <v>194</v>
      </c>
      <c r="AM46" s="846" t="s">
        <v>194</v>
      </c>
      <c r="AN46" s="846" t="s">
        <v>194</v>
      </c>
    </row>
    <row r="47" ht="15.75" customHeight="1">
      <c r="A47" s="849">
        <v>1.0</v>
      </c>
      <c r="B47" s="15"/>
      <c r="C47" s="855" t="str">
        <f>"Basic Weighted Average Shares Outstanding"</f>
        <v>Basic Weighted Average Shares Outstanding</v>
      </c>
      <c r="D47" s="866">
        <f t="shared" si="1"/>
        <v>18527387</v>
      </c>
      <c r="E47" s="866">
        <f t="shared" si="2"/>
        <v>16556619.75</v>
      </c>
      <c r="F47" s="866">
        <f t="shared" si="3"/>
        <v>5285847</v>
      </c>
      <c r="G47" s="866">
        <f t="shared" si="4"/>
        <v>23885858</v>
      </c>
      <c r="H47" s="866">
        <f t="shared" si="5"/>
        <v>12142047</v>
      </c>
      <c r="I47" s="866">
        <f t="shared" si="6"/>
        <v>22941959.75</v>
      </c>
      <c r="J47" s="866">
        <f t="shared" si="7"/>
        <v>8604938.792</v>
      </c>
      <c r="K47" s="867">
        <f t="shared" si="8"/>
        <v>0.5197279953</v>
      </c>
      <c r="L47" s="866" t="s">
        <v>194</v>
      </c>
      <c r="M47" s="866" t="s">
        <v>194</v>
      </c>
      <c r="N47" s="866">
        <v>1.4427447E7</v>
      </c>
      <c r="O47" s="866">
        <v>5285847.0</v>
      </c>
      <c r="P47" s="866">
        <v>2.2627327E7</v>
      </c>
      <c r="Q47" s="866">
        <v>2.3885858E7</v>
      </c>
      <c r="R47" s="15"/>
      <c r="S47" s="851" t="s">
        <v>194</v>
      </c>
      <c r="T47" s="846" t="s">
        <v>194</v>
      </c>
      <c r="U47" s="846" t="s">
        <v>194</v>
      </c>
      <c r="V47" s="846" t="s">
        <v>194</v>
      </c>
      <c r="W47" s="846" t="s">
        <v>194</v>
      </c>
      <c r="X47" s="846" t="s">
        <v>194</v>
      </c>
      <c r="Y47" s="846" t="s">
        <v>194</v>
      </c>
      <c r="Z47" s="846" t="s">
        <v>194</v>
      </c>
      <c r="AA47" s="846" t="s">
        <v>194</v>
      </c>
      <c r="AB47" s="846" t="s">
        <v>194</v>
      </c>
      <c r="AC47" s="846" t="s">
        <v>194</v>
      </c>
      <c r="AD47" s="846" t="s">
        <v>194</v>
      </c>
      <c r="AE47" s="846" t="s">
        <v>194</v>
      </c>
      <c r="AF47" s="846" t="s">
        <v>194</v>
      </c>
      <c r="AG47" s="846" t="s">
        <v>194</v>
      </c>
      <c r="AH47" s="846" t="s">
        <v>194</v>
      </c>
      <c r="AI47" s="846" t="s">
        <v>194</v>
      </c>
      <c r="AJ47" s="846" t="s">
        <v>194</v>
      </c>
      <c r="AK47" s="846" t="s">
        <v>194</v>
      </c>
      <c r="AL47" s="846" t="s">
        <v>194</v>
      </c>
      <c r="AM47" s="846" t="s">
        <v>194</v>
      </c>
      <c r="AN47" s="846" t="s">
        <v>194</v>
      </c>
    </row>
    <row r="48" ht="15.75" customHeight="1">
      <c r="A48" s="849">
        <v>1.0</v>
      </c>
      <c r="B48" s="15"/>
      <c r="C48" s="855" t="str">
        <f>"Diluted Weighted Average Shares Outstanding"</f>
        <v>Diluted Weighted Average Shares Outstanding</v>
      </c>
      <c r="D48" s="866">
        <f t="shared" si="1"/>
        <v>18527387</v>
      </c>
      <c r="E48" s="866">
        <f t="shared" si="2"/>
        <v>16556619.75</v>
      </c>
      <c r="F48" s="866">
        <f t="shared" si="3"/>
        <v>5285847</v>
      </c>
      <c r="G48" s="866">
        <f t="shared" si="4"/>
        <v>23885858</v>
      </c>
      <c r="H48" s="866">
        <f t="shared" si="5"/>
        <v>12142047</v>
      </c>
      <c r="I48" s="866">
        <f t="shared" si="6"/>
        <v>22941959.75</v>
      </c>
      <c r="J48" s="866">
        <f t="shared" si="7"/>
        <v>8604938.792</v>
      </c>
      <c r="K48" s="867">
        <f t="shared" si="8"/>
        <v>0.5197279953</v>
      </c>
      <c r="L48" s="866" t="s">
        <v>194</v>
      </c>
      <c r="M48" s="866" t="s">
        <v>194</v>
      </c>
      <c r="N48" s="866">
        <v>1.4427447E7</v>
      </c>
      <c r="O48" s="866">
        <v>5285847.0</v>
      </c>
      <c r="P48" s="866">
        <v>2.2627327E7</v>
      </c>
      <c r="Q48" s="866">
        <v>2.3885858E7</v>
      </c>
      <c r="R48" s="15"/>
      <c r="S48" s="851" t="s">
        <v>194</v>
      </c>
      <c r="T48" s="846" t="s">
        <v>194</v>
      </c>
      <c r="U48" s="846" t="s">
        <v>194</v>
      </c>
      <c r="V48" s="846" t="s">
        <v>194</v>
      </c>
      <c r="W48" s="846" t="s">
        <v>194</v>
      </c>
      <c r="X48" s="846" t="s">
        <v>194</v>
      </c>
      <c r="Y48" s="846" t="s">
        <v>194</v>
      </c>
      <c r="Z48" s="846" t="s">
        <v>194</v>
      </c>
      <c r="AA48" s="846" t="s">
        <v>194</v>
      </c>
      <c r="AB48" s="846" t="s">
        <v>194</v>
      </c>
      <c r="AC48" s="846" t="s">
        <v>194</v>
      </c>
      <c r="AD48" s="846" t="s">
        <v>194</v>
      </c>
      <c r="AE48" s="846" t="s">
        <v>194</v>
      </c>
      <c r="AF48" s="846" t="s">
        <v>194</v>
      </c>
      <c r="AG48" s="846" t="s">
        <v>194</v>
      </c>
      <c r="AH48" s="846" t="s">
        <v>194</v>
      </c>
      <c r="AI48" s="846" t="s">
        <v>194</v>
      </c>
      <c r="AJ48" s="846" t="s">
        <v>194</v>
      </c>
      <c r="AK48" s="846" t="s">
        <v>194</v>
      </c>
      <c r="AL48" s="846" t="s">
        <v>194</v>
      </c>
      <c r="AM48" s="846" t="s">
        <v>194</v>
      </c>
      <c r="AN48" s="846" t="s">
        <v>194</v>
      </c>
    </row>
    <row r="49" ht="15.75" customHeight="1">
      <c r="A49" s="849">
        <v>1.0</v>
      </c>
      <c r="B49" s="15"/>
      <c r="C49" s="855" t="str">
        <f>"Income Statement Supplemental Section"</f>
        <v>Income Statement Supplemental Section</v>
      </c>
      <c r="D49" s="867" t="s">
        <v>194</v>
      </c>
      <c r="E49" s="867" t="s">
        <v>194</v>
      </c>
      <c r="F49" s="867" t="s">
        <v>194</v>
      </c>
      <c r="G49" s="867" t="s">
        <v>194</v>
      </c>
      <c r="H49" s="867" t="s">
        <v>194</v>
      </c>
      <c r="I49" s="867" t="s">
        <v>194</v>
      </c>
      <c r="J49" s="867" t="s">
        <v>194</v>
      </c>
      <c r="K49" s="867" t="s">
        <v>194</v>
      </c>
      <c r="L49" s="867" t="s">
        <v>194</v>
      </c>
      <c r="M49" s="867" t="s">
        <v>194</v>
      </c>
      <c r="N49" s="867" t="s">
        <v>194</v>
      </c>
      <c r="O49" s="867" t="s">
        <v>194</v>
      </c>
      <c r="P49" s="867" t="s">
        <v>194</v>
      </c>
      <c r="Q49" s="867" t="s">
        <v>194</v>
      </c>
      <c r="R49" s="15"/>
      <c r="S49" s="851" t="s">
        <v>194</v>
      </c>
      <c r="T49" s="846" t="s">
        <v>194</v>
      </c>
      <c r="U49" s="846" t="s">
        <v>194</v>
      </c>
      <c r="V49" s="846" t="s">
        <v>194</v>
      </c>
      <c r="W49" s="846" t="s">
        <v>194</v>
      </c>
      <c r="X49" s="846" t="s">
        <v>194</v>
      </c>
      <c r="Y49" s="846" t="s">
        <v>194</v>
      </c>
      <c r="Z49" s="846" t="s">
        <v>194</v>
      </c>
      <c r="AA49" s="846" t="s">
        <v>194</v>
      </c>
      <c r="AB49" s="846" t="s">
        <v>194</v>
      </c>
      <c r="AC49" s="846" t="s">
        <v>194</v>
      </c>
      <c r="AD49" s="846" t="s">
        <v>194</v>
      </c>
      <c r="AE49" s="846" t="s">
        <v>194</v>
      </c>
      <c r="AF49" s="846" t="s">
        <v>194</v>
      </c>
      <c r="AG49" s="846" t="s">
        <v>194</v>
      </c>
      <c r="AH49" s="846" t="s">
        <v>194</v>
      </c>
      <c r="AI49" s="846" t="s">
        <v>194</v>
      </c>
      <c r="AJ49" s="846" t="s">
        <v>194</v>
      </c>
      <c r="AK49" s="846" t="s">
        <v>194</v>
      </c>
      <c r="AL49" s="846" t="s">
        <v>194</v>
      </c>
      <c r="AM49" s="846" t="s">
        <v>194</v>
      </c>
      <c r="AN49" s="846" t="s">
        <v>194</v>
      </c>
    </row>
    <row r="50" ht="15.75" customHeight="1" outlineLevel="1">
      <c r="A50" s="849">
        <v>1.0</v>
      </c>
      <c r="B50" s="15"/>
      <c r="C50" s="869" t="str">
        <f>"    Reported Normalized and Operating Income/Expense Supplemental Section"</f>
        <v>    Reported Normalized and Operating Income/Expense Supplemental Section</v>
      </c>
      <c r="D50" s="889" t="s">
        <v>194</v>
      </c>
      <c r="E50" s="889" t="s">
        <v>194</v>
      </c>
      <c r="F50" s="889" t="s">
        <v>194</v>
      </c>
      <c r="G50" s="889" t="s">
        <v>194</v>
      </c>
      <c r="H50" s="889" t="s">
        <v>194</v>
      </c>
      <c r="I50" s="889" t="s">
        <v>194</v>
      </c>
      <c r="J50" s="889" t="s">
        <v>194</v>
      </c>
      <c r="K50" s="889" t="s">
        <v>194</v>
      </c>
      <c r="L50" s="890" t="s">
        <v>194</v>
      </c>
      <c r="M50" s="890" t="s">
        <v>194</v>
      </c>
      <c r="N50" s="890" t="s">
        <v>194</v>
      </c>
      <c r="O50" s="890" t="s">
        <v>194</v>
      </c>
      <c r="P50" s="890" t="s">
        <v>194</v>
      </c>
      <c r="Q50" s="890" t="s">
        <v>194</v>
      </c>
      <c r="R50" s="15"/>
      <c r="S50" s="851" t="s">
        <v>194</v>
      </c>
      <c r="T50" s="846" t="s">
        <v>194</v>
      </c>
      <c r="U50" s="846" t="s">
        <v>194</v>
      </c>
      <c r="V50" s="846" t="s">
        <v>194</v>
      </c>
      <c r="W50" s="846" t="s">
        <v>194</v>
      </c>
      <c r="X50" s="846" t="s">
        <v>194</v>
      </c>
      <c r="Y50" s="846" t="s">
        <v>194</v>
      </c>
      <c r="Z50" s="846" t="s">
        <v>194</v>
      </c>
      <c r="AA50" s="846" t="s">
        <v>194</v>
      </c>
      <c r="AB50" s="846" t="s">
        <v>194</v>
      </c>
      <c r="AC50" s="846" t="s">
        <v>194</v>
      </c>
      <c r="AD50" s="846" t="s">
        <v>194</v>
      </c>
      <c r="AE50" s="846" t="s">
        <v>194</v>
      </c>
      <c r="AF50" s="846" t="s">
        <v>194</v>
      </c>
      <c r="AG50" s="846" t="s">
        <v>194</v>
      </c>
      <c r="AH50" s="846" t="s">
        <v>194</v>
      </c>
      <c r="AI50" s="846" t="s">
        <v>194</v>
      </c>
      <c r="AJ50" s="846" t="s">
        <v>194</v>
      </c>
      <c r="AK50" s="846" t="s">
        <v>194</v>
      </c>
      <c r="AL50" s="846" t="s">
        <v>194</v>
      </c>
      <c r="AM50" s="846" t="s">
        <v>194</v>
      </c>
      <c r="AN50" s="846" t="s">
        <v>194</v>
      </c>
    </row>
    <row r="51" ht="15.75" customHeight="1" outlineLevel="2">
      <c r="A51" s="916">
        <v>1.0</v>
      </c>
      <c r="B51" s="917"/>
      <c r="C51" s="918" t="str">
        <f>"        Reported Total Revenue"</f>
        <v>        Reported Total Revenue</v>
      </c>
      <c r="D51" s="919">
        <f t="shared" ref="D51:D53" si="14">IF(COUNT(M51:Q51)&gt;0,MEDIAN(M51:Q51),"")</f>
        <v>64072</v>
      </c>
      <c r="E51" s="919">
        <f t="shared" ref="E51:E53" si="15">IF(COUNT(M51:Q51)&gt;0,AVERAGE(M51:Q51),"")</f>
        <v>73552.6</v>
      </c>
      <c r="F51" s="919">
        <f t="shared" ref="F51:F53" si="16">IF(COUNT(M51:Q51)&gt;0,MIN(M51:Q51),"")</f>
        <v>21749</v>
      </c>
      <c r="G51" s="919">
        <f t="shared" ref="G51:G53" si="17">IF(COUNT(M51:Q51)&gt;0,MAX(M51:Q51),"")</f>
        <v>147293</v>
      </c>
      <c r="H51" s="919">
        <f t="shared" ref="H51:H53" si="18">IF(COUNT(M51:Q51)&gt;0,QUARTILE(M51:Q51,1),"")</f>
        <v>36140</v>
      </c>
      <c r="I51" s="919">
        <f t="shared" ref="I51:I53" si="19">IF(COUNT(M51:Q51)&gt;0,QUARTILE(M51:Q51,3),"")</f>
        <v>98509</v>
      </c>
      <c r="J51" s="919">
        <f t="shared" ref="J51:J53" si="20">IF(COUNT(M51:Q51)&gt;1,STDEV(M51:Q51),"")</f>
        <v>50580.79152</v>
      </c>
      <c r="K51" s="920">
        <f t="shared" ref="K51:K53" si="21">IF(COUNT(M51:Q51)&gt;1,STDEV(M51:Q51)/AVERAGE(M51:Q51),"")</f>
        <v>0.6876818972</v>
      </c>
      <c r="L51" s="919" t="s">
        <v>194</v>
      </c>
      <c r="M51" s="919">
        <v>21749.0</v>
      </c>
      <c r="N51" s="919">
        <v>36140.0</v>
      </c>
      <c r="O51" s="919">
        <v>64072.0</v>
      </c>
      <c r="P51" s="919">
        <v>98509.0</v>
      </c>
      <c r="Q51" s="919">
        <v>147293.0</v>
      </c>
      <c r="R51" s="917"/>
      <c r="S51" s="921" t="s">
        <v>194</v>
      </c>
      <c r="T51" s="917" t="s">
        <v>194</v>
      </c>
      <c r="U51" s="917" t="s">
        <v>194</v>
      </c>
      <c r="V51" s="917" t="s">
        <v>194</v>
      </c>
      <c r="W51" s="917" t="s">
        <v>194</v>
      </c>
      <c r="X51" s="917" t="s">
        <v>194</v>
      </c>
      <c r="Y51" s="917" t="s">
        <v>194</v>
      </c>
      <c r="Z51" s="917" t="s">
        <v>194</v>
      </c>
      <c r="AA51" s="917" t="s">
        <v>194</v>
      </c>
      <c r="AB51" s="917" t="s">
        <v>194</v>
      </c>
      <c r="AC51" s="917" t="s">
        <v>194</v>
      </c>
      <c r="AD51" s="917" t="s">
        <v>194</v>
      </c>
      <c r="AE51" s="917" t="s">
        <v>194</v>
      </c>
      <c r="AF51" s="917" t="s">
        <v>194</v>
      </c>
      <c r="AG51" s="917" t="s">
        <v>194</v>
      </c>
      <c r="AH51" s="917" t="s">
        <v>194</v>
      </c>
      <c r="AI51" s="917" t="s">
        <v>194</v>
      </c>
      <c r="AJ51" s="917" t="s">
        <v>194</v>
      </c>
      <c r="AK51" s="917" t="s">
        <v>194</v>
      </c>
      <c r="AL51" s="917" t="s">
        <v>194</v>
      </c>
      <c r="AM51" s="917" t="s">
        <v>194</v>
      </c>
      <c r="AN51" s="917" t="s">
        <v>194</v>
      </c>
    </row>
    <row r="52" ht="15.75" customHeight="1" outlineLevel="2">
      <c r="A52" s="916">
        <v>1.0</v>
      </c>
      <c r="B52" s="917"/>
      <c r="C52" s="918" t="str">
        <f>"        Reported Operating Expense"</f>
        <v>        Reported Operating Expense</v>
      </c>
      <c r="D52" s="919">
        <f t="shared" si="14"/>
        <v>-58771</v>
      </c>
      <c r="E52" s="919">
        <f t="shared" si="15"/>
        <v>-75633.8</v>
      </c>
      <c r="F52" s="919">
        <f t="shared" si="16"/>
        <v>-152332</v>
      </c>
      <c r="G52" s="919">
        <f t="shared" si="17"/>
        <v>-25923</v>
      </c>
      <c r="H52" s="919">
        <f t="shared" si="18"/>
        <v>-98072</v>
      </c>
      <c r="I52" s="919">
        <f t="shared" si="19"/>
        <v>-43071</v>
      </c>
      <c r="J52" s="919">
        <f t="shared" si="20"/>
        <v>50502.32744</v>
      </c>
      <c r="K52" s="920">
        <f t="shared" si="21"/>
        <v>-0.6677216726</v>
      </c>
      <c r="L52" s="919" t="s">
        <v>194</v>
      </c>
      <c r="M52" s="919">
        <v>-25923.0</v>
      </c>
      <c r="N52" s="919">
        <v>-43071.0</v>
      </c>
      <c r="O52" s="919">
        <v>-58771.0</v>
      </c>
      <c r="P52" s="919">
        <v>-98072.0</v>
      </c>
      <c r="Q52" s="919">
        <v>-152332.0</v>
      </c>
      <c r="R52" s="917"/>
      <c r="S52" s="921" t="s">
        <v>194</v>
      </c>
      <c r="T52" s="917" t="s">
        <v>194</v>
      </c>
      <c r="U52" s="917" t="s">
        <v>194</v>
      </c>
      <c r="V52" s="917" t="s">
        <v>194</v>
      </c>
      <c r="W52" s="917" t="s">
        <v>194</v>
      </c>
      <c r="X52" s="917" t="s">
        <v>194</v>
      </c>
      <c r="Y52" s="917" t="s">
        <v>194</v>
      </c>
      <c r="Z52" s="917" t="s">
        <v>194</v>
      </c>
      <c r="AA52" s="917" t="s">
        <v>194</v>
      </c>
      <c r="AB52" s="917" t="s">
        <v>194</v>
      </c>
      <c r="AC52" s="917" t="s">
        <v>194</v>
      </c>
      <c r="AD52" s="917" t="s">
        <v>194</v>
      </c>
      <c r="AE52" s="917" t="s">
        <v>194</v>
      </c>
      <c r="AF52" s="917" t="s">
        <v>194</v>
      </c>
      <c r="AG52" s="917" t="s">
        <v>194</v>
      </c>
      <c r="AH52" s="917" t="s">
        <v>194</v>
      </c>
      <c r="AI52" s="917" t="s">
        <v>194</v>
      </c>
      <c r="AJ52" s="917" t="s">
        <v>194</v>
      </c>
      <c r="AK52" s="917" t="s">
        <v>194</v>
      </c>
      <c r="AL52" s="917" t="s">
        <v>194</v>
      </c>
      <c r="AM52" s="917" t="s">
        <v>194</v>
      </c>
      <c r="AN52" s="917" t="s">
        <v>194</v>
      </c>
    </row>
    <row r="53" ht="15.75" customHeight="1" outlineLevel="2">
      <c r="A53" s="849">
        <v>1.0</v>
      </c>
      <c r="B53" s="15"/>
      <c r="C53" s="869" t="str">
        <f>"        Reported Total Operating Profit/Loss"</f>
        <v>        Reported Total Operating Profit/Loss</v>
      </c>
      <c r="D53" s="870">
        <f t="shared" si="14"/>
        <v>-21631</v>
      </c>
      <c r="E53" s="870">
        <f t="shared" si="15"/>
        <v>-24573.4</v>
      </c>
      <c r="F53" s="870">
        <f t="shared" si="16"/>
        <v>-43618</v>
      </c>
      <c r="G53" s="870">
        <f t="shared" si="17"/>
        <v>-14765</v>
      </c>
      <c r="H53" s="870">
        <f t="shared" si="18"/>
        <v>-27271</v>
      </c>
      <c r="I53" s="870">
        <f t="shared" si="19"/>
        <v>-15582</v>
      </c>
      <c r="J53" s="870">
        <f t="shared" si="20"/>
        <v>11786.44918</v>
      </c>
      <c r="K53" s="871">
        <f t="shared" si="21"/>
        <v>-0.4796425884</v>
      </c>
      <c r="L53" s="872" t="s">
        <v>194</v>
      </c>
      <c r="M53" s="872">
        <v>-14765.0</v>
      </c>
      <c r="N53" s="872">
        <v>-21631.0</v>
      </c>
      <c r="O53" s="872">
        <v>-15582.0</v>
      </c>
      <c r="P53" s="872">
        <v>-27271.0</v>
      </c>
      <c r="Q53" s="872">
        <v>-43618.0</v>
      </c>
      <c r="R53" s="15"/>
      <c r="S53" s="851" t="s">
        <v>194</v>
      </c>
      <c r="T53" s="846" t="s">
        <v>194</v>
      </c>
      <c r="U53" s="846" t="s">
        <v>194</v>
      </c>
      <c r="V53" s="846" t="s">
        <v>194</v>
      </c>
      <c r="W53" s="846" t="s">
        <v>194</v>
      </c>
      <c r="X53" s="846" t="s">
        <v>194</v>
      </c>
      <c r="Y53" s="846" t="s">
        <v>194</v>
      </c>
      <c r="Z53" s="846" t="s">
        <v>194</v>
      </c>
      <c r="AA53" s="846" t="s">
        <v>194</v>
      </c>
      <c r="AB53" s="846" t="s">
        <v>194</v>
      </c>
      <c r="AC53" s="846" t="s">
        <v>194</v>
      </c>
      <c r="AD53" s="846" t="s">
        <v>194</v>
      </c>
      <c r="AE53" s="846" t="s">
        <v>194</v>
      </c>
      <c r="AF53" s="846" t="s">
        <v>194</v>
      </c>
      <c r="AG53" s="846" t="s">
        <v>194</v>
      </c>
      <c r="AH53" s="846" t="s">
        <v>194</v>
      </c>
      <c r="AI53" s="846" t="s">
        <v>194</v>
      </c>
      <c r="AJ53" s="846" t="s">
        <v>194</v>
      </c>
      <c r="AK53" s="846" t="s">
        <v>194</v>
      </c>
      <c r="AL53" s="846" t="s">
        <v>194</v>
      </c>
      <c r="AM53" s="846" t="s">
        <v>194</v>
      </c>
      <c r="AN53" s="846" t="s">
        <v>194</v>
      </c>
    </row>
    <row r="54" ht="15.75" customHeight="1">
      <c r="A54" s="849">
        <v>1.0</v>
      </c>
      <c r="B54" s="15"/>
      <c r="C54" s="855" t="str">
        <f>"Profitability Metrics"</f>
        <v>Profitability Metrics</v>
      </c>
      <c r="D54" s="867" t="s">
        <v>194</v>
      </c>
      <c r="E54" s="867" t="s">
        <v>194</v>
      </c>
      <c r="F54" s="867" t="s">
        <v>194</v>
      </c>
      <c r="G54" s="867" t="s">
        <v>194</v>
      </c>
      <c r="H54" s="867" t="s">
        <v>194</v>
      </c>
      <c r="I54" s="867" t="s">
        <v>194</v>
      </c>
      <c r="J54" s="867" t="s">
        <v>194</v>
      </c>
      <c r="K54" s="867" t="s">
        <v>194</v>
      </c>
      <c r="L54" s="867" t="s">
        <v>194</v>
      </c>
      <c r="M54" s="867" t="s">
        <v>194</v>
      </c>
      <c r="N54" s="867" t="s">
        <v>194</v>
      </c>
      <c r="O54" s="867" t="s">
        <v>194</v>
      </c>
      <c r="P54" s="867" t="s">
        <v>194</v>
      </c>
      <c r="Q54" s="867" t="s">
        <v>194</v>
      </c>
      <c r="R54" s="15"/>
      <c r="S54" s="851" t="s">
        <v>194</v>
      </c>
      <c r="T54" s="846" t="s">
        <v>194</v>
      </c>
      <c r="U54" s="846" t="s">
        <v>194</v>
      </c>
      <c r="V54" s="846" t="s">
        <v>194</v>
      </c>
      <c r="W54" s="846" t="s">
        <v>194</v>
      </c>
      <c r="X54" s="846" t="s">
        <v>194</v>
      </c>
      <c r="Y54" s="846" t="s">
        <v>194</v>
      </c>
      <c r="Z54" s="846" t="s">
        <v>194</v>
      </c>
      <c r="AA54" s="846" t="s">
        <v>194</v>
      </c>
      <c r="AB54" s="846" t="s">
        <v>194</v>
      </c>
      <c r="AC54" s="846" t="s">
        <v>194</v>
      </c>
      <c r="AD54" s="846" t="s">
        <v>194</v>
      </c>
      <c r="AE54" s="846" t="s">
        <v>194</v>
      </c>
      <c r="AF54" s="846" t="s">
        <v>194</v>
      </c>
      <c r="AG54" s="846" t="s">
        <v>194</v>
      </c>
      <c r="AH54" s="846" t="s">
        <v>194</v>
      </c>
      <c r="AI54" s="846" t="s">
        <v>194</v>
      </c>
      <c r="AJ54" s="846" t="s">
        <v>194</v>
      </c>
      <c r="AK54" s="846" t="s">
        <v>194</v>
      </c>
      <c r="AL54" s="846" t="s">
        <v>194</v>
      </c>
      <c r="AM54" s="846" t="s">
        <v>194</v>
      </c>
      <c r="AN54" s="846" t="s">
        <v>194</v>
      </c>
    </row>
    <row r="55" ht="15.75" customHeight="1" outlineLevel="1">
      <c r="A55" s="916">
        <v>1.0</v>
      </c>
      <c r="B55" s="917"/>
      <c r="C55" s="918" t="str">
        <f>"    Earnings Before Interest, Tax, Depreciation, &amp; Amortization (EBITDA)"</f>
        <v>    Earnings Before Interest, Tax, Depreciation, &amp; Amortization (EBITDA)</v>
      </c>
      <c r="D55" s="919">
        <f t="shared" ref="D55:D71" si="22">IF(COUNT(M55:Q55)&gt;0,MEDIAN(M55:Q55),"")</f>
        <v>-21248</v>
      </c>
      <c r="E55" s="919">
        <f t="shared" ref="E55:E71" si="23">IF(COUNT(M55:Q55)&gt;0,AVERAGE(M55:Q55),"")</f>
        <v>-24088</v>
      </c>
      <c r="F55" s="919">
        <f t="shared" ref="F55:F71" si="24">IF(COUNT(M55:Q55)&gt;0,MIN(M55:Q55),"")</f>
        <v>-42852</v>
      </c>
      <c r="G55" s="919">
        <f t="shared" ref="G55:G71" si="25">IF(COUNT(M55:Q55)&gt;0,MAX(M55:Q55),"")</f>
        <v>-14816</v>
      </c>
      <c r="H55" s="919">
        <f t="shared" ref="H55:H71" si="26">IF(COUNT(M55:Q55)&gt;0,QUARTILE(M55:Q55,1),"")</f>
        <v>-24437</v>
      </c>
      <c r="I55" s="919">
        <f t="shared" ref="I55:I71" si="27">IF(COUNT(M55:Q55)&gt;0,QUARTILE(M55:Q55,3),"")</f>
        <v>-17087</v>
      </c>
      <c r="J55" s="919">
        <f t="shared" ref="J55:J71" si="28">IF(COUNT(M55:Q55)&gt;1,STDEV(M55:Q55),"")</f>
        <v>11127.20857</v>
      </c>
      <c r="K55" s="920">
        <f t="shared" ref="K55:K71" si="29">IF(COUNT(M55:Q55)&gt;1,STDEV(M55:Q55)/AVERAGE(M55:Q55),"")</f>
        <v>-0.4619399106</v>
      </c>
      <c r="L55" s="919" t="s">
        <v>194</v>
      </c>
      <c r="M55" s="919">
        <v>-14816.0</v>
      </c>
      <c r="N55" s="919">
        <v>-21248.0</v>
      </c>
      <c r="O55" s="919">
        <v>-17087.0</v>
      </c>
      <c r="P55" s="919">
        <v>-24437.0</v>
      </c>
      <c r="Q55" s="919">
        <v>-42852.0</v>
      </c>
      <c r="R55" s="917"/>
      <c r="S55" s="921" t="s">
        <v>194</v>
      </c>
      <c r="T55" s="917" t="s">
        <v>194</v>
      </c>
      <c r="U55" s="917" t="s">
        <v>194</v>
      </c>
      <c r="V55" s="917" t="s">
        <v>194</v>
      </c>
      <c r="W55" s="917" t="s">
        <v>194</v>
      </c>
      <c r="X55" s="917" t="s">
        <v>194</v>
      </c>
      <c r="Y55" s="917" t="s">
        <v>194</v>
      </c>
      <c r="Z55" s="917" t="s">
        <v>194</v>
      </c>
      <c r="AA55" s="917" t="s">
        <v>194</v>
      </c>
      <c r="AB55" s="917" t="s">
        <v>194</v>
      </c>
      <c r="AC55" s="917" t="s">
        <v>194</v>
      </c>
      <c r="AD55" s="917" t="s">
        <v>194</v>
      </c>
      <c r="AE55" s="917" t="s">
        <v>194</v>
      </c>
      <c r="AF55" s="917" t="s">
        <v>194</v>
      </c>
      <c r="AG55" s="917" t="s">
        <v>194</v>
      </c>
      <c r="AH55" s="917" t="s">
        <v>194</v>
      </c>
      <c r="AI55" s="917" t="s">
        <v>194</v>
      </c>
      <c r="AJ55" s="917" t="s">
        <v>194</v>
      </c>
      <c r="AK55" s="917" t="s">
        <v>194</v>
      </c>
      <c r="AL55" s="917" t="s">
        <v>194</v>
      </c>
      <c r="AM55" s="917" t="s">
        <v>194</v>
      </c>
      <c r="AN55" s="917" t="s">
        <v>194</v>
      </c>
    </row>
    <row r="56" ht="15.75" customHeight="1" outlineLevel="1">
      <c r="A56" s="849">
        <v>1.0</v>
      </c>
      <c r="B56" s="15"/>
      <c r="C56" s="869" t="str">
        <f>"    Normalized EBITDA"</f>
        <v>    Normalized EBITDA</v>
      </c>
      <c r="D56" s="870">
        <f t="shared" si="22"/>
        <v>-21238</v>
      </c>
      <c r="E56" s="870">
        <f t="shared" si="23"/>
        <v>-23462</v>
      </c>
      <c r="F56" s="870">
        <f t="shared" si="24"/>
        <v>-39748</v>
      </c>
      <c r="G56" s="870">
        <f t="shared" si="25"/>
        <v>-14809</v>
      </c>
      <c r="H56" s="870">
        <f t="shared" si="26"/>
        <v>-24428</v>
      </c>
      <c r="I56" s="870">
        <f t="shared" si="27"/>
        <v>-17087</v>
      </c>
      <c r="J56" s="870">
        <f t="shared" si="28"/>
        <v>9831.431254</v>
      </c>
      <c r="K56" s="871">
        <f t="shared" si="29"/>
        <v>-0.4190363675</v>
      </c>
      <c r="L56" s="872" t="s">
        <v>194</v>
      </c>
      <c r="M56" s="872">
        <v>-14809.0</v>
      </c>
      <c r="N56" s="872">
        <v>-21238.0</v>
      </c>
      <c r="O56" s="872">
        <v>-17087.0</v>
      </c>
      <c r="P56" s="872">
        <v>-24428.0</v>
      </c>
      <c r="Q56" s="872">
        <v>-39748.0</v>
      </c>
      <c r="R56" s="15"/>
      <c r="S56" s="851" t="s">
        <v>194</v>
      </c>
      <c r="T56" s="846" t="s">
        <v>194</v>
      </c>
      <c r="U56" s="846" t="s">
        <v>194</v>
      </c>
      <c r="V56" s="846" t="s">
        <v>194</v>
      </c>
      <c r="W56" s="846" t="s">
        <v>194</v>
      </c>
      <c r="X56" s="846" t="s">
        <v>194</v>
      </c>
      <c r="Y56" s="846" t="s">
        <v>194</v>
      </c>
      <c r="Z56" s="846" t="s">
        <v>194</v>
      </c>
      <c r="AA56" s="846" t="s">
        <v>194</v>
      </c>
      <c r="AB56" s="846" t="s">
        <v>194</v>
      </c>
      <c r="AC56" s="846" t="s">
        <v>194</v>
      </c>
      <c r="AD56" s="846" t="s">
        <v>194</v>
      </c>
      <c r="AE56" s="846" t="s">
        <v>194</v>
      </c>
      <c r="AF56" s="846" t="s">
        <v>194</v>
      </c>
      <c r="AG56" s="846" t="s">
        <v>194</v>
      </c>
      <c r="AH56" s="846" t="s">
        <v>194</v>
      </c>
      <c r="AI56" s="846" t="s">
        <v>194</v>
      </c>
      <c r="AJ56" s="846" t="s">
        <v>194</v>
      </c>
      <c r="AK56" s="846" t="s">
        <v>194</v>
      </c>
      <c r="AL56" s="846" t="s">
        <v>194</v>
      </c>
      <c r="AM56" s="846" t="s">
        <v>194</v>
      </c>
      <c r="AN56" s="846" t="s">
        <v>194</v>
      </c>
    </row>
    <row r="57" ht="15.75" customHeight="1" outlineLevel="1">
      <c r="A57" s="849">
        <v>1.0</v>
      </c>
      <c r="B57" s="15"/>
      <c r="C57" s="869" t="str">
        <f>"    Earnings Before Interest, Tax and Amortization (EBITA)"</f>
        <v>    Earnings Before Interest, Tax and Amortization (EBITA)</v>
      </c>
      <c r="D57" s="870">
        <f t="shared" si="22"/>
        <v>-21248</v>
      </c>
      <c r="E57" s="870">
        <f t="shared" si="23"/>
        <v>-24088</v>
      </c>
      <c r="F57" s="870">
        <f t="shared" si="24"/>
        <v>-42852</v>
      </c>
      <c r="G57" s="870">
        <f t="shared" si="25"/>
        <v>-14816</v>
      </c>
      <c r="H57" s="870">
        <f t="shared" si="26"/>
        <v>-24437</v>
      </c>
      <c r="I57" s="870">
        <f t="shared" si="27"/>
        <v>-17087</v>
      </c>
      <c r="J57" s="870">
        <f t="shared" si="28"/>
        <v>11127.20857</v>
      </c>
      <c r="K57" s="871">
        <f t="shared" si="29"/>
        <v>-0.4619399106</v>
      </c>
      <c r="L57" s="872" t="s">
        <v>194</v>
      </c>
      <c r="M57" s="872">
        <v>-14816.0</v>
      </c>
      <c r="N57" s="872">
        <v>-21248.0</v>
      </c>
      <c r="O57" s="872">
        <v>-17087.0</v>
      </c>
      <c r="P57" s="872">
        <v>-24437.0</v>
      </c>
      <c r="Q57" s="872">
        <v>-42852.0</v>
      </c>
      <c r="R57" s="15"/>
      <c r="S57" s="851" t="s">
        <v>194</v>
      </c>
      <c r="T57" s="846" t="s">
        <v>194</v>
      </c>
      <c r="U57" s="846" t="s">
        <v>194</v>
      </c>
      <c r="V57" s="846" t="s">
        <v>194</v>
      </c>
      <c r="W57" s="846" t="s">
        <v>194</v>
      </c>
      <c r="X57" s="846" t="s">
        <v>194</v>
      </c>
      <c r="Y57" s="846" t="s">
        <v>194</v>
      </c>
      <c r="Z57" s="846" t="s">
        <v>194</v>
      </c>
      <c r="AA57" s="846" t="s">
        <v>194</v>
      </c>
      <c r="AB57" s="846" t="s">
        <v>194</v>
      </c>
      <c r="AC57" s="846" t="s">
        <v>194</v>
      </c>
      <c r="AD57" s="846" t="s">
        <v>194</v>
      </c>
      <c r="AE57" s="846" t="s">
        <v>194</v>
      </c>
      <c r="AF57" s="846" t="s">
        <v>194</v>
      </c>
      <c r="AG57" s="846" t="s">
        <v>194</v>
      </c>
      <c r="AH57" s="846" t="s">
        <v>194</v>
      </c>
      <c r="AI57" s="846" t="s">
        <v>194</v>
      </c>
      <c r="AJ57" s="846" t="s">
        <v>194</v>
      </c>
      <c r="AK57" s="846" t="s">
        <v>194</v>
      </c>
      <c r="AL57" s="846" t="s">
        <v>194</v>
      </c>
      <c r="AM57" s="846" t="s">
        <v>194</v>
      </c>
      <c r="AN57" s="846" t="s">
        <v>194</v>
      </c>
    </row>
    <row r="58" ht="15.75" customHeight="1" outlineLevel="1">
      <c r="A58" s="916">
        <v>1.0</v>
      </c>
      <c r="B58" s="917"/>
      <c r="C58" s="918" t="str">
        <f>"    Earnings Before Interest and Tax (EBIT)"</f>
        <v>    Earnings Before Interest and Tax (EBIT)</v>
      </c>
      <c r="D58" s="919">
        <f t="shared" si="22"/>
        <v>-21740</v>
      </c>
      <c r="E58" s="919">
        <f t="shared" si="23"/>
        <v>-25121.6</v>
      </c>
      <c r="F58" s="919">
        <f t="shared" si="24"/>
        <v>-45121</v>
      </c>
      <c r="G58" s="919">
        <f t="shared" si="25"/>
        <v>-15058</v>
      </c>
      <c r="H58" s="919">
        <f t="shared" si="26"/>
        <v>-26034</v>
      </c>
      <c r="I58" s="919">
        <f t="shared" si="27"/>
        <v>-17655</v>
      </c>
      <c r="J58" s="919">
        <f t="shared" si="28"/>
        <v>11929.68832</v>
      </c>
      <c r="K58" s="920">
        <f t="shared" si="29"/>
        <v>-0.4748777273</v>
      </c>
      <c r="L58" s="919" t="s">
        <v>194</v>
      </c>
      <c r="M58" s="919">
        <v>-15058.0</v>
      </c>
      <c r="N58" s="919">
        <v>-21740.0</v>
      </c>
      <c r="O58" s="919">
        <v>-17655.0</v>
      </c>
      <c r="P58" s="919">
        <v>-26034.0</v>
      </c>
      <c r="Q58" s="919">
        <v>-45121.0</v>
      </c>
      <c r="R58" s="917"/>
      <c r="S58" s="921" t="s">
        <v>194</v>
      </c>
      <c r="T58" s="917" t="s">
        <v>194</v>
      </c>
      <c r="U58" s="917" t="s">
        <v>194</v>
      </c>
      <c r="V58" s="917" t="s">
        <v>194</v>
      </c>
      <c r="W58" s="917" t="s">
        <v>194</v>
      </c>
      <c r="X58" s="917" t="s">
        <v>194</v>
      </c>
      <c r="Y58" s="917" t="s">
        <v>194</v>
      </c>
      <c r="Z58" s="917" t="s">
        <v>194</v>
      </c>
      <c r="AA58" s="917" t="s">
        <v>194</v>
      </c>
      <c r="AB58" s="917" t="s">
        <v>194</v>
      </c>
      <c r="AC58" s="917" t="s">
        <v>194</v>
      </c>
      <c r="AD58" s="917" t="s">
        <v>194</v>
      </c>
      <c r="AE58" s="917" t="s">
        <v>194</v>
      </c>
      <c r="AF58" s="917" t="s">
        <v>194</v>
      </c>
      <c r="AG58" s="917" t="s">
        <v>194</v>
      </c>
      <c r="AH58" s="917" t="s">
        <v>194</v>
      </c>
      <c r="AI58" s="917" t="s">
        <v>194</v>
      </c>
      <c r="AJ58" s="917" t="s">
        <v>194</v>
      </c>
      <c r="AK58" s="917" t="s">
        <v>194</v>
      </c>
      <c r="AL58" s="917" t="s">
        <v>194</v>
      </c>
      <c r="AM58" s="917" t="s">
        <v>194</v>
      </c>
      <c r="AN58" s="917" t="s">
        <v>194</v>
      </c>
    </row>
    <row r="59" ht="15.75" customHeight="1" outlineLevel="1">
      <c r="A59" s="916">
        <v>1.0</v>
      </c>
      <c r="B59" s="917"/>
      <c r="C59" s="918" t="str">
        <f>"    Normalized EBIT"</f>
        <v>    Normalized EBIT</v>
      </c>
      <c r="D59" s="919">
        <f t="shared" si="22"/>
        <v>-21730</v>
      </c>
      <c r="E59" s="919">
        <f t="shared" si="23"/>
        <v>-24495.6</v>
      </c>
      <c r="F59" s="919">
        <f t="shared" si="24"/>
        <v>-42017</v>
      </c>
      <c r="G59" s="919">
        <f t="shared" si="25"/>
        <v>-15051</v>
      </c>
      <c r="H59" s="919">
        <f t="shared" si="26"/>
        <v>-26025</v>
      </c>
      <c r="I59" s="919">
        <f t="shared" si="27"/>
        <v>-17655</v>
      </c>
      <c r="J59" s="919">
        <f t="shared" si="28"/>
        <v>10641.67918</v>
      </c>
      <c r="K59" s="920">
        <f t="shared" si="29"/>
        <v>-0.4344322728</v>
      </c>
      <c r="L59" s="919" t="s">
        <v>194</v>
      </c>
      <c r="M59" s="919">
        <v>-15051.0</v>
      </c>
      <c r="N59" s="919">
        <v>-21730.0</v>
      </c>
      <c r="O59" s="919">
        <v>-17655.0</v>
      </c>
      <c r="P59" s="919">
        <v>-26025.0</v>
      </c>
      <c r="Q59" s="919">
        <v>-42017.0</v>
      </c>
      <c r="R59" s="917"/>
      <c r="S59" s="921" t="s">
        <v>194</v>
      </c>
      <c r="T59" s="917" t="s">
        <v>194</v>
      </c>
      <c r="U59" s="917" t="s">
        <v>194</v>
      </c>
      <c r="V59" s="917" t="s">
        <v>194</v>
      </c>
      <c r="W59" s="917" t="s">
        <v>194</v>
      </c>
      <c r="X59" s="917" t="s">
        <v>194</v>
      </c>
      <c r="Y59" s="917" t="s">
        <v>194</v>
      </c>
      <c r="Z59" s="917" t="s">
        <v>194</v>
      </c>
      <c r="AA59" s="917" t="s">
        <v>194</v>
      </c>
      <c r="AB59" s="917" t="s">
        <v>194</v>
      </c>
      <c r="AC59" s="917" t="s">
        <v>194</v>
      </c>
      <c r="AD59" s="917" t="s">
        <v>194</v>
      </c>
      <c r="AE59" s="917" t="s">
        <v>194</v>
      </c>
      <c r="AF59" s="917" t="s">
        <v>194</v>
      </c>
      <c r="AG59" s="917" t="s">
        <v>194</v>
      </c>
      <c r="AH59" s="917" t="s">
        <v>194</v>
      </c>
      <c r="AI59" s="917" t="s">
        <v>194</v>
      </c>
      <c r="AJ59" s="917" t="s">
        <v>194</v>
      </c>
      <c r="AK59" s="917" t="s">
        <v>194</v>
      </c>
      <c r="AL59" s="917" t="s">
        <v>194</v>
      </c>
      <c r="AM59" s="917" t="s">
        <v>194</v>
      </c>
      <c r="AN59" s="917" t="s">
        <v>194</v>
      </c>
    </row>
    <row r="60" ht="15.75" customHeight="1" outlineLevel="1">
      <c r="A60" s="849">
        <v>1.0</v>
      </c>
      <c r="B60" s="15"/>
      <c r="C60" s="869" t="str">
        <f>"    Earnings Before Interest, Tax, Depreciation, Amortization and Rent Expenses (EBITDAR)"</f>
        <v>    Earnings Before Interest, Tax, Depreciation, Amortization and Rent Expenses (EBITDAR)</v>
      </c>
      <c r="D60" s="870">
        <f t="shared" si="22"/>
        <v>-21248</v>
      </c>
      <c r="E60" s="870">
        <f t="shared" si="23"/>
        <v>-24088</v>
      </c>
      <c r="F60" s="870">
        <f t="shared" si="24"/>
        <v>-42852</v>
      </c>
      <c r="G60" s="870">
        <f t="shared" si="25"/>
        <v>-14816</v>
      </c>
      <c r="H60" s="870">
        <f t="shared" si="26"/>
        <v>-24437</v>
      </c>
      <c r="I60" s="870">
        <f t="shared" si="27"/>
        <v>-17087</v>
      </c>
      <c r="J60" s="870">
        <f t="shared" si="28"/>
        <v>11127.20857</v>
      </c>
      <c r="K60" s="871">
        <f t="shared" si="29"/>
        <v>-0.4619399106</v>
      </c>
      <c r="L60" s="872" t="s">
        <v>194</v>
      </c>
      <c r="M60" s="872">
        <v>-14816.0</v>
      </c>
      <c r="N60" s="872">
        <v>-21248.0</v>
      </c>
      <c r="O60" s="872">
        <v>-17087.0</v>
      </c>
      <c r="P60" s="872">
        <v>-24437.0</v>
      </c>
      <c r="Q60" s="872">
        <v>-42852.0</v>
      </c>
      <c r="R60" s="15"/>
      <c r="S60" s="851" t="s">
        <v>194</v>
      </c>
      <c r="T60" s="846" t="s">
        <v>194</v>
      </c>
      <c r="U60" s="846" t="s">
        <v>194</v>
      </c>
      <c r="V60" s="846" t="s">
        <v>194</v>
      </c>
      <c r="W60" s="846" t="s">
        <v>194</v>
      </c>
      <c r="X60" s="846" t="s">
        <v>194</v>
      </c>
      <c r="Y60" s="846" t="s">
        <v>194</v>
      </c>
      <c r="Z60" s="846" t="s">
        <v>194</v>
      </c>
      <c r="AA60" s="846" t="s">
        <v>194</v>
      </c>
      <c r="AB60" s="846" t="s">
        <v>194</v>
      </c>
      <c r="AC60" s="846" t="s">
        <v>194</v>
      </c>
      <c r="AD60" s="846" t="s">
        <v>194</v>
      </c>
      <c r="AE60" s="846" t="s">
        <v>194</v>
      </c>
      <c r="AF60" s="846" t="s">
        <v>194</v>
      </c>
      <c r="AG60" s="846" t="s">
        <v>194</v>
      </c>
      <c r="AH60" s="846" t="s">
        <v>194</v>
      </c>
      <c r="AI60" s="846" t="s">
        <v>194</v>
      </c>
      <c r="AJ60" s="846" t="s">
        <v>194</v>
      </c>
      <c r="AK60" s="846" t="s">
        <v>194</v>
      </c>
      <c r="AL60" s="846" t="s">
        <v>194</v>
      </c>
      <c r="AM60" s="846" t="s">
        <v>194</v>
      </c>
      <c r="AN60" s="846" t="s">
        <v>194</v>
      </c>
    </row>
    <row r="61" ht="15.75" customHeight="1" outlineLevel="1">
      <c r="A61" s="849">
        <v>1.0</v>
      </c>
      <c r="B61" s="15"/>
      <c r="C61" s="869" t="str">
        <f>"    Normalized EBITDAR"</f>
        <v>    Normalized EBITDAR</v>
      </c>
      <c r="D61" s="870">
        <f t="shared" si="22"/>
        <v>-21238</v>
      </c>
      <c r="E61" s="870">
        <f t="shared" si="23"/>
        <v>-23462</v>
      </c>
      <c r="F61" s="870">
        <f t="shared" si="24"/>
        <v>-39748</v>
      </c>
      <c r="G61" s="870">
        <f t="shared" si="25"/>
        <v>-14809</v>
      </c>
      <c r="H61" s="870">
        <f t="shared" si="26"/>
        <v>-24428</v>
      </c>
      <c r="I61" s="870">
        <f t="shared" si="27"/>
        <v>-17087</v>
      </c>
      <c r="J61" s="870">
        <f t="shared" si="28"/>
        <v>9831.431254</v>
      </c>
      <c r="K61" s="871">
        <f t="shared" si="29"/>
        <v>-0.4190363675</v>
      </c>
      <c r="L61" s="872" t="s">
        <v>194</v>
      </c>
      <c r="M61" s="872">
        <v>-14809.0</v>
      </c>
      <c r="N61" s="872">
        <v>-21238.0</v>
      </c>
      <c r="O61" s="872">
        <v>-17087.0</v>
      </c>
      <c r="P61" s="872">
        <v>-24428.0</v>
      </c>
      <c r="Q61" s="872">
        <v>-39748.0</v>
      </c>
      <c r="R61" s="15"/>
      <c r="S61" s="851" t="s">
        <v>194</v>
      </c>
      <c r="T61" s="846" t="s">
        <v>194</v>
      </c>
      <c r="U61" s="846" t="s">
        <v>194</v>
      </c>
      <c r="V61" s="846" t="s">
        <v>194</v>
      </c>
      <c r="W61" s="846" t="s">
        <v>194</v>
      </c>
      <c r="X61" s="846" t="s">
        <v>194</v>
      </c>
      <c r="Y61" s="846" t="s">
        <v>194</v>
      </c>
      <c r="Z61" s="846" t="s">
        <v>194</v>
      </c>
      <c r="AA61" s="846" t="s">
        <v>194</v>
      </c>
      <c r="AB61" s="846" t="s">
        <v>194</v>
      </c>
      <c r="AC61" s="846" t="s">
        <v>194</v>
      </c>
      <c r="AD61" s="846" t="s">
        <v>194</v>
      </c>
      <c r="AE61" s="846" t="s">
        <v>194</v>
      </c>
      <c r="AF61" s="846" t="s">
        <v>194</v>
      </c>
      <c r="AG61" s="846" t="s">
        <v>194</v>
      </c>
      <c r="AH61" s="846" t="s">
        <v>194</v>
      </c>
      <c r="AI61" s="846" t="s">
        <v>194</v>
      </c>
      <c r="AJ61" s="846" t="s">
        <v>194</v>
      </c>
      <c r="AK61" s="846" t="s">
        <v>194</v>
      </c>
      <c r="AL61" s="846" t="s">
        <v>194</v>
      </c>
      <c r="AM61" s="846" t="s">
        <v>194</v>
      </c>
      <c r="AN61" s="846" t="s">
        <v>194</v>
      </c>
    </row>
    <row r="62" ht="15.75" customHeight="1" outlineLevel="1">
      <c r="A62" s="849">
        <v>1.0</v>
      </c>
      <c r="B62" s="15"/>
      <c r="C62" s="869" t="str">
        <f>"    Normalized Basic EPS"</f>
        <v>    Normalized Basic EPS</v>
      </c>
      <c r="D62" s="871">
        <f t="shared" si="22"/>
        <v>-1.747221188</v>
      </c>
      <c r="E62" s="871">
        <f t="shared" si="23"/>
        <v>-2.186011157</v>
      </c>
      <c r="F62" s="871">
        <f t="shared" si="24"/>
        <v>-3.95</v>
      </c>
      <c r="G62" s="871">
        <f t="shared" si="25"/>
        <v>-1.299602251</v>
      </c>
      <c r="H62" s="871">
        <f t="shared" si="26"/>
        <v>-2.431351624</v>
      </c>
      <c r="I62" s="871">
        <f t="shared" si="27"/>
        <v>-1.50188072</v>
      </c>
      <c r="J62" s="871">
        <f t="shared" si="28"/>
        <v>1.203572137</v>
      </c>
      <c r="K62" s="871">
        <f t="shared" si="29"/>
        <v>-0.5505791373</v>
      </c>
      <c r="L62" s="928" t="s">
        <v>194</v>
      </c>
      <c r="M62" s="928" t="s">
        <v>194</v>
      </c>
      <c r="N62" s="928">
        <v>-1.5693068766774885</v>
      </c>
      <c r="O62" s="928">
        <v>-3.95</v>
      </c>
      <c r="P62" s="928">
        <v>-1.2996022508535807</v>
      </c>
      <c r="Q62" s="928">
        <v>-1.9251354990053111</v>
      </c>
      <c r="R62" s="15"/>
      <c r="S62" s="851" t="s">
        <v>194</v>
      </c>
      <c r="T62" s="846" t="s">
        <v>194</v>
      </c>
      <c r="U62" s="846" t="s">
        <v>194</v>
      </c>
      <c r="V62" s="846" t="s">
        <v>194</v>
      </c>
      <c r="W62" s="846" t="s">
        <v>194</v>
      </c>
      <c r="X62" s="846" t="s">
        <v>194</v>
      </c>
      <c r="Y62" s="846" t="s">
        <v>194</v>
      </c>
      <c r="Z62" s="846" t="s">
        <v>194</v>
      </c>
      <c r="AA62" s="846" t="s">
        <v>194</v>
      </c>
      <c r="AB62" s="846" t="s">
        <v>194</v>
      </c>
      <c r="AC62" s="846" t="s">
        <v>194</v>
      </c>
      <c r="AD62" s="846" t="s">
        <v>194</v>
      </c>
      <c r="AE62" s="846" t="s">
        <v>194</v>
      </c>
      <c r="AF62" s="846" t="s">
        <v>194</v>
      </c>
      <c r="AG62" s="846" t="s">
        <v>194</v>
      </c>
      <c r="AH62" s="846" t="s">
        <v>194</v>
      </c>
      <c r="AI62" s="846" t="s">
        <v>194</v>
      </c>
      <c r="AJ62" s="846" t="s">
        <v>194</v>
      </c>
      <c r="AK62" s="846" t="s">
        <v>194</v>
      </c>
      <c r="AL62" s="846" t="s">
        <v>194</v>
      </c>
      <c r="AM62" s="846" t="s">
        <v>194</v>
      </c>
      <c r="AN62" s="846" t="s">
        <v>194</v>
      </c>
    </row>
    <row r="63" ht="15.75" customHeight="1" outlineLevel="1">
      <c r="A63" s="849">
        <v>1.0</v>
      </c>
      <c r="B63" s="15"/>
      <c r="C63" s="869" t="str">
        <f>"    Recommended Normalized Basic EPS"</f>
        <v>    Recommended Normalized Basic EPS</v>
      </c>
      <c r="D63" s="871">
        <f t="shared" si="22"/>
        <v>-1.747221188</v>
      </c>
      <c r="E63" s="871">
        <f t="shared" si="23"/>
        <v>-2.186011157</v>
      </c>
      <c r="F63" s="871">
        <f t="shared" si="24"/>
        <v>-3.95</v>
      </c>
      <c r="G63" s="871">
        <f t="shared" si="25"/>
        <v>-1.299602251</v>
      </c>
      <c r="H63" s="871">
        <f t="shared" si="26"/>
        <v>-2.431351624</v>
      </c>
      <c r="I63" s="871">
        <f t="shared" si="27"/>
        <v>-1.50188072</v>
      </c>
      <c r="J63" s="871">
        <f t="shared" si="28"/>
        <v>1.203572137</v>
      </c>
      <c r="K63" s="871">
        <f t="shared" si="29"/>
        <v>-0.5505791373</v>
      </c>
      <c r="L63" s="928" t="s">
        <v>194</v>
      </c>
      <c r="M63" s="928" t="s">
        <v>194</v>
      </c>
      <c r="N63" s="928">
        <v>-1.5693068766774885</v>
      </c>
      <c r="O63" s="928">
        <v>-3.95</v>
      </c>
      <c r="P63" s="928">
        <v>-1.2996022508535807</v>
      </c>
      <c r="Q63" s="928">
        <v>-1.9251354990053111</v>
      </c>
      <c r="R63" s="15"/>
      <c r="S63" s="851" t="s">
        <v>194</v>
      </c>
      <c r="T63" s="846" t="s">
        <v>194</v>
      </c>
      <c r="U63" s="846" t="s">
        <v>194</v>
      </c>
      <c r="V63" s="846" t="s">
        <v>194</v>
      </c>
      <c r="W63" s="846" t="s">
        <v>194</v>
      </c>
      <c r="X63" s="846" t="s">
        <v>194</v>
      </c>
      <c r="Y63" s="846" t="s">
        <v>194</v>
      </c>
      <c r="Z63" s="846" t="s">
        <v>194</v>
      </c>
      <c r="AA63" s="846" t="s">
        <v>194</v>
      </c>
      <c r="AB63" s="846" t="s">
        <v>194</v>
      </c>
      <c r="AC63" s="846" t="s">
        <v>194</v>
      </c>
      <c r="AD63" s="846" t="s">
        <v>194</v>
      </c>
      <c r="AE63" s="846" t="s">
        <v>194</v>
      </c>
      <c r="AF63" s="846" t="s">
        <v>194</v>
      </c>
      <c r="AG63" s="846" t="s">
        <v>194</v>
      </c>
      <c r="AH63" s="846" t="s">
        <v>194</v>
      </c>
      <c r="AI63" s="846" t="s">
        <v>194</v>
      </c>
      <c r="AJ63" s="846" t="s">
        <v>194</v>
      </c>
      <c r="AK63" s="846" t="s">
        <v>194</v>
      </c>
      <c r="AL63" s="846" t="s">
        <v>194</v>
      </c>
      <c r="AM63" s="846" t="s">
        <v>194</v>
      </c>
      <c r="AN63" s="846" t="s">
        <v>194</v>
      </c>
    </row>
    <row r="64" ht="15.75" customHeight="1" outlineLevel="1">
      <c r="A64" s="849">
        <v>1.0</v>
      </c>
      <c r="B64" s="15"/>
      <c r="C64" s="869" t="str">
        <f>"    Normalized Diluted EPS"</f>
        <v>    Normalized Diluted EPS</v>
      </c>
      <c r="D64" s="871">
        <f t="shared" si="22"/>
        <v>-1.747221188</v>
      </c>
      <c r="E64" s="871">
        <f t="shared" si="23"/>
        <v>-2.186011157</v>
      </c>
      <c r="F64" s="871">
        <f t="shared" si="24"/>
        <v>-3.95</v>
      </c>
      <c r="G64" s="871">
        <f t="shared" si="25"/>
        <v>-1.299602251</v>
      </c>
      <c r="H64" s="871">
        <f t="shared" si="26"/>
        <v>-2.431351624</v>
      </c>
      <c r="I64" s="871">
        <f t="shared" si="27"/>
        <v>-1.50188072</v>
      </c>
      <c r="J64" s="871">
        <f t="shared" si="28"/>
        <v>1.203572137</v>
      </c>
      <c r="K64" s="871">
        <f t="shared" si="29"/>
        <v>-0.5505791373</v>
      </c>
      <c r="L64" s="928" t="s">
        <v>194</v>
      </c>
      <c r="M64" s="928" t="s">
        <v>194</v>
      </c>
      <c r="N64" s="928">
        <v>-1.5693068766774885</v>
      </c>
      <c r="O64" s="928">
        <v>-3.95</v>
      </c>
      <c r="P64" s="928">
        <v>-1.2996022508535807</v>
      </c>
      <c r="Q64" s="928">
        <v>-1.9251354990053111</v>
      </c>
      <c r="R64" s="15"/>
      <c r="S64" s="851" t="s">
        <v>194</v>
      </c>
      <c r="T64" s="846" t="s">
        <v>194</v>
      </c>
      <c r="U64" s="846" t="s">
        <v>194</v>
      </c>
      <c r="V64" s="846" t="s">
        <v>194</v>
      </c>
      <c r="W64" s="846" t="s">
        <v>194</v>
      </c>
      <c r="X64" s="846" t="s">
        <v>194</v>
      </c>
      <c r="Y64" s="846" t="s">
        <v>194</v>
      </c>
      <c r="Z64" s="846" t="s">
        <v>194</v>
      </c>
      <c r="AA64" s="846" t="s">
        <v>194</v>
      </c>
      <c r="AB64" s="846" t="s">
        <v>194</v>
      </c>
      <c r="AC64" s="846" t="s">
        <v>194</v>
      </c>
      <c r="AD64" s="846" t="s">
        <v>194</v>
      </c>
      <c r="AE64" s="846" t="s">
        <v>194</v>
      </c>
      <c r="AF64" s="846" t="s">
        <v>194</v>
      </c>
      <c r="AG64" s="846" t="s">
        <v>194</v>
      </c>
      <c r="AH64" s="846" t="s">
        <v>194</v>
      </c>
      <c r="AI64" s="846" t="s">
        <v>194</v>
      </c>
      <c r="AJ64" s="846" t="s">
        <v>194</v>
      </c>
      <c r="AK64" s="846" t="s">
        <v>194</v>
      </c>
      <c r="AL64" s="846" t="s">
        <v>194</v>
      </c>
      <c r="AM64" s="846" t="s">
        <v>194</v>
      </c>
      <c r="AN64" s="846" t="s">
        <v>194</v>
      </c>
    </row>
    <row r="65" ht="15.75" customHeight="1" outlineLevel="1">
      <c r="A65" s="849">
        <v>1.0</v>
      </c>
      <c r="B65" s="15"/>
      <c r="C65" s="869" t="str">
        <f>"    Recommended Normalized Diluted EPS"</f>
        <v>    Recommended Normalized Diluted EPS</v>
      </c>
      <c r="D65" s="871">
        <f t="shared" si="22"/>
        <v>-1.747221188</v>
      </c>
      <c r="E65" s="871">
        <f t="shared" si="23"/>
        <v>-2.186011157</v>
      </c>
      <c r="F65" s="871">
        <f t="shared" si="24"/>
        <v>-3.95</v>
      </c>
      <c r="G65" s="871">
        <f t="shared" si="25"/>
        <v>-1.299602251</v>
      </c>
      <c r="H65" s="871">
        <f t="shared" si="26"/>
        <v>-2.431351624</v>
      </c>
      <c r="I65" s="871">
        <f t="shared" si="27"/>
        <v>-1.50188072</v>
      </c>
      <c r="J65" s="871">
        <f t="shared" si="28"/>
        <v>1.203572137</v>
      </c>
      <c r="K65" s="871">
        <f t="shared" si="29"/>
        <v>-0.5505791373</v>
      </c>
      <c r="L65" s="928" t="s">
        <v>194</v>
      </c>
      <c r="M65" s="928" t="s">
        <v>194</v>
      </c>
      <c r="N65" s="928">
        <v>-1.5693068766774885</v>
      </c>
      <c r="O65" s="928">
        <v>-3.95</v>
      </c>
      <c r="P65" s="928">
        <v>-1.2996022508535807</v>
      </c>
      <c r="Q65" s="928">
        <v>-1.9251354990053111</v>
      </c>
      <c r="R65" s="15"/>
      <c r="S65" s="851" t="s">
        <v>194</v>
      </c>
      <c r="T65" s="846" t="s">
        <v>194</v>
      </c>
      <c r="U65" s="846" t="s">
        <v>194</v>
      </c>
      <c r="V65" s="846" t="s">
        <v>194</v>
      </c>
      <c r="W65" s="846" t="s">
        <v>194</v>
      </c>
      <c r="X65" s="846" t="s">
        <v>194</v>
      </c>
      <c r="Y65" s="846" t="s">
        <v>194</v>
      </c>
      <c r="Z65" s="846" t="s">
        <v>194</v>
      </c>
      <c r="AA65" s="846" t="s">
        <v>194</v>
      </c>
      <c r="AB65" s="846" t="s">
        <v>194</v>
      </c>
      <c r="AC65" s="846" t="s">
        <v>194</v>
      </c>
      <c r="AD65" s="846" t="s">
        <v>194</v>
      </c>
      <c r="AE65" s="846" t="s">
        <v>194</v>
      </c>
      <c r="AF65" s="846" t="s">
        <v>194</v>
      </c>
      <c r="AG65" s="846" t="s">
        <v>194</v>
      </c>
      <c r="AH65" s="846" t="s">
        <v>194</v>
      </c>
      <c r="AI65" s="846" t="s">
        <v>194</v>
      </c>
      <c r="AJ65" s="846" t="s">
        <v>194</v>
      </c>
      <c r="AK65" s="846" t="s">
        <v>194</v>
      </c>
      <c r="AL65" s="846" t="s">
        <v>194</v>
      </c>
      <c r="AM65" s="846" t="s">
        <v>194</v>
      </c>
      <c r="AN65" s="846" t="s">
        <v>194</v>
      </c>
    </row>
    <row r="66" ht="15.75" customHeight="1" outlineLevel="1">
      <c r="A66" s="849">
        <v>1.0</v>
      </c>
      <c r="B66" s="15"/>
      <c r="C66" s="869" t="str">
        <f>"    Normalized Income"</f>
        <v>    Normalized Income</v>
      </c>
      <c r="D66" s="870">
        <f t="shared" si="22"/>
        <v>-22789</v>
      </c>
      <c r="E66" s="870">
        <f t="shared" si="23"/>
        <v>-26988.416</v>
      </c>
      <c r="F66" s="870">
        <f t="shared" si="24"/>
        <v>-46014.08</v>
      </c>
      <c r="G66" s="870">
        <f t="shared" si="25"/>
        <v>-15825</v>
      </c>
      <c r="H66" s="870">
        <f t="shared" si="26"/>
        <v>-29411</v>
      </c>
      <c r="I66" s="870">
        <f t="shared" si="27"/>
        <v>-20903</v>
      </c>
      <c r="J66" s="870">
        <f t="shared" si="28"/>
        <v>11695.4483</v>
      </c>
      <c r="K66" s="871">
        <f t="shared" si="29"/>
        <v>-0.4333506752</v>
      </c>
      <c r="L66" s="872" t="s">
        <v>194</v>
      </c>
      <c r="M66" s="872">
        <v>-15825.0</v>
      </c>
      <c r="N66" s="872">
        <v>-22789.0</v>
      </c>
      <c r="O66" s="872">
        <v>-20903.0</v>
      </c>
      <c r="P66" s="872">
        <v>-29411.0</v>
      </c>
      <c r="Q66" s="872">
        <v>-46014.08</v>
      </c>
      <c r="R66" s="15"/>
      <c r="S66" s="851" t="s">
        <v>194</v>
      </c>
      <c r="T66" s="846" t="s">
        <v>194</v>
      </c>
      <c r="U66" s="846" t="s">
        <v>194</v>
      </c>
      <c r="V66" s="846" t="s">
        <v>194</v>
      </c>
      <c r="W66" s="846" t="s">
        <v>194</v>
      </c>
      <c r="X66" s="846" t="s">
        <v>194</v>
      </c>
      <c r="Y66" s="846" t="s">
        <v>194</v>
      </c>
      <c r="Z66" s="846" t="s">
        <v>194</v>
      </c>
      <c r="AA66" s="846" t="s">
        <v>194</v>
      </c>
      <c r="AB66" s="846" t="s">
        <v>194</v>
      </c>
      <c r="AC66" s="846" t="s">
        <v>194</v>
      </c>
      <c r="AD66" s="846" t="s">
        <v>194</v>
      </c>
      <c r="AE66" s="846" t="s">
        <v>194</v>
      </c>
      <c r="AF66" s="846" t="s">
        <v>194</v>
      </c>
      <c r="AG66" s="846" t="s">
        <v>194</v>
      </c>
      <c r="AH66" s="846" t="s">
        <v>194</v>
      </c>
      <c r="AI66" s="846" t="s">
        <v>194</v>
      </c>
      <c r="AJ66" s="846" t="s">
        <v>194</v>
      </c>
      <c r="AK66" s="846" t="s">
        <v>194</v>
      </c>
      <c r="AL66" s="846" t="s">
        <v>194</v>
      </c>
      <c r="AM66" s="846" t="s">
        <v>194</v>
      </c>
      <c r="AN66" s="846" t="s">
        <v>194</v>
      </c>
    </row>
    <row r="67" ht="15.75" customHeight="1" outlineLevel="1">
      <c r="A67" s="849">
        <v>1.0</v>
      </c>
      <c r="B67" s="15"/>
      <c r="C67" s="869" t="str">
        <f>"    Tax Effect of Unusual Items"</f>
        <v>    Tax Effect of Unusual Items</v>
      </c>
      <c r="D67" s="870">
        <f t="shared" si="22"/>
        <v>0</v>
      </c>
      <c r="E67" s="870">
        <f t="shared" si="23"/>
        <v>167.616</v>
      </c>
      <c r="F67" s="870">
        <f t="shared" si="24"/>
        <v>0</v>
      </c>
      <c r="G67" s="870">
        <f t="shared" si="25"/>
        <v>838.08</v>
      </c>
      <c r="H67" s="870">
        <f t="shared" si="26"/>
        <v>0</v>
      </c>
      <c r="I67" s="870">
        <f t="shared" si="27"/>
        <v>0</v>
      </c>
      <c r="J67" s="870">
        <f t="shared" si="28"/>
        <v>374.8007701</v>
      </c>
      <c r="K67" s="871">
        <f t="shared" si="29"/>
        <v>2.236067977</v>
      </c>
      <c r="L67" s="872" t="s">
        <v>194</v>
      </c>
      <c r="M67" s="872">
        <v>0.0</v>
      </c>
      <c r="N67" s="872">
        <v>0.0</v>
      </c>
      <c r="O67" s="872">
        <v>0.0</v>
      </c>
      <c r="P67" s="872">
        <v>0.0</v>
      </c>
      <c r="Q67" s="872">
        <v>838.08</v>
      </c>
      <c r="R67" s="15"/>
      <c r="S67" s="851" t="s">
        <v>194</v>
      </c>
      <c r="T67" s="846" t="s">
        <v>194</v>
      </c>
      <c r="U67" s="846" t="s">
        <v>194</v>
      </c>
      <c r="V67" s="846" t="s">
        <v>194</v>
      </c>
      <c r="W67" s="846" t="s">
        <v>194</v>
      </c>
      <c r="X67" s="846" t="s">
        <v>194</v>
      </c>
      <c r="Y67" s="846" t="s">
        <v>194</v>
      </c>
      <c r="Z67" s="846" t="s">
        <v>194</v>
      </c>
      <c r="AA67" s="846" t="s">
        <v>194</v>
      </c>
      <c r="AB67" s="846" t="s">
        <v>194</v>
      </c>
      <c r="AC67" s="846" t="s">
        <v>194</v>
      </c>
      <c r="AD67" s="846" t="s">
        <v>194</v>
      </c>
      <c r="AE67" s="846" t="s">
        <v>194</v>
      </c>
      <c r="AF67" s="846" t="s">
        <v>194</v>
      </c>
      <c r="AG67" s="846" t="s">
        <v>194</v>
      </c>
      <c r="AH67" s="846" t="s">
        <v>194</v>
      </c>
      <c r="AI67" s="846" t="s">
        <v>194</v>
      </c>
      <c r="AJ67" s="846" t="s">
        <v>194</v>
      </c>
      <c r="AK67" s="846" t="s">
        <v>194</v>
      </c>
      <c r="AL67" s="846" t="s">
        <v>194</v>
      </c>
      <c r="AM67" s="846" t="s">
        <v>194</v>
      </c>
      <c r="AN67" s="846" t="s">
        <v>194</v>
      </c>
    </row>
    <row r="68" ht="15.75" customHeight="1" outlineLevel="1">
      <c r="A68" s="849">
        <v>1.0</v>
      </c>
      <c r="B68" s="15"/>
      <c r="C68" s="869" t="str">
        <f>"    Total Unusual Items"</f>
        <v>    Total Unusual Items</v>
      </c>
      <c r="D68" s="870">
        <f t="shared" si="22"/>
        <v>9</v>
      </c>
      <c r="E68" s="870">
        <f t="shared" si="23"/>
        <v>626</v>
      </c>
      <c r="F68" s="870">
        <f t="shared" si="24"/>
        <v>0</v>
      </c>
      <c r="G68" s="870">
        <f t="shared" si="25"/>
        <v>3104</v>
      </c>
      <c r="H68" s="870">
        <f t="shared" si="26"/>
        <v>7</v>
      </c>
      <c r="I68" s="870">
        <f t="shared" si="27"/>
        <v>10</v>
      </c>
      <c r="J68" s="870">
        <f t="shared" si="28"/>
        <v>1385.249616</v>
      </c>
      <c r="K68" s="871">
        <f t="shared" si="29"/>
        <v>2.212858812</v>
      </c>
      <c r="L68" s="872" t="s">
        <v>194</v>
      </c>
      <c r="M68" s="872">
        <v>7.0</v>
      </c>
      <c r="N68" s="872">
        <v>10.0</v>
      </c>
      <c r="O68" s="872">
        <v>0.0</v>
      </c>
      <c r="P68" s="872">
        <v>9.0</v>
      </c>
      <c r="Q68" s="872">
        <v>3104.0</v>
      </c>
      <c r="R68" s="15"/>
      <c r="S68" s="851" t="s">
        <v>194</v>
      </c>
      <c r="T68" s="846" t="s">
        <v>194</v>
      </c>
      <c r="U68" s="846" t="s">
        <v>194</v>
      </c>
      <c r="V68" s="846" t="s">
        <v>194</v>
      </c>
      <c r="W68" s="846" t="s">
        <v>194</v>
      </c>
      <c r="X68" s="846" t="s">
        <v>194</v>
      </c>
      <c r="Y68" s="846" t="s">
        <v>194</v>
      </c>
      <c r="Z68" s="846" t="s">
        <v>194</v>
      </c>
      <c r="AA68" s="846" t="s">
        <v>194</v>
      </c>
      <c r="AB68" s="846" t="s">
        <v>194</v>
      </c>
      <c r="AC68" s="846" t="s">
        <v>194</v>
      </c>
      <c r="AD68" s="846" t="s">
        <v>194</v>
      </c>
      <c r="AE68" s="846" t="s">
        <v>194</v>
      </c>
      <c r="AF68" s="846" t="s">
        <v>194</v>
      </c>
      <c r="AG68" s="846" t="s">
        <v>194</v>
      </c>
      <c r="AH68" s="846" t="s">
        <v>194</v>
      </c>
      <c r="AI68" s="846" t="s">
        <v>194</v>
      </c>
      <c r="AJ68" s="846" t="s">
        <v>194</v>
      </c>
      <c r="AK68" s="846" t="s">
        <v>194</v>
      </c>
      <c r="AL68" s="846" t="s">
        <v>194</v>
      </c>
      <c r="AM68" s="846" t="s">
        <v>194</v>
      </c>
      <c r="AN68" s="846" t="s">
        <v>194</v>
      </c>
    </row>
    <row r="69" ht="15.75" customHeight="1" outlineLevel="1">
      <c r="A69" s="849">
        <v>1.0</v>
      </c>
      <c r="B69" s="15"/>
      <c r="C69" s="869" t="str">
        <f>"    Total Unusual Items Excluding Goodwill"</f>
        <v>    Total Unusual Items Excluding Goodwill</v>
      </c>
      <c r="D69" s="870">
        <f t="shared" si="22"/>
        <v>9</v>
      </c>
      <c r="E69" s="870">
        <f t="shared" si="23"/>
        <v>626</v>
      </c>
      <c r="F69" s="870">
        <f t="shared" si="24"/>
        <v>0</v>
      </c>
      <c r="G69" s="870">
        <f t="shared" si="25"/>
        <v>3104</v>
      </c>
      <c r="H69" s="870">
        <f t="shared" si="26"/>
        <v>7</v>
      </c>
      <c r="I69" s="870">
        <f t="shared" si="27"/>
        <v>10</v>
      </c>
      <c r="J69" s="870">
        <f t="shared" si="28"/>
        <v>1385.249616</v>
      </c>
      <c r="K69" s="871">
        <f t="shared" si="29"/>
        <v>2.212858812</v>
      </c>
      <c r="L69" s="872" t="s">
        <v>194</v>
      </c>
      <c r="M69" s="872">
        <v>7.0</v>
      </c>
      <c r="N69" s="872">
        <v>10.0</v>
      </c>
      <c r="O69" s="872">
        <v>0.0</v>
      </c>
      <c r="P69" s="872">
        <v>9.0</v>
      </c>
      <c r="Q69" s="872">
        <v>3104.0</v>
      </c>
      <c r="R69" s="15"/>
      <c r="S69" s="851" t="s">
        <v>194</v>
      </c>
      <c r="T69" s="846" t="s">
        <v>194</v>
      </c>
      <c r="U69" s="846" t="s">
        <v>194</v>
      </c>
      <c r="V69" s="846" t="s">
        <v>194</v>
      </c>
      <c r="W69" s="846" t="s">
        <v>194</v>
      </c>
      <c r="X69" s="846" t="s">
        <v>194</v>
      </c>
      <c r="Y69" s="846" t="s">
        <v>194</v>
      </c>
      <c r="Z69" s="846" t="s">
        <v>194</v>
      </c>
      <c r="AA69" s="846" t="s">
        <v>194</v>
      </c>
      <c r="AB69" s="846" t="s">
        <v>194</v>
      </c>
      <c r="AC69" s="846" t="s">
        <v>194</v>
      </c>
      <c r="AD69" s="846" t="s">
        <v>194</v>
      </c>
      <c r="AE69" s="846" t="s">
        <v>194</v>
      </c>
      <c r="AF69" s="846" t="s">
        <v>194</v>
      </c>
      <c r="AG69" s="846" t="s">
        <v>194</v>
      </c>
      <c r="AH69" s="846" t="s">
        <v>194</v>
      </c>
      <c r="AI69" s="846" t="s">
        <v>194</v>
      </c>
      <c r="AJ69" s="846" t="s">
        <v>194</v>
      </c>
      <c r="AK69" s="846" t="s">
        <v>194</v>
      </c>
      <c r="AL69" s="846" t="s">
        <v>194</v>
      </c>
      <c r="AM69" s="846" t="s">
        <v>194</v>
      </c>
      <c r="AN69" s="846" t="s">
        <v>194</v>
      </c>
    </row>
    <row r="70" ht="15.75" customHeight="1" outlineLevel="1">
      <c r="A70" s="849">
        <v>1.0</v>
      </c>
      <c r="B70" s="15"/>
      <c r="C70" s="869" t="str">
        <f>"    Cost of Revenue and Operating Expense"</f>
        <v>    Cost of Revenue and Operating Expense</v>
      </c>
      <c r="D70" s="870">
        <f t="shared" si="22"/>
        <v>79654</v>
      </c>
      <c r="E70" s="870">
        <f t="shared" si="23"/>
        <v>98126</v>
      </c>
      <c r="F70" s="870">
        <f t="shared" si="24"/>
        <v>36514</v>
      </c>
      <c r="G70" s="870">
        <f t="shared" si="25"/>
        <v>190911</v>
      </c>
      <c r="H70" s="870">
        <f t="shared" si="26"/>
        <v>57771</v>
      </c>
      <c r="I70" s="870">
        <f t="shared" si="27"/>
        <v>125780</v>
      </c>
      <c r="J70" s="870">
        <f t="shared" si="28"/>
        <v>61521.49887</v>
      </c>
      <c r="K70" s="871">
        <f t="shared" si="29"/>
        <v>0.6269642997</v>
      </c>
      <c r="L70" s="872" t="s">
        <v>194</v>
      </c>
      <c r="M70" s="872">
        <v>36514.0</v>
      </c>
      <c r="N70" s="872">
        <v>57771.0</v>
      </c>
      <c r="O70" s="872">
        <v>79654.0</v>
      </c>
      <c r="P70" s="872">
        <v>125780.0</v>
      </c>
      <c r="Q70" s="872">
        <v>190911.0</v>
      </c>
      <c r="R70" s="15"/>
      <c r="S70" s="851" t="s">
        <v>194</v>
      </c>
      <c r="T70" s="846" t="s">
        <v>194</v>
      </c>
      <c r="U70" s="846" t="s">
        <v>194</v>
      </c>
      <c r="V70" s="846" t="s">
        <v>194</v>
      </c>
      <c r="W70" s="846" t="s">
        <v>194</v>
      </c>
      <c r="X70" s="846" t="s">
        <v>194</v>
      </c>
      <c r="Y70" s="846" t="s">
        <v>194</v>
      </c>
      <c r="Z70" s="846" t="s">
        <v>194</v>
      </c>
      <c r="AA70" s="846" t="s">
        <v>194</v>
      </c>
      <c r="AB70" s="846" t="s">
        <v>194</v>
      </c>
      <c r="AC70" s="846" t="s">
        <v>194</v>
      </c>
      <c r="AD70" s="846" t="s">
        <v>194</v>
      </c>
      <c r="AE70" s="846" t="s">
        <v>194</v>
      </c>
      <c r="AF70" s="846" t="s">
        <v>194</v>
      </c>
      <c r="AG70" s="846" t="s">
        <v>194</v>
      </c>
      <c r="AH70" s="846" t="s">
        <v>194</v>
      </c>
      <c r="AI70" s="846" t="s">
        <v>194</v>
      </c>
      <c r="AJ70" s="846" t="s">
        <v>194</v>
      </c>
      <c r="AK70" s="846" t="s">
        <v>194</v>
      </c>
      <c r="AL70" s="846" t="s">
        <v>194</v>
      </c>
      <c r="AM70" s="846" t="s">
        <v>194</v>
      </c>
      <c r="AN70" s="846" t="s">
        <v>194</v>
      </c>
    </row>
    <row r="71" ht="15.75" customHeight="1" outlineLevel="1">
      <c r="A71" s="849">
        <v>1.0</v>
      </c>
      <c r="B71" s="15"/>
      <c r="C71" s="869" t="str">
        <f>"    Net Operating Profit After Tax (NOPAT)"</f>
        <v>    Net Operating Profit After Tax (NOPAT)</v>
      </c>
      <c r="D71" s="870">
        <f t="shared" si="22"/>
        <v>-21740</v>
      </c>
      <c r="E71" s="870">
        <f t="shared" si="23"/>
        <v>-25298.61</v>
      </c>
      <c r="F71" s="870">
        <f t="shared" si="24"/>
        <v>-46006.05</v>
      </c>
      <c r="G71" s="870">
        <f t="shared" si="25"/>
        <v>-15058</v>
      </c>
      <c r="H71" s="870">
        <f t="shared" si="26"/>
        <v>-26034</v>
      </c>
      <c r="I71" s="870">
        <f t="shared" si="27"/>
        <v>-17655</v>
      </c>
      <c r="J71" s="870">
        <f t="shared" si="28"/>
        <v>12301.39669</v>
      </c>
      <c r="K71" s="871">
        <f t="shared" si="29"/>
        <v>-0.4862479278</v>
      </c>
      <c r="L71" s="872" t="s">
        <v>194</v>
      </c>
      <c r="M71" s="872">
        <v>-15058.0</v>
      </c>
      <c r="N71" s="872">
        <v>-21740.0</v>
      </c>
      <c r="O71" s="872">
        <v>-17655.0</v>
      </c>
      <c r="P71" s="872">
        <v>-26034.0</v>
      </c>
      <c r="Q71" s="872">
        <v>-46006.05</v>
      </c>
      <c r="R71" s="15"/>
      <c r="S71" s="851" t="s">
        <v>194</v>
      </c>
      <c r="T71" s="846" t="s">
        <v>194</v>
      </c>
      <c r="U71" s="846" t="s">
        <v>194</v>
      </c>
      <c r="V71" s="846" t="s">
        <v>194</v>
      </c>
      <c r="W71" s="846" t="s">
        <v>194</v>
      </c>
      <c r="X71" s="846" t="s">
        <v>194</v>
      </c>
      <c r="Y71" s="846" t="s">
        <v>194</v>
      </c>
      <c r="Z71" s="846" t="s">
        <v>194</v>
      </c>
      <c r="AA71" s="846" t="s">
        <v>194</v>
      </c>
      <c r="AB71" s="846" t="s">
        <v>194</v>
      </c>
      <c r="AC71" s="846" t="s">
        <v>194</v>
      </c>
      <c r="AD71" s="846" t="s">
        <v>194</v>
      </c>
      <c r="AE71" s="846" t="s">
        <v>194</v>
      </c>
      <c r="AF71" s="846" t="s">
        <v>194</v>
      </c>
      <c r="AG71" s="846" t="s">
        <v>194</v>
      </c>
      <c r="AH71" s="846" t="s">
        <v>194</v>
      </c>
      <c r="AI71" s="846" t="s">
        <v>194</v>
      </c>
      <c r="AJ71" s="846" t="s">
        <v>194</v>
      </c>
      <c r="AK71" s="846" t="s">
        <v>194</v>
      </c>
      <c r="AL71" s="846" t="s">
        <v>194</v>
      </c>
      <c r="AM71" s="846" t="s">
        <v>194</v>
      </c>
      <c r="AN71" s="846" t="s">
        <v>194</v>
      </c>
    </row>
    <row r="72" ht="15.75" customHeight="1">
      <c r="A72" s="849">
        <v>1.0</v>
      </c>
      <c r="B72" s="15"/>
      <c r="C72" s="855" t="str">
        <f>"Data Origination"</f>
        <v>Data Origination</v>
      </c>
      <c r="D72" s="867" t="s">
        <v>194</v>
      </c>
      <c r="E72" s="867" t="s">
        <v>194</v>
      </c>
      <c r="F72" s="867" t="s">
        <v>194</v>
      </c>
      <c r="G72" s="867" t="s">
        <v>194</v>
      </c>
      <c r="H72" s="867" t="s">
        <v>194</v>
      </c>
      <c r="I72" s="867" t="s">
        <v>194</v>
      </c>
      <c r="J72" s="867" t="s">
        <v>194</v>
      </c>
      <c r="K72" s="867" t="s">
        <v>194</v>
      </c>
      <c r="L72" s="867" t="s">
        <v>194</v>
      </c>
      <c r="M72" s="867" t="s">
        <v>194</v>
      </c>
      <c r="N72" s="867" t="s">
        <v>194</v>
      </c>
      <c r="O72" s="867" t="s">
        <v>194</v>
      </c>
      <c r="P72" s="867" t="s">
        <v>194</v>
      </c>
      <c r="Q72" s="867" t="s">
        <v>194</v>
      </c>
      <c r="R72" s="15"/>
      <c r="S72" s="851" t="s">
        <v>194</v>
      </c>
      <c r="T72" s="846" t="s">
        <v>194</v>
      </c>
      <c r="U72" s="846" t="s">
        <v>194</v>
      </c>
      <c r="V72" s="846" t="s">
        <v>194</v>
      </c>
      <c r="W72" s="846" t="s">
        <v>194</v>
      </c>
      <c r="X72" s="846" t="s">
        <v>194</v>
      </c>
      <c r="Y72" s="846" t="s">
        <v>194</v>
      </c>
      <c r="Z72" s="846" t="s">
        <v>194</v>
      </c>
      <c r="AA72" s="846" t="s">
        <v>194</v>
      </c>
      <c r="AB72" s="846" t="s">
        <v>194</v>
      </c>
      <c r="AC72" s="846" t="s">
        <v>194</v>
      </c>
      <c r="AD72" s="846" t="s">
        <v>194</v>
      </c>
      <c r="AE72" s="846" t="s">
        <v>194</v>
      </c>
      <c r="AF72" s="846" t="s">
        <v>194</v>
      </c>
      <c r="AG72" s="846" t="s">
        <v>194</v>
      </c>
      <c r="AH72" s="846" t="s">
        <v>194</v>
      </c>
      <c r="AI72" s="846" t="s">
        <v>194</v>
      </c>
      <c r="AJ72" s="846" t="s">
        <v>194</v>
      </c>
      <c r="AK72" s="846" t="s">
        <v>194</v>
      </c>
      <c r="AL72" s="846" t="s">
        <v>194</v>
      </c>
      <c r="AM72" s="846" t="s">
        <v>194</v>
      </c>
      <c r="AN72" s="846" t="s">
        <v>194</v>
      </c>
    </row>
    <row r="73" ht="15.75" customHeight="1">
      <c r="A73" s="849">
        <v>1.0</v>
      </c>
      <c r="B73" s="15"/>
      <c r="C73" s="869" t="str">
        <f>"    Preliminary"</f>
        <v>    Preliminary</v>
      </c>
      <c r="D73" s="889" t="s">
        <v>194</v>
      </c>
      <c r="E73" s="889" t="s">
        <v>194</v>
      </c>
      <c r="F73" s="889" t="s">
        <v>194</v>
      </c>
      <c r="G73" s="889" t="s">
        <v>194</v>
      </c>
      <c r="H73" s="889" t="s">
        <v>194</v>
      </c>
      <c r="I73" s="889" t="s">
        <v>194</v>
      </c>
      <c r="J73" s="889" t="s">
        <v>194</v>
      </c>
      <c r="K73" s="889" t="s">
        <v>194</v>
      </c>
      <c r="L73" s="890" t="s">
        <v>194</v>
      </c>
      <c r="M73" s="890" t="s">
        <v>340</v>
      </c>
      <c r="N73" s="890" t="s">
        <v>340</v>
      </c>
      <c r="O73" s="890" t="s">
        <v>340</v>
      </c>
      <c r="P73" s="890" t="s">
        <v>340</v>
      </c>
      <c r="Q73" s="890" t="s">
        <v>340</v>
      </c>
      <c r="R73" s="15"/>
      <c r="S73" s="851" t="s">
        <v>194</v>
      </c>
      <c r="T73" s="846" t="s">
        <v>194</v>
      </c>
      <c r="U73" s="846" t="s">
        <v>194</v>
      </c>
      <c r="V73" s="846" t="s">
        <v>194</v>
      </c>
      <c r="W73" s="846" t="s">
        <v>194</v>
      </c>
      <c r="X73" s="846" t="s">
        <v>194</v>
      </c>
      <c r="Y73" s="846" t="s">
        <v>194</v>
      </c>
      <c r="Z73" s="846" t="s">
        <v>194</v>
      </c>
      <c r="AA73" s="846" t="s">
        <v>194</v>
      </c>
      <c r="AB73" s="846" t="s">
        <v>194</v>
      </c>
      <c r="AC73" s="846" t="s">
        <v>194</v>
      </c>
      <c r="AD73" s="846" t="s">
        <v>194</v>
      </c>
      <c r="AE73" s="846" t="s">
        <v>194</v>
      </c>
      <c r="AF73" s="846" t="s">
        <v>194</v>
      </c>
      <c r="AG73" s="846" t="s">
        <v>194</v>
      </c>
      <c r="AH73" s="846" t="s">
        <v>194</v>
      </c>
      <c r="AI73" s="846" t="s">
        <v>194</v>
      </c>
      <c r="AJ73" s="846" t="s">
        <v>194</v>
      </c>
      <c r="AK73" s="846" t="s">
        <v>194</v>
      </c>
      <c r="AL73" s="846" t="s">
        <v>194</v>
      </c>
      <c r="AM73" s="846" t="s">
        <v>194</v>
      </c>
      <c r="AN73" s="846" t="s">
        <v>194</v>
      </c>
    </row>
    <row r="74" ht="15.75" customHeight="1">
      <c r="A74" s="849">
        <v>1.0</v>
      </c>
      <c r="B74" s="15"/>
      <c r="C74" s="869" t="str">
        <f>"    Original"</f>
        <v>    Original</v>
      </c>
      <c r="D74" s="889" t="s">
        <v>194</v>
      </c>
      <c r="E74" s="889" t="s">
        <v>194</v>
      </c>
      <c r="F74" s="889" t="s">
        <v>194</v>
      </c>
      <c r="G74" s="889" t="s">
        <v>194</v>
      </c>
      <c r="H74" s="889" t="s">
        <v>194</v>
      </c>
      <c r="I74" s="889" t="s">
        <v>194</v>
      </c>
      <c r="J74" s="889" t="s">
        <v>194</v>
      </c>
      <c r="K74" s="889" t="s">
        <v>194</v>
      </c>
      <c r="L74" s="890" t="s">
        <v>194</v>
      </c>
      <c r="M74" s="890" t="s">
        <v>340</v>
      </c>
      <c r="N74" s="890" t="s">
        <v>340</v>
      </c>
      <c r="O74" s="890" t="s">
        <v>340</v>
      </c>
      <c r="P74" s="890" t="s">
        <v>340</v>
      </c>
      <c r="Q74" s="890" t="s">
        <v>340</v>
      </c>
      <c r="R74" s="15"/>
      <c r="S74" s="851" t="s">
        <v>194</v>
      </c>
      <c r="T74" s="846" t="s">
        <v>194</v>
      </c>
      <c r="U74" s="846" t="s">
        <v>194</v>
      </c>
      <c r="V74" s="846" t="s">
        <v>194</v>
      </c>
      <c r="W74" s="846" t="s">
        <v>194</v>
      </c>
      <c r="X74" s="846" t="s">
        <v>194</v>
      </c>
      <c r="Y74" s="846" t="s">
        <v>194</v>
      </c>
      <c r="Z74" s="846" t="s">
        <v>194</v>
      </c>
      <c r="AA74" s="846" t="s">
        <v>194</v>
      </c>
      <c r="AB74" s="846" t="s">
        <v>194</v>
      </c>
      <c r="AC74" s="846" t="s">
        <v>194</v>
      </c>
      <c r="AD74" s="846" t="s">
        <v>194</v>
      </c>
      <c r="AE74" s="846" t="s">
        <v>194</v>
      </c>
      <c r="AF74" s="846" t="s">
        <v>194</v>
      </c>
      <c r="AG74" s="846" t="s">
        <v>194</v>
      </c>
      <c r="AH74" s="846" t="s">
        <v>194</v>
      </c>
      <c r="AI74" s="846" t="s">
        <v>194</v>
      </c>
      <c r="AJ74" s="846" t="s">
        <v>194</v>
      </c>
      <c r="AK74" s="846" t="s">
        <v>194</v>
      </c>
      <c r="AL74" s="846" t="s">
        <v>194</v>
      </c>
      <c r="AM74" s="846" t="s">
        <v>194</v>
      </c>
      <c r="AN74" s="846" t="s">
        <v>194</v>
      </c>
    </row>
    <row r="75" ht="15.75" customHeight="1">
      <c r="A75" s="849">
        <v>1.0</v>
      </c>
      <c r="B75" s="15"/>
      <c r="C75" s="869" t="str">
        <f>"    Restated"</f>
        <v>    Restated</v>
      </c>
      <c r="D75" s="889" t="s">
        <v>194</v>
      </c>
      <c r="E75" s="889" t="s">
        <v>194</v>
      </c>
      <c r="F75" s="889" t="s">
        <v>194</v>
      </c>
      <c r="G75" s="889" t="s">
        <v>194</v>
      </c>
      <c r="H75" s="889" t="s">
        <v>194</v>
      </c>
      <c r="I75" s="889" t="s">
        <v>194</v>
      </c>
      <c r="J75" s="889" t="s">
        <v>194</v>
      </c>
      <c r="K75" s="889" t="s">
        <v>194</v>
      </c>
      <c r="L75" s="890" t="s">
        <v>194</v>
      </c>
      <c r="M75" s="890" t="s">
        <v>340</v>
      </c>
      <c r="N75" s="890" t="s">
        <v>340</v>
      </c>
      <c r="O75" s="890" t="s">
        <v>340</v>
      </c>
      <c r="P75" s="890" t="s">
        <v>340</v>
      </c>
      <c r="Q75" s="890" t="s">
        <v>340</v>
      </c>
      <c r="R75" s="15"/>
      <c r="S75" s="851" t="s">
        <v>194</v>
      </c>
      <c r="T75" s="846" t="s">
        <v>194</v>
      </c>
      <c r="U75" s="846" t="s">
        <v>194</v>
      </c>
      <c r="V75" s="846" t="s">
        <v>194</v>
      </c>
      <c r="W75" s="846" t="s">
        <v>194</v>
      </c>
      <c r="X75" s="846" t="s">
        <v>194</v>
      </c>
      <c r="Y75" s="846" t="s">
        <v>194</v>
      </c>
      <c r="Z75" s="846" t="s">
        <v>194</v>
      </c>
      <c r="AA75" s="846" t="s">
        <v>194</v>
      </c>
      <c r="AB75" s="846" t="s">
        <v>194</v>
      </c>
      <c r="AC75" s="846" t="s">
        <v>194</v>
      </c>
      <c r="AD75" s="846" t="s">
        <v>194</v>
      </c>
      <c r="AE75" s="846" t="s">
        <v>194</v>
      </c>
      <c r="AF75" s="846" t="s">
        <v>194</v>
      </c>
      <c r="AG75" s="846" t="s">
        <v>194</v>
      </c>
      <c r="AH75" s="846" t="s">
        <v>194</v>
      </c>
      <c r="AI75" s="846" t="s">
        <v>194</v>
      </c>
      <c r="AJ75" s="846" t="s">
        <v>194</v>
      </c>
      <c r="AK75" s="846" t="s">
        <v>194</v>
      </c>
      <c r="AL75" s="846" t="s">
        <v>194</v>
      </c>
      <c r="AM75" s="846" t="s">
        <v>194</v>
      </c>
      <c r="AN75" s="846" t="s">
        <v>194</v>
      </c>
    </row>
    <row r="76" ht="15.75" customHeight="1">
      <c r="A76" s="849">
        <v>1.0</v>
      </c>
      <c r="B76" s="15"/>
      <c r="C76" s="869" t="str">
        <f>"    Calculated"</f>
        <v>    Calculated</v>
      </c>
      <c r="D76" s="889" t="s">
        <v>194</v>
      </c>
      <c r="E76" s="889" t="s">
        <v>194</v>
      </c>
      <c r="F76" s="889" t="s">
        <v>194</v>
      </c>
      <c r="G76" s="889" t="s">
        <v>194</v>
      </c>
      <c r="H76" s="889" t="s">
        <v>194</v>
      </c>
      <c r="I76" s="889" t="s">
        <v>194</v>
      </c>
      <c r="J76" s="889" t="s">
        <v>194</v>
      </c>
      <c r="K76" s="889" t="s">
        <v>194</v>
      </c>
      <c r="L76" s="890" t="s">
        <v>194</v>
      </c>
      <c r="M76" s="890" t="s">
        <v>340</v>
      </c>
      <c r="N76" s="890" t="s">
        <v>340</v>
      </c>
      <c r="O76" s="890" t="s">
        <v>340</v>
      </c>
      <c r="P76" s="890" t="s">
        <v>340</v>
      </c>
      <c r="Q76" s="890" t="s">
        <v>340</v>
      </c>
      <c r="R76" s="15"/>
      <c r="S76" s="851" t="s">
        <v>194</v>
      </c>
      <c r="T76" s="846" t="s">
        <v>194</v>
      </c>
      <c r="U76" s="846" t="s">
        <v>194</v>
      </c>
      <c r="V76" s="846" t="s">
        <v>194</v>
      </c>
      <c r="W76" s="846" t="s">
        <v>194</v>
      </c>
      <c r="X76" s="846" t="s">
        <v>194</v>
      </c>
      <c r="Y76" s="846" t="s">
        <v>194</v>
      </c>
      <c r="Z76" s="846" t="s">
        <v>194</v>
      </c>
      <c r="AA76" s="846" t="s">
        <v>194</v>
      </c>
      <c r="AB76" s="846" t="s">
        <v>194</v>
      </c>
      <c r="AC76" s="846" t="s">
        <v>194</v>
      </c>
      <c r="AD76" s="846" t="s">
        <v>194</v>
      </c>
      <c r="AE76" s="846" t="s">
        <v>194</v>
      </c>
      <c r="AF76" s="846" t="s">
        <v>194</v>
      </c>
      <c r="AG76" s="846" t="s">
        <v>194</v>
      </c>
      <c r="AH76" s="846" t="s">
        <v>194</v>
      </c>
      <c r="AI76" s="846" t="s">
        <v>194</v>
      </c>
      <c r="AJ76" s="846" t="s">
        <v>194</v>
      </c>
      <c r="AK76" s="846" t="s">
        <v>194</v>
      </c>
      <c r="AL76" s="846" t="s">
        <v>194</v>
      </c>
      <c r="AM76" s="846" t="s">
        <v>194</v>
      </c>
      <c r="AN76" s="846" t="s">
        <v>194</v>
      </c>
    </row>
    <row r="77" ht="15.75" customHeight="1">
      <c r="A77" s="849" t="s">
        <v>194</v>
      </c>
      <c r="B77" s="15"/>
      <c r="C77" s="15"/>
      <c r="D77" s="15"/>
      <c r="E77" s="15"/>
      <c r="F77" s="15"/>
      <c r="G77" s="15"/>
      <c r="H77" s="15"/>
      <c r="I77" s="15"/>
      <c r="J77" s="15"/>
      <c r="K77" s="15"/>
      <c r="L77" s="15"/>
      <c r="M77" s="15"/>
      <c r="N77" s="15"/>
      <c r="O77" s="15"/>
      <c r="P77" s="15"/>
      <c r="Q77" s="15"/>
      <c r="R77" s="15"/>
      <c r="S77" s="851" t="s">
        <v>194</v>
      </c>
      <c r="T77" s="846" t="s">
        <v>194</v>
      </c>
      <c r="U77" s="846" t="s">
        <v>194</v>
      </c>
      <c r="V77" s="846" t="s">
        <v>194</v>
      </c>
      <c r="W77" s="846" t="s">
        <v>194</v>
      </c>
      <c r="X77" s="846" t="s">
        <v>194</v>
      </c>
      <c r="Y77" s="846" t="s">
        <v>194</v>
      </c>
      <c r="Z77" s="846" t="s">
        <v>194</v>
      </c>
      <c r="AA77" s="846" t="s">
        <v>194</v>
      </c>
      <c r="AB77" s="846" t="s">
        <v>194</v>
      </c>
      <c r="AC77" s="846" t="s">
        <v>194</v>
      </c>
      <c r="AD77" s="846" t="s">
        <v>194</v>
      </c>
      <c r="AE77" s="846" t="s">
        <v>194</v>
      </c>
      <c r="AF77" s="846" t="s">
        <v>194</v>
      </c>
      <c r="AG77" s="846" t="s">
        <v>194</v>
      </c>
      <c r="AH77" s="846" t="s">
        <v>194</v>
      </c>
      <c r="AI77" s="846" t="s">
        <v>194</v>
      </c>
      <c r="AJ77" s="846" t="s">
        <v>194</v>
      </c>
      <c r="AK77" s="846" t="s">
        <v>194</v>
      </c>
      <c r="AL77" s="846" t="s">
        <v>194</v>
      </c>
      <c r="AM77" s="846" t="s">
        <v>194</v>
      </c>
      <c r="AN77" s="846" t="s">
        <v>194</v>
      </c>
    </row>
    <row r="78" ht="15.75" customHeight="1">
      <c r="A78" s="849" t="s">
        <v>194</v>
      </c>
      <c r="B78" s="15"/>
      <c r="C78" s="15"/>
      <c r="D78" s="15"/>
      <c r="E78" s="15"/>
      <c r="F78" s="15"/>
      <c r="G78" s="15"/>
      <c r="H78" s="15"/>
      <c r="I78" s="15"/>
      <c r="J78" s="15"/>
      <c r="K78" s="15"/>
      <c r="L78" s="15"/>
      <c r="M78" s="15"/>
      <c r="N78" s="15"/>
      <c r="O78" s="15"/>
      <c r="P78" s="15"/>
      <c r="Q78" s="15"/>
      <c r="R78" s="15"/>
      <c r="S78" s="851" t="s">
        <v>194</v>
      </c>
      <c r="T78" s="846" t="s">
        <v>194</v>
      </c>
      <c r="U78" s="846" t="s">
        <v>194</v>
      </c>
      <c r="V78" s="846" t="s">
        <v>194</v>
      </c>
      <c r="W78" s="846" t="s">
        <v>194</v>
      </c>
      <c r="X78" s="846" t="s">
        <v>194</v>
      </c>
      <c r="Y78" s="846" t="s">
        <v>194</v>
      </c>
      <c r="Z78" s="846" t="s">
        <v>194</v>
      </c>
      <c r="AA78" s="846" t="s">
        <v>194</v>
      </c>
      <c r="AB78" s="846" t="s">
        <v>194</v>
      </c>
      <c r="AC78" s="846" t="s">
        <v>194</v>
      </c>
      <c r="AD78" s="846" t="s">
        <v>194</v>
      </c>
      <c r="AE78" s="846" t="s">
        <v>194</v>
      </c>
      <c r="AF78" s="846" t="s">
        <v>194</v>
      </c>
      <c r="AG78" s="846" t="s">
        <v>194</v>
      </c>
      <c r="AH78" s="846" t="s">
        <v>194</v>
      </c>
      <c r="AI78" s="846" t="s">
        <v>194</v>
      </c>
      <c r="AJ78" s="846" t="s">
        <v>194</v>
      </c>
      <c r="AK78" s="846" t="s">
        <v>194</v>
      </c>
      <c r="AL78" s="846" t="s">
        <v>194</v>
      </c>
      <c r="AM78" s="846" t="s">
        <v>194</v>
      </c>
      <c r="AN78" s="846" t="s">
        <v>194</v>
      </c>
    </row>
    <row r="79" ht="15.75" customHeight="1">
      <c r="A79" s="849" t="s">
        <v>194</v>
      </c>
      <c r="B79" s="15"/>
      <c r="C79" s="892" t="s">
        <v>344</v>
      </c>
      <c r="D79" s="15"/>
      <c r="E79" s="15"/>
      <c r="F79" s="15"/>
      <c r="G79" s="15"/>
      <c r="H79" s="15"/>
      <c r="I79" s="15"/>
      <c r="J79" s="15"/>
      <c r="K79" s="15"/>
      <c r="L79" s="15"/>
      <c r="M79" s="15"/>
      <c r="N79" s="15"/>
      <c r="O79" s="15"/>
      <c r="P79" s="15"/>
      <c r="Q79" s="15"/>
      <c r="R79" s="15"/>
      <c r="S79" s="851" t="s">
        <v>194</v>
      </c>
      <c r="T79" s="846" t="s">
        <v>194</v>
      </c>
      <c r="U79" s="846" t="s">
        <v>194</v>
      </c>
      <c r="V79" s="846" t="s">
        <v>194</v>
      </c>
      <c r="W79" s="846" t="s">
        <v>194</v>
      </c>
      <c r="X79" s="846" t="s">
        <v>194</v>
      </c>
      <c r="Y79" s="846" t="s">
        <v>194</v>
      </c>
      <c r="Z79" s="846" t="s">
        <v>194</v>
      </c>
      <c r="AA79" s="846" t="s">
        <v>194</v>
      </c>
      <c r="AB79" s="846" t="s">
        <v>194</v>
      </c>
      <c r="AC79" s="846" t="s">
        <v>194</v>
      </c>
      <c r="AD79" s="846" t="s">
        <v>194</v>
      </c>
      <c r="AE79" s="846" t="s">
        <v>194</v>
      </c>
      <c r="AF79" s="846" t="s">
        <v>194</v>
      </c>
      <c r="AG79" s="846" t="s">
        <v>194</v>
      </c>
      <c r="AH79" s="846" t="s">
        <v>194</v>
      </c>
      <c r="AI79" s="846" t="s">
        <v>194</v>
      </c>
      <c r="AJ79" s="846" t="s">
        <v>194</v>
      </c>
      <c r="AK79" s="846" t="s">
        <v>194</v>
      </c>
      <c r="AL79" s="846" t="s">
        <v>194</v>
      </c>
      <c r="AM79" s="846" t="s">
        <v>194</v>
      </c>
      <c r="AN79" s="846" t="s">
        <v>194</v>
      </c>
    </row>
    <row r="80" ht="15.75" customHeight="1">
      <c r="A80" s="849" t="s">
        <v>194</v>
      </c>
      <c r="B80" s="15"/>
      <c r="C80" s="892" t="s">
        <v>345</v>
      </c>
      <c r="D80" s="15"/>
      <c r="E80" s="15"/>
      <c r="F80" s="15"/>
      <c r="G80" s="15"/>
      <c r="H80" s="15"/>
      <c r="I80" s="15"/>
      <c r="J80" s="15"/>
      <c r="K80" s="15"/>
      <c r="L80" s="15"/>
      <c r="M80" s="15"/>
      <c r="N80" s="15"/>
      <c r="O80" s="15"/>
      <c r="P80" s="15"/>
      <c r="Q80" s="15"/>
      <c r="R80" s="15"/>
      <c r="S80" s="851" t="s">
        <v>194</v>
      </c>
      <c r="T80" s="846" t="s">
        <v>194</v>
      </c>
      <c r="U80" s="846" t="s">
        <v>194</v>
      </c>
      <c r="V80" s="846" t="s">
        <v>194</v>
      </c>
      <c r="W80" s="846" t="s">
        <v>194</v>
      </c>
      <c r="X80" s="846" t="s">
        <v>194</v>
      </c>
      <c r="Y80" s="846" t="s">
        <v>194</v>
      </c>
      <c r="Z80" s="846" t="s">
        <v>194</v>
      </c>
      <c r="AA80" s="846" t="s">
        <v>194</v>
      </c>
      <c r="AB80" s="846" t="s">
        <v>194</v>
      </c>
      <c r="AC80" s="846" t="s">
        <v>194</v>
      </c>
      <c r="AD80" s="846" t="s">
        <v>194</v>
      </c>
      <c r="AE80" s="846" t="s">
        <v>194</v>
      </c>
      <c r="AF80" s="846" t="s">
        <v>194</v>
      </c>
      <c r="AG80" s="846" t="s">
        <v>194</v>
      </c>
      <c r="AH80" s="846" t="s">
        <v>194</v>
      </c>
      <c r="AI80" s="846" t="s">
        <v>194</v>
      </c>
      <c r="AJ80" s="846" t="s">
        <v>194</v>
      </c>
      <c r="AK80" s="846" t="s">
        <v>194</v>
      </c>
      <c r="AL80" s="846" t="s">
        <v>194</v>
      </c>
      <c r="AM80" s="846" t="s">
        <v>194</v>
      </c>
      <c r="AN80" s="846" t="s">
        <v>194</v>
      </c>
    </row>
    <row r="81" ht="15.75" customHeight="1">
      <c r="A81" s="849" t="s">
        <v>194</v>
      </c>
      <c r="B81" s="15"/>
      <c r="C81" s="15"/>
      <c r="D81" s="15"/>
      <c r="E81" s="15"/>
      <c r="F81" s="15"/>
      <c r="G81" s="15"/>
      <c r="H81" s="15"/>
      <c r="I81" s="15"/>
      <c r="J81" s="15"/>
      <c r="K81" s="15"/>
      <c r="L81" s="15"/>
      <c r="M81" s="15"/>
      <c r="N81" s="15"/>
      <c r="O81" s="15"/>
      <c r="P81" s="15"/>
      <c r="Q81" s="15"/>
      <c r="R81" s="15"/>
      <c r="S81" s="851" t="s">
        <v>194</v>
      </c>
      <c r="T81" s="846" t="s">
        <v>194</v>
      </c>
      <c r="U81" s="846" t="s">
        <v>194</v>
      </c>
      <c r="V81" s="846" t="s">
        <v>194</v>
      </c>
      <c r="W81" s="846" t="s">
        <v>194</v>
      </c>
      <c r="X81" s="846" t="s">
        <v>194</v>
      </c>
      <c r="Y81" s="846" t="s">
        <v>194</v>
      </c>
      <c r="Z81" s="846" t="s">
        <v>194</v>
      </c>
      <c r="AA81" s="846" t="s">
        <v>194</v>
      </c>
      <c r="AB81" s="846" t="s">
        <v>194</v>
      </c>
      <c r="AC81" s="846" t="s">
        <v>194</v>
      </c>
      <c r="AD81" s="846" t="s">
        <v>194</v>
      </c>
      <c r="AE81" s="846" t="s">
        <v>194</v>
      </c>
      <c r="AF81" s="846" t="s">
        <v>194</v>
      </c>
      <c r="AG81" s="846" t="s">
        <v>194</v>
      </c>
      <c r="AH81" s="846" t="s">
        <v>194</v>
      </c>
      <c r="AI81" s="846" t="s">
        <v>194</v>
      </c>
      <c r="AJ81" s="846" t="s">
        <v>194</v>
      </c>
      <c r="AK81" s="846" t="s">
        <v>194</v>
      </c>
      <c r="AL81" s="846" t="s">
        <v>194</v>
      </c>
      <c r="AM81" s="846" t="s">
        <v>194</v>
      </c>
      <c r="AN81" s="846" t="s">
        <v>194</v>
      </c>
    </row>
    <row r="82" ht="15.75" customHeight="1">
      <c r="A82" s="846" t="s">
        <v>194</v>
      </c>
      <c r="B82" s="893" t="s">
        <v>194</v>
      </c>
      <c r="C82" s="893" t="s">
        <v>194</v>
      </c>
      <c r="D82" s="893" t="s">
        <v>194</v>
      </c>
      <c r="E82" s="893" t="s">
        <v>194</v>
      </c>
      <c r="F82" s="893" t="s">
        <v>194</v>
      </c>
      <c r="G82" s="893" t="s">
        <v>194</v>
      </c>
      <c r="H82" s="893" t="s">
        <v>194</v>
      </c>
      <c r="I82" s="893" t="s">
        <v>194</v>
      </c>
      <c r="J82" s="893" t="s">
        <v>194</v>
      </c>
      <c r="K82" s="893" t="s">
        <v>194</v>
      </c>
      <c r="L82" s="893" t="s">
        <v>194</v>
      </c>
      <c r="M82" s="893" t="s">
        <v>194</v>
      </c>
      <c r="N82" s="893" t="s">
        <v>194</v>
      </c>
      <c r="O82" s="893" t="s">
        <v>194</v>
      </c>
      <c r="P82" s="893" t="s">
        <v>194</v>
      </c>
      <c r="Q82" s="893" t="s">
        <v>194</v>
      </c>
      <c r="R82" s="893" t="s">
        <v>194</v>
      </c>
      <c r="S82" s="846" t="s">
        <v>194</v>
      </c>
      <c r="T82" s="846" t="s">
        <v>194</v>
      </c>
      <c r="U82" s="846" t="s">
        <v>194</v>
      </c>
      <c r="V82" s="846" t="s">
        <v>194</v>
      </c>
      <c r="W82" s="846" t="s">
        <v>194</v>
      </c>
      <c r="X82" s="846" t="s">
        <v>194</v>
      </c>
      <c r="Y82" s="846" t="s">
        <v>194</v>
      </c>
      <c r="Z82" s="846" t="s">
        <v>194</v>
      </c>
      <c r="AA82" s="846" t="s">
        <v>194</v>
      </c>
      <c r="AB82" s="846" t="s">
        <v>194</v>
      </c>
      <c r="AC82" s="846" t="s">
        <v>194</v>
      </c>
      <c r="AD82" s="846" t="s">
        <v>194</v>
      </c>
      <c r="AE82" s="846" t="s">
        <v>194</v>
      </c>
      <c r="AF82" s="846" t="s">
        <v>194</v>
      </c>
      <c r="AG82" s="846" t="s">
        <v>194</v>
      </c>
      <c r="AH82" s="846" t="s">
        <v>194</v>
      </c>
      <c r="AI82" s="846" t="s">
        <v>194</v>
      </c>
      <c r="AJ82" s="846" t="s">
        <v>194</v>
      </c>
      <c r="AK82" s="846" t="s">
        <v>194</v>
      </c>
      <c r="AL82" s="846" t="s">
        <v>194</v>
      </c>
      <c r="AM82" s="846" t="s">
        <v>194</v>
      </c>
      <c r="AN82" s="846" t="s">
        <v>194</v>
      </c>
    </row>
    <row r="83" ht="15.75" customHeight="1">
      <c r="A83" s="846" t="s">
        <v>194</v>
      </c>
      <c r="B83" s="846" t="s">
        <v>194</v>
      </c>
      <c r="C83" s="846" t="s">
        <v>194</v>
      </c>
      <c r="D83" s="846" t="s">
        <v>194</v>
      </c>
      <c r="E83" s="846" t="s">
        <v>194</v>
      </c>
      <c r="F83" s="846" t="s">
        <v>194</v>
      </c>
      <c r="G83" s="846" t="s">
        <v>194</v>
      </c>
      <c r="H83" s="846" t="s">
        <v>194</v>
      </c>
      <c r="I83" s="846" t="s">
        <v>194</v>
      </c>
      <c r="J83" s="846" t="s">
        <v>194</v>
      </c>
      <c r="K83" s="846" t="s">
        <v>194</v>
      </c>
      <c r="L83" s="846" t="s">
        <v>194</v>
      </c>
      <c r="M83" s="846" t="s">
        <v>194</v>
      </c>
      <c r="N83" s="846" t="s">
        <v>194</v>
      </c>
      <c r="O83" s="846" t="s">
        <v>194</v>
      </c>
      <c r="P83" s="846" t="s">
        <v>194</v>
      </c>
      <c r="Q83" s="846" t="s">
        <v>194</v>
      </c>
      <c r="R83" s="846" t="s">
        <v>194</v>
      </c>
      <c r="S83" s="846" t="s">
        <v>194</v>
      </c>
      <c r="T83" s="846" t="s">
        <v>194</v>
      </c>
      <c r="U83" s="846" t="s">
        <v>194</v>
      </c>
      <c r="V83" s="846" t="s">
        <v>194</v>
      </c>
      <c r="W83" s="846" t="s">
        <v>194</v>
      </c>
      <c r="X83" s="846" t="s">
        <v>194</v>
      </c>
      <c r="Y83" s="846" t="s">
        <v>194</v>
      </c>
      <c r="Z83" s="846" t="s">
        <v>194</v>
      </c>
      <c r="AA83" s="846" t="s">
        <v>194</v>
      </c>
      <c r="AB83" s="846" t="s">
        <v>194</v>
      </c>
      <c r="AC83" s="846" t="s">
        <v>194</v>
      </c>
      <c r="AD83" s="846" t="s">
        <v>194</v>
      </c>
      <c r="AE83" s="846" t="s">
        <v>194</v>
      </c>
      <c r="AF83" s="846" t="s">
        <v>194</v>
      </c>
      <c r="AG83" s="846" t="s">
        <v>194</v>
      </c>
      <c r="AH83" s="846" t="s">
        <v>194</v>
      </c>
      <c r="AI83" s="846" t="s">
        <v>194</v>
      </c>
      <c r="AJ83" s="846" t="s">
        <v>194</v>
      </c>
      <c r="AK83" s="846" t="s">
        <v>194</v>
      </c>
      <c r="AL83" s="846" t="s">
        <v>194</v>
      </c>
      <c r="AM83" s="846" t="s">
        <v>194</v>
      </c>
      <c r="AN83" s="846" t="s">
        <v>194</v>
      </c>
    </row>
    <row r="84" ht="15.75" customHeight="1">
      <c r="A84" s="846" t="s">
        <v>194</v>
      </c>
      <c r="B84" s="846" t="s">
        <v>194</v>
      </c>
      <c r="C84" s="846" t="s">
        <v>194</v>
      </c>
      <c r="D84" s="846" t="s">
        <v>194</v>
      </c>
      <c r="E84" s="846" t="s">
        <v>194</v>
      </c>
      <c r="F84" s="846" t="s">
        <v>194</v>
      </c>
      <c r="G84" s="846" t="s">
        <v>194</v>
      </c>
      <c r="H84" s="846" t="s">
        <v>194</v>
      </c>
      <c r="I84" s="846" t="s">
        <v>194</v>
      </c>
      <c r="J84" s="846" t="s">
        <v>194</v>
      </c>
      <c r="K84" s="846" t="s">
        <v>194</v>
      </c>
      <c r="L84" s="846" t="s">
        <v>194</v>
      </c>
      <c r="M84" s="846" t="s">
        <v>194</v>
      </c>
      <c r="N84" s="846" t="s">
        <v>194</v>
      </c>
      <c r="O84" s="846" t="s">
        <v>194</v>
      </c>
      <c r="P84" s="846" t="s">
        <v>194</v>
      </c>
      <c r="Q84" s="846" t="s">
        <v>194</v>
      </c>
      <c r="R84" s="846" t="s">
        <v>194</v>
      </c>
      <c r="S84" s="846" t="s">
        <v>194</v>
      </c>
      <c r="T84" s="846" t="s">
        <v>194</v>
      </c>
      <c r="U84" s="846" t="s">
        <v>194</v>
      </c>
      <c r="V84" s="846" t="s">
        <v>194</v>
      </c>
      <c r="W84" s="846" t="s">
        <v>194</v>
      </c>
      <c r="X84" s="846" t="s">
        <v>194</v>
      </c>
      <c r="Y84" s="846" t="s">
        <v>194</v>
      </c>
      <c r="Z84" s="846" t="s">
        <v>194</v>
      </c>
      <c r="AA84" s="846" t="s">
        <v>194</v>
      </c>
      <c r="AB84" s="846" t="s">
        <v>194</v>
      </c>
      <c r="AC84" s="846" t="s">
        <v>194</v>
      </c>
      <c r="AD84" s="846" t="s">
        <v>194</v>
      </c>
      <c r="AE84" s="846" t="s">
        <v>194</v>
      </c>
      <c r="AF84" s="846" t="s">
        <v>194</v>
      </c>
      <c r="AG84" s="846" t="s">
        <v>194</v>
      </c>
      <c r="AH84" s="846" t="s">
        <v>194</v>
      </c>
      <c r="AI84" s="846" t="s">
        <v>194</v>
      </c>
      <c r="AJ84" s="846" t="s">
        <v>194</v>
      </c>
      <c r="AK84" s="846" t="s">
        <v>194</v>
      </c>
      <c r="AL84" s="846" t="s">
        <v>194</v>
      </c>
      <c r="AM84" s="846" t="s">
        <v>194</v>
      </c>
      <c r="AN84" s="846" t="s">
        <v>194</v>
      </c>
    </row>
    <row r="85" ht="15.75" customHeight="1">
      <c r="A85" s="846" t="s">
        <v>194</v>
      </c>
      <c r="B85" s="846" t="s">
        <v>194</v>
      </c>
      <c r="C85" s="846" t="s">
        <v>194</v>
      </c>
      <c r="D85" s="846" t="s">
        <v>194</v>
      </c>
      <c r="E85" s="846" t="s">
        <v>194</v>
      </c>
      <c r="F85" s="846" t="s">
        <v>194</v>
      </c>
      <c r="G85" s="846" t="s">
        <v>194</v>
      </c>
      <c r="H85" s="846" t="s">
        <v>194</v>
      </c>
      <c r="I85" s="846" t="s">
        <v>194</v>
      </c>
      <c r="J85" s="846" t="s">
        <v>194</v>
      </c>
      <c r="K85" s="846" t="s">
        <v>194</v>
      </c>
      <c r="L85" s="846" t="s">
        <v>194</v>
      </c>
      <c r="M85" s="846" t="s">
        <v>194</v>
      </c>
      <c r="N85" s="846" t="s">
        <v>194</v>
      </c>
      <c r="O85" s="846" t="s">
        <v>194</v>
      </c>
      <c r="P85" s="846" t="s">
        <v>194</v>
      </c>
      <c r="Q85" s="846" t="s">
        <v>194</v>
      </c>
      <c r="R85" s="846" t="s">
        <v>194</v>
      </c>
      <c r="S85" s="846" t="s">
        <v>194</v>
      </c>
      <c r="T85" s="846" t="s">
        <v>194</v>
      </c>
      <c r="U85" s="846" t="s">
        <v>194</v>
      </c>
      <c r="V85" s="846" t="s">
        <v>194</v>
      </c>
      <c r="W85" s="846" t="s">
        <v>194</v>
      </c>
      <c r="X85" s="846" t="s">
        <v>194</v>
      </c>
      <c r="Y85" s="846" t="s">
        <v>194</v>
      </c>
      <c r="Z85" s="846" t="s">
        <v>194</v>
      </c>
      <c r="AA85" s="846" t="s">
        <v>194</v>
      </c>
      <c r="AB85" s="846" t="s">
        <v>194</v>
      </c>
      <c r="AC85" s="846" t="s">
        <v>194</v>
      </c>
      <c r="AD85" s="846" t="s">
        <v>194</v>
      </c>
      <c r="AE85" s="846" t="s">
        <v>194</v>
      </c>
      <c r="AF85" s="846" t="s">
        <v>194</v>
      </c>
      <c r="AG85" s="846" t="s">
        <v>194</v>
      </c>
      <c r="AH85" s="846" t="s">
        <v>194</v>
      </c>
      <c r="AI85" s="846" t="s">
        <v>194</v>
      </c>
      <c r="AJ85" s="846" t="s">
        <v>194</v>
      </c>
      <c r="AK85" s="846" t="s">
        <v>194</v>
      </c>
      <c r="AL85" s="846" t="s">
        <v>194</v>
      </c>
      <c r="AM85" s="846" t="s">
        <v>194</v>
      </c>
      <c r="AN85" s="846" t="s">
        <v>194</v>
      </c>
    </row>
    <row r="86" ht="15.75" customHeight="1">
      <c r="A86" s="846" t="s">
        <v>194</v>
      </c>
      <c r="B86" s="846" t="s">
        <v>194</v>
      </c>
      <c r="C86" s="846" t="s">
        <v>194</v>
      </c>
      <c r="D86" s="846" t="s">
        <v>194</v>
      </c>
      <c r="E86" s="846" t="s">
        <v>194</v>
      </c>
      <c r="F86" s="846" t="s">
        <v>194</v>
      </c>
      <c r="G86" s="846" t="s">
        <v>194</v>
      </c>
      <c r="H86" s="846" t="s">
        <v>194</v>
      </c>
      <c r="I86" s="846" t="s">
        <v>194</v>
      </c>
      <c r="J86" s="846" t="s">
        <v>194</v>
      </c>
      <c r="K86" s="846" t="s">
        <v>194</v>
      </c>
      <c r="L86" s="846" t="s">
        <v>194</v>
      </c>
      <c r="M86" s="846" t="s">
        <v>194</v>
      </c>
      <c r="N86" s="846" t="s">
        <v>194</v>
      </c>
      <c r="O86" s="846" t="s">
        <v>194</v>
      </c>
      <c r="P86" s="846" t="s">
        <v>194</v>
      </c>
      <c r="Q86" s="846" t="s">
        <v>194</v>
      </c>
      <c r="R86" s="846" t="s">
        <v>194</v>
      </c>
      <c r="S86" s="846" t="s">
        <v>194</v>
      </c>
      <c r="T86" s="846" t="s">
        <v>194</v>
      </c>
      <c r="U86" s="846" t="s">
        <v>194</v>
      </c>
      <c r="V86" s="846" t="s">
        <v>194</v>
      </c>
      <c r="W86" s="846" t="s">
        <v>194</v>
      </c>
      <c r="X86" s="846" t="s">
        <v>194</v>
      </c>
      <c r="Y86" s="846" t="s">
        <v>194</v>
      </c>
      <c r="Z86" s="846" t="s">
        <v>194</v>
      </c>
      <c r="AA86" s="846" t="s">
        <v>194</v>
      </c>
      <c r="AB86" s="846" t="s">
        <v>194</v>
      </c>
      <c r="AC86" s="846" t="s">
        <v>194</v>
      </c>
      <c r="AD86" s="846" t="s">
        <v>194</v>
      </c>
      <c r="AE86" s="846" t="s">
        <v>194</v>
      </c>
      <c r="AF86" s="846" t="s">
        <v>194</v>
      </c>
      <c r="AG86" s="846" t="s">
        <v>194</v>
      </c>
      <c r="AH86" s="846" t="s">
        <v>194</v>
      </c>
      <c r="AI86" s="846" t="s">
        <v>194</v>
      </c>
      <c r="AJ86" s="846" t="s">
        <v>194</v>
      </c>
      <c r="AK86" s="846" t="s">
        <v>194</v>
      </c>
      <c r="AL86" s="846" t="s">
        <v>194</v>
      </c>
      <c r="AM86" s="846" t="s">
        <v>194</v>
      </c>
      <c r="AN86" s="846" t="s">
        <v>194</v>
      </c>
    </row>
    <row r="87" ht="15.75" customHeight="1">
      <c r="A87" s="846" t="s">
        <v>194</v>
      </c>
      <c r="B87" s="846" t="s">
        <v>194</v>
      </c>
      <c r="C87" s="846" t="s">
        <v>194</v>
      </c>
      <c r="D87" s="846" t="s">
        <v>194</v>
      </c>
      <c r="E87" s="846" t="s">
        <v>194</v>
      </c>
      <c r="F87" s="846" t="s">
        <v>194</v>
      </c>
      <c r="G87" s="846" t="s">
        <v>194</v>
      </c>
      <c r="H87" s="846" t="s">
        <v>194</v>
      </c>
      <c r="I87" s="846" t="s">
        <v>194</v>
      </c>
      <c r="J87" s="846" t="s">
        <v>194</v>
      </c>
      <c r="K87" s="846" t="s">
        <v>194</v>
      </c>
      <c r="L87" s="846" t="s">
        <v>194</v>
      </c>
      <c r="M87" s="846" t="s">
        <v>194</v>
      </c>
      <c r="N87" s="846" t="s">
        <v>194</v>
      </c>
      <c r="O87" s="846" t="s">
        <v>194</v>
      </c>
      <c r="P87" s="846" t="s">
        <v>194</v>
      </c>
      <c r="Q87" s="846" t="s">
        <v>194</v>
      </c>
      <c r="R87" s="846" t="s">
        <v>194</v>
      </c>
      <c r="S87" s="846" t="s">
        <v>194</v>
      </c>
      <c r="T87" s="846" t="s">
        <v>194</v>
      </c>
      <c r="U87" s="846" t="s">
        <v>194</v>
      </c>
      <c r="V87" s="846" t="s">
        <v>194</v>
      </c>
      <c r="W87" s="846" t="s">
        <v>194</v>
      </c>
      <c r="X87" s="846" t="s">
        <v>194</v>
      </c>
      <c r="Y87" s="846" t="s">
        <v>194</v>
      </c>
      <c r="Z87" s="846" t="s">
        <v>194</v>
      </c>
      <c r="AA87" s="846" t="s">
        <v>194</v>
      </c>
      <c r="AB87" s="846" t="s">
        <v>194</v>
      </c>
      <c r="AC87" s="846" t="s">
        <v>194</v>
      </c>
      <c r="AD87" s="846" t="s">
        <v>194</v>
      </c>
      <c r="AE87" s="846" t="s">
        <v>194</v>
      </c>
      <c r="AF87" s="846" t="s">
        <v>194</v>
      </c>
      <c r="AG87" s="846" t="s">
        <v>194</v>
      </c>
      <c r="AH87" s="846" t="s">
        <v>194</v>
      </c>
      <c r="AI87" s="846" t="s">
        <v>194</v>
      </c>
      <c r="AJ87" s="846" t="s">
        <v>194</v>
      </c>
      <c r="AK87" s="846" t="s">
        <v>194</v>
      </c>
      <c r="AL87" s="846" t="s">
        <v>194</v>
      </c>
      <c r="AM87" s="846" t="s">
        <v>194</v>
      </c>
      <c r="AN87" s="846" t="s">
        <v>194</v>
      </c>
    </row>
    <row r="88" ht="15.75" customHeight="1">
      <c r="A88" s="846" t="s">
        <v>194</v>
      </c>
      <c r="B88" s="846" t="s">
        <v>194</v>
      </c>
      <c r="C88" s="846" t="s">
        <v>194</v>
      </c>
      <c r="D88" s="846" t="s">
        <v>194</v>
      </c>
      <c r="E88" s="846" t="s">
        <v>194</v>
      </c>
      <c r="F88" s="846" t="s">
        <v>194</v>
      </c>
      <c r="G88" s="846" t="s">
        <v>194</v>
      </c>
      <c r="H88" s="846" t="s">
        <v>194</v>
      </c>
      <c r="I88" s="846" t="s">
        <v>194</v>
      </c>
      <c r="J88" s="846" t="s">
        <v>194</v>
      </c>
      <c r="K88" s="846" t="s">
        <v>194</v>
      </c>
      <c r="L88" s="846" t="s">
        <v>194</v>
      </c>
      <c r="M88" s="846" t="s">
        <v>194</v>
      </c>
      <c r="N88" s="846" t="s">
        <v>194</v>
      </c>
      <c r="O88" s="846" t="s">
        <v>194</v>
      </c>
      <c r="P88" s="846" t="s">
        <v>194</v>
      </c>
      <c r="Q88" s="846" t="s">
        <v>194</v>
      </c>
      <c r="R88" s="846" t="s">
        <v>194</v>
      </c>
      <c r="S88" s="846" t="s">
        <v>194</v>
      </c>
      <c r="T88" s="846" t="s">
        <v>194</v>
      </c>
      <c r="U88" s="846" t="s">
        <v>194</v>
      </c>
      <c r="V88" s="846" t="s">
        <v>194</v>
      </c>
      <c r="W88" s="846" t="s">
        <v>194</v>
      </c>
      <c r="X88" s="846" t="s">
        <v>194</v>
      </c>
      <c r="Y88" s="846" t="s">
        <v>194</v>
      </c>
      <c r="Z88" s="846" t="s">
        <v>194</v>
      </c>
      <c r="AA88" s="846" t="s">
        <v>194</v>
      </c>
      <c r="AB88" s="846" t="s">
        <v>194</v>
      </c>
      <c r="AC88" s="846" t="s">
        <v>194</v>
      </c>
      <c r="AD88" s="846" t="s">
        <v>194</v>
      </c>
      <c r="AE88" s="846" t="s">
        <v>194</v>
      </c>
      <c r="AF88" s="846" t="s">
        <v>194</v>
      </c>
      <c r="AG88" s="846" t="s">
        <v>194</v>
      </c>
      <c r="AH88" s="846" t="s">
        <v>194</v>
      </c>
      <c r="AI88" s="846" t="s">
        <v>194</v>
      </c>
      <c r="AJ88" s="846" t="s">
        <v>194</v>
      </c>
      <c r="AK88" s="846" t="s">
        <v>194</v>
      </c>
      <c r="AL88" s="846" t="s">
        <v>194</v>
      </c>
      <c r="AM88" s="846" t="s">
        <v>194</v>
      </c>
      <c r="AN88" s="846" t="s">
        <v>194</v>
      </c>
    </row>
    <row r="89" ht="15.75" customHeight="1">
      <c r="A89" s="846" t="s">
        <v>194</v>
      </c>
      <c r="B89" s="846" t="s">
        <v>194</v>
      </c>
      <c r="C89" s="846" t="s">
        <v>194</v>
      </c>
      <c r="D89" s="846" t="s">
        <v>194</v>
      </c>
      <c r="E89" s="846" t="s">
        <v>194</v>
      </c>
      <c r="F89" s="846" t="s">
        <v>194</v>
      </c>
      <c r="G89" s="846" t="s">
        <v>194</v>
      </c>
      <c r="H89" s="846" t="s">
        <v>194</v>
      </c>
      <c r="I89" s="846" t="s">
        <v>194</v>
      </c>
      <c r="J89" s="846" t="s">
        <v>194</v>
      </c>
      <c r="K89" s="846" t="s">
        <v>194</v>
      </c>
      <c r="L89" s="846" t="s">
        <v>194</v>
      </c>
      <c r="M89" s="846" t="s">
        <v>194</v>
      </c>
      <c r="N89" s="846" t="s">
        <v>194</v>
      </c>
      <c r="O89" s="846" t="s">
        <v>194</v>
      </c>
      <c r="P89" s="846" t="s">
        <v>194</v>
      </c>
      <c r="Q89" s="846" t="s">
        <v>194</v>
      </c>
      <c r="R89" s="846" t="s">
        <v>194</v>
      </c>
      <c r="S89" s="846" t="s">
        <v>194</v>
      </c>
      <c r="T89" s="846" t="s">
        <v>194</v>
      </c>
      <c r="U89" s="846" t="s">
        <v>194</v>
      </c>
      <c r="V89" s="846" t="s">
        <v>194</v>
      </c>
      <c r="W89" s="846" t="s">
        <v>194</v>
      </c>
      <c r="X89" s="846" t="s">
        <v>194</v>
      </c>
      <c r="Y89" s="846" t="s">
        <v>194</v>
      </c>
      <c r="Z89" s="846" t="s">
        <v>194</v>
      </c>
      <c r="AA89" s="846" t="s">
        <v>194</v>
      </c>
      <c r="AB89" s="846" t="s">
        <v>194</v>
      </c>
      <c r="AC89" s="846" t="s">
        <v>194</v>
      </c>
      <c r="AD89" s="846" t="s">
        <v>194</v>
      </c>
      <c r="AE89" s="846" t="s">
        <v>194</v>
      </c>
      <c r="AF89" s="846" t="s">
        <v>194</v>
      </c>
      <c r="AG89" s="846" t="s">
        <v>194</v>
      </c>
      <c r="AH89" s="846" t="s">
        <v>194</v>
      </c>
      <c r="AI89" s="846" t="s">
        <v>194</v>
      </c>
      <c r="AJ89" s="846" t="s">
        <v>194</v>
      </c>
      <c r="AK89" s="846" t="s">
        <v>194</v>
      </c>
      <c r="AL89" s="846" t="s">
        <v>194</v>
      </c>
      <c r="AM89" s="846" t="s">
        <v>194</v>
      </c>
      <c r="AN89" s="846" t="s">
        <v>194</v>
      </c>
    </row>
    <row r="90" ht="15.75" customHeight="1">
      <c r="A90" s="846" t="s">
        <v>194</v>
      </c>
      <c r="B90" s="846" t="s">
        <v>194</v>
      </c>
      <c r="C90" s="846" t="s">
        <v>194</v>
      </c>
      <c r="D90" s="846" t="s">
        <v>194</v>
      </c>
      <c r="E90" s="846" t="s">
        <v>194</v>
      </c>
      <c r="F90" s="846" t="s">
        <v>194</v>
      </c>
      <c r="G90" s="846" t="s">
        <v>194</v>
      </c>
      <c r="H90" s="846" t="s">
        <v>194</v>
      </c>
      <c r="I90" s="846" t="s">
        <v>194</v>
      </c>
      <c r="J90" s="846" t="s">
        <v>194</v>
      </c>
      <c r="K90" s="846" t="s">
        <v>194</v>
      </c>
      <c r="L90" s="846" t="s">
        <v>194</v>
      </c>
      <c r="M90" s="846" t="s">
        <v>194</v>
      </c>
      <c r="N90" s="846" t="s">
        <v>194</v>
      </c>
      <c r="O90" s="846" t="s">
        <v>194</v>
      </c>
      <c r="P90" s="846" t="s">
        <v>194</v>
      </c>
      <c r="Q90" s="846" t="s">
        <v>194</v>
      </c>
      <c r="R90" s="846" t="s">
        <v>194</v>
      </c>
      <c r="S90" s="846" t="s">
        <v>194</v>
      </c>
      <c r="T90" s="846" t="s">
        <v>194</v>
      </c>
      <c r="U90" s="846" t="s">
        <v>194</v>
      </c>
      <c r="V90" s="846" t="s">
        <v>194</v>
      </c>
      <c r="W90" s="846" t="s">
        <v>194</v>
      </c>
      <c r="X90" s="846" t="s">
        <v>194</v>
      </c>
      <c r="Y90" s="846" t="s">
        <v>194</v>
      </c>
      <c r="Z90" s="846" t="s">
        <v>194</v>
      </c>
      <c r="AA90" s="846" t="s">
        <v>194</v>
      </c>
      <c r="AB90" s="846" t="s">
        <v>194</v>
      </c>
      <c r="AC90" s="846" t="s">
        <v>194</v>
      </c>
      <c r="AD90" s="846" t="s">
        <v>194</v>
      </c>
      <c r="AE90" s="846" t="s">
        <v>194</v>
      </c>
      <c r="AF90" s="846" t="s">
        <v>194</v>
      </c>
      <c r="AG90" s="846" t="s">
        <v>194</v>
      </c>
      <c r="AH90" s="846" t="s">
        <v>194</v>
      </c>
      <c r="AI90" s="846" t="s">
        <v>194</v>
      </c>
      <c r="AJ90" s="846" t="s">
        <v>194</v>
      </c>
      <c r="AK90" s="846" t="s">
        <v>194</v>
      </c>
      <c r="AL90" s="846" t="s">
        <v>194</v>
      </c>
      <c r="AM90" s="846" t="s">
        <v>194</v>
      </c>
      <c r="AN90" s="846" t="s">
        <v>194</v>
      </c>
    </row>
    <row r="91" ht="15.75" customHeight="1">
      <c r="A91" s="846" t="s">
        <v>194</v>
      </c>
      <c r="B91" s="846" t="s">
        <v>194</v>
      </c>
      <c r="C91" s="846" t="s">
        <v>194</v>
      </c>
      <c r="D91" s="846" t="s">
        <v>194</v>
      </c>
      <c r="E91" s="846" t="s">
        <v>194</v>
      </c>
      <c r="F91" s="846" t="s">
        <v>194</v>
      </c>
      <c r="G91" s="846" t="s">
        <v>194</v>
      </c>
      <c r="H91" s="846" t="s">
        <v>194</v>
      </c>
      <c r="I91" s="846" t="s">
        <v>194</v>
      </c>
      <c r="J91" s="846" t="s">
        <v>194</v>
      </c>
      <c r="K91" s="846" t="s">
        <v>194</v>
      </c>
      <c r="L91" s="846" t="s">
        <v>194</v>
      </c>
      <c r="M91" s="846" t="s">
        <v>194</v>
      </c>
      <c r="N91" s="846" t="s">
        <v>194</v>
      </c>
      <c r="O91" s="846" t="s">
        <v>194</v>
      </c>
      <c r="P91" s="846" t="s">
        <v>194</v>
      </c>
      <c r="Q91" s="846" t="s">
        <v>194</v>
      </c>
      <c r="R91" s="846" t="s">
        <v>194</v>
      </c>
      <c r="S91" s="846" t="s">
        <v>194</v>
      </c>
      <c r="T91" s="846" t="s">
        <v>194</v>
      </c>
      <c r="U91" s="846" t="s">
        <v>194</v>
      </c>
      <c r="V91" s="846" t="s">
        <v>194</v>
      </c>
      <c r="W91" s="846" t="s">
        <v>194</v>
      </c>
      <c r="X91" s="846" t="s">
        <v>194</v>
      </c>
      <c r="Y91" s="846" t="s">
        <v>194</v>
      </c>
      <c r="Z91" s="846" t="s">
        <v>194</v>
      </c>
      <c r="AA91" s="846" t="s">
        <v>194</v>
      </c>
      <c r="AB91" s="846" t="s">
        <v>194</v>
      </c>
      <c r="AC91" s="846" t="s">
        <v>194</v>
      </c>
      <c r="AD91" s="846" t="s">
        <v>194</v>
      </c>
      <c r="AE91" s="846" t="s">
        <v>194</v>
      </c>
      <c r="AF91" s="846" t="s">
        <v>194</v>
      </c>
      <c r="AG91" s="846" t="s">
        <v>194</v>
      </c>
      <c r="AH91" s="846" t="s">
        <v>194</v>
      </c>
      <c r="AI91" s="846" t="s">
        <v>194</v>
      </c>
      <c r="AJ91" s="846" t="s">
        <v>194</v>
      </c>
      <c r="AK91" s="846" t="s">
        <v>194</v>
      </c>
      <c r="AL91" s="846" t="s">
        <v>194</v>
      </c>
      <c r="AM91" s="846" t="s">
        <v>194</v>
      </c>
      <c r="AN91" s="846" t="s">
        <v>194</v>
      </c>
    </row>
    <row r="92" ht="15.75" customHeight="1">
      <c r="A92" s="846" t="s">
        <v>194</v>
      </c>
      <c r="B92" s="846" t="s">
        <v>194</v>
      </c>
      <c r="C92" s="846" t="s">
        <v>194</v>
      </c>
      <c r="D92" s="846" t="s">
        <v>194</v>
      </c>
      <c r="E92" s="846" t="s">
        <v>194</v>
      </c>
      <c r="F92" s="846" t="s">
        <v>194</v>
      </c>
      <c r="G92" s="846" t="s">
        <v>194</v>
      </c>
      <c r="H92" s="846" t="s">
        <v>194</v>
      </c>
      <c r="I92" s="846" t="s">
        <v>194</v>
      </c>
      <c r="J92" s="846" t="s">
        <v>194</v>
      </c>
      <c r="K92" s="846" t="s">
        <v>194</v>
      </c>
      <c r="L92" s="846" t="s">
        <v>194</v>
      </c>
      <c r="M92" s="846" t="s">
        <v>194</v>
      </c>
      <c r="N92" s="846" t="s">
        <v>194</v>
      </c>
      <c r="O92" s="846" t="s">
        <v>194</v>
      </c>
      <c r="P92" s="846" t="s">
        <v>194</v>
      </c>
      <c r="Q92" s="846" t="s">
        <v>194</v>
      </c>
      <c r="R92" s="846" t="s">
        <v>194</v>
      </c>
      <c r="S92" s="846" t="s">
        <v>194</v>
      </c>
      <c r="T92" s="846" t="s">
        <v>194</v>
      </c>
      <c r="U92" s="846" t="s">
        <v>194</v>
      </c>
      <c r="V92" s="846" t="s">
        <v>194</v>
      </c>
      <c r="W92" s="846" t="s">
        <v>194</v>
      </c>
      <c r="X92" s="846" t="s">
        <v>194</v>
      </c>
      <c r="Y92" s="846" t="s">
        <v>194</v>
      </c>
      <c r="Z92" s="846" t="s">
        <v>194</v>
      </c>
      <c r="AA92" s="846" t="s">
        <v>194</v>
      </c>
      <c r="AB92" s="846" t="s">
        <v>194</v>
      </c>
      <c r="AC92" s="846" t="s">
        <v>194</v>
      </c>
      <c r="AD92" s="846" t="s">
        <v>194</v>
      </c>
      <c r="AE92" s="846" t="s">
        <v>194</v>
      </c>
      <c r="AF92" s="846" t="s">
        <v>194</v>
      </c>
      <c r="AG92" s="846" t="s">
        <v>194</v>
      </c>
      <c r="AH92" s="846" t="s">
        <v>194</v>
      </c>
      <c r="AI92" s="846" t="s">
        <v>194</v>
      </c>
      <c r="AJ92" s="846" t="s">
        <v>194</v>
      </c>
      <c r="AK92" s="846" t="s">
        <v>194</v>
      </c>
      <c r="AL92" s="846" t="s">
        <v>194</v>
      </c>
      <c r="AM92" s="846" t="s">
        <v>194</v>
      </c>
      <c r="AN92" s="846" t="s">
        <v>194</v>
      </c>
    </row>
    <row r="93" ht="15.75" customHeight="1">
      <c r="A93" s="846" t="s">
        <v>194</v>
      </c>
      <c r="B93" s="846" t="s">
        <v>194</v>
      </c>
      <c r="C93" s="846" t="s">
        <v>194</v>
      </c>
      <c r="D93" s="846" t="s">
        <v>194</v>
      </c>
      <c r="E93" s="846" t="s">
        <v>194</v>
      </c>
      <c r="F93" s="846" t="s">
        <v>194</v>
      </c>
      <c r="G93" s="846" t="s">
        <v>194</v>
      </c>
      <c r="H93" s="846" t="s">
        <v>194</v>
      </c>
      <c r="I93" s="846" t="s">
        <v>194</v>
      </c>
      <c r="J93" s="846" t="s">
        <v>194</v>
      </c>
      <c r="K93" s="846" t="s">
        <v>194</v>
      </c>
      <c r="L93" s="846" t="s">
        <v>194</v>
      </c>
      <c r="M93" s="846" t="s">
        <v>194</v>
      </c>
      <c r="N93" s="846" t="s">
        <v>194</v>
      </c>
      <c r="O93" s="846" t="s">
        <v>194</v>
      </c>
      <c r="P93" s="846" t="s">
        <v>194</v>
      </c>
      <c r="Q93" s="846" t="s">
        <v>194</v>
      </c>
      <c r="R93" s="846" t="s">
        <v>194</v>
      </c>
      <c r="S93" s="846" t="s">
        <v>194</v>
      </c>
      <c r="T93" s="846" t="s">
        <v>194</v>
      </c>
      <c r="U93" s="846" t="s">
        <v>194</v>
      </c>
      <c r="V93" s="846" t="s">
        <v>194</v>
      </c>
      <c r="W93" s="846" t="s">
        <v>194</v>
      </c>
      <c r="X93" s="846" t="s">
        <v>194</v>
      </c>
      <c r="Y93" s="846" t="s">
        <v>194</v>
      </c>
      <c r="Z93" s="846" t="s">
        <v>194</v>
      </c>
      <c r="AA93" s="846" t="s">
        <v>194</v>
      </c>
      <c r="AB93" s="846" t="s">
        <v>194</v>
      </c>
      <c r="AC93" s="846" t="s">
        <v>194</v>
      </c>
      <c r="AD93" s="846" t="s">
        <v>194</v>
      </c>
      <c r="AE93" s="846" t="s">
        <v>194</v>
      </c>
      <c r="AF93" s="846" t="s">
        <v>194</v>
      </c>
      <c r="AG93" s="846" t="s">
        <v>194</v>
      </c>
      <c r="AH93" s="846" t="s">
        <v>194</v>
      </c>
      <c r="AI93" s="846" t="s">
        <v>194</v>
      </c>
      <c r="AJ93" s="846" t="s">
        <v>194</v>
      </c>
      <c r="AK93" s="846" t="s">
        <v>194</v>
      </c>
      <c r="AL93" s="846" t="s">
        <v>194</v>
      </c>
      <c r="AM93" s="846" t="s">
        <v>194</v>
      </c>
      <c r="AN93" s="846" t="s">
        <v>194</v>
      </c>
    </row>
    <row r="94" ht="15.75" customHeight="1">
      <c r="A94" s="846" t="s">
        <v>194</v>
      </c>
      <c r="B94" s="846" t="s">
        <v>194</v>
      </c>
      <c r="C94" s="846" t="s">
        <v>194</v>
      </c>
      <c r="D94" s="846" t="s">
        <v>194</v>
      </c>
      <c r="E94" s="846" t="s">
        <v>194</v>
      </c>
      <c r="F94" s="846" t="s">
        <v>194</v>
      </c>
      <c r="G94" s="846" t="s">
        <v>194</v>
      </c>
      <c r="H94" s="846" t="s">
        <v>194</v>
      </c>
      <c r="I94" s="846" t="s">
        <v>194</v>
      </c>
      <c r="J94" s="846" t="s">
        <v>194</v>
      </c>
      <c r="K94" s="846" t="s">
        <v>194</v>
      </c>
      <c r="L94" s="846" t="s">
        <v>194</v>
      </c>
      <c r="M94" s="846" t="s">
        <v>194</v>
      </c>
      <c r="N94" s="846" t="s">
        <v>194</v>
      </c>
      <c r="O94" s="846" t="s">
        <v>194</v>
      </c>
      <c r="P94" s="846" t="s">
        <v>194</v>
      </c>
      <c r="Q94" s="846" t="s">
        <v>194</v>
      </c>
      <c r="R94" s="846" t="s">
        <v>194</v>
      </c>
      <c r="S94" s="846" t="s">
        <v>194</v>
      </c>
      <c r="T94" s="846" t="s">
        <v>194</v>
      </c>
      <c r="U94" s="846" t="s">
        <v>194</v>
      </c>
      <c r="V94" s="846" t="s">
        <v>194</v>
      </c>
      <c r="W94" s="846" t="s">
        <v>194</v>
      </c>
      <c r="X94" s="846" t="s">
        <v>194</v>
      </c>
      <c r="Y94" s="846" t="s">
        <v>194</v>
      </c>
      <c r="Z94" s="846" t="s">
        <v>194</v>
      </c>
      <c r="AA94" s="846" t="s">
        <v>194</v>
      </c>
      <c r="AB94" s="846" t="s">
        <v>194</v>
      </c>
      <c r="AC94" s="846" t="s">
        <v>194</v>
      </c>
      <c r="AD94" s="846" t="s">
        <v>194</v>
      </c>
      <c r="AE94" s="846" t="s">
        <v>194</v>
      </c>
      <c r="AF94" s="846" t="s">
        <v>194</v>
      </c>
      <c r="AG94" s="846" t="s">
        <v>194</v>
      </c>
      <c r="AH94" s="846" t="s">
        <v>194</v>
      </c>
      <c r="AI94" s="846" t="s">
        <v>194</v>
      </c>
      <c r="AJ94" s="846" t="s">
        <v>194</v>
      </c>
      <c r="AK94" s="846" t="s">
        <v>194</v>
      </c>
      <c r="AL94" s="846" t="s">
        <v>194</v>
      </c>
      <c r="AM94" s="846" t="s">
        <v>194</v>
      </c>
      <c r="AN94" s="846" t="s">
        <v>194</v>
      </c>
    </row>
    <row r="95" ht="15.75" customHeight="1">
      <c r="A95" s="846" t="s">
        <v>194</v>
      </c>
      <c r="B95" s="846" t="s">
        <v>194</v>
      </c>
      <c r="C95" s="846" t="s">
        <v>194</v>
      </c>
      <c r="D95" s="846" t="s">
        <v>194</v>
      </c>
      <c r="E95" s="846" t="s">
        <v>194</v>
      </c>
      <c r="F95" s="846" t="s">
        <v>194</v>
      </c>
      <c r="G95" s="846" t="s">
        <v>194</v>
      </c>
      <c r="H95" s="846" t="s">
        <v>194</v>
      </c>
      <c r="I95" s="846" t="s">
        <v>194</v>
      </c>
      <c r="J95" s="846" t="s">
        <v>194</v>
      </c>
      <c r="K95" s="846" t="s">
        <v>194</v>
      </c>
      <c r="L95" s="846" t="s">
        <v>194</v>
      </c>
      <c r="M95" s="846" t="s">
        <v>194</v>
      </c>
      <c r="N95" s="846" t="s">
        <v>194</v>
      </c>
      <c r="O95" s="846" t="s">
        <v>194</v>
      </c>
      <c r="P95" s="846" t="s">
        <v>194</v>
      </c>
      <c r="Q95" s="846" t="s">
        <v>194</v>
      </c>
      <c r="R95" s="846" t="s">
        <v>194</v>
      </c>
      <c r="S95" s="846" t="s">
        <v>194</v>
      </c>
      <c r="T95" s="846" t="s">
        <v>194</v>
      </c>
      <c r="U95" s="846" t="s">
        <v>194</v>
      </c>
      <c r="V95" s="846" t="s">
        <v>194</v>
      </c>
      <c r="W95" s="846" t="s">
        <v>194</v>
      </c>
      <c r="X95" s="846" t="s">
        <v>194</v>
      </c>
      <c r="Y95" s="846" t="s">
        <v>194</v>
      </c>
      <c r="Z95" s="846" t="s">
        <v>194</v>
      </c>
      <c r="AA95" s="846" t="s">
        <v>194</v>
      </c>
      <c r="AB95" s="846" t="s">
        <v>194</v>
      </c>
      <c r="AC95" s="846" t="s">
        <v>194</v>
      </c>
      <c r="AD95" s="846" t="s">
        <v>194</v>
      </c>
      <c r="AE95" s="846" t="s">
        <v>194</v>
      </c>
      <c r="AF95" s="846" t="s">
        <v>194</v>
      </c>
      <c r="AG95" s="846" t="s">
        <v>194</v>
      </c>
      <c r="AH95" s="846" t="s">
        <v>194</v>
      </c>
      <c r="AI95" s="846" t="s">
        <v>194</v>
      </c>
      <c r="AJ95" s="846" t="s">
        <v>194</v>
      </c>
      <c r="AK95" s="846" t="s">
        <v>194</v>
      </c>
      <c r="AL95" s="846" t="s">
        <v>194</v>
      </c>
      <c r="AM95" s="846" t="s">
        <v>194</v>
      </c>
      <c r="AN95" s="846" t="s">
        <v>194</v>
      </c>
    </row>
    <row r="96" ht="15.75" customHeight="1">
      <c r="A96" s="846" t="s">
        <v>194</v>
      </c>
      <c r="B96" s="846" t="s">
        <v>194</v>
      </c>
      <c r="C96" s="846" t="s">
        <v>194</v>
      </c>
      <c r="D96" s="846" t="s">
        <v>194</v>
      </c>
      <c r="E96" s="846" t="s">
        <v>194</v>
      </c>
      <c r="F96" s="846" t="s">
        <v>194</v>
      </c>
      <c r="G96" s="846" t="s">
        <v>194</v>
      </c>
      <c r="H96" s="846" t="s">
        <v>194</v>
      </c>
      <c r="I96" s="846" t="s">
        <v>194</v>
      </c>
      <c r="J96" s="846" t="s">
        <v>194</v>
      </c>
      <c r="K96" s="846" t="s">
        <v>194</v>
      </c>
      <c r="L96" s="846" t="s">
        <v>194</v>
      </c>
      <c r="M96" s="846" t="s">
        <v>194</v>
      </c>
      <c r="N96" s="846" t="s">
        <v>194</v>
      </c>
      <c r="O96" s="846" t="s">
        <v>194</v>
      </c>
      <c r="P96" s="846" t="s">
        <v>194</v>
      </c>
      <c r="Q96" s="846" t="s">
        <v>194</v>
      </c>
      <c r="R96" s="846" t="s">
        <v>194</v>
      </c>
      <c r="S96" s="846" t="s">
        <v>194</v>
      </c>
      <c r="T96" s="846" t="s">
        <v>194</v>
      </c>
      <c r="U96" s="846" t="s">
        <v>194</v>
      </c>
      <c r="V96" s="846" t="s">
        <v>194</v>
      </c>
      <c r="W96" s="846" t="s">
        <v>194</v>
      </c>
      <c r="X96" s="846" t="s">
        <v>194</v>
      </c>
      <c r="Y96" s="846" t="s">
        <v>194</v>
      </c>
      <c r="Z96" s="846" t="s">
        <v>194</v>
      </c>
      <c r="AA96" s="846" t="s">
        <v>194</v>
      </c>
      <c r="AB96" s="846" t="s">
        <v>194</v>
      </c>
      <c r="AC96" s="846" t="s">
        <v>194</v>
      </c>
      <c r="AD96" s="846" t="s">
        <v>194</v>
      </c>
      <c r="AE96" s="846" t="s">
        <v>194</v>
      </c>
      <c r="AF96" s="846" t="s">
        <v>194</v>
      </c>
      <c r="AG96" s="846" t="s">
        <v>194</v>
      </c>
      <c r="AH96" s="846" t="s">
        <v>194</v>
      </c>
      <c r="AI96" s="846" t="s">
        <v>194</v>
      </c>
      <c r="AJ96" s="846" t="s">
        <v>194</v>
      </c>
      <c r="AK96" s="846" t="s">
        <v>194</v>
      </c>
      <c r="AL96" s="846" t="s">
        <v>194</v>
      </c>
      <c r="AM96" s="846" t="s">
        <v>194</v>
      </c>
      <c r="AN96" s="846" t="s">
        <v>194</v>
      </c>
    </row>
    <row r="97" ht="15.75" customHeight="1">
      <c r="A97" s="846" t="s">
        <v>194</v>
      </c>
      <c r="B97" s="846" t="s">
        <v>194</v>
      </c>
      <c r="C97" s="846" t="s">
        <v>194</v>
      </c>
      <c r="D97" s="846" t="s">
        <v>194</v>
      </c>
      <c r="E97" s="846" t="s">
        <v>194</v>
      </c>
      <c r="F97" s="846" t="s">
        <v>194</v>
      </c>
      <c r="G97" s="846" t="s">
        <v>194</v>
      </c>
      <c r="H97" s="846" t="s">
        <v>194</v>
      </c>
      <c r="I97" s="846" t="s">
        <v>194</v>
      </c>
      <c r="J97" s="846" t="s">
        <v>194</v>
      </c>
      <c r="K97" s="846" t="s">
        <v>194</v>
      </c>
      <c r="L97" s="846" t="s">
        <v>194</v>
      </c>
      <c r="M97" s="846" t="s">
        <v>194</v>
      </c>
      <c r="N97" s="846" t="s">
        <v>194</v>
      </c>
      <c r="O97" s="846" t="s">
        <v>194</v>
      </c>
      <c r="P97" s="846" t="s">
        <v>194</v>
      </c>
      <c r="Q97" s="846" t="s">
        <v>194</v>
      </c>
      <c r="R97" s="846" t="s">
        <v>194</v>
      </c>
      <c r="S97" s="846" t="s">
        <v>194</v>
      </c>
      <c r="T97" s="846" t="s">
        <v>194</v>
      </c>
      <c r="U97" s="846" t="s">
        <v>194</v>
      </c>
      <c r="V97" s="846" t="s">
        <v>194</v>
      </c>
      <c r="W97" s="846" t="s">
        <v>194</v>
      </c>
      <c r="X97" s="846" t="s">
        <v>194</v>
      </c>
      <c r="Y97" s="846" t="s">
        <v>194</v>
      </c>
      <c r="Z97" s="846" t="s">
        <v>194</v>
      </c>
      <c r="AA97" s="846" t="s">
        <v>194</v>
      </c>
      <c r="AB97" s="846" t="s">
        <v>194</v>
      </c>
      <c r="AC97" s="846" t="s">
        <v>194</v>
      </c>
      <c r="AD97" s="846" t="s">
        <v>194</v>
      </c>
      <c r="AE97" s="846" t="s">
        <v>194</v>
      </c>
      <c r="AF97" s="846" t="s">
        <v>194</v>
      </c>
      <c r="AG97" s="846" t="s">
        <v>194</v>
      </c>
      <c r="AH97" s="846" t="s">
        <v>194</v>
      </c>
      <c r="AI97" s="846" t="s">
        <v>194</v>
      </c>
      <c r="AJ97" s="846" t="s">
        <v>194</v>
      </c>
      <c r="AK97" s="846" t="s">
        <v>194</v>
      </c>
      <c r="AL97" s="846" t="s">
        <v>194</v>
      </c>
      <c r="AM97" s="846" t="s">
        <v>194</v>
      </c>
      <c r="AN97" s="846" t="s">
        <v>194</v>
      </c>
    </row>
    <row r="98" ht="15.75" customHeight="1">
      <c r="A98" s="846" t="s">
        <v>194</v>
      </c>
      <c r="B98" s="846" t="s">
        <v>194</v>
      </c>
      <c r="C98" s="846" t="s">
        <v>194</v>
      </c>
      <c r="D98" s="846" t="s">
        <v>194</v>
      </c>
      <c r="E98" s="846" t="s">
        <v>194</v>
      </c>
      <c r="F98" s="846" t="s">
        <v>194</v>
      </c>
      <c r="G98" s="846" t="s">
        <v>194</v>
      </c>
      <c r="H98" s="846" t="s">
        <v>194</v>
      </c>
      <c r="I98" s="846" t="s">
        <v>194</v>
      </c>
      <c r="J98" s="846" t="s">
        <v>194</v>
      </c>
      <c r="K98" s="846" t="s">
        <v>194</v>
      </c>
      <c r="L98" s="846" t="s">
        <v>194</v>
      </c>
      <c r="M98" s="846" t="s">
        <v>194</v>
      </c>
      <c r="N98" s="846" t="s">
        <v>194</v>
      </c>
      <c r="O98" s="846" t="s">
        <v>194</v>
      </c>
      <c r="P98" s="846" t="s">
        <v>194</v>
      </c>
      <c r="Q98" s="846" t="s">
        <v>194</v>
      </c>
      <c r="R98" s="846" t="s">
        <v>194</v>
      </c>
      <c r="S98" s="846" t="s">
        <v>194</v>
      </c>
      <c r="T98" s="846" t="s">
        <v>194</v>
      </c>
      <c r="U98" s="846" t="s">
        <v>194</v>
      </c>
      <c r="V98" s="846" t="s">
        <v>194</v>
      </c>
      <c r="W98" s="846" t="s">
        <v>194</v>
      </c>
      <c r="X98" s="846" t="s">
        <v>194</v>
      </c>
      <c r="Y98" s="846" t="s">
        <v>194</v>
      </c>
      <c r="Z98" s="846" t="s">
        <v>194</v>
      </c>
      <c r="AA98" s="846" t="s">
        <v>194</v>
      </c>
      <c r="AB98" s="846" t="s">
        <v>194</v>
      </c>
      <c r="AC98" s="846" t="s">
        <v>194</v>
      </c>
      <c r="AD98" s="846" t="s">
        <v>194</v>
      </c>
      <c r="AE98" s="846" t="s">
        <v>194</v>
      </c>
      <c r="AF98" s="846" t="s">
        <v>194</v>
      </c>
      <c r="AG98" s="846" t="s">
        <v>194</v>
      </c>
      <c r="AH98" s="846" t="s">
        <v>194</v>
      </c>
      <c r="AI98" s="846" t="s">
        <v>194</v>
      </c>
      <c r="AJ98" s="846" t="s">
        <v>194</v>
      </c>
      <c r="AK98" s="846" t="s">
        <v>194</v>
      </c>
      <c r="AL98" s="846" t="s">
        <v>194</v>
      </c>
      <c r="AM98" s="846" t="s">
        <v>194</v>
      </c>
      <c r="AN98" s="846" t="s">
        <v>194</v>
      </c>
    </row>
    <row r="99" ht="15.75" customHeight="1">
      <c r="A99" s="846" t="s">
        <v>194</v>
      </c>
      <c r="B99" s="846" t="s">
        <v>194</v>
      </c>
      <c r="C99" s="846" t="s">
        <v>194</v>
      </c>
      <c r="D99" s="846" t="s">
        <v>194</v>
      </c>
      <c r="E99" s="846" t="s">
        <v>194</v>
      </c>
      <c r="F99" s="846" t="s">
        <v>194</v>
      </c>
      <c r="G99" s="846" t="s">
        <v>194</v>
      </c>
      <c r="H99" s="846" t="s">
        <v>194</v>
      </c>
      <c r="I99" s="846" t="s">
        <v>194</v>
      </c>
      <c r="J99" s="846" t="s">
        <v>194</v>
      </c>
      <c r="K99" s="846" t="s">
        <v>194</v>
      </c>
      <c r="L99" s="846" t="s">
        <v>194</v>
      </c>
      <c r="M99" s="846" t="s">
        <v>194</v>
      </c>
      <c r="N99" s="846" t="s">
        <v>194</v>
      </c>
      <c r="O99" s="846" t="s">
        <v>194</v>
      </c>
      <c r="P99" s="846" t="s">
        <v>194</v>
      </c>
      <c r="Q99" s="846" t="s">
        <v>194</v>
      </c>
      <c r="R99" s="846" t="s">
        <v>194</v>
      </c>
      <c r="S99" s="846" t="s">
        <v>194</v>
      </c>
      <c r="T99" s="846" t="s">
        <v>194</v>
      </c>
      <c r="U99" s="846" t="s">
        <v>194</v>
      </c>
      <c r="V99" s="846" t="s">
        <v>194</v>
      </c>
      <c r="W99" s="846" t="s">
        <v>194</v>
      </c>
      <c r="X99" s="846" t="s">
        <v>194</v>
      </c>
      <c r="Y99" s="846" t="s">
        <v>194</v>
      </c>
      <c r="Z99" s="846" t="s">
        <v>194</v>
      </c>
      <c r="AA99" s="846" t="s">
        <v>194</v>
      </c>
      <c r="AB99" s="846" t="s">
        <v>194</v>
      </c>
      <c r="AC99" s="846" t="s">
        <v>194</v>
      </c>
      <c r="AD99" s="846" t="s">
        <v>194</v>
      </c>
      <c r="AE99" s="846" t="s">
        <v>194</v>
      </c>
      <c r="AF99" s="846" t="s">
        <v>194</v>
      </c>
      <c r="AG99" s="846" t="s">
        <v>194</v>
      </c>
      <c r="AH99" s="846" t="s">
        <v>194</v>
      </c>
      <c r="AI99" s="846" t="s">
        <v>194</v>
      </c>
      <c r="AJ99" s="846" t="s">
        <v>194</v>
      </c>
      <c r="AK99" s="846" t="s">
        <v>194</v>
      </c>
      <c r="AL99" s="846" t="s">
        <v>194</v>
      </c>
      <c r="AM99" s="846" t="s">
        <v>194</v>
      </c>
      <c r="AN99" s="846" t="s">
        <v>194</v>
      </c>
    </row>
    <row r="100" ht="15.75" customHeight="1">
      <c r="A100" s="846" t="s">
        <v>194</v>
      </c>
      <c r="B100" s="846" t="s">
        <v>194</v>
      </c>
      <c r="C100" s="846" t="s">
        <v>194</v>
      </c>
      <c r="D100" s="846" t="s">
        <v>194</v>
      </c>
      <c r="E100" s="846" t="s">
        <v>194</v>
      </c>
      <c r="F100" s="846" t="s">
        <v>194</v>
      </c>
      <c r="G100" s="846" t="s">
        <v>194</v>
      </c>
      <c r="H100" s="846" t="s">
        <v>194</v>
      </c>
      <c r="I100" s="846" t="s">
        <v>194</v>
      </c>
      <c r="J100" s="846" t="s">
        <v>194</v>
      </c>
      <c r="K100" s="846" t="s">
        <v>194</v>
      </c>
      <c r="L100" s="846" t="s">
        <v>194</v>
      </c>
      <c r="M100" s="846" t="s">
        <v>194</v>
      </c>
      <c r="N100" s="846" t="s">
        <v>194</v>
      </c>
      <c r="O100" s="846" t="s">
        <v>194</v>
      </c>
      <c r="P100" s="846" t="s">
        <v>194</v>
      </c>
      <c r="Q100" s="846" t="s">
        <v>194</v>
      </c>
      <c r="R100" s="846" t="s">
        <v>194</v>
      </c>
      <c r="S100" s="846" t="s">
        <v>194</v>
      </c>
      <c r="T100" s="846" t="s">
        <v>194</v>
      </c>
      <c r="U100" s="846" t="s">
        <v>194</v>
      </c>
      <c r="V100" s="846" t="s">
        <v>194</v>
      </c>
      <c r="W100" s="846" t="s">
        <v>194</v>
      </c>
      <c r="X100" s="846" t="s">
        <v>194</v>
      </c>
      <c r="Y100" s="846" t="s">
        <v>194</v>
      </c>
      <c r="Z100" s="846" t="s">
        <v>194</v>
      </c>
      <c r="AA100" s="846" t="s">
        <v>194</v>
      </c>
      <c r="AB100" s="846" t="s">
        <v>194</v>
      </c>
      <c r="AC100" s="846" t="s">
        <v>194</v>
      </c>
      <c r="AD100" s="846" t="s">
        <v>194</v>
      </c>
      <c r="AE100" s="846" t="s">
        <v>194</v>
      </c>
      <c r="AF100" s="846" t="s">
        <v>194</v>
      </c>
      <c r="AG100" s="846" t="s">
        <v>194</v>
      </c>
      <c r="AH100" s="846" t="s">
        <v>194</v>
      </c>
      <c r="AI100" s="846" t="s">
        <v>194</v>
      </c>
      <c r="AJ100" s="846" t="s">
        <v>194</v>
      </c>
      <c r="AK100" s="846" t="s">
        <v>194</v>
      </c>
      <c r="AL100" s="846" t="s">
        <v>194</v>
      </c>
      <c r="AM100" s="846" t="s">
        <v>194</v>
      </c>
      <c r="AN100" s="846" t="s">
        <v>194</v>
      </c>
    </row>
    <row r="101" ht="15.75" customHeight="1">
      <c r="A101" s="846" t="s">
        <v>194</v>
      </c>
      <c r="B101" s="846" t="s">
        <v>194</v>
      </c>
      <c r="C101" s="846" t="s">
        <v>194</v>
      </c>
      <c r="D101" s="846" t="s">
        <v>194</v>
      </c>
      <c r="E101" s="846" t="s">
        <v>194</v>
      </c>
      <c r="F101" s="846" t="s">
        <v>194</v>
      </c>
      <c r="G101" s="846" t="s">
        <v>194</v>
      </c>
      <c r="H101" s="846" t="s">
        <v>194</v>
      </c>
      <c r="I101" s="846" t="s">
        <v>194</v>
      </c>
      <c r="J101" s="846" t="s">
        <v>194</v>
      </c>
      <c r="K101" s="846" t="s">
        <v>194</v>
      </c>
      <c r="L101" s="846" t="s">
        <v>194</v>
      </c>
      <c r="M101" s="846" t="s">
        <v>194</v>
      </c>
      <c r="N101" s="846" t="s">
        <v>194</v>
      </c>
      <c r="O101" s="846" t="s">
        <v>194</v>
      </c>
      <c r="P101" s="846" t="s">
        <v>194</v>
      </c>
      <c r="Q101" s="846" t="s">
        <v>194</v>
      </c>
      <c r="R101" s="846" t="s">
        <v>194</v>
      </c>
      <c r="S101" s="846" t="s">
        <v>194</v>
      </c>
      <c r="T101" s="846" t="s">
        <v>194</v>
      </c>
      <c r="U101" s="846" t="s">
        <v>194</v>
      </c>
      <c r="V101" s="846" t="s">
        <v>194</v>
      </c>
      <c r="W101" s="846" t="s">
        <v>194</v>
      </c>
      <c r="X101" s="846" t="s">
        <v>194</v>
      </c>
      <c r="Y101" s="846" t="s">
        <v>194</v>
      </c>
      <c r="Z101" s="846" t="s">
        <v>194</v>
      </c>
      <c r="AA101" s="846" t="s">
        <v>194</v>
      </c>
      <c r="AB101" s="846" t="s">
        <v>194</v>
      </c>
      <c r="AC101" s="846" t="s">
        <v>194</v>
      </c>
      <c r="AD101" s="846" t="s">
        <v>194</v>
      </c>
      <c r="AE101" s="846" t="s">
        <v>194</v>
      </c>
      <c r="AF101" s="846" t="s">
        <v>194</v>
      </c>
      <c r="AG101" s="846" t="s">
        <v>194</v>
      </c>
      <c r="AH101" s="846" t="s">
        <v>194</v>
      </c>
      <c r="AI101" s="846" t="s">
        <v>194</v>
      </c>
      <c r="AJ101" s="846" t="s">
        <v>194</v>
      </c>
      <c r="AK101" s="846" t="s">
        <v>194</v>
      </c>
      <c r="AL101" s="846" t="s">
        <v>194</v>
      </c>
      <c r="AM101" s="846" t="s">
        <v>194</v>
      </c>
      <c r="AN101" s="846" t="s">
        <v>194</v>
      </c>
    </row>
    <row r="102" ht="15.75" customHeight="1">
      <c r="A102" s="846" t="s">
        <v>194</v>
      </c>
      <c r="B102" s="846" t="s">
        <v>194</v>
      </c>
      <c r="C102" s="846" t="s">
        <v>194</v>
      </c>
      <c r="D102" s="846" t="s">
        <v>194</v>
      </c>
      <c r="E102" s="846" t="s">
        <v>194</v>
      </c>
      <c r="F102" s="846" t="s">
        <v>194</v>
      </c>
      <c r="G102" s="846" t="s">
        <v>194</v>
      </c>
      <c r="H102" s="846" t="s">
        <v>194</v>
      </c>
      <c r="I102" s="846" t="s">
        <v>194</v>
      </c>
      <c r="J102" s="846" t="s">
        <v>194</v>
      </c>
      <c r="K102" s="846" t="s">
        <v>194</v>
      </c>
      <c r="L102" s="846" t="s">
        <v>194</v>
      </c>
      <c r="M102" s="846" t="s">
        <v>194</v>
      </c>
      <c r="N102" s="846" t="s">
        <v>194</v>
      </c>
      <c r="O102" s="846" t="s">
        <v>194</v>
      </c>
      <c r="P102" s="846" t="s">
        <v>194</v>
      </c>
      <c r="Q102" s="846" t="s">
        <v>194</v>
      </c>
      <c r="R102" s="846" t="s">
        <v>194</v>
      </c>
      <c r="S102" s="846" t="s">
        <v>194</v>
      </c>
      <c r="T102" s="846" t="s">
        <v>194</v>
      </c>
      <c r="U102" s="846" t="s">
        <v>194</v>
      </c>
      <c r="V102" s="846" t="s">
        <v>194</v>
      </c>
      <c r="W102" s="846" t="s">
        <v>194</v>
      </c>
      <c r="X102" s="846" t="s">
        <v>194</v>
      </c>
      <c r="Y102" s="846" t="s">
        <v>194</v>
      </c>
      <c r="Z102" s="846" t="s">
        <v>194</v>
      </c>
      <c r="AA102" s="846" t="s">
        <v>194</v>
      </c>
      <c r="AB102" s="846" t="s">
        <v>194</v>
      </c>
      <c r="AC102" s="846" t="s">
        <v>194</v>
      </c>
      <c r="AD102" s="846" t="s">
        <v>194</v>
      </c>
      <c r="AE102" s="846" t="s">
        <v>194</v>
      </c>
      <c r="AF102" s="846" t="s">
        <v>194</v>
      </c>
      <c r="AG102" s="846" t="s">
        <v>194</v>
      </c>
      <c r="AH102" s="846" t="s">
        <v>194</v>
      </c>
      <c r="AI102" s="846" t="s">
        <v>194</v>
      </c>
      <c r="AJ102" s="846" t="s">
        <v>194</v>
      </c>
      <c r="AK102" s="846" t="s">
        <v>194</v>
      </c>
      <c r="AL102" s="846" t="s">
        <v>194</v>
      </c>
      <c r="AM102" s="846" t="s">
        <v>194</v>
      </c>
      <c r="AN102" s="846" t="s">
        <v>194</v>
      </c>
    </row>
    <row r="103" ht="15.75" customHeight="1">
      <c r="A103" s="846" t="s">
        <v>194</v>
      </c>
      <c r="B103" s="846" t="s">
        <v>194</v>
      </c>
      <c r="C103" s="846" t="s">
        <v>194</v>
      </c>
      <c r="D103" s="846" t="s">
        <v>194</v>
      </c>
      <c r="E103" s="846" t="s">
        <v>194</v>
      </c>
      <c r="F103" s="846" t="s">
        <v>194</v>
      </c>
      <c r="G103" s="846" t="s">
        <v>194</v>
      </c>
      <c r="H103" s="846" t="s">
        <v>194</v>
      </c>
      <c r="I103" s="846" t="s">
        <v>194</v>
      </c>
      <c r="J103" s="846" t="s">
        <v>194</v>
      </c>
      <c r="K103" s="846" t="s">
        <v>194</v>
      </c>
      <c r="L103" s="846" t="s">
        <v>194</v>
      </c>
      <c r="M103" s="846" t="s">
        <v>194</v>
      </c>
      <c r="N103" s="846" t="s">
        <v>194</v>
      </c>
      <c r="O103" s="846" t="s">
        <v>194</v>
      </c>
      <c r="P103" s="846" t="s">
        <v>194</v>
      </c>
      <c r="Q103" s="846" t="s">
        <v>194</v>
      </c>
      <c r="R103" s="846" t="s">
        <v>194</v>
      </c>
      <c r="S103" s="846" t="s">
        <v>194</v>
      </c>
      <c r="T103" s="846" t="s">
        <v>194</v>
      </c>
      <c r="U103" s="846" t="s">
        <v>194</v>
      </c>
      <c r="V103" s="846" t="s">
        <v>194</v>
      </c>
      <c r="W103" s="846" t="s">
        <v>194</v>
      </c>
      <c r="X103" s="846" t="s">
        <v>194</v>
      </c>
      <c r="Y103" s="846" t="s">
        <v>194</v>
      </c>
      <c r="Z103" s="846" t="s">
        <v>194</v>
      </c>
      <c r="AA103" s="846" t="s">
        <v>194</v>
      </c>
      <c r="AB103" s="846" t="s">
        <v>194</v>
      </c>
      <c r="AC103" s="846" t="s">
        <v>194</v>
      </c>
      <c r="AD103" s="846" t="s">
        <v>194</v>
      </c>
      <c r="AE103" s="846" t="s">
        <v>194</v>
      </c>
      <c r="AF103" s="846" t="s">
        <v>194</v>
      </c>
      <c r="AG103" s="846" t="s">
        <v>194</v>
      </c>
      <c r="AH103" s="846" t="s">
        <v>194</v>
      </c>
      <c r="AI103" s="846" t="s">
        <v>194</v>
      </c>
      <c r="AJ103" s="846" t="s">
        <v>194</v>
      </c>
      <c r="AK103" s="846" t="s">
        <v>194</v>
      </c>
      <c r="AL103" s="846" t="s">
        <v>194</v>
      </c>
      <c r="AM103" s="846" t="s">
        <v>194</v>
      </c>
      <c r="AN103" s="846" t="s">
        <v>194</v>
      </c>
    </row>
    <row r="104" ht="15.75" customHeight="1">
      <c r="A104" s="846" t="s">
        <v>194</v>
      </c>
      <c r="B104" s="846" t="s">
        <v>194</v>
      </c>
      <c r="C104" s="846" t="s">
        <v>194</v>
      </c>
      <c r="D104" s="846" t="s">
        <v>194</v>
      </c>
      <c r="E104" s="846" t="s">
        <v>194</v>
      </c>
      <c r="F104" s="846" t="s">
        <v>194</v>
      </c>
      <c r="G104" s="846" t="s">
        <v>194</v>
      </c>
      <c r="H104" s="846" t="s">
        <v>194</v>
      </c>
      <c r="I104" s="846" t="s">
        <v>194</v>
      </c>
      <c r="J104" s="846" t="s">
        <v>194</v>
      </c>
      <c r="K104" s="846" t="s">
        <v>194</v>
      </c>
      <c r="L104" s="846" t="s">
        <v>194</v>
      </c>
      <c r="M104" s="846" t="s">
        <v>194</v>
      </c>
      <c r="N104" s="846" t="s">
        <v>194</v>
      </c>
      <c r="O104" s="846" t="s">
        <v>194</v>
      </c>
      <c r="P104" s="846" t="s">
        <v>194</v>
      </c>
      <c r="Q104" s="846" t="s">
        <v>194</v>
      </c>
      <c r="R104" s="846" t="s">
        <v>194</v>
      </c>
      <c r="S104" s="846" t="s">
        <v>194</v>
      </c>
      <c r="T104" s="846" t="s">
        <v>194</v>
      </c>
      <c r="U104" s="846" t="s">
        <v>194</v>
      </c>
      <c r="V104" s="846" t="s">
        <v>194</v>
      </c>
      <c r="W104" s="846" t="s">
        <v>194</v>
      </c>
      <c r="X104" s="846" t="s">
        <v>194</v>
      </c>
      <c r="Y104" s="846" t="s">
        <v>194</v>
      </c>
      <c r="Z104" s="846" t="s">
        <v>194</v>
      </c>
      <c r="AA104" s="846" t="s">
        <v>194</v>
      </c>
      <c r="AB104" s="846" t="s">
        <v>194</v>
      </c>
      <c r="AC104" s="846" t="s">
        <v>194</v>
      </c>
      <c r="AD104" s="846" t="s">
        <v>194</v>
      </c>
      <c r="AE104" s="846" t="s">
        <v>194</v>
      </c>
      <c r="AF104" s="846" t="s">
        <v>194</v>
      </c>
      <c r="AG104" s="846" t="s">
        <v>194</v>
      </c>
      <c r="AH104" s="846" t="s">
        <v>194</v>
      </c>
      <c r="AI104" s="846" t="s">
        <v>194</v>
      </c>
      <c r="AJ104" s="846" t="s">
        <v>194</v>
      </c>
      <c r="AK104" s="846" t="s">
        <v>194</v>
      </c>
      <c r="AL104" s="846" t="s">
        <v>194</v>
      </c>
      <c r="AM104" s="846" t="s">
        <v>194</v>
      </c>
      <c r="AN104" s="846" t="s">
        <v>194</v>
      </c>
    </row>
    <row r="105" ht="15.75" customHeight="1">
      <c r="A105" s="846" t="s">
        <v>194</v>
      </c>
      <c r="B105" s="846" t="s">
        <v>194</v>
      </c>
      <c r="C105" s="846" t="s">
        <v>194</v>
      </c>
      <c r="D105" s="846" t="s">
        <v>194</v>
      </c>
      <c r="E105" s="846" t="s">
        <v>194</v>
      </c>
      <c r="F105" s="846" t="s">
        <v>194</v>
      </c>
      <c r="G105" s="846" t="s">
        <v>194</v>
      </c>
      <c r="H105" s="846" t="s">
        <v>194</v>
      </c>
      <c r="I105" s="846" t="s">
        <v>194</v>
      </c>
      <c r="J105" s="846" t="s">
        <v>194</v>
      </c>
      <c r="K105" s="846" t="s">
        <v>194</v>
      </c>
      <c r="L105" s="846" t="s">
        <v>194</v>
      </c>
      <c r="M105" s="846" t="s">
        <v>194</v>
      </c>
      <c r="N105" s="846" t="s">
        <v>194</v>
      </c>
      <c r="O105" s="846" t="s">
        <v>194</v>
      </c>
      <c r="P105" s="846" t="s">
        <v>194</v>
      </c>
      <c r="Q105" s="846" t="s">
        <v>194</v>
      </c>
      <c r="R105" s="846" t="s">
        <v>194</v>
      </c>
      <c r="S105" s="846" t="s">
        <v>194</v>
      </c>
      <c r="T105" s="846" t="s">
        <v>194</v>
      </c>
      <c r="U105" s="846" t="s">
        <v>194</v>
      </c>
      <c r="V105" s="846" t="s">
        <v>194</v>
      </c>
      <c r="W105" s="846" t="s">
        <v>194</v>
      </c>
      <c r="X105" s="846" t="s">
        <v>194</v>
      </c>
      <c r="Y105" s="846" t="s">
        <v>194</v>
      </c>
      <c r="Z105" s="846" t="s">
        <v>194</v>
      </c>
      <c r="AA105" s="846" t="s">
        <v>194</v>
      </c>
      <c r="AB105" s="846" t="s">
        <v>194</v>
      </c>
      <c r="AC105" s="846" t="s">
        <v>194</v>
      </c>
      <c r="AD105" s="846" t="s">
        <v>194</v>
      </c>
      <c r="AE105" s="846" t="s">
        <v>194</v>
      </c>
      <c r="AF105" s="846" t="s">
        <v>194</v>
      </c>
      <c r="AG105" s="846" t="s">
        <v>194</v>
      </c>
      <c r="AH105" s="846" t="s">
        <v>194</v>
      </c>
      <c r="AI105" s="846" t="s">
        <v>194</v>
      </c>
      <c r="AJ105" s="846" t="s">
        <v>194</v>
      </c>
      <c r="AK105" s="846" t="s">
        <v>194</v>
      </c>
      <c r="AL105" s="846" t="s">
        <v>194</v>
      </c>
      <c r="AM105" s="846" t="s">
        <v>194</v>
      </c>
      <c r="AN105" s="846" t="s">
        <v>194</v>
      </c>
    </row>
    <row r="106" ht="15.75" customHeight="1">
      <c r="A106" s="846" t="s">
        <v>194</v>
      </c>
      <c r="B106" s="846" t="s">
        <v>194</v>
      </c>
      <c r="C106" s="846" t="s">
        <v>194</v>
      </c>
      <c r="D106" s="846" t="s">
        <v>194</v>
      </c>
      <c r="E106" s="846" t="s">
        <v>194</v>
      </c>
      <c r="F106" s="846" t="s">
        <v>194</v>
      </c>
      <c r="G106" s="846" t="s">
        <v>194</v>
      </c>
      <c r="H106" s="846" t="s">
        <v>194</v>
      </c>
      <c r="I106" s="846" t="s">
        <v>194</v>
      </c>
      <c r="J106" s="846" t="s">
        <v>194</v>
      </c>
      <c r="K106" s="846" t="s">
        <v>194</v>
      </c>
      <c r="L106" s="846" t="s">
        <v>194</v>
      </c>
      <c r="M106" s="846" t="s">
        <v>194</v>
      </c>
      <c r="N106" s="846" t="s">
        <v>194</v>
      </c>
      <c r="O106" s="846" t="s">
        <v>194</v>
      </c>
      <c r="P106" s="846" t="s">
        <v>194</v>
      </c>
      <c r="Q106" s="846" t="s">
        <v>194</v>
      </c>
      <c r="R106" s="846" t="s">
        <v>194</v>
      </c>
      <c r="S106" s="846" t="s">
        <v>194</v>
      </c>
      <c r="T106" s="846" t="s">
        <v>194</v>
      </c>
      <c r="U106" s="846" t="s">
        <v>194</v>
      </c>
      <c r="V106" s="846" t="s">
        <v>194</v>
      </c>
      <c r="W106" s="846" t="s">
        <v>194</v>
      </c>
      <c r="X106" s="846" t="s">
        <v>194</v>
      </c>
      <c r="Y106" s="846" t="s">
        <v>194</v>
      </c>
      <c r="Z106" s="846" t="s">
        <v>194</v>
      </c>
      <c r="AA106" s="846" t="s">
        <v>194</v>
      </c>
      <c r="AB106" s="846" t="s">
        <v>194</v>
      </c>
      <c r="AC106" s="846" t="s">
        <v>194</v>
      </c>
      <c r="AD106" s="846" t="s">
        <v>194</v>
      </c>
      <c r="AE106" s="846" t="s">
        <v>194</v>
      </c>
      <c r="AF106" s="846" t="s">
        <v>194</v>
      </c>
      <c r="AG106" s="846" t="s">
        <v>194</v>
      </c>
      <c r="AH106" s="846" t="s">
        <v>194</v>
      </c>
      <c r="AI106" s="846" t="s">
        <v>194</v>
      </c>
      <c r="AJ106" s="846" t="s">
        <v>194</v>
      </c>
      <c r="AK106" s="846" t="s">
        <v>194</v>
      </c>
      <c r="AL106" s="846" t="s">
        <v>194</v>
      </c>
      <c r="AM106" s="846" t="s">
        <v>194</v>
      </c>
      <c r="AN106" s="846" t="s">
        <v>194</v>
      </c>
    </row>
    <row r="107" ht="15.75" customHeight="1">
      <c r="A107" s="846" t="s">
        <v>194</v>
      </c>
      <c r="B107" s="846" t="s">
        <v>194</v>
      </c>
      <c r="C107" s="846" t="s">
        <v>194</v>
      </c>
      <c r="D107" s="846" t="s">
        <v>194</v>
      </c>
      <c r="E107" s="846" t="s">
        <v>194</v>
      </c>
      <c r="F107" s="846" t="s">
        <v>194</v>
      </c>
      <c r="G107" s="846" t="s">
        <v>194</v>
      </c>
      <c r="H107" s="846" t="s">
        <v>194</v>
      </c>
      <c r="I107" s="846" t="s">
        <v>194</v>
      </c>
      <c r="J107" s="846" t="s">
        <v>194</v>
      </c>
      <c r="K107" s="846" t="s">
        <v>194</v>
      </c>
      <c r="L107" s="846" t="s">
        <v>194</v>
      </c>
      <c r="M107" s="846" t="s">
        <v>194</v>
      </c>
      <c r="N107" s="846" t="s">
        <v>194</v>
      </c>
      <c r="O107" s="846" t="s">
        <v>194</v>
      </c>
      <c r="P107" s="846" t="s">
        <v>194</v>
      </c>
      <c r="Q107" s="846" t="s">
        <v>194</v>
      </c>
      <c r="R107" s="846" t="s">
        <v>194</v>
      </c>
      <c r="S107" s="846" t="s">
        <v>194</v>
      </c>
      <c r="T107" s="846" t="s">
        <v>194</v>
      </c>
      <c r="U107" s="846" t="s">
        <v>194</v>
      </c>
      <c r="V107" s="846" t="s">
        <v>194</v>
      </c>
      <c r="W107" s="846" t="s">
        <v>194</v>
      </c>
      <c r="X107" s="846" t="s">
        <v>194</v>
      </c>
      <c r="Y107" s="846" t="s">
        <v>194</v>
      </c>
      <c r="Z107" s="846" t="s">
        <v>194</v>
      </c>
      <c r="AA107" s="846" t="s">
        <v>194</v>
      </c>
      <c r="AB107" s="846" t="s">
        <v>194</v>
      </c>
      <c r="AC107" s="846" t="s">
        <v>194</v>
      </c>
      <c r="AD107" s="846" t="s">
        <v>194</v>
      </c>
      <c r="AE107" s="846" t="s">
        <v>194</v>
      </c>
      <c r="AF107" s="846" t="s">
        <v>194</v>
      </c>
      <c r="AG107" s="846" t="s">
        <v>194</v>
      </c>
      <c r="AH107" s="846" t="s">
        <v>194</v>
      </c>
      <c r="AI107" s="846" t="s">
        <v>194</v>
      </c>
      <c r="AJ107" s="846" t="s">
        <v>194</v>
      </c>
      <c r="AK107" s="846" t="s">
        <v>194</v>
      </c>
      <c r="AL107" s="846" t="s">
        <v>194</v>
      </c>
      <c r="AM107" s="846" t="s">
        <v>194</v>
      </c>
      <c r="AN107" s="846" t="s">
        <v>194</v>
      </c>
    </row>
    <row r="108" ht="15.75" customHeight="1">
      <c r="A108" s="846" t="s">
        <v>194</v>
      </c>
      <c r="B108" s="846" t="s">
        <v>194</v>
      </c>
      <c r="C108" s="846" t="s">
        <v>194</v>
      </c>
      <c r="D108" s="846" t="s">
        <v>194</v>
      </c>
      <c r="E108" s="846" t="s">
        <v>194</v>
      </c>
      <c r="F108" s="846" t="s">
        <v>194</v>
      </c>
      <c r="G108" s="846" t="s">
        <v>194</v>
      </c>
      <c r="H108" s="846" t="s">
        <v>194</v>
      </c>
      <c r="I108" s="846" t="s">
        <v>194</v>
      </c>
      <c r="J108" s="846" t="s">
        <v>194</v>
      </c>
      <c r="K108" s="846" t="s">
        <v>194</v>
      </c>
      <c r="L108" s="846" t="s">
        <v>194</v>
      </c>
      <c r="M108" s="846" t="s">
        <v>194</v>
      </c>
      <c r="N108" s="846" t="s">
        <v>194</v>
      </c>
      <c r="O108" s="846" t="s">
        <v>194</v>
      </c>
      <c r="P108" s="846" t="s">
        <v>194</v>
      </c>
      <c r="Q108" s="846" t="s">
        <v>194</v>
      </c>
      <c r="R108" s="846" t="s">
        <v>194</v>
      </c>
      <c r="S108" s="846" t="s">
        <v>194</v>
      </c>
      <c r="T108" s="846" t="s">
        <v>194</v>
      </c>
      <c r="U108" s="846" t="s">
        <v>194</v>
      </c>
      <c r="V108" s="846" t="s">
        <v>194</v>
      </c>
      <c r="W108" s="846" t="s">
        <v>194</v>
      </c>
      <c r="X108" s="846" t="s">
        <v>194</v>
      </c>
      <c r="Y108" s="846" t="s">
        <v>194</v>
      </c>
      <c r="Z108" s="846" t="s">
        <v>194</v>
      </c>
      <c r="AA108" s="846" t="s">
        <v>194</v>
      </c>
      <c r="AB108" s="846" t="s">
        <v>194</v>
      </c>
      <c r="AC108" s="846" t="s">
        <v>194</v>
      </c>
      <c r="AD108" s="846" t="s">
        <v>194</v>
      </c>
      <c r="AE108" s="846" t="s">
        <v>194</v>
      </c>
      <c r="AF108" s="846" t="s">
        <v>194</v>
      </c>
      <c r="AG108" s="846" t="s">
        <v>194</v>
      </c>
      <c r="AH108" s="846" t="s">
        <v>194</v>
      </c>
      <c r="AI108" s="846" t="s">
        <v>194</v>
      </c>
      <c r="AJ108" s="846" t="s">
        <v>194</v>
      </c>
      <c r="AK108" s="846" t="s">
        <v>194</v>
      </c>
      <c r="AL108" s="846" t="s">
        <v>194</v>
      </c>
      <c r="AM108" s="846" t="s">
        <v>194</v>
      </c>
      <c r="AN108" s="846" t="s">
        <v>194</v>
      </c>
    </row>
    <row r="109" ht="15.75" customHeight="1">
      <c r="A109" s="846" t="s">
        <v>194</v>
      </c>
      <c r="B109" s="846" t="s">
        <v>194</v>
      </c>
      <c r="C109" s="846" t="s">
        <v>194</v>
      </c>
      <c r="D109" s="846" t="s">
        <v>194</v>
      </c>
      <c r="E109" s="846" t="s">
        <v>194</v>
      </c>
      <c r="F109" s="846" t="s">
        <v>194</v>
      </c>
      <c r="G109" s="846" t="s">
        <v>194</v>
      </c>
      <c r="H109" s="846" t="s">
        <v>194</v>
      </c>
      <c r="I109" s="846" t="s">
        <v>194</v>
      </c>
      <c r="J109" s="846" t="s">
        <v>194</v>
      </c>
      <c r="K109" s="846" t="s">
        <v>194</v>
      </c>
      <c r="L109" s="846" t="s">
        <v>194</v>
      </c>
      <c r="M109" s="846" t="s">
        <v>194</v>
      </c>
      <c r="N109" s="846" t="s">
        <v>194</v>
      </c>
      <c r="O109" s="846" t="s">
        <v>194</v>
      </c>
      <c r="P109" s="846" t="s">
        <v>194</v>
      </c>
      <c r="Q109" s="846" t="s">
        <v>194</v>
      </c>
      <c r="R109" s="846" t="s">
        <v>194</v>
      </c>
      <c r="S109" s="846" t="s">
        <v>194</v>
      </c>
      <c r="T109" s="846" t="s">
        <v>194</v>
      </c>
      <c r="U109" s="846" t="s">
        <v>194</v>
      </c>
      <c r="V109" s="846" t="s">
        <v>194</v>
      </c>
      <c r="W109" s="846" t="s">
        <v>194</v>
      </c>
      <c r="X109" s="846" t="s">
        <v>194</v>
      </c>
      <c r="Y109" s="846" t="s">
        <v>194</v>
      </c>
      <c r="Z109" s="846" t="s">
        <v>194</v>
      </c>
      <c r="AA109" s="846" t="s">
        <v>194</v>
      </c>
      <c r="AB109" s="846" t="s">
        <v>194</v>
      </c>
      <c r="AC109" s="846" t="s">
        <v>194</v>
      </c>
      <c r="AD109" s="846" t="s">
        <v>194</v>
      </c>
      <c r="AE109" s="846" t="s">
        <v>194</v>
      </c>
      <c r="AF109" s="846" t="s">
        <v>194</v>
      </c>
      <c r="AG109" s="846" t="s">
        <v>194</v>
      </c>
      <c r="AH109" s="846" t="s">
        <v>194</v>
      </c>
      <c r="AI109" s="846" t="s">
        <v>194</v>
      </c>
      <c r="AJ109" s="846" t="s">
        <v>194</v>
      </c>
      <c r="AK109" s="846" t="s">
        <v>194</v>
      </c>
      <c r="AL109" s="846" t="s">
        <v>194</v>
      </c>
      <c r="AM109" s="846" t="s">
        <v>194</v>
      </c>
      <c r="AN109" s="846" t="s">
        <v>194</v>
      </c>
    </row>
    <row r="110" ht="15.75" customHeight="1">
      <c r="A110" s="846" t="s">
        <v>194</v>
      </c>
      <c r="B110" s="846" t="s">
        <v>194</v>
      </c>
      <c r="C110" s="846" t="s">
        <v>194</v>
      </c>
      <c r="D110" s="846" t="s">
        <v>194</v>
      </c>
      <c r="E110" s="846" t="s">
        <v>194</v>
      </c>
      <c r="F110" s="846" t="s">
        <v>194</v>
      </c>
      <c r="G110" s="846" t="s">
        <v>194</v>
      </c>
      <c r="H110" s="846" t="s">
        <v>194</v>
      </c>
      <c r="I110" s="846" t="s">
        <v>194</v>
      </c>
      <c r="J110" s="846" t="s">
        <v>194</v>
      </c>
      <c r="K110" s="846" t="s">
        <v>194</v>
      </c>
      <c r="L110" s="846" t="s">
        <v>194</v>
      </c>
      <c r="M110" s="846" t="s">
        <v>194</v>
      </c>
      <c r="N110" s="846" t="s">
        <v>194</v>
      </c>
      <c r="O110" s="846" t="s">
        <v>194</v>
      </c>
      <c r="P110" s="846" t="s">
        <v>194</v>
      </c>
      <c r="Q110" s="846" t="s">
        <v>194</v>
      </c>
      <c r="R110" s="846" t="s">
        <v>194</v>
      </c>
      <c r="S110" s="846" t="s">
        <v>194</v>
      </c>
      <c r="T110" s="846" t="s">
        <v>194</v>
      </c>
      <c r="U110" s="846" t="s">
        <v>194</v>
      </c>
      <c r="V110" s="846" t="s">
        <v>194</v>
      </c>
      <c r="W110" s="846" t="s">
        <v>194</v>
      </c>
      <c r="X110" s="846" t="s">
        <v>194</v>
      </c>
      <c r="Y110" s="846" t="s">
        <v>194</v>
      </c>
      <c r="Z110" s="846" t="s">
        <v>194</v>
      </c>
      <c r="AA110" s="846" t="s">
        <v>194</v>
      </c>
      <c r="AB110" s="846" t="s">
        <v>194</v>
      </c>
      <c r="AC110" s="846" t="s">
        <v>194</v>
      </c>
      <c r="AD110" s="846" t="s">
        <v>194</v>
      </c>
      <c r="AE110" s="846" t="s">
        <v>194</v>
      </c>
      <c r="AF110" s="846" t="s">
        <v>194</v>
      </c>
      <c r="AG110" s="846" t="s">
        <v>194</v>
      </c>
      <c r="AH110" s="846" t="s">
        <v>194</v>
      </c>
      <c r="AI110" s="846" t="s">
        <v>194</v>
      </c>
      <c r="AJ110" s="846" t="s">
        <v>194</v>
      </c>
      <c r="AK110" s="846" t="s">
        <v>194</v>
      </c>
      <c r="AL110" s="846" t="s">
        <v>194</v>
      </c>
      <c r="AM110" s="846" t="s">
        <v>194</v>
      </c>
      <c r="AN110" s="846" t="s">
        <v>194</v>
      </c>
    </row>
    <row r="111" ht="15.75" customHeight="1">
      <c r="A111" s="846" t="s">
        <v>194</v>
      </c>
      <c r="B111" s="846" t="s">
        <v>194</v>
      </c>
      <c r="C111" s="846" t="s">
        <v>194</v>
      </c>
      <c r="D111" s="846" t="s">
        <v>194</v>
      </c>
      <c r="E111" s="846" t="s">
        <v>194</v>
      </c>
      <c r="F111" s="846" t="s">
        <v>194</v>
      </c>
      <c r="G111" s="846" t="s">
        <v>194</v>
      </c>
      <c r="H111" s="846" t="s">
        <v>194</v>
      </c>
      <c r="I111" s="846" t="s">
        <v>194</v>
      </c>
      <c r="J111" s="846" t="s">
        <v>194</v>
      </c>
      <c r="K111" s="846" t="s">
        <v>194</v>
      </c>
      <c r="L111" s="846" t="s">
        <v>194</v>
      </c>
      <c r="M111" s="846" t="s">
        <v>194</v>
      </c>
      <c r="N111" s="846" t="s">
        <v>194</v>
      </c>
      <c r="O111" s="846" t="s">
        <v>194</v>
      </c>
      <c r="P111" s="846" t="s">
        <v>194</v>
      </c>
      <c r="Q111" s="846" t="s">
        <v>194</v>
      </c>
      <c r="R111" s="846" t="s">
        <v>194</v>
      </c>
      <c r="S111" s="846" t="s">
        <v>194</v>
      </c>
      <c r="T111" s="846" t="s">
        <v>194</v>
      </c>
      <c r="U111" s="846" t="s">
        <v>194</v>
      </c>
      <c r="V111" s="846" t="s">
        <v>194</v>
      </c>
      <c r="W111" s="846" t="s">
        <v>194</v>
      </c>
      <c r="X111" s="846" t="s">
        <v>194</v>
      </c>
      <c r="Y111" s="846" t="s">
        <v>194</v>
      </c>
      <c r="Z111" s="846" t="s">
        <v>194</v>
      </c>
      <c r="AA111" s="846" t="s">
        <v>194</v>
      </c>
      <c r="AB111" s="846" t="s">
        <v>194</v>
      </c>
      <c r="AC111" s="846" t="s">
        <v>194</v>
      </c>
      <c r="AD111" s="846" t="s">
        <v>194</v>
      </c>
      <c r="AE111" s="846" t="s">
        <v>194</v>
      </c>
      <c r="AF111" s="846" t="s">
        <v>194</v>
      </c>
      <c r="AG111" s="846" t="s">
        <v>194</v>
      </c>
      <c r="AH111" s="846" t="s">
        <v>194</v>
      </c>
      <c r="AI111" s="846" t="s">
        <v>194</v>
      </c>
      <c r="AJ111" s="846" t="s">
        <v>194</v>
      </c>
      <c r="AK111" s="846" t="s">
        <v>194</v>
      </c>
      <c r="AL111" s="846" t="s">
        <v>194</v>
      </c>
      <c r="AM111" s="846" t="s">
        <v>194</v>
      </c>
      <c r="AN111" s="846" t="s">
        <v>194</v>
      </c>
    </row>
    <row r="112" ht="15.75" customHeight="1">
      <c r="A112" s="846" t="s">
        <v>194</v>
      </c>
      <c r="B112" s="846" t="s">
        <v>194</v>
      </c>
      <c r="C112" s="846" t="s">
        <v>194</v>
      </c>
      <c r="D112" s="846" t="s">
        <v>194</v>
      </c>
      <c r="E112" s="846" t="s">
        <v>194</v>
      </c>
      <c r="F112" s="846" t="s">
        <v>194</v>
      </c>
      <c r="G112" s="846" t="s">
        <v>194</v>
      </c>
      <c r="H112" s="846" t="s">
        <v>194</v>
      </c>
      <c r="I112" s="846" t="s">
        <v>194</v>
      </c>
      <c r="J112" s="846" t="s">
        <v>194</v>
      </c>
      <c r="K112" s="846" t="s">
        <v>194</v>
      </c>
      <c r="L112" s="846" t="s">
        <v>194</v>
      </c>
      <c r="M112" s="846" t="s">
        <v>194</v>
      </c>
      <c r="N112" s="846" t="s">
        <v>194</v>
      </c>
      <c r="O112" s="846" t="s">
        <v>194</v>
      </c>
      <c r="P112" s="846" t="s">
        <v>194</v>
      </c>
      <c r="Q112" s="846" t="s">
        <v>194</v>
      </c>
      <c r="R112" s="846" t="s">
        <v>194</v>
      </c>
      <c r="S112" s="846" t="s">
        <v>194</v>
      </c>
      <c r="T112" s="846" t="s">
        <v>194</v>
      </c>
      <c r="U112" s="846" t="s">
        <v>194</v>
      </c>
      <c r="V112" s="846" t="s">
        <v>194</v>
      </c>
      <c r="W112" s="846" t="s">
        <v>194</v>
      </c>
      <c r="X112" s="846" t="s">
        <v>194</v>
      </c>
      <c r="Y112" s="846" t="s">
        <v>194</v>
      </c>
      <c r="Z112" s="846" t="s">
        <v>194</v>
      </c>
      <c r="AA112" s="846" t="s">
        <v>194</v>
      </c>
      <c r="AB112" s="846" t="s">
        <v>194</v>
      </c>
      <c r="AC112" s="846" t="s">
        <v>194</v>
      </c>
      <c r="AD112" s="846" t="s">
        <v>194</v>
      </c>
      <c r="AE112" s="846" t="s">
        <v>194</v>
      </c>
      <c r="AF112" s="846" t="s">
        <v>194</v>
      </c>
      <c r="AG112" s="846" t="s">
        <v>194</v>
      </c>
      <c r="AH112" s="846" t="s">
        <v>194</v>
      </c>
      <c r="AI112" s="846" t="s">
        <v>194</v>
      </c>
      <c r="AJ112" s="846" t="s">
        <v>194</v>
      </c>
      <c r="AK112" s="846" t="s">
        <v>194</v>
      </c>
      <c r="AL112" s="846" t="s">
        <v>194</v>
      </c>
      <c r="AM112" s="846" t="s">
        <v>194</v>
      </c>
      <c r="AN112" s="846" t="s">
        <v>194</v>
      </c>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row>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5:D6"/>
    <mergeCell ref="E5:E6"/>
    <mergeCell ref="F5:F6"/>
    <mergeCell ref="G5:G6"/>
    <mergeCell ref="H5:H6"/>
    <mergeCell ref="I5:I6"/>
    <mergeCell ref="J5:J6"/>
    <mergeCell ref="K5:K6"/>
  </mergeCells>
  <conditionalFormatting sqref="D10:L10 D16:Q16 D20:Q21 D32:Q39 D43:Q43 D47:Q49 D54:Q54 D72:Q72">
    <cfRule type="expression" dxfId="1" priority="1">
      <formula>NOT(SUBTOTAL(109,$A11)=$A11)</formula>
    </cfRule>
  </conditionalFormatting>
  <printOptions/>
  <pageMargins bottom="0.75" footer="0.0" header="0.0" left="0.7" right="0.7" top="0.75"/>
  <pageSetup paperSize="9"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99"/>
    <outlinePr summaryBelow="0"/>
    <pageSetUpPr/>
  </sheetPr>
  <sheetViews>
    <sheetView showGridLines="0"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4.43" defaultRowHeight="15.0" outlineLevelCol="1"/>
  <cols>
    <col customWidth="1" min="1" max="1" width="1.0"/>
    <col customWidth="1" min="2" max="2" width="2.0"/>
    <col customWidth="1" min="3" max="3" width="50.57"/>
    <col customWidth="1" hidden="1" min="4" max="10" width="12.57" outlineLevel="1"/>
    <col customWidth="1" hidden="1" min="11" max="11" width="10.57" outlineLevel="1"/>
    <col customWidth="1" min="12" max="12" width="2.57"/>
    <col customWidth="1" min="13" max="20" width="14.57"/>
    <col customWidth="1" min="21" max="21" width="1.86"/>
    <col customWidth="1" min="22" max="43" width="14.57"/>
  </cols>
  <sheetData>
    <row r="1" ht="6.0" customHeight="1">
      <c r="A1" s="846"/>
      <c r="B1" s="847"/>
      <c r="C1" s="847"/>
      <c r="D1" s="847"/>
      <c r="E1" s="847"/>
      <c r="F1" s="847"/>
      <c r="G1" s="847"/>
      <c r="H1" s="847"/>
      <c r="I1" s="847"/>
      <c r="J1" s="847"/>
      <c r="K1" s="847"/>
      <c r="L1" s="847"/>
      <c r="M1" s="895"/>
      <c r="N1" s="895"/>
      <c r="O1" s="895"/>
      <c r="P1" s="895"/>
      <c r="Q1" s="895"/>
      <c r="R1" s="895"/>
      <c r="S1" s="895"/>
      <c r="T1" s="895"/>
      <c r="U1" s="847"/>
      <c r="V1" s="846"/>
      <c r="W1" s="846"/>
      <c r="X1" s="846"/>
      <c r="Y1" s="846"/>
      <c r="Z1" s="846"/>
      <c r="AA1" s="846"/>
      <c r="AB1" s="846"/>
      <c r="AC1" s="846"/>
      <c r="AD1" s="846"/>
      <c r="AE1" s="846"/>
      <c r="AF1" s="846"/>
      <c r="AG1" s="846"/>
      <c r="AH1" s="846"/>
      <c r="AI1" s="846"/>
      <c r="AJ1" s="846"/>
      <c r="AK1" s="846"/>
      <c r="AL1" s="846"/>
      <c r="AM1" s="846"/>
      <c r="AN1" s="846"/>
      <c r="AO1" s="846"/>
      <c r="AP1" s="846"/>
      <c r="AQ1" s="846"/>
    </row>
    <row r="2" ht="39.75" customHeight="1">
      <c r="A2" s="849"/>
      <c r="B2" s="15"/>
      <c r="C2" s="15"/>
      <c r="D2" s="15"/>
      <c r="E2" s="15"/>
      <c r="F2" s="15"/>
      <c r="G2" s="15"/>
      <c r="H2" s="15"/>
      <c r="I2" s="15"/>
      <c r="J2" s="15"/>
      <c r="K2" s="15"/>
      <c r="L2" s="15"/>
      <c r="M2" s="896"/>
      <c r="N2" s="896"/>
      <c r="O2" s="896"/>
      <c r="P2" s="896"/>
      <c r="Q2" s="896"/>
      <c r="R2" s="896"/>
      <c r="S2" s="896"/>
      <c r="T2" s="896"/>
      <c r="U2" s="15"/>
      <c r="V2" s="851"/>
      <c r="W2" s="846"/>
      <c r="X2" s="846"/>
      <c r="Y2" s="846"/>
      <c r="Z2" s="846"/>
      <c r="AA2" s="846"/>
      <c r="AB2" s="846"/>
      <c r="AC2" s="846"/>
      <c r="AD2" s="846"/>
      <c r="AE2" s="846"/>
      <c r="AF2" s="846"/>
      <c r="AG2" s="846"/>
      <c r="AH2" s="846"/>
      <c r="AI2" s="846"/>
      <c r="AJ2" s="846"/>
      <c r="AK2" s="846"/>
      <c r="AL2" s="846"/>
      <c r="AM2" s="846"/>
      <c r="AN2" s="846"/>
      <c r="AO2" s="846"/>
      <c r="AP2" s="846"/>
      <c r="AQ2" s="846"/>
    </row>
    <row r="3" ht="18.75" customHeight="1">
      <c r="A3" s="849"/>
      <c r="B3" s="15"/>
      <c r="C3" s="852" t="s">
        <v>363</v>
      </c>
      <c r="D3" s="15"/>
      <c r="E3" s="15"/>
      <c r="F3" s="15"/>
      <c r="G3" s="15"/>
      <c r="H3" s="15"/>
      <c r="I3" s="15"/>
      <c r="J3" s="15"/>
      <c r="K3" s="15"/>
      <c r="L3" s="15"/>
      <c r="M3" s="896"/>
      <c r="N3" s="896"/>
      <c r="O3" s="896"/>
      <c r="P3" s="896"/>
      <c r="Q3" s="896"/>
      <c r="R3" s="896"/>
      <c r="S3" s="896"/>
      <c r="T3" s="896"/>
      <c r="U3" s="15"/>
      <c r="V3" s="851"/>
      <c r="W3" s="846"/>
      <c r="X3" s="846"/>
      <c r="Y3" s="846"/>
      <c r="Z3" s="846"/>
      <c r="AA3" s="846"/>
      <c r="AB3" s="846"/>
      <c r="AC3" s="846"/>
      <c r="AD3" s="846"/>
      <c r="AE3" s="846"/>
      <c r="AF3" s="846"/>
      <c r="AG3" s="846"/>
      <c r="AH3" s="846"/>
      <c r="AI3" s="846"/>
      <c r="AJ3" s="846"/>
      <c r="AK3" s="846"/>
      <c r="AL3" s="846"/>
      <c r="AM3" s="846"/>
      <c r="AN3" s="846"/>
      <c r="AO3" s="846"/>
      <c r="AP3" s="846"/>
      <c r="AQ3" s="846"/>
    </row>
    <row r="4">
      <c r="A4" s="849" t="s">
        <v>194</v>
      </c>
      <c r="B4" s="15"/>
      <c r="C4" s="853" t="s">
        <v>364</v>
      </c>
      <c r="D4" s="854" t="s">
        <v>196</v>
      </c>
      <c r="E4" s="855" t="s">
        <v>194</v>
      </c>
      <c r="F4" s="855" t="s">
        <v>194</v>
      </c>
      <c r="G4" s="855" t="s">
        <v>194</v>
      </c>
      <c r="H4" s="855" t="s">
        <v>194</v>
      </c>
      <c r="I4" s="855" t="s">
        <v>194</v>
      </c>
      <c r="J4" s="855" t="s">
        <v>194</v>
      </c>
      <c r="K4" s="855" t="s">
        <v>194</v>
      </c>
      <c r="L4" s="15"/>
      <c r="M4" s="896"/>
      <c r="N4" s="896"/>
      <c r="O4" s="896"/>
      <c r="P4" s="896"/>
      <c r="Q4" s="896"/>
      <c r="R4" s="896"/>
      <c r="S4" s="896"/>
      <c r="T4" s="896"/>
      <c r="U4" s="15"/>
      <c r="V4" s="851" t="s">
        <v>194</v>
      </c>
      <c r="W4" s="846" t="s">
        <v>194</v>
      </c>
      <c r="X4" s="846" t="s">
        <v>194</v>
      </c>
      <c r="Y4" s="846" t="s">
        <v>194</v>
      </c>
      <c r="Z4" s="846" t="s">
        <v>194</v>
      </c>
      <c r="AA4" s="846" t="s">
        <v>194</v>
      </c>
      <c r="AB4" s="846" t="s">
        <v>194</v>
      </c>
      <c r="AC4" s="846" t="s">
        <v>194</v>
      </c>
      <c r="AD4" s="846" t="s">
        <v>194</v>
      </c>
      <c r="AE4" s="846" t="s">
        <v>194</v>
      </c>
      <c r="AF4" s="846" t="s">
        <v>194</v>
      </c>
      <c r="AG4" s="846" t="s">
        <v>194</v>
      </c>
      <c r="AH4" s="846" t="s">
        <v>194</v>
      </c>
      <c r="AI4" s="846" t="s">
        <v>194</v>
      </c>
      <c r="AJ4" s="846" t="s">
        <v>194</v>
      </c>
      <c r="AK4" s="846" t="s">
        <v>194</v>
      </c>
      <c r="AL4" s="846" t="s">
        <v>194</v>
      </c>
      <c r="AM4" s="846" t="s">
        <v>194</v>
      </c>
      <c r="AN4" s="846" t="s">
        <v>194</v>
      </c>
      <c r="AO4" s="846" t="s">
        <v>194</v>
      </c>
      <c r="AP4" s="846" t="s">
        <v>194</v>
      </c>
      <c r="AQ4" s="846" t="s">
        <v>194</v>
      </c>
    </row>
    <row r="5">
      <c r="A5" s="849" t="s">
        <v>194</v>
      </c>
      <c r="B5" s="15"/>
      <c r="C5" s="853" t="s">
        <v>355</v>
      </c>
      <c r="D5" s="856" t="s">
        <v>174</v>
      </c>
      <c r="E5" s="856" t="s">
        <v>198</v>
      </c>
      <c r="F5" s="856" t="s">
        <v>199</v>
      </c>
      <c r="G5" s="856" t="s">
        <v>200</v>
      </c>
      <c r="H5" s="856" t="s">
        <v>201</v>
      </c>
      <c r="I5" s="856" t="s">
        <v>202</v>
      </c>
      <c r="J5" s="856" t="s">
        <v>203</v>
      </c>
      <c r="K5" s="856" t="s">
        <v>204</v>
      </c>
      <c r="L5" s="15"/>
      <c r="M5" s="897" t="str">
        <f>HYPERLINK("https://my.pitchbook.com?c=52707-34", "Dec-2011")</f>
        <v>Dec-2011</v>
      </c>
      <c r="N5" s="897" t="str">
        <f>HYPERLINK("https://my.pitchbook.com?c=52707-34", "Dec-2012")</f>
        <v>Dec-2012</v>
      </c>
      <c r="O5" s="897" t="str">
        <f>HYPERLINK("https://my.pitchbook.com?c=52707-34", "Dec-2013")</f>
        <v>Dec-2013</v>
      </c>
      <c r="P5" s="897" t="str">
        <f>HYPERLINK("https://my.pitchbook.com?c=52707-34", "Dec-2014")</f>
        <v>Dec-2014</v>
      </c>
      <c r="Q5" s="897" t="str">
        <f>HYPERLINK("https://my.pitchbook.com?c=52707-34", "Dec-2015")</f>
        <v>Dec-2015</v>
      </c>
      <c r="R5" s="897" t="str">
        <f>HYPERLINK("https://my.pitchbook.com?c=52707-34", "Dec-2016")</f>
        <v>Dec-2016</v>
      </c>
      <c r="S5" s="897" t="str">
        <f>HYPERLINK("https://my.pitchbook.com?c=52707-34", "Dec-2017")</f>
        <v>Dec-2017</v>
      </c>
      <c r="T5" s="897" t="str">
        <f>HYPERLINK("https://my.pitchbook.com?c=52707-34", "Dec-2018")</f>
        <v>Dec-2018</v>
      </c>
      <c r="U5" s="15"/>
      <c r="V5" s="851" t="s">
        <v>194</v>
      </c>
      <c r="W5" s="846" t="s">
        <v>194</v>
      </c>
      <c r="X5" s="846" t="s">
        <v>194</v>
      </c>
      <c r="Y5" s="846" t="s">
        <v>194</v>
      </c>
      <c r="Z5" s="846" t="s">
        <v>194</v>
      </c>
      <c r="AA5" s="846" t="s">
        <v>194</v>
      </c>
      <c r="AB5" s="846" t="s">
        <v>194</v>
      </c>
      <c r="AC5" s="846" t="s">
        <v>194</v>
      </c>
      <c r="AD5" s="846" t="s">
        <v>194</v>
      </c>
      <c r="AE5" s="846" t="s">
        <v>194</v>
      </c>
      <c r="AF5" s="846" t="s">
        <v>194</v>
      </c>
      <c r="AG5" s="846" t="s">
        <v>194</v>
      </c>
      <c r="AH5" s="846" t="s">
        <v>194</v>
      </c>
      <c r="AI5" s="846" t="s">
        <v>194</v>
      </c>
      <c r="AJ5" s="846" t="s">
        <v>194</v>
      </c>
      <c r="AK5" s="846" t="s">
        <v>194</v>
      </c>
      <c r="AL5" s="846" t="s">
        <v>194</v>
      </c>
      <c r="AM5" s="846" t="s">
        <v>194</v>
      </c>
      <c r="AN5" s="846" t="s">
        <v>194</v>
      </c>
      <c r="AO5" s="846" t="s">
        <v>194</v>
      </c>
      <c r="AP5" s="846" t="s">
        <v>194</v>
      </c>
      <c r="AQ5" s="846" t="s">
        <v>194</v>
      </c>
    </row>
    <row r="6">
      <c r="A6" s="849" t="s">
        <v>194</v>
      </c>
      <c r="B6" s="15"/>
      <c r="C6" s="859" t="s">
        <v>221</v>
      </c>
      <c r="D6" s="860"/>
      <c r="E6" s="860"/>
      <c r="F6" s="860"/>
      <c r="G6" s="860"/>
      <c r="H6" s="860"/>
      <c r="I6" s="860"/>
      <c r="J6" s="860"/>
      <c r="K6" s="860"/>
      <c r="L6" s="15"/>
      <c r="M6" s="896"/>
      <c r="N6" s="896"/>
      <c r="O6" s="896"/>
      <c r="P6" s="896"/>
      <c r="Q6" s="896"/>
      <c r="R6" s="896"/>
      <c r="S6" s="896"/>
      <c r="T6" s="896"/>
      <c r="U6" s="15"/>
      <c r="V6" s="851" t="s">
        <v>194</v>
      </c>
      <c r="W6" s="846" t="s">
        <v>194</v>
      </c>
      <c r="X6" s="846" t="s">
        <v>194</v>
      </c>
      <c r="Y6" s="846" t="s">
        <v>194</v>
      </c>
      <c r="Z6" s="846" t="s">
        <v>194</v>
      </c>
      <c r="AA6" s="846" t="s">
        <v>194</v>
      </c>
      <c r="AB6" s="846" t="s">
        <v>194</v>
      </c>
      <c r="AC6" s="846" t="s">
        <v>194</v>
      </c>
      <c r="AD6" s="846" t="s">
        <v>194</v>
      </c>
      <c r="AE6" s="846" t="s">
        <v>194</v>
      </c>
      <c r="AF6" s="846" t="s">
        <v>194</v>
      </c>
      <c r="AG6" s="846" t="s">
        <v>194</v>
      </c>
      <c r="AH6" s="846" t="s">
        <v>194</v>
      </c>
      <c r="AI6" s="846" t="s">
        <v>194</v>
      </c>
      <c r="AJ6" s="846" t="s">
        <v>194</v>
      </c>
      <c r="AK6" s="846" t="s">
        <v>194</v>
      </c>
      <c r="AL6" s="846" t="s">
        <v>194</v>
      </c>
      <c r="AM6" s="846" t="s">
        <v>194</v>
      </c>
      <c r="AN6" s="846" t="s">
        <v>194</v>
      </c>
      <c r="AO6" s="846" t="s">
        <v>194</v>
      </c>
      <c r="AP6" s="846" t="s">
        <v>194</v>
      </c>
      <c r="AQ6" s="846" t="s">
        <v>194</v>
      </c>
    </row>
    <row r="7">
      <c r="A7" s="849" t="s">
        <v>194</v>
      </c>
      <c r="B7" s="15"/>
      <c r="C7" s="15"/>
      <c r="D7" s="855" t="s">
        <v>194</v>
      </c>
      <c r="E7" s="855" t="s">
        <v>194</v>
      </c>
      <c r="F7" s="855" t="s">
        <v>194</v>
      </c>
      <c r="G7" s="855" t="s">
        <v>194</v>
      </c>
      <c r="H7" s="855" t="s">
        <v>194</v>
      </c>
      <c r="I7" s="855" t="s">
        <v>194</v>
      </c>
      <c r="J7" s="855" t="s">
        <v>194</v>
      </c>
      <c r="K7" s="855" t="s">
        <v>194</v>
      </c>
      <c r="L7" s="15"/>
      <c r="M7" s="896"/>
      <c r="N7" s="896"/>
      <c r="O7" s="896"/>
      <c r="P7" s="896"/>
      <c r="Q7" s="896"/>
      <c r="R7" s="896"/>
      <c r="S7" s="896"/>
      <c r="T7" s="896"/>
      <c r="U7" s="15"/>
      <c r="V7" s="851" t="s">
        <v>194</v>
      </c>
      <c r="W7" s="846" t="s">
        <v>194</v>
      </c>
      <c r="X7" s="846" t="s">
        <v>194</v>
      </c>
      <c r="Y7" s="846" t="s">
        <v>194</v>
      </c>
      <c r="Z7" s="846" t="s">
        <v>194</v>
      </c>
      <c r="AA7" s="846" t="s">
        <v>194</v>
      </c>
      <c r="AB7" s="846" t="s">
        <v>194</v>
      </c>
      <c r="AC7" s="846" t="s">
        <v>194</v>
      </c>
      <c r="AD7" s="846" t="s">
        <v>194</v>
      </c>
      <c r="AE7" s="846" t="s">
        <v>194</v>
      </c>
      <c r="AF7" s="846" t="s">
        <v>194</v>
      </c>
      <c r="AG7" s="846" t="s">
        <v>194</v>
      </c>
      <c r="AH7" s="846" t="s">
        <v>194</v>
      </c>
      <c r="AI7" s="846" t="s">
        <v>194</v>
      </c>
      <c r="AJ7" s="846" t="s">
        <v>194</v>
      </c>
      <c r="AK7" s="846" t="s">
        <v>194</v>
      </c>
      <c r="AL7" s="846" t="s">
        <v>194</v>
      </c>
      <c r="AM7" s="846" t="s">
        <v>194</v>
      </c>
      <c r="AN7" s="846" t="s">
        <v>194</v>
      </c>
      <c r="AO7" s="846" t="s">
        <v>194</v>
      </c>
      <c r="AP7" s="846" t="s">
        <v>194</v>
      </c>
      <c r="AQ7" s="846" t="s">
        <v>194</v>
      </c>
    </row>
    <row r="8">
      <c r="A8" s="849" t="s">
        <v>194</v>
      </c>
      <c r="B8" s="15"/>
      <c r="C8" s="15"/>
      <c r="D8" s="855" t="s">
        <v>194</v>
      </c>
      <c r="E8" s="855" t="s">
        <v>194</v>
      </c>
      <c r="F8" s="855" t="s">
        <v>194</v>
      </c>
      <c r="G8" s="855" t="s">
        <v>194</v>
      </c>
      <c r="H8" s="855" t="s">
        <v>194</v>
      </c>
      <c r="I8" s="855" t="s">
        <v>194</v>
      </c>
      <c r="J8" s="855" t="s">
        <v>194</v>
      </c>
      <c r="K8" s="855" t="s">
        <v>194</v>
      </c>
      <c r="L8" s="15"/>
      <c r="M8" s="898" t="s">
        <v>351</v>
      </c>
      <c r="N8" s="898" t="s">
        <v>352</v>
      </c>
      <c r="O8" s="898" t="s">
        <v>356</v>
      </c>
      <c r="P8" s="898" t="s">
        <v>357</v>
      </c>
      <c r="Q8" s="898" t="s">
        <v>354</v>
      </c>
      <c r="R8" s="898" t="s">
        <v>358</v>
      </c>
      <c r="S8" s="898" t="s">
        <v>358</v>
      </c>
      <c r="T8" s="898" t="s">
        <v>358</v>
      </c>
      <c r="U8" s="15"/>
      <c r="V8" s="851" t="s">
        <v>194</v>
      </c>
      <c r="W8" s="846" t="s">
        <v>194</v>
      </c>
      <c r="X8" s="846" t="s">
        <v>194</v>
      </c>
      <c r="Y8" s="846" t="s">
        <v>194</v>
      </c>
      <c r="Z8" s="846" t="s">
        <v>194</v>
      </c>
      <c r="AA8" s="846" t="s">
        <v>194</v>
      </c>
      <c r="AB8" s="846" t="s">
        <v>194</v>
      </c>
      <c r="AC8" s="846" t="s">
        <v>194</v>
      </c>
      <c r="AD8" s="846" t="s">
        <v>194</v>
      </c>
      <c r="AE8" s="846" t="s">
        <v>194</v>
      </c>
      <c r="AF8" s="846" t="s">
        <v>194</v>
      </c>
      <c r="AG8" s="846" t="s">
        <v>194</v>
      </c>
      <c r="AH8" s="846" t="s">
        <v>194</v>
      </c>
      <c r="AI8" s="846" t="s">
        <v>194</v>
      </c>
      <c r="AJ8" s="846" t="s">
        <v>194</v>
      </c>
      <c r="AK8" s="846" t="s">
        <v>194</v>
      </c>
      <c r="AL8" s="846" t="s">
        <v>194</v>
      </c>
      <c r="AM8" s="846" t="s">
        <v>194</v>
      </c>
      <c r="AN8" s="846" t="s">
        <v>194</v>
      </c>
      <c r="AO8" s="846" t="s">
        <v>194</v>
      </c>
      <c r="AP8" s="846" t="s">
        <v>194</v>
      </c>
      <c r="AQ8" s="846" t="s">
        <v>194</v>
      </c>
    </row>
    <row r="9">
      <c r="A9" s="849" t="s">
        <v>194</v>
      </c>
      <c r="B9" s="15"/>
      <c r="C9" s="15"/>
      <c r="D9" s="855" t="s">
        <v>194</v>
      </c>
      <c r="E9" s="855" t="s">
        <v>194</v>
      </c>
      <c r="F9" s="855" t="s">
        <v>194</v>
      </c>
      <c r="G9" s="855" t="s">
        <v>194</v>
      </c>
      <c r="H9" s="855" t="s">
        <v>194</v>
      </c>
      <c r="I9" s="855" t="s">
        <v>194</v>
      </c>
      <c r="J9" s="855" t="s">
        <v>194</v>
      </c>
      <c r="K9" s="855" t="s">
        <v>194</v>
      </c>
      <c r="L9" s="15"/>
      <c r="M9" s="896"/>
      <c r="N9" s="896"/>
      <c r="O9" s="896"/>
      <c r="P9" s="896"/>
      <c r="Q9" s="896"/>
      <c r="R9" s="896"/>
      <c r="S9" s="896"/>
      <c r="T9" s="896"/>
      <c r="U9" s="15"/>
      <c r="V9" s="851" t="s">
        <v>194</v>
      </c>
      <c r="W9" s="846" t="s">
        <v>194</v>
      </c>
      <c r="X9" s="846" t="s">
        <v>194</v>
      </c>
      <c r="Y9" s="846" t="s">
        <v>194</v>
      </c>
      <c r="Z9" s="846" t="s">
        <v>194</v>
      </c>
      <c r="AA9" s="846" t="s">
        <v>194</v>
      </c>
      <c r="AB9" s="846" t="s">
        <v>194</v>
      </c>
      <c r="AC9" s="846" t="s">
        <v>194</v>
      </c>
      <c r="AD9" s="846" t="s">
        <v>194</v>
      </c>
      <c r="AE9" s="846" t="s">
        <v>194</v>
      </c>
      <c r="AF9" s="846" t="s">
        <v>194</v>
      </c>
      <c r="AG9" s="846" t="s">
        <v>194</v>
      </c>
      <c r="AH9" s="846" t="s">
        <v>194</v>
      </c>
      <c r="AI9" s="846" t="s">
        <v>194</v>
      </c>
      <c r="AJ9" s="846" t="s">
        <v>194</v>
      </c>
      <c r="AK9" s="846" t="s">
        <v>194</v>
      </c>
      <c r="AL9" s="846" t="s">
        <v>194</v>
      </c>
      <c r="AM9" s="846" t="s">
        <v>194</v>
      </c>
      <c r="AN9" s="846" t="s">
        <v>194</v>
      </c>
      <c r="AO9" s="846" t="s">
        <v>194</v>
      </c>
      <c r="AP9" s="846" t="s">
        <v>194</v>
      </c>
      <c r="AQ9" s="846" t="s">
        <v>194</v>
      </c>
    </row>
    <row r="10">
      <c r="A10" s="849">
        <v>1.0</v>
      </c>
      <c r="B10" s="15"/>
      <c r="C10" s="855" t="s">
        <v>365</v>
      </c>
      <c r="D10" s="867" t="s">
        <v>194</v>
      </c>
      <c r="E10" s="867" t="s">
        <v>194</v>
      </c>
      <c r="F10" s="867" t="s">
        <v>194</v>
      </c>
      <c r="G10" s="867" t="s">
        <v>194</v>
      </c>
      <c r="H10" s="867" t="s">
        <v>194</v>
      </c>
      <c r="I10" s="867" t="s">
        <v>194</v>
      </c>
      <c r="J10" s="867" t="s">
        <v>194</v>
      </c>
      <c r="K10" s="867" t="s">
        <v>194</v>
      </c>
      <c r="L10" s="867" t="s">
        <v>194</v>
      </c>
      <c r="M10" s="927">
        <v>2011.0</v>
      </c>
      <c r="N10" s="927">
        <v>2012.0</v>
      </c>
      <c r="O10" s="927">
        <v>2013.0</v>
      </c>
      <c r="P10" s="927">
        <v>2014.0</v>
      </c>
      <c r="Q10" s="927">
        <v>2015.0</v>
      </c>
      <c r="R10" s="927">
        <v>2016.0</v>
      </c>
      <c r="S10" s="927">
        <v>2017.0</v>
      </c>
      <c r="T10" s="927">
        <v>2018.0</v>
      </c>
      <c r="U10" s="15"/>
      <c r="V10" s="851" t="s">
        <v>194</v>
      </c>
      <c r="W10" s="846" t="s">
        <v>194</v>
      </c>
      <c r="X10" s="846" t="s">
        <v>194</v>
      </c>
      <c r="Y10" s="846" t="s">
        <v>194</v>
      </c>
      <c r="Z10" s="846" t="s">
        <v>194</v>
      </c>
      <c r="AA10" s="846" t="s">
        <v>194</v>
      </c>
      <c r="AB10" s="846" t="s">
        <v>194</v>
      </c>
      <c r="AC10" s="846" t="s">
        <v>194</v>
      </c>
      <c r="AD10" s="846" t="s">
        <v>194</v>
      </c>
      <c r="AE10" s="846" t="s">
        <v>194</v>
      </c>
      <c r="AF10" s="846" t="s">
        <v>194</v>
      </c>
      <c r="AG10" s="846" t="s">
        <v>194</v>
      </c>
      <c r="AH10" s="846" t="s">
        <v>194</v>
      </c>
      <c r="AI10" s="846" t="s">
        <v>194</v>
      </c>
      <c r="AJ10" s="846" t="s">
        <v>194</v>
      </c>
      <c r="AK10" s="846" t="s">
        <v>194</v>
      </c>
      <c r="AL10" s="846" t="s">
        <v>194</v>
      </c>
      <c r="AM10" s="846" t="s">
        <v>194</v>
      </c>
      <c r="AN10" s="846" t="s">
        <v>194</v>
      </c>
      <c r="AO10" s="846" t="s">
        <v>194</v>
      </c>
      <c r="AP10" s="846" t="s">
        <v>194</v>
      </c>
      <c r="AQ10" s="846" t="s">
        <v>194</v>
      </c>
    </row>
    <row r="11">
      <c r="A11" s="978">
        <v>1.0</v>
      </c>
      <c r="B11" s="979"/>
      <c r="C11" s="980" t="str">
        <f>"    Total Revenue"</f>
        <v>    Total Revenue</v>
      </c>
      <c r="D11" s="981">
        <f t="shared" ref="D11:D21" si="1">IF(COUNT(M11:T11)&gt;0,MEDIAN(M11:T11),"")</f>
        <v>135771</v>
      </c>
      <c r="E11" s="981">
        <f t="shared" ref="E11:E21" si="2">IF(COUNT(M11:T11)&gt;0,AVERAGE(M11:T11),"")</f>
        <v>154571.625</v>
      </c>
      <c r="F11" s="981">
        <f t="shared" ref="F11:F21" si="3">IF(COUNT(M11:T11)&gt;0,MIN(M11:T11),"")</f>
        <v>30634</v>
      </c>
      <c r="G11" s="981">
        <f t="shared" ref="G11:G21" si="4">IF(COUNT(M11:T11)&gt;0,MAX(M11:T11),"")</f>
        <v>358111</v>
      </c>
      <c r="H11" s="981">
        <f t="shared" ref="H11:H21" si="5">IF(COUNT(M11:T11)&gt;0,QUARTILE(M11:T11,1),"")</f>
        <v>68726.25</v>
      </c>
      <c r="I11" s="981">
        <f t="shared" ref="I11:I21" si="6">IF(COUNT(M11:T11)&gt;0,QUARTILE(M11:T11,3),"")</f>
        <v>214481.25</v>
      </c>
      <c r="J11" s="981">
        <f t="shared" ref="J11:J21" si="7">IF(COUNT(M11:T11)&gt;1,STDEV(M11:T11),"")</f>
        <v>111739.6155</v>
      </c>
      <c r="K11" s="982">
        <f t="shared" ref="K11:K21" si="8">IF(COUNT(M11:T11)&gt;1,STDEV(M11:T11)/AVERAGE(M11:T11),"")</f>
        <v>0.7228986272</v>
      </c>
      <c r="L11" s="981" t="s">
        <v>194</v>
      </c>
      <c r="M11" s="981">
        <v>30634.0</v>
      </c>
      <c r="N11" s="981">
        <v>48576.0</v>
      </c>
      <c r="O11" s="981">
        <v>75443.0</v>
      </c>
      <c r="P11" s="981">
        <v>112537.0</v>
      </c>
      <c r="Q11" s="981">
        <v>159005.0</v>
      </c>
      <c r="R11" s="981">
        <v>202829.0</v>
      </c>
      <c r="S11" s="981">
        <v>249438.0</v>
      </c>
      <c r="T11" s="981">
        <v>358111.0</v>
      </c>
      <c r="U11" s="979"/>
      <c r="V11" s="983" t="s">
        <v>194</v>
      </c>
      <c r="W11" s="979" t="s">
        <v>194</v>
      </c>
      <c r="X11" s="979" t="s">
        <v>194</v>
      </c>
      <c r="Y11" s="979" t="s">
        <v>194</v>
      </c>
      <c r="Z11" s="979" t="s">
        <v>194</v>
      </c>
      <c r="AA11" s="979" t="s">
        <v>194</v>
      </c>
      <c r="AB11" s="979" t="s">
        <v>194</v>
      </c>
      <c r="AC11" s="979" t="s">
        <v>194</v>
      </c>
      <c r="AD11" s="979" t="s">
        <v>194</v>
      </c>
      <c r="AE11" s="979" t="s">
        <v>194</v>
      </c>
      <c r="AF11" s="979" t="s">
        <v>194</v>
      </c>
      <c r="AG11" s="979" t="s">
        <v>194</v>
      </c>
      <c r="AH11" s="979" t="s">
        <v>194</v>
      </c>
      <c r="AI11" s="979" t="s">
        <v>194</v>
      </c>
      <c r="AJ11" s="979" t="s">
        <v>194</v>
      </c>
      <c r="AK11" s="979" t="s">
        <v>194</v>
      </c>
      <c r="AL11" s="979" t="s">
        <v>194</v>
      </c>
      <c r="AM11" s="979" t="s">
        <v>194</v>
      </c>
      <c r="AN11" s="979" t="s">
        <v>194</v>
      </c>
      <c r="AO11" s="979" t="s">
        <v>194</v>
      </c>
      <c r="AP11" s="979" t="s">
        <v>194</v>
      </c>
      <c r="AQ11" s="979" t="s">
        <v>194</v>
      </c>
    </row>
    <row r="12">
      <c r="A12" s="978">
        <v>1.0</v>
      </c>
      <c r="B12" s="979"/>
      <c r="C12" s="980" t="str">
        <f>"    Gross Profit"</f>
        <v>    Gross Profit</v>
      </c>
      <c r="D12" s="981">
        <f t="shared" si="1"/>
        <v>65887.5</v>
      </c>
      <c r="E12" s="981">
        <f t="shared" si="2"/>
        <v>75818.25</v>
      </c>
      <c r="F12" s="981">
        <f t="shared" si="3"/>
        <v>14704</v>
      </c>
      <c r="G12" s="981">
        <f t="shared" si="4"/>
        <v>178580</v>
      </c>
      <c r="H12" s="981">
        <f t="shared" si="5"/>
        <v>35230.5</v>
      </c>
      <c r="I12" s="981">
        <f t="shared" si="6"/>
        <v>103291.75</v>
      </c>
      <c r="J12" s="981">
        <f t="shared" si="7"/>
        <v>55134.49342</v>
      </c>
      <c r="K12" s="982">
        <f t="shared" si="8"/>
        <v>0.7271929044</v>
      </c>
      <c r="L12" s="981" t="s">
        <v>194</v>
      </c>
      <c r="M12" s="981">
        <v>14704.0</v>
      </c>
      <c r="N12" s="981">
        <v>23949.0</v>
      </c>
      <c r="O12" s="981">
        <v>38991.0</v>
      </c>
      <c r="P12" s="981">
        <v>55517.0</v>
      </c>
      <c r="Q12" s="981">
        <v>76258.0</v>
      </c>
      <c r="R12" s="981">
        <v>97310.0</v>
      </c>
      <c r="S12" s="981">
        <v>121237.0</v>
      </c>
      <c r="T12" s="981">
        <v>178580.0</v>
      </c>
      <c r="U12" s="979"/>
      <c r="V12" s="983" t="s">
        <v>194</v>
      </c>
      <c r="W12" s="979" t="s">
        <v>194</v>
      </c>
      <c r="X12" s="979" t="s">
        <v>194</v>
      </c>
      <c r="Y12" s="979" t="s">
        <v>194</v>
      </c>
      <c r="Z12" s="979" t="s">
        <v>194</v>
      </c>
      <c r="AA12" s="979" t="s">
        <v>194</v>
      </c>
      <c r="AB12" s="979" t="s">
        <v>194</v>
      </c>
      <c r="AC12" s="979" t="s">
        <v>194</v>
      </c>
      <c r="AD12" s="979" t="s">
        <v>194</v>
      </c>
      <c r="AE12" s="979" t="s">
        <v>194</v>
      </c>
      <c r="AF12" s="979" t="s">
        <v>194</v>
      </c>
      <c r="AG12" s="979" t="s">
        <v>194</v>
      </c>
      <c r="AH12" s="979" t="s">
        <v>194</v>
      </c>
      <c r="AI12" s="979" t="s">
        <v>194</v>
      </c>
      <c r="AJ12" s="979" t="s">
        <v>194</v>
      </c>
      <c r="AK12" s="979" t="s">
        <v>194</v>
      </c>
      <c r="AL12" s="979" t="s">
        <v>194</v>
      </c>
      <c r="AM12" s="979" t="s">
        <v>194</v>
      </c>
      <c r="AN12" s="979" t="s">
        <v>194</v>
      </c>
      <c r="AO12" s="979" t="s">
        <v>194</v>
      </c>
      <c r="AP12" s="979" t="s">
        <v>194</v>
      </c>
      <c r="AQ12" s="979" t="s">
        <v>194</v>
      </c>
    </row>
    <row r="13">
      <c r="A13" s="849">
        <v>1.0</v>
      </c>
      <c r="B13" s="15"/>
      <c r="C13" s="869" t="str">
        <f>"    Total Operating Profit/(Loss)"</f>
        <v>    Total Operating Profit/(Loss)</v>
      </c>
      <c r="D13" s="870">
        <f t="shared" si="1"/>
        <v>12781</v>
      </c>
      <c r="E13" s="870">
        <f t="shared" si="2"/>
        <v>14684.875</v>
      </c>
      <c r="F13" s="870">
        <f t="shared" si="3"/>
        <v>-1722</v>
      </c>
      <c r="G13" s="870">
        <f t="shared" si="4"/>
        <v>37892</v>
      </c>
      <c r="H13" s="870">
        <f t="shared" si="5"/>
        <v>3555.25</v>
      </c>
      <c r="I13" s="870">
        <f t="shared" si="6"/>
        <v>24045.5</v>
      </c>
      <c r="J13" s="870">
        <f t="shared" si="7"/>
        <v>13914.03902</v>
      </c>
      <c r="K13" s="871">
        <f t="shared" si="8"/>
        <v>0.9475081688</v>
      </c>
      <c r="L13" s="872" t="s">
        <v>194</v>
      </c>
      <c r="M13" s="904">
        <v>-1722.0</v>
      </c>
      <c r="N13" s="904">
        <v>829.0</v>
      </c>
      <c r="O13" s="904">
        <v>4464.0</v>
      </c>
      <c r="P13" s="904">
        <v>10511.0</v>
      </c>
      <c r="Q13" s="904">
        <v>15051.0</v>
      </c>
      <c r="R13" s="904">
        <v>22864.0</v>
      </c>
      <c r="S13" s="904">
        <v>27590.0</v>
      </c>
      <c r="T13" s="904">
        <v>37892.0</v>
      </c>
      <c r="U13" s="15"/>
      <c r="V13" s="851" t="s">
        <v>194</v>
      </c>
      <c r="W13" s="846" t="s">
        <v>194</v>
      </c>
      <c r="X13" s="846" t="s">
        <v>194</v>
      </c>
      <c r="Y13" s="846" t="s">
        <v>194</v>
      </c>
      <c r="Z13" s="846" t="s">
        <v>194</v>
      </c>
      <c r="AA13" s="846" t="s">
        <v>194</v>
      </c>
      <c r="AB13" s="846" t="s">
        <v>194</v>
      </c>
      <c r="AC13" s="846" t="s">
        <v>194</v>
      </c>
      <c r="AD13" s="846" t="s">
        <v>194</v>
      </c>
      <c r="AE13" s="846" t="s">
        <v>194</v>
      </c>
      <c r="AF13" s="846" t="s">
        <v>194</v>
      </c>
      <c r="AG13" s="846" t="s">
        <v>194</v>
      </c>
      <c r="AH13" s="846" t="s">
        <v>194</v>
      </c>
      <c r="AI13" s="846" t="s">
        <v>194</v>
      </c>
      <c r="AJ13" s="846" t="s">
        <v>194</v>
      </c>
      <c r="AK13" s="846" t="s">
        <v>194</v>
      </c>
      <c r="AL13" s="846" t="s">
        <v>194</v>
      </c>
      <c r="AM13" s="846" t="s">
        <v>194</v>
      </c>
      <c r="AN13" s="846" t="s">
        <v>194</v>
      </c>
      <c r="AO13" s="846" t="s">
        <v>194</v>
      </c>
      <c r="AP13" s="846" t="s">
        <v>194</v>
      </c>
      <c r="AQ13" s="846" t="s">
        <v>194</v>
      </c>
    </row>
    <row r="14">
      <c r="A14" s="978">
        <v>1.0</v>
      </c>
      <c r="B14" s="979"/>
      <c r="C14" s="980" t="str">
        <f>"    Earnings Before Interest, Tax, Depreciation, &amp; Amortization (EBITDA)"</f>
        <v>    Earnings Before Interest, Tax, Depreciation, &amp; Amortization (EBITDA)</v>
      </c>
      <c r="D14" s="981">
        <f t="shared" si="1"/>
        <v>25599</v>
      </c>
      <c r="E14" s="981">
        <f t="shared" si="2"/>
        <v>24655.625</v>
      </c>
      <c r="F14" s="981">
        <f t="shared" si="3"/>
        <v>1357</v>
      </c>
      <c r="G14" s="981">
        <f t="shared" si="4"/>
        <v>48491</v>
      </c>
      <c r="H14" s="981">
        <f t="shared" si="5"/>
        <v>11199.25</v>
      </c>
      <c r="I14" s="981">
        <f t="shared" si="6"/>
        <v>37368</v>
      </c>
      <c r="J14" s="981">
        <f t="shared" si="7"/>
        <v>16996.13688</v>
      </c>
      <c r="K14" s="982">
        <f t="shared" si="8"/>
        <v>0.6893411495</v>
      </c>
      <c r="L14" s="981" t="s">
        <v>194</v>
      </c>
      <c r="M14" s="981">
        <v>1357.0</v>
      </c>
      <c r="N14" s="981">
        <v>5971.0</v>
      </c>
      <c r="O14" s="981">
        <v>12942.0</v>
      </c>
      <c r="P14" s="981">
        <v>22539.0</v>
      </c>
      <c r="Q14" s="981">
        <v>28659.0</v>
      </c>
      <c r="R14" s="981">
        <v>36093.0</v>
      </c>
      <c r="S14" s="981">
        <v>41193.0</v>
      </c>
      <c r="T14" s="981">
        <v>48491.0</v>
      </c>
      <c r="U14" s="979"/>
      <c r="V14" s="983" t="s">
        <v>194</v>
      </c>
      <c r="W14" s="979" t="s">
        <v>194</v>
      </c>
      <c r="X14" s="979" t="s">
        <v>194</v>
      </c>
      <c r="Y14" s="979" t="s">
        <v>194</v>
      </c>
      <c r="Z14" s="979" t="s">
        <v>194</v>
      </c>
      <c r="AA14" s="979" t="s">
        <v>194</v>
      </c>
      <c r="AB14" s="979" t="s">
        <v>194</v>
      </c>
      <c r="AC14" s="979" t="s">
        <v>194</v>
      </c>
      <c r="AD14" s="979" t="s">
        <v>194</v>
      </c>
      <c r="AE14" s="979" t="s">
        <v>194</v>
      </c>
      <c r="AF14" s="979" t="s">
        <v>194</v>
      </c>
      <c r="AG14" s="979" t="s">
        <v>194</v>
      </c>
      <c r="AH14" s="979" t="s">
        <v>194</v>
      </c>
      <c r="AI14" s="979" t="s">
        <v>194</v>
      </c>
      <c r="AJ14" s="979" t="s">
        <v>194</v>
      </c>
      <c r="AK14" s="979" t="s">
        <v>194</v>
      </c>
      <c r="AL14" s="979" t="s">
        <v>194</v>
      </c>
      <c r="AM14" s="979" t="s">
        <v>194</v>
      </c>
      <c r="AN14" s="979" t="s">
        <v>194</v>
      </c>
      <c r="AO14" s="979" t="s">
        <v>194</v>
      </c>
      <c r="AP14" s="979" t="s">
        <v>194</v>
      </c>
      <c r="AQ14" s="979" t="s">
        <v>194</v>
      </c>
    </row>
    <row r="15">
      <c r="A15" s="978">
        <v>1.0</v>
      </c>
      <c r="B15" s="979"/>
      <c r="C15" s="980" t="str">
        <f>"    Earnings Before Interest and Tax (EBIT)"</f>
        <v>    Earnings Before Interest and Tax (EBIT)</v>
      </c>
      <c r="D15" s="981">
        <f t="shared" si="1"/>
        <v>12553</v>
      </c>
      <c r="E15" s="981">
        <f t="shared" si="2"/>
        <v>14659</v>
      </c>
      <c r="F15" s="981">
        <f t="shared" si="3"/>
        <v>-1841</v>
      </c>
      <c r="G15" s="981">
        <f t="shared" si="4"/>
        <v>37196</v>
      </c>
      <c r="H15" s="981">
        <f t="shared" si="5"/>
        <v>3545.25</v>
      </c>
      <c r="I15" s="981">
        <f t="shared" si="6"/>
        <v>24124</v>
      </c>
      <c r="J15" s="981">
        <f t="shared" si="7"/>
        <v>13910.93823</v>
      </c>
      <c r="K15" s="982">
        <f t="shared" si="8"/>
        <v>0.9489691135</v>
      </c>
      <c r="L15" s="981" t="s">
        <v>194</v>
      </c>
      <c r="M15" s="981">
        <v>-1841.0</v>
      </c>
      <c r="N15" s="981">
        <v>987.0</v>
      </c>
      <c r="O15" s="981">
        <v>4398.0</v>
      </c>
      <c r="P15" s="981">
        <v>10459.0</v>
      </c>
      <c r="Q15" s="981">
        <v>14647.0</v>
      </c>
      <c r="R15" s="981">
        <v>22535.0</v>
      </c>
      <c r="S15" s="981">
        <v>28891.0</v>
      </c>
      <c r="T15" s="981">
        <v>37196.0</v>
      </c>
      <c r="U15" s="979"/>
      <c r="V15" s="983" t="s">
        <v>194</v>
      </c>
      <c r="W15" s="979" t="s">
        <v>194</v>
      </c>
      <c r="X15" s="979" t="s">
        <v>194</v>
      </c>
      <c r="Y15" s="979" t="s">
        <v>194</v>
      </c>
      <c r="Z15" s="979" t="s">
        <v>194</v>
      </c>
      <c r="AA15" s="979" t="s">
        <v>194</v>
      </c>
      <c r="AB15" s="979" t="s">
        <v>194</v>
      </c>
      <c r="AC15" s="979" t="s">
        <v>194</v>
      </c>
      <c r="AD15" s="979" t="s">
        <v>194</v>
      </c>
      <c r="AE15" s="979" t="s">
        <v>194</v>
      </c>
      <c r="AF15" s="979" t="s">
        <v>194</v>
      </c>
      <c r="AG15" s="979" t="s">
        <v>194</v>
      </c>
      <c r="AH15" s="979" t="s">
        <v>194</v>
      </c>
      <c r="AI15" s="979" t="s">
        <v>194</v>
      </c>
      <c r="AJ15" s="979" t="s">
        <v>194</v>
      </c>
      <c r="AK15" s="979" t="s">
        <v>194</v>
      </c>
      <c r="AL15" s="979" t="s">
        <v>194</v>
      </c>
      <c r="AM15" s="979" t="s">
        <v>194</v>
      </c>
      <c r="AN15" s="979" t="s">
        <v>194</v>
      </c>
      <c r="AO15" s="979" t="s">
        <v>194</v>
      </c>
      <c r="AP15" s="979" t="s">
        <v>194</v>
      </c>
      <c r="AQ15" s="979" t="s">
        <v>194</v>
      </c>
    </row>
    <row r="16">
      <c r="A16" s="849">
        <v>1.0</v>
      </c>
      <c r="B16" s="15"/>
      <c r="C16" s="869" t="str">
        <f>"    Net Income from Continuing Operations"</f>
        <v>    Net Income from Continuing Operations</v>
      </c>
      <c r="D16" s="870">
        <f t="shared" si="1"/>
        <v>16052</v>
      </c>
      <c r="E16" s="870">
        <f t="shared" si="2"/>
        <v>16971.75</v>
      </c>
      <c r="F16" s="870">
        <f t="shared" si="3"/>
        <v>-2002</v>
      </c>
      <c r="G16" s="870">
        <f t="shared" si="4"/>
        <v>51845</v>
      </c>
      <c r="H16" s="870">
        <f t="shared" si="5"/>
        <v>5260.5</v>
      </c>
      <c r="I16" s="870">
        <f t="shared" si="6"/>
        <v>22110.25</v>
      </c>
      <c r="J16" s="870">
        <f t="shared" si="7"/>
        <v>17228.57606</v>
      </c>
      <c r="K16" s="871">
        <f t="shared" si="8"/>
        <v>1.015132562</v>
      </c>
      <c r="L16" s="872" t="s">
        <v>194</v>
      </c>
      <c r="M16" s="904">
        <v>-2002.0</v>
      </c>
      <c r="N16" s="904">
        <v>564.0</v>
      </c>
      <c r="O16" s="904">
        <v>25435.0</v>
      </c>
      <c r="P16" s="904">
        <v>6826.0</v>
      </c>
      <c r="Q16" s="904">
        <v>11585.0</v>
      </c>
      <c r="R16" s="904">
        <v>20519.0</v>
      </c>
      <c r="S16" s="904">
        <v>21002.0</v>
      </c>
      <c r="T16" s="904">
        <v>51845.0</v>
      </c>
      <c r="U16" s="15"/>
      <c r="V16" s="851" t="s">
        <v>194</v>
      </c>
      <c r="W16" s="846" t="s">
        <v>194</v>
      </c>
      <c r="X16" s="846" t="s">
        <v>194</v>
      </c>
      <c r="Y16" s="846" t="s">
        <v>194</v>
      </c>
      <c r="Z16" s="846" t="s">
        <v>194</v>
      </c>
      <c r="AA16" s="846" t="s">
        <v>194</v>
      </c>
      <c r="AB16" s="846" t="s">
        <v>194</v>
      </c>
      <c r="AC16" s="846" t="s">
        <v>194</v>
      </c>
      <c r="AD16" s="846" t="s">
        <v>194</v>
      </c>
      <c r="AE16" s="846" t="s">
        <v>194</v>
      </c>
      <c r="AF16" s="846" t="s">
        <v>194</v>
      </c>
      <c r="AG16" s="846" t="s">
        <v>194</v>
      </c>
      <c r="AH16" s="846" t="s">
        <v>194</v>
      </c>
      <c r="AI16" s="846" t="s">
        <v>194</v>
      </c>
      <c r="AJ16" s="846" t="s">
        <v>194</v>
      </c>
      <c r="AK16" s="846" t="s">
        <v>194</v>
      </c>
      <c r="AL16" s="846" t="s">
        <v>194</v>
      </c>
      <c r="AM16" s="846" t="s">
        <v>194</v>
      </c>
      <c r="AN16" s="846" t="s">
        <v>194</v>
      </c>
      <c r="AO16" s="846" t="s">
        <v>194</v>
      </c>
      <c r="AP16" s="846" t="s">
        <v>194</v>
      </c>
      <c r="AQ16" s="846" t="s">
        <v>194</v>
      </c>
    </row>
    <row r="17">
      <c r="A17" s="849">
        <v>1.0</v>
      </c>
      <c r="B17" s="15"/>
      <c r="C17" s="869" t="str">
        <f>"    Net Income Available to Common Stockholders"</f>
        <v>    Net Income Available to Common Stockholders</v>
      </c>
      <c r="D17" s="870">
        <f t="shared" si="1"/>
        <v>8428.5</v>
      </c>
      <c r="E17" s="870">
        <f t="shared" si="2"/>
        <v>12523.5</v>
      </c>
      <c r="F17" s="870">
        <f t="shared" si="3"/>
        <v>-5217</v>
      </c>
      <c r="G17" s="870">
        <f t="shared" si="4"/>
        <v>51845</v>
      </c>
      <c r="H17" s="870">
        <f t="shared" si="5"/>
        <v>-1099</v>
      </c>
      <c r="I17" s="870">
        <f t="shared" si="6"/>
        <v>20639.75</v>
      </c>
      <c r="J17" s="870">
        <f t="shared" si="7"/>
        <v>18935.49815</v>
      </c>
      <c r="K17" s="871">
        <f t="shared" si="8"/>
        <v>1.511997297</v>
      </c>
      <c r="L17" s="872" t="s">
        <v>194</v>
      </c>
      <c r="M17" s="904">
        <v>-5029.0</v>
      </c>
      <c r="N17" s="904">
        <v>-5217.0</v>
      </c>
      <c r="O17" s="904">
        <v>211.0</v>
      </c>
      <c r="P17" s="904">
        <v>5272.0</v>
      </c>
      <c r="Q17" s="904">
        <v>11585.0</v>
      </c>
      <c r="R17" s="904">
        <v>20519.0</v>
      </c>
      <c r="S17" s="904">
        <v>21002.0</v>
      </c>
      <c r="T17" s="904">
        <v>51845.0</v>
      </c>
      <c r="U17" s="15"/>
      <c r="V17" s="851" t="s">
        <v>194</v>
      </c>
      <c r="W17" s="846" t="s">
        <v>194</v>
      </c>
      <c r="X17" s="846" t="s">
        <v>194</v>
      </c>
      <c r="Y17" s="846" t="s">
        <v>194</v>
      </c>
      <c r="Z17" s="846" t="s">
        <v>194</v>
      </c>
      <c r="AA17" s="846" t="s">
        <v>194</v>
      </c>
      <c r="AB17" s="846" t="s">
        <v>194</v>
      </c>
      <c r="AC17" s="846" t="s">
        <v>194</v>
      </c>
      <c r="AD17" s="846" t="s">
        <v>194</v>
      </c>
      <c r="AE17" s="846" t="s">
        <v>194</v>
      </c>
      <c r="AF17" s="846" t="s">
        <v>194</v>
      </c>
      <c r="AG17" s="846" t="s">
        <v>194</v>
      </c>
      <c r="AH17" s="846" t="s">
        <v>194</v>
      </c>
      <c r="AI17" s="846" t="s">
        <v>194</v>
      </c>
      <c r="AJ17" s="846" t="s">
        <v>194</v>
      </c>
      <c r="AK17" s="846" t="s">
        <v>194</v>
      </c>
      <c r="AL17" s="846" t="s">
        <v>194</v>
      </c>
      <c r="AM17" s="846" t="s">
        <v>194</v>
      </c>
      <c r="AN17" s="846" t="s">
        <v>194</v>
      </c>
      <c r="AO17" s="846" t="s">
        <v>194</v>
      </c>
      <c r="AP17" s="846" t="s">
        <v>194</v>
      </c>
      <c r="AQ17" s="846" t="s">
        <v>194</v>
      </c>
    </row>
    <row r="18">
      <c r="A18" s="849">
        <v>1.0</v>
      </c>
      <c r="B18" s="15"/>
      <c r="C18" s="869" t="str">
        <f>"    Normalized Income"</f>
        <v>    Normalized Income</v>
      </c>
      <c r="D18" s="870">
        <f t="shared" si="1"/>
        <v>16949.4219</v>
      </c>
      <c r="E18" s="870">
        <f t="shared" si="2"/>
        <v>17594.54485</v>
      </c>
      <c r="F18" s="870">
        <f t="shared" si="3"/>
        <v>-1870.7</v>
      </c>
      <c r="G18" s="870">
        <f t="shared" si="4"/>
        <v>52388.12</v>
      </c>
      <c r="H18" s="870">
        <f t="shared" si="5"/>
        <v>6236.10175</v>
      </c>
      <c r="I18" s="870">
        <f t="shared" si="6"/>
        <v>22774.2195</v>
      </c>
      <c r="J18" s="870">
        <f t="shared" si="7"/>
        <v>17282.19489</v>
      </c>
      <c r="K18" s="871">
        <f t="shared" si="8"/>
        <v>0.9822473408</v>
      </c>
      <c r="L18" s="872" t="s">
        <v>194</v>
      </c>
      <c r="M18" s="904">
        <v>-1870.7</v>
      </c>
      <c r="N18" s="904">
        <v>675.55</v>
      </c>
      <c r="O18" s="904">
        <v>25813.95</v>
      </c>
      <c r="P18" s="904">
        <v>8089.619</v>
      </c>
      <c r="Q18" s="904">
        <v>12540.053800000002</v>
      </c>
      <c r="R18" s="904">
        <v>21358.79</v>
      </c>
      <c r="S18" s="904">
        <v>21760.976</v>
      </c>
      <c r="T18" s="904">
        <v>52388.12</v>
      </c>
      <c r="U18" s="15"/>
      <c r="V18" s="851" t="s">
        <v>194</v>
      </c>
      <c r="W18" s="846" t="s">
        <v>194</v>
      </c>
      <c r="X18" s="846" t="s">
        <v>194</v>
      </c>
      <c r="Y18" s="846" t="s">
        <v>194</v>
      </c>
      <c r="Z18" s="846" t="s">
        <v>194</v>
      </c>
      <c r="AA18" s="846" t="s">
        <v>194</v>
      </c>
      <c r="AB18" s="846" t="s">
        <v>194</v>
      </c>
      <c r="AC18" s="846" t="s">
        <v>194</v>
      </c>
      <c r="AD18" s="846" t="s">
        <v>194</v>
      </c>
      <c r="AE18" s="846" t="s">
        <v>194</v>
      </c>
      <c r="AF18" s="846" t="s">
        <v>194</v>
      </c>
      <c r="AG18" s="846" t="s">
        <v>194</v>
      </c>
      <c r="AH18" s="846" t="s">
        <v>194</v>
      </c>
      <c r="AI18" s="846" t="s">
        <v>194</v>
      </c>
      <c r="AJ18" s="846" t="s">
        <v>194</v>
      </c>
      <c r="AK18" s="846" t="s">
        <v>194</v>
      </c>
      <c r="AL18" s="846" t="s">
        <v>194</v>
      </c>
      <c r="AM18" s="846" t="s">
        <v>194</v>
      </c>
      <c r="AN18" s="846" t="s">
        <v>194</v>
      </c>
      <c r="AO18" s="846" t="s">
        <v>194</v>
      </c>
      <c r="AP18" s="846" t="s">
        <v>194</v>
      </c>
      <c r="AQ18" s="846" t="s">
        <v>194</v>
      </c>
    </row>
    <row r="19">
      <c r="A19" s="849">
        <v>1.0</v>
      </c>
      <c r="B19" s="15"/>
      <c r="C19" s="869" t="str">
        <f>"    Diluted EPS from Continuing Operations"</f>
        <v>    Diluted EPS from Continuing Operations</v>
      </c>
      <c r="D19" s="871">
        <f t="shared" si="1"/>
        <v>0.56</v>
      </c>
      <c r="E19" s="871">
        <f t="shared" si="2"/>
        <v>0.7349335714</v>
      </c>
      <c r="F19" s="871">
        <f t="shared" si="3"/>
        <v>0.014535</v>
      </c>
      <c r="G19" s="871">
        <f t="shared" si="4"/>
        <v>2.3</v>
      </c>
      <c r="H19" s="871">
        <f t="shared" si="5"/>
        <v>0.17</v>
      </c>
      <c r="I19" s="871">
        <f t="shared" si="6"/>
        <v>0.965</v>
      </c>
      <c r="J19" s="871">
        <f t="shared" si="7"/>
        <v>0.7934124385</v>
      </c>
      <c r="K19" s="871">
        <f t="shared" si="8"/>
        <v>1.079570276</v>
      </c>
      <c r="L19" s="928" t="s">
        <v>194</v>
      </c>
      <c r="M19" s="929" t="s">
        <v>194</v>
      </c>
      <c r="N19" s="929">
        <v>0.04</v>
      </c>
      <c r="O19" s="929">
        <v>0.014535</v>
      </c>
      <c r="P19" s="929">
        <v>0.3</v>
      </c>
      <c r="Q19" s="929">
        <v>0.56</v>
      </c>
      <c r="R19" s="929">
        <v>0.97</v>
      </c>
      <c r="S19" s="929">
        <v>0.96</v>
      </c>
      <c r="T19" s="929">
        <v>2.3</v>
      </c>
      <c r="U19" s="15"/>
      <c r="V19" s="851" t="s">
        <v>194</v>
      </c>
      <c r="W19" s="846" t="s">
        <v>194</v>
      </c>
      <c r="X19" s="846" t="s">
        <v>194</v>
      </c>
      <c r="Y19" s="846" t="s">
        <v>194</v>
      </c>
      <c r="Z19" s="846" t="s">
        <v>194</v>
      </c>
      <c r="AA19" s="846" t="s">
        <v>194</v>
      </c>
      <c r="AB19" s="846" t="s">
        <v>194</v>
      </c>
      <c r="AC19" s="846" t="s">
        <v>194</v>
      </c>
      <c r="AD19" s="846" t="s">
        <v>194</v>
      </c>
      <c r="AE19" s="846" t="s">
        <v>194</v>
      </c>
      <c r="AF19" s="846" t="s">
        <v>194</v>
      </c>
      <c r="AG19" s="846" t="s">
        <v>194</v>
      </c>
      <c r="AH19" s="846" t="s">
        <v>194</v>
      </c>
      <c r="AI19" s="846" t="s">
        <v>194</v>
      </c>
      <c r="AJ19" s="846" t="s">
        <v>194</v>
      </c>
      <c r="AK19" s="846" t="s">
        <v>194</v>
      </c>
      <c r="AL19" s="846" t="s">
        <v>194</v>
      </c>
      <c r="AM19" s="846" t="s">
        <v>194</v>
      </c>
      <c r="AN19" s="846" t="s">
        <v>194</v>
      </c>
      <c r="AO19" s="846" t="s">
        <v>194</v>
      </c>
      <c r="AP19" s="846" t="s">
        <v>194</v>
      </c>
      <c r="AQ19" s="846" t="s">
        <v>194</v>
      </c>
    </row>
    <row r="20">
      <c r="A20" s="849">
        <v>1.0</v>
      </c>
      <c r="B20" s="15"/>
      <c r="C20" s="869" t="str">
        <f>"    Normalized Diluted EPS"</f>
        <v>    Normalized Diluted EPS</v>
      </c>
      <c r="D20" s="871">
        <f t="shared" si="1"/>
        <v>0.6061196619</v>
      </c>
      <c r="E20" s="871">
        <f t="shared" si="2"/>
        <v>0.7699543507</v>
      </c>
      <c r="F20" s="871">
        <f t="shared" si="3"/>
        <v>0.03771162299</v>
      </c>
      <c r="G20" s="871">
        <f t="shared" si="4"/>
        <v>2.324123107</v>
      </c>
      <c r="H20" s="871">
        <f t="shared" si="5"/>
        <v>0.2086290845</v>
      </c>
      <c r="I20" s="871">
        <f t="shared" si="6"/>
        <v>1.002233947</v>
      </c>
      <c r="J20" s="871">
        <f t="shared" si="7"/>
        <v>0.792545786</v>
      </c>
      <c r="K20" s="871">
        <f t="shared" si="8"/>
        <v>1.029341266</v>
      </c>
      <c r="L20" s="928" t="s">
        <v>194</v>
      </c>
      <c r="M20" s="929" t="s">
        <v>194</v>
      </c>
      <c r="N20" s="929">
        <v>0.04720305386237692</v>
      </c>
      <c r="O20" s="929">
        <v>0.037711622992029556</v>
      </c>
      <c r="P20" s="929">
        <v>0.37005511518282636</v>
      </c>
      <c r="Q20" s="929">
        <v>0.6061196619498488</v>
      </c>
      <c r="R20" s="929">
        <v>1.0098082714495686</v>
      </c>
      <c r="S20" s="929">
        <v>0.9946596226100772</v>
      </c>
      <c r="T20" s="929">
        <v>2.3241231067267587</v>
      </c>
      <c r="U20" s="15"/>
      <c r="V20" s="851" t="s">
        <v>194</v>
      </c>
      <c r="W20" s="846" t="s">
        <v>194</v>
      </c>
      <c r="X20" s="846" t="s">
        <v>194</v>
      </c>
      <c r="Y20" s="846" t="s">
        <v>194</v>
      </c>
      <c r="Z20" s="846" t="s">
        <v>194</v>
      </c>
      <c r="AA20" s="846" t="s">
        <v>194</v>
      </c>
      <c r="AB20" s="846" t="s">
        <v>194</v>
      </c>
      <c r="AC20" s="846" t="s">
        <v>194</v>
      </c>
      <c r="AD20" s="846" t="s">
        <v>194</v>
      </c>
      <c r="AE20" s="846" t="s">
        <v>194</v>
      </c>
      <c r="AF20" s="846" t="s">
        <v>194</v>
      </c>
      <c r="AG20" s="846" t="s">
        <v>194</v>
      </c>
      <c r="AH20" s="846" t="s">
        <v>194</v>
      </c>
      <c r="AI20" s="846" t="s">
        <v>194</v>
      </c>
      <c r="AJ20" s="846" t="s">
        <v>194</v>
      </c>
      <c r="AK20" s="846" t="s">
        <v>194</v>
      </c>
      <c r="AL20" s="846" t="s">
        <v>194</v>
      </c>
      <c r="AM20" s="846" t="s">
        <v>194</v>
      </c>
      <c r="AN20" s="846" t="s">
        <v>194</v>
      </c>
      <c r="AO20" s="846" t="s">
        <v>194</v>
      </c>
      <c r="AP20" s="846" t="s">
        <v>194</v>
      </c>
      <c r="AQ20" s="846" t="s">
        <v>194</v>
      </c>
    </row>
    <row r="21" ht="15.75" customHeight="1">
      <c r="A21" s="849">
        <v>1.0</v>
      </c>
      <c r="B21" s="15"/>
      <c r="C21" s="869" t="str">
        <f>"    Diluted Weighted Average Shares Outstanding"</f>
        <v>    Diluted Weighted Average Shares Outstanding</v>
      </c>
      <c r="D21" s="870">
        <f t="shared" si="1"/>
        <v>20708170</v>
      </c>
      <c r="E21" s="870">
        <f t="shared" si="2"/>
        <v>19441578.57</v>
      </c>
      <c r="F21" s="870">
        <f t="shared" si="3"/>
        <v>15486487</v>
      </c>
      <c r="G21" s="870">
        <f t="shared" si="4"/>
        <v>22514513</v>
      </c>
      <c r="H21" s="870">
        <f t="shared" si="5"/>
        <v>17194012.5</v>
      </c>
      <c r="I21" s="870">
        <f t="shared" si="6"/>
        <v>21496927.5</v>
      </c>
      <c r="J21" s="870">
        <f t="shared" si="7"/>
        <v>2798409.928</v>
      </c>
      <c r="K21" s="871">
        <f t="shared" si="8"/>
        <v>0.1439394398</v>
      </c>
      <c r="L21" s="872" t="s">
        <v>194</v>
      </c>
      <c r="M21" s="904" t="s">
        <v>194</v>
      </c>
      <c r="N21" s="904">
        <v>1.5486487E7</v>
      </c>
      <c r="O21" s="904">
        <v>1.6350527E7</v>
      </c>
      <c r="P21" s="904">
        <v>1.8037498E7</v>
      </c>
      <c r="Q21" s="904">
        <v>2.070817E7</v>
      </c>
      <c r="R21" s="904">
        <v>2.1095867E7</v>
      </c>
      <c r="S21" s="904">
        <v>2.1897988E7</v>
      </c>
      <c r="T21" s="904">
        <v>2.2514513E7</v>
      </c>
      <c r="U21" s="15"/>
      <c r="V21" s="851" t="s">
        <v>194</v>
      </c>
      <c r="W21" s="846" t="s">
        <v>194</v>
      </c>
      <c r="X21" s="846" t="s">
        <v>194</v>
      </c>
      <c r="Y21" s="846" t="s">
        <v>194</v>
      </c>
      <c r="Z21" s="846" t="s">
        <v>194</v>
      </c>
      <c r="AA21" s="846" t="s">
        <v>194</v>
      </c>
      <c r="AB21" s="846" t="s">
        <v>194</v>
      </c>
      <c r="AC21" s="846" t="s">
        <v>194</v>
      </c>
      <c r="AD21" s="846" t="s">
        <v>194</v>
      </c>
      <c r="AE21" s="846" t="s">
        <v>194</v>
      </c>
      <c r="AF21" s="846" t="s">
        <v>194</v>
      </c>
      <c r="AG21" s="846" t="s">
        <v>194</v>
      </c>
      <c r="AH21" s="846" t="s">
        <v>194</v>
      </c>
      <c r="AI21" s="846" t="s">
        <v>194</v>
      </c>
      <c r="AJ21" s="846" t="s">
        <v>194</v>
      </c>
      <c r="AK21" s="846" t="s">
        <v>194</v>
      </c>
      <c r="AL21" s="846" t="s">
        <v>194</v>
      </c>
      <c r="AM21" s="846" t="s">
        <v>194</v>
      </c>
      <c r="AN21" s="846" t="s">
        <v>194</v>
      </c>
      <c r="AO21" s="846" t="s">
        <v>194</v>
      </c>
      <c r="AP21" s="846" t="s">
        <v>194</v>
      </c>
      <c r="AQ21" s="846" t="s">
        <v>194</v>
      </c>
    </row>
    <row r="22" ht="15.75" customHeight="1">
      <c r="A22" s="849">
        <v>1.0</v>
      </c>
      <c r="B22" s="15"/>
      <c r="C22" s="855" t="str">
        <f>"Balance Sheet"</f>
        <v>Balance Sheet</v>
      </c>
      <c r="D22" s="867" t="s">
        <v>194</v>
      </c>
      <c r="E22" s="867" t="s">
        <v>194</v>
      </c>
      <c r="F22" s="867" t="s">
        <v>194</v>
      </c>
      <c r="G22" s="867" t="s">
        <v>194</v>
      </c>
      <c r="H22" s="867" t="s">
        <v>194</v>
      </c>
      <c r="I22" s="867" t="s">
        <v>194</v>
      </c>
      <c r="J22" s="867" t="s">
        <v>194</v>
      </c>
      <c r="K22" s="867" t="s">
        <v>194</v>
      </c>
      <c r="L22" s="867" t="s">
        <v>194</v>
      </c>
      <c r="M22" s="927" t="s">
        <v>194</v>
      </c>
      <c r="N22" s="927" t="s">
        <v>194</v>
      </c>
      <c r="O22" s="927" t="s">
        <v>194</v>
      </c>
      <c r="P22" s="927" t="s">
        <v>194</v>
      </c>
      <c r="Q22" s="927" t="s">
        <v>194</v>
      </c>
      <c r="R22" s="927" t="s">
        <v>194</v>
      </c>
      <c r="S22" s="927" t="s">
        <v>194</v>
      </c>
      <c r="T22" s="927" t="s">
        <v>194</v>
      </c>
      <c r="U22" s="15"/>
      <c r="V22" s="851" t="s">
        <v>194</v>
      </c>
      <c r="W22" s="846" t="s">
        <v>194</v>
      </c>
      <c r="X22" s="846" t="s">
        <v>194</v>
      </c>
      <c r="Y22" s="846" t="s">
        <v>194</v>
      </c>
      <c r="Z22" s="846" t="s">
        <v>194</v>
      </c>
      <c r="AA22" s="846" t="s">
        <v>194</v>
      </c>
      <c r="AB22" s="846" t="s">
        <v>194</v>
      </c>
      <c r="AC22" s="846" t="s">
        <v>194</v>
      </c>
      <c r="AD22" s="846" t="s">
        <v>194</v>
      </c>
      <c r="AE22" s="846" t="s">
        <v>194</v>
      </c>
      <c r="AF22" s="846" t="s">
        <v>194</v>
      </c>
      <c r="AG22" s="846" t="s">
        <v>194</v>
      </c>
      <c r="AH22" s="846" t="s">
        <v>194</v>
      </c>
      <c r="AI22" s="846" t="s">
        <v>194</v>
      </c>
      <c r="AJ22" s="846" t="s">
        <v>194</v>
      </c>
      <c r="AK22" s="846" t="s">
        <v>194</v>
      </c>
      <c r="AL22" s="846" t="s">
        <v>194</v>
      </c>
      <c r="AM22" s="846" t="s">
        <v>194</v>
      </c>
      <c r="AN22" s="846" t="s">
        <v>194</v>
      </c>
      <c r="AO22" s="846" t="s">
        <v>194</v>
      </c>
      <c r="AP22" s="846" t="s">
        <v>194</v>
      </c>
      <c r="AQ22" s="846" t="s">
        <v>194</v>
      </c>
    </row>
    <row r="23" ht="15.75" customHeight="1">
      <c r="A23" s="849">
        <v>1.0</v>
      </c>
      <c r="B23" s="15"/>
      <c r="C23" s="869" t="str">
        <f>"    Total Current Assets"</f>
        <v>    Total Current Assets</v>
      </c>
      <c r="D23" s="870">
        <f t="shared" ref="D23:D34" si="9">IF(COUNT(M23:T23)&gt;0,MEDIAN(M23:T23),"")</f>
        <v>103693.5</v>
      </c>
      <c r="E23" s="870">
        <f t="shared" ref="E23:E34" si="10">IF(COUNT(M23:T23)&gt;0,AVERAGE(M23:T23),"")</f>
        <v>122743.25</v>
      </c>
      <c r="F23" s="870">
        <f t="shared" ref="F23:F34" si="11">IF(COUNT(M23:T23)&gt;0,MIN(M23:T23),"")</f>
        <v>10443</v>
      </c>
      <c r="G23" s="870">
        <f t="shared" ref="G23:G34" si="12">IF(COUNT(M23:T23)&gt;0,MAX(M23:T23),"")</f>
        <v>314583</v>
      </c>
      <c r="H23" s="870">
        <f t="shared" ref="H23:H34" si="13">IF(COUNT(M23:T23)&gt;0,QUARTILE(M23:T23,1),"")</f>
        <v>31290</v>
      </c>
      <c r="I23" s="870">
        <f t="shared" ref="I23:I34" si="14">IF(COUNT(M23:T23)&gt;0,QUARTILE(M23:T23,3),"")</f>
        <v>178280.75</v>
      </c>
      <c r="J23" s="870">
        <f t="shared" ref="J23:J34" si="15">IF(COUNT(M23:T23)&gt;1,STDEV(M23:T23),"")</f>
        <v>107164.9456</v>
      </c>
      <c r="K23" s="871">
        <f t="shared" ref="K23:K34" si="16">IF(COUNT(M23:T23)&gt;1,STDEV(M23:T23)/AVERAGE(M23:T23),"")</f>
        <v>0.8730821905</v>
      </c>
      <c r="L23" s="872" t="s">
        <v>194</v>
      </c>
      <c r="M23" s="904">
        <v>10443.0</v>
      </c>
      <c r="N23" s="904">
        <v>26670.0</v>
      </c>
      <c r="O23" s="904">
        <v>32830.0</v>
      </c>
      <c r="P23" s="904">
        <v>92543.0</v>
      </c>
      <c r="Q23" s="904">
        <v>114844.0</v>
      </c>
      <c r="R23" s="904">
        <v>161545.0</v>
      </c>
      <c r="S23" s="904">
        <v>228488.0</v>
      </c>
      <c r="T23" s="904">
        <v>314583.0</v>
      </c>
      <c r="U23" s="15"/>
      <c r="V23" s="851" t="s">
        <v>194</v>
      </c>
      <c r="W23" s="846" t="s">
        <v>194</v>
      </c>
      <c r="X23" s="846" t="s">
        <v>194</v>
      </c>
      <c r="Y23" s="846" t="s">
        <v>194</v>
      </c>
      <c r="Z23" s="846" t="s">
        <v>194</v>
      </c>
      <c r="AA23" s="846" t="s">
        <v>194</v>
      </c>
      <c r="AB23" s="846" t="s">
        <v>194</v>
      </c>
      <c r="AC23" s="846" t="s">
        <v>194</v>
      </c>
      <c r="AD23" s="846" t="s">
        <v>194</v>
      </c>
      <c r="AE23" s="846" t="s">
        <v>194</v>
      </c>
      <c r="AF23" s="846" t="s">
        <v>194</v>
      </c>
      <c r="AG23" s="846" t="s">
        <v>194</v>
      </c>
      <c r="AH23" s="846" t="s">
        <v>194</v>
      </c>
      <c r="AI23" s="846" t="s">
        <v>194</v>
      </c>
      <c r="AJ23" s="846" t="s">
        <v>194</v>
      </c>
      <c r="AK23" s="846" t="s">
        <v>194</v>
      </c>
      <c r="AL23" s="846" t="s">
        <v>194</v>
      </c>
      <c r="AM23" s="846" t="s">
        <v>194</v>
      </c>
      <c r="AN23" s="846" t="s">
        <v>194</v>
      </c>
      <c r="AO23" s="846" t="s">
        <v>194</v>
      </c>
      <c r="AP23" s="846" t="s">
        <v>194</v>
      </c>
      <c r="AQ23" s="846" t="s">
        <v>194</v>
      </c>
    </row>
    <row r="24" ht="15.75" customHeight="1">
      <c r="A24" s="849">
        <v>1.0</v>
      </c>
      <c r="B24" s="15"/>
      <c r="C24" s="869" t="str">
        <f>"    Net Property, Plant and Equipment"</f>
        <v>    Net Property, Plant and Equipment</v>
      </c>
      <c r="D24" s="870">
        <f t="shared" si="9"/>
        <v>23770</v>
      </c>
      <c r="E24" s="870">
        <f t="shared" si="10"/>
        <v>24136.75</v>
      </c>
      <c r="F24" s="870">
        <f t="shared" si="11"/>
        <v>12843</v>
      </c>
      <c r="G24" s="870">
        <f t="shared" si="12"/>
        <v>31927</v>
      </c>
      <c r="H24" s="870">
        <f t="shared" si="13"/>
        <v>20235</v>
      </c>
      <c r="I24" s="870">
        <f t="shared" si="14"/>
        <v>29961.5</v>
      </c>
      <c r="J24" s="870">
        <f t="shared" si="15"/>
        <v>6521.967161</v>
      </c>
      <c r="K24" s="871">
        <f t="shared" si="16"/>
        <v>0.2702090033</v>
      </c>
      <c r="L24" s="872" t="s">
        <v>194</v>
      </c>
      <c r="M24" s="904">
        <v>12843.0</v>
      </c>
      <c r="N24" s="904">
        <v>20279.0</v>
      </c>
      <c r="O24" s="904">
        <v>29722.0</v>
      </c>
      <c r="P24" s="904">
        <v>31927.0</v>
      </c>
      <c r="Q24" s="904">
        <v>30680.0</v>
      </c>
      <c r="R24" s="904">
        <v>25199.0</v>
      </c>
      <c r="S24" s="904">
        <v>20103.0</v>
      </c>
      <c r="T24" s="904">
        <v>22341.0</v>
      </c>
      <c r="U24" s="15"/>
      <c r="V24" s="851" t="s">
        <v>194</v>
      </c>
      <c r="W24" s="846" t="s">
        <v>194</v>
      </c>
      <c r="X24" s="846" t="s">
        <v>194</v>
      </c>
      <c r="Y24" s="846" t="s">
        <v>194</v>
      </c>
      <c r="Z24" s="846" t="s">
        <v>194</v>
      </c>
      <c r="AA24" s="846" t="s">
        <v>194</v>
      </c>
      <c r="AB24" s="846" t="s">
        <v>194</v>
      </c>
      <c r="AC24" s="846" t="s">
        <v>194</v>
      </c>
      <c r="AD24" s="846" t="s">
        <v>194</v>
      </c>
      <c r="AE24" s="846" t="s">
        <v>194</v>
      </c>
      <c r="AF24" s="846" t="s">
        <v>194</v>
      </c>
      <c r="AG24" s="846" t="s">
        <v>194</v>
      </c>
      <c r="AH24" s="846" t="s">
        <v>194</v>
      </c>
      <c r="AI24" s="846" t="s">
        <v>194</v>
      </c>
      <c r="AJ24" s="846" t="s">
        <v>194</v>
      </c>
      <c r="AK24" s="846" t="s">
        <v>194</v>
      </c>
      <c r="AL24" s="846" t="s">
        <v>194</v>
      </c>
      <c r="AM24" s="846" t="s">
        <v>194</v>
      </c>
      <c r="AN24" s="846" t="s">
        <v>194</v>
      </c>
      <c r="AO24" s="846" t="s">
        <v>194</v>
      </c>
      <c r="AP24" s="846" t="s">
        <v>194</v>
      </c>
      <c r="AQ24" s="846" t="s">
        <v>194</v>
      </c>
    </row>
    <row r="25" ht="15.75" customHeight="1">
      <c r="A25" s="849">
        <v>1.0</v>
      </c>
      <c r="B25" s="15"/>
      <c r="C25" s="869" t="str">
        <f>"    Total Non-Current Assets"</f>
        <v>    Total Non-Current Assets</v>
      </c>
      <c r="D25" s="870">
        <f t="shared" si="9"/>
        <v>47063</v>
      </c>
      <c r="E25" s="870">
        <f t="shared" si="10"/>
        <v>42323.25</v>
      </c>
      <c r="F25" s="870">
        <f t="shared" si="11"/>
        <v>13688</v>
      </c>
      <c r="G25" s="870">
        <f t="shared" si="12"/>
        <v>61315</v>
      </c>
      <c r="H25" s="870">
        <f t="shared" si="13"/>
        <v>40081.5</v>
      </c>
      <c r="I25" s="870">
        <f t="shared" si="14"/>
        <v>50301.25</v>
      </c>
      <c r="J25" s="870">
        <f t="shared" si="15"/>
        <v>16290.39562</v>
      </c>
      <c r="K25" s="871">
        <f t="shared" si="16"/>
        <v>0.3849041748</v>
      </c>
      <c r="L25" s="872" t="s">
        <v>194</v>
      </c>
      <c r="M25" s="904">
        <v>13688.0</v>
      </c>
      <c r="N25" s="904">
        <v>20916.0</v>
      </c>
      <c r="O25" s="904">
        <v>49567.0</v>
      </c>
      <c r="P25" s="904">
        <v>47542.0</v>
      </c>
      <c r="Q25" s="904">
        <v>46470.0</v>
      </c>
      <c r="R25" s="904">
        <v>52504.0</v>
      </c>
      <c r="S25" s="904">
        <v>46584.0</v>
      </c>
      <c r="T25" s="904">
        <v>61315.0</v>
      </c>
      <c r="U25" s="15"/>
      <c r="V25" s="851" t="s">
        <v>194</v>
      </c>
      <c r="W25" s="846" t="s">
        <v>194</v>
      </c>
      <c r="X25" s="846" t="s">
        <v>194</v>
      </c>
      <c r="Y25" s="846" t="s">
        <v>194</v>
      </c>
      <c r="Z25" s="846" t="s">
        <v>194</v>
      </c>
      <c r="AA25" s="846" t="s">
        <v>194</v>
      </c>
      <c r="AB25" s="846" t="s">
        <v>194</v>
      </c>
      <c r="AC25" s="846" t="s">
        <v>194</v>
      </c>
      <c r="AD25" s="846" t="s">
        <v>194</v>
      </c>
      <c r="AE25" s="846" t="s">
        <v>194</v>
      </c>
      <c r="AF25" s="846" t="s">
        <v>194</v>
      </c>
      <c r="AG25" s="846" t="s">
        <v>194</v>
      </c>
      <c r="AH25" s="846" t="s">
        <v>194</v>
      </c>
      <c r="AI25" s="846" t="s">
        <v>194</v>
      </c>
      <c r="AJ25" s="846" t="s">
        <v>194</v>
      </c>
      <c r="AK25" s="846" t="s">
        <v>194</v>
      </c>
      <c r="AL25" s="846" t="s">
        <v>194</v>
      </c>
      <c r="AM25" s="846" t="s">
        <v>194</v>
      </c>
      <c r="AN25" s="846" t="s">
        <v>194</v>
      </c>
      <c r="AO25" s="846" t="s">
        <v>194</v>
      </c>
      <c r="AP25" s="846" t="s">
        <v>194</v>
      </c>
      <c r="AQ25" s="846" t="s">
        <v>194</v>
      </c>
    </row>
    <row r="26" ht="15.75" customHeight="1">
      <c r="A26" s="849">
        <v>1.0</v>
      </c>
      <c r="B26" s="15"/>
      <c r="C26" s="869" t="str">
        <f>"    Total Assets"</f>
        <v>    Total Assets</v>
      </c>
      <c r="D26" s="870">
        <f t="shared" si="9"/>
        <v>150699.5</v>
      </c>
      <c r="E26" s="870">
        <f t="shared" si="10"/>
        <v>165066.5</v>
      </c>
      <c r="F26" s="870">
        <f t="shared" si="11"/>
        <v>24131</v>
      </c>
      <c r="G26" s="870">
        <f t="shared" si="12"/>
        <v>375898</v>
      </c>
      <c r="H26" s="870">
        <f t="shared" si="13"/>
        <v>73694.25</v>
      </c>
      <c r="I26" s="870">
        <f t="shared" si="14"/>
        <v>229304.75</v>
      </c>
      <c r="J26" s="870">
        <f t="shared" si="15"/>
        <v>119575.0228</v>
      </c>
      <c r="K26" s="871">
        <f t="shared" si="16"/>
        <v>0.7244051508</v>
      </c>
      <c r="L26" s="872" t="s">
        <v>194</v>
      </c>
      <c r="M26" s="904">
        <v>24131.0</v>
      </c>
      <c r="N26" s="904">
        <v>47586.0</v>
      </c>
      <c r="O26" s="904">
        <v>82397.0</v>
      </c>
      <c r="P26" s="904">
        <v>140085.0</v>
      </c>
      <c r="Q26" s="904">
        <v>161314.0</v>
      </c>
      <c r="R26" s="904">
        <v>214049.0</v>
      </c>
      <c r="S26" s="904">
        <v>275072.0</v>
      </c>
      <c r="T26" s="904">
        <v>375898.0</v>
      </c>
      <c r="U26" s="15"/>
      <c r="V26" s="851" t="s">
        <v>194</v>
      </c>
      <c r="W26" s="846" t="s">
        <v>194</v>
      </c>
      <c r="X26" s="846" t="s">
        <v>194</v>
      </c>
      <c r="Y26" s="846" t="s">
        <v>194</v>
      </c>
      <c r="Z26" s="846" t="s">
        <v>194</v>
      </c>
      <c r="AA26" s="846" t="s">
        <v>194</v>
      </c>
      <c r="AB26" s="846" t="s">
        <v>194</v>
      </c>
      <c r="AC26" s="846" t="s">
        <v>194</v>
      </c>
      <c r="AD26" s="846" t="s">
        <v>194</v>
      </c>
      <c r="AE26" s="846" t="s">
        <v>194</v>
      </c>
      <c r="AF26" s="846" t="s">
        <v>194</v>
      </c>
      <c r="AG26" s="846" t="s">
        <v>194</v>
      </c>
      <c r="AH26" s="846" t="s">
        <v>194</v>
      </c>
      <c r="AI26" s="846" t="s">
        <v>194</v>
      </c>
      <c r="AJ26" s="846" t="s">
        <v>194</v>
      </c>
      <c r="AK26" s="846" t="s">
        <v>194</v>
      </c>
      <c r="AL26" s="846" t="s">
        <v>194</v>
      </c>
      <c r="AM26" s="846" t="s">
        <v>194</v>
      </c>
      <c r="AN26" s="846" t="s">
        <v>194</v>
      </c>
      <c r="AO26" s="846" t="s">
        <v>194</v>
      </c>
      <c r="AP26" s="846" t="s">
        <v>194</v>
      </c>
      <c r="AQ26" s="846" t="s">
        <v>194</v>
      </c>
    </row>
    <row r="27" ht="15.75" customHeight="1">
      <c r="A27" s="849">
        <v>1.0</v>
      </c>
      <c r="B27" s="15"/>
      <c r="C27" s="869" t="str">
        <f>"    Total Current Liabilities"</f>
        <v>    Total Current Liabilities</v>
      </c>
      <c r="D27" s="870">
        <f t="shared" si="9"/>
        <v>20420</v>
      </c>
      <c r="E27" s="870">
        <f t="shared" si="10"/>
        <v>23227.75</v>
      </c>
      <c r="F27" s="870">
        <f t="shared" si="11"/>
        <v>9141</v>
      </c>
      <c r="G27" s="870">
        <f t="shared" si="12"/>
        <v>46585</v>
      </c>
      <c r="H27" s="870">
        <f t="shared" si="13"/>
        <v>17498.75</v>
      </c>
      <c r="I27" s="870">
        <f t="shared" si="14"/>
        <v>25605.25</v>
      </c>
      <c r="J27" s="870">
        <f t="shared" si="15"/>
        <v>11879.39747</v>
      </c>
      <c r="K27" s="871">
        <f t="shared" si="16"/>
        <v>0.5114312608</v>
      </c>
      <c r="L27" s="872" t="s">
        <v>194</v>
      </c>
      <c r="M27" s="904">
        <v>9141.0</v>
      </c>
      <c r="N27" s="904">
        <v>13790.0</v>
      </c>
      <c r="O27" s="904">
        <v>18827.0</v>
      </c>
      <c r="P27" s="904">
        <v>18735.0</v>
      </c>
      <c r="Q27" s="904">
        <v>22013.0</v>
      </c>
      <c r="R27" s="904">
        <v>22845.0</v>
      </c>
      <c r="S27" s="904">
        <v>33886.0</v>
      </c>
      <c r="T27" s="904">
        <v>46585.0</v>
      </c>
      <c r="U27" s="15"/>
      <c r="V27" s="851" t="s">
        <v>194</v>
      </c>
      <c r="W27" s="846" t="s">
        <v>194</v>
      </c>
      <c r="X27" s="846" t="s">
        <v>194</v>
      </c>
      <c r="Y27" s="846" t="s">
        <v>194</v>
      </c>
      <c r="Z27" s="846" t="s">
        <v>194</v>
      </c>
      <c r="AA27" s="846" t="s">
        <v>194</v>
      </c>
      <c r="AB27" s="846" t="s">
        <v>194</v>
      </c>
      <c r="AC27" s="846" t="s">
        <v>194</v>
      </c>
      <c r="AD27" s="846" t="s">
        <v>194</v>
      </c>
      <c r="AE27" s="846" t="s">
        <v>194</v>
      </c>
      <c r="AF27" s="846" t="s">
        <v>194</v>
      </c>
      <c r="AG27" s="846" t="s">
        <v>194</v>
      </c>
      <c r="AH27" s="846" t="s">
        <v>194</v>
      </c>
      <c r="AI27" s="846" t="s">
        <v>194</v>
      </c>
      <c r="AJ27" s="846" t="s">
        <v>194</v>
      </c>
      <c r="AK27" s="846" t="s">
        <v>194</v>
      </c>
      <c r="AL27" s="846" t="s">
        <v>194</v>
      </c>
      <c r="AM27" s="846" t="s">
        <v>194</v>
      </c>
      <c r="AN27" s="846" t="s">
        <v>194</v>
      </c>
      <c r="AO27" s="846" t="s">
        <v>194</v>
      </c>
      <c r="AP27" s="846" t="s">
        <v>194</v>
      </c>
      <c r="AQ27" s="846" t="s">
        <v>194</v>
      </c>
    </row>
    <row r="28" ht="15.75" customHeight="1">
      <c r="A28" s="849">
        <v>1.0</v>
      </c>
      <c r="B28" s="15"/>
      <c r="C28" s="869" t="str">
        <f>"    Total Non-Current Liabilities"</f>
        <v>    Total Non-Current Liabilities</v>
      </c>
      <c r="D28" s="870">
        <f t="shared" si="9"/>
        <v>16517</v>
      </c>
      <c r="E28" s="870">
        <f t="shared" si="10"/>
        <v>47712.125</v>
      </c>
      <c r="F28" s="870">
        <f t="shared" si="11"/>
        <v>3200</v>
      </c>
      <c r="G28" s="870">
        <f t="shared" si="12"/>
        <v>125942</v>
      </c>
      <c r="H28" s="870">
        <f t="shared" si="13"/>
        <v>8157.75</v>
      </c>
      <c r="I28" s="870">
        <f t="shared" si="14"/>
        <v>96558.5</v>
      </c>
      <c r="J28" s="870">
        <f t="shared" si="15"/>
        <v>52987.46047</v>
      </c>
      <c r="K28" s="871">
        <f t="shared" si="16"/>
        <v>1.11056593</v>
      </c>
      <c r="L28" s="872" t="s">
        <v>194</v>
      </c>
      <c r="M28" s="904">
        <v>90556.0</v>
      </c>
      <c r="N28" s="904">
        <v>114566.0</v>
      </c>
      <c r="O28" s="904">
        <v>125942.0</v>
      </c>
      <c r="P28" s="904">
        <v>3200.0</v>
      </c>
      <c r="Q28" s="904">
        <v>5283.0</v>
      </c>
      <c r="R28" s="904">
        <v>9116.0</v>
      </c>
      <c r="S28" s="904">
        <v>14145.0</v>
      </c>
      <c r="T28" s="904">
        <v>18889.0</v>
      </c>
      <c r="U28" s="15"/>
      <c r="V28" s="851" t="s">
        <v>194</v>
      </c>
      <c r="W28" s="846" t="s">
        <v>194</v>
      </c>
      <c r="X28" s="846" t="s">
        <v>194</v>
      </c>
      <c r="Y28" s="846" t="s">
        <v>194</v>
      </c>
      <c r="Z28" s="846" t="s">
        <v>194</v>
      </c>
      <c r="AA28" s="846" t="s">
        <v>194</v>
      </c>
      <c r="AB28" s="846" t="s">
        <v>194</v>
      </c>
      <c r="AC28" s="846" t="s">
        <v>194</v>
      </c>
      <c r="AD28" s="846" t="s">
        <v>194</v>
      </c>
      <c r="AE28" s="846" t="s">
        <v>194</v>
      </c>
      <c r="AF28" s="846" t="s">
        <v>194</v>
      </c>
      <c r="AG28" s="846" t="s">
        <v>194</v>
      </c>
      <c r="AH28" s="846" t="s">
        <v>194</v>
      </c>
      <c r="AI28" s="846" t="s">
        <v>194</v>
      </c>
      <c r="AJ28" s="846" t="s">
        <v>194</v>
      </c>
      <c r="AK28" s="846" t="s">
        <v>194</v>
      </c>
      <c r="AL28" s="846" t="s">
        <v>194</v>
      </c>
      <c r="AM28" s="846" t="s">
        <v>194</v>
      </c>
      <c r="AN28" s="846" t="s">
        <v>194</v>
      </c>
      <c r="AO28" s="846" t="s">
        <v>194</v>
      </c>
      <c r="AP28" s="846" t="s">
        <v>194</v>
      </c>
      <c r="AQ28" s="846" t="s">
        <v>194</v>
      </c>
    </row>
    <row r="29" ht="15.75" customHeight="1">
      <c r="A29" s="849">
        <v>1.0</v>
      </c>
      <c r="B29" s="15"/>
      <c r="C29" s="869" t="str">
        <f>"    Total Liabilities"</f>
        <v>    Total Liabilities</v>
      </c>
      <c r="D29" s="870">
        <f t="shared" si="9"/>
        <v>56752.5</v>
      </c>
      <c r="E29" s="870">
        <f t="shared" si="10"/>
        <v>70939.875</v>
      </c>
      <c r="F29" s="870">
        <f t="shared" si="11"/>
        <v>21935</v>
      </c>
      <c r="G29" s="870">
        <f t="shared" si="12"/>
        <v>144769</v>
      </c>
      <c r="H29" s="870">
        <f t="shared" si="13"/>
        <v>30794.75</v>
      </c>
      <c r="I29" s="870">
        <f t="shared" si="14"/>
        <v>106861.75</v>
      </c>
      <c r="J29" s="870">
        <f t="shared" si="15"/>
        <v>47741.31781</v>
      </c>
      <c r="K29" s="871">
        <f t="shared" si="16"/>
        <v>0.6729828296</v>
      </c>
      <c r="L29" s="872" t="s">
        <v>194</v>
      </c>
      <c r="M29" s="904">
        <v>99697.0</v>
      </c>
      <c r="N29" s="904">
        <v>128356.0</v>
      </c>
      <c r="O29" s="904">
        <v>144769.0</v>
      </c>
      <c r="P29" s="904">
        <v>21935.0</v>
      </c>
      <c r="Q29" s="904">
        <v>27296.0</v>
      </c>
      <c r="R29" s="904">
        <v>31961.0</v>
      </c>
      <c r="S29" s="904">
        <v>48031.0</v>
      </c>
      <c r="T29" s="904">
        <v>65474.0</v>
      </c>
      <c r="U29" s="15"/>
      <c r="V29" s="851" t="s">
        <v>194</v>
      </c>
      <c r="W29" s="846" t="s">
        <v>194</v>
      </c>
      <c r="X29" s="846" t="s">
        <v>194</v>
      </c>
      <c r="Y29" s="846" t="s">
        <v>194</v>
      </c>
      <c r="Z29" s="846" t="s">
        <v>194</v>
      </c>
      <c r="AA29" s="846" t="s">
        <v>194</v>
      </c>
      <c r="AB29" s="846" t="s">
        <v>194</v>
      </c>
      <c r="AC29" s="846" t="s">
        <v>194</v>
      </c>
      <c r="AD29" s="846" t="s">
        <v>194</v>
      </c>
      <c r="AE29" s="846" t="s">
        <v>194</v>
      </c>
      <c r="AF29" s="846" t="s">
        <v>194</v>
      </c>
      <c r="AG29" s="846" t="s">
        <v>194</v>
      </c>
      <c r="AH29" s="846" t="s">
        <v>194</v>
      </c>
      <c r="AI29" s="846" t="s">
        <v>194</v>
      </c>
      <c r="AJ29" s="846" t="s">
        <v>194</v>
      </c>
      <c r="AK29" s="846" t="s">
        <v>194</v>
      </c>
      <c r="AL29" s="846" t="s">
        <v>194</v>
      </c>
      <c r="AM29" s="846" t="s">
        <v>194</v>
      </c>
      <c r="AN29" s="846" t="s">
        <v>194</v>
      </c>
      <c r="AO29" s="846" t="s">
        <v>194</v>
      </c>
      <c r="AP29" s="846" t="s">
        <v>194</v>
      </c>
      <c r="AQ29" s="846" t="s">
        <v>194</v>
      </c>
    </row>
    <row r="30" ht="15.75" customHeight="1">
      <c r="A30" s="849">
        <v>1.0</v>
      </c>
      <c r="B30" s="15"/>
      <c r="C30" s="869" t="str">
        <f>"    Total Equity"</f>
        <v>    Total Equity</v>
      </c>
      <c r="D30" s="870">
        <f t="shared" si="9"/>
        <v>126084</v>
      </c>
      <c r="E30" s="870">
        <f t="shared" si="10"/>
        <v>94126.625</v>
      </c>
      <c r="F30" s="870">
        <f t="shared" si="11"/>
        <v>-80770</v>
      </c>
      <c r="G30" s="870">
        <f t="shared" si="12"/>
        <v>310424</v>
      </c>
      <c r="H30" s="870">
        <f t="shared" si="13"/>
        <v>-65670.5</v>
      </c>
      <c r="I30" s="870">
        <f t="shared" si="14"/>
        <v>193326.25</v>
      </c>
      <c r="J30" s="870">
        <f t="shared" si="15"/>
        <v>150348.4854</v>
      </c>
      <c r="K30" s="871">
        <f t="shared" si="16"/>
        <v>1.59730029</v>
      </c>
      <c r="L30" s="872" t="s">
        <v>194</v>
      </c>
      <c r="M30" s="904">
        <v>-75566.0</v>
      </c>
      <c r="N30" s="904">
        <v>-80770.0</v>
      </c>
      <c r="O30" s="904">
        <v>-62372.0</v>
      </c>
      <c r="P30" s="904">
        <v>118150.0</v>
      </c>
      <c r="Q30" s="904">
        <v>134018.0</v>
      </c>
      <c r="R30" s="904">
        <v>182088.0</v>
      </c>
      <c r="S30" s="904">
        <v>227041.0</v>
      </c>
      <c r="T30" s="904">
        <v>310424.0</v>
      </c>
      <c r="U30" s="15"/>
      <c r="V30" s="851" t="s">
        <v>194</v>
      </c>
      <c r="W30" s="846" t="s">
        <v>194</v>
      </c>
      <c r="X30" s="846" t="s">
        <v>194</v>
      </c>
      <c r="Y30" s="846" t="s">
        <v>194</v>
      </c>
      <c r="Z30" s="846" t="s">
        <v>194</v>
      </c>
      <c r="AA30" s="846" t="s">
        <v>194</v>
      </c>
      <c r="AB30" s="846" t="s">
        <v>194</v>
      </c>
      <c r="AC30" s="846" t="s">
        <v>194</v>
      </c>
      <c r="AD30" s="846" t="s">
        <v>194</v>
      </c>
      <c r="AE30" s="846" t="s">
        <v>194</v>
      </c>
      <c r="AF30" s="846" t="s">
        <v>194</v>
      </c>
      <c r="AG30" s="846" t="s">
        <v>194</v>
      </c>
      <c r="AH30" s="846" t="s">
        <v>194</v>
      </c>
      <c r="AI30" s="846" t="s">
        <v>194</v>
      </c>
      <c r="AJ30" s="846" t="s">
        <v>194</v>
      </c>
      <c r="AK30" s="846" t="s">
        <v>194</v>
      </c>
      <c r="AL30" s="846" t="s">
        <v>194</v>
      </c>
      <c r="AM30" s="846" t="s">
        <v>194</v>
      </c>
      <c r="AN30" s="846" t="s">
        <v>194</v>
      </c>
      <c r="AO30" s="846" t="s">
        <v>194</v>
      </c>
      <c r="AP30" s="846" t="s">
        <v>194</v>
      </c>
      <c r="AQ30" s="846" t="s">
        <v>194</v>
      </c>
    </row>
    <row r="31" ht="15.75" customHeight="1">
      <c r="A31" s="849">
        <v>1.0</v>
      </c>
      <c r="B31" s="15"/>
      <c r="C31" s="869" t="str">
        <f>"    Equity Attributable to Parent Stockholders"</f>
        <v>    Equity Attributable to Parent Stockholders</v>
      </c>
      <c r="D31" s="870">
        <f t="shared" si="9"/>
        <v>126084</v>
      </c>
      <c r="E31" s="870">
        <f t="shared" si="10"/>
        <v>94126.625</v>
      </c>
      <c r="F31" s="870">
        <f t="shared" si="11"/>
        <v>-80770</v>
      </c>
      <c r="G31" s="870">
        <f t="shared" si="12"/>
        <v>310424</v>
      </c>
      <c r="H31" s="870">
        <f t="shared" si="13"/>
        <v>-65670.5</v>
      </c>
      <c r="I31" s="870">
        <f t="shared" si="14"/>
        <v>193326.25</v>
      </c>
      <c r="J31" s="870">
        <f t="shared" si="15"/>
        <v>150348.4854</v>
      </c>
      <c r="K31" s="871">
        <f t="shared" si="16"/>
        <v>1.59730029</v>
      </c>
      <c r="L31" s="872" t="s">
        <v>194</v>
      </c>
      <c r="M31" s="904">
        <v>-75566.0</v>
      </c>
      <c r="N31" s="904">
        <v>-80770.0</v>
      </c>
      <c r="O31" s="904">
        <v>-62372.0</v>
      </c>
      <c r="P31" s="904">
        <v>118150.0</v>
      </c>
      <c r="Q31" s="904">
        <v>134018.0</v>
      </c>
      <c r="R31" s="904">
        <v>182088.0</v>
      </c>
      <c r="S31" s="904">
        <v>227041.0</v>
      </c>
      <c r="T31" s="904">
        <v>310424.0</v>
      </c>
      <c r="U31" s="15"/>
      <c r="V31" s="851" t="s">
        <v>194</v>
      </c>
      <c r="W31" s="846" t="s">
        <v>194</v>
      </c>
      <c r="X31" s="846" t="s">
        <v>194</v>
      </c>
      <c r="Y31" s="846" t="s">
        <v>194</v>
      </c>
      <c r="Z31" s="846" t="s">
        <v>194</v>
      </c>
      <c r="AA31" s="846" t="s">
        <v>194</v>
      </c>
      <c r="AB31" s="846" t="s">
        <v>194</v>
      </c>
      <c r="AC31" s="846" t="s">
        <v>194</v>
      </c>
      <c r="AD31" s="846" t="s">
        <v>194</v>
      </c>
      <c r="AE31" s="846" t="s">
        <v>194</v>
      </c>
      <c r="AF31" s="846" t="s">
        <v>194</v>
      </c>
      <c r="AG31" s="846" t="s">
        <v>194</v>
      </c>
      <c r="AH31" s="846" t="s">
        <v>194</v>
      </c>
      <c r="AI31" s="846" t="s">
        <v>194</v>
      </c>
      <c r="AJ31" s="846" t="s">
        <v>194</v>
      </c>
      <c r="AK31" s="846" t="s">
        <v>194</v>
      </c>
      <c r="AL31" s="846" t="s">
        <v>194</v>
      </c>
      <c r="AM31" s="846" t="s">
        <v>194</v>
      </c>
      <c r="AN31" s="846" t="s">
        <v>194</v>
      </c>
      <c r="AO31" s="846" t="s">
        <v>194</v>
      </c>
      <c r="AP31" s="846" t="s">
        <v>194</v>
      </c>
      <c r="AQ31" s="846" t="s">
        <v>194</v>
      </c>
    </row>
    <row r="32" ht="15.75" customHeight="1">
      <c r="A32" s="849">
        <v>1.0</v>
      </c>
      <c r="B32" s="15"/>
      <c r="C32" s="869" t="str">
        <f>"    Total Debt"</f>
        <v>    Total Debt</v>
      </c>
      <c r="D32" s="870">
        <f t="shared" si="9"/>
        <v>8936</v>
      </c>
      <c r="E32" s="870">
        <f t="shared" si="10"/>
        <v>6028.6</v>
      </c>
      <c r="F32" s="870">
        <f t="shared" si="11"/>
        <v>315</v>
      </c>
      <c r="G32" s="870">
        <f t="shared" si="12"/>
        <v>10649</v>
      </c>
      <c r="H32" s="870">
        <f t="shared" si="13"/>
        <v>614</v>
      </c>
      <c r="I32" s="870">
        <f t="shared" si="14"/>
        <v>9629</v>
      </c>
      <c r="J32" s="870">
        <f t="shared" si="15"/>
        <v>5116.812221</v>
      </c>
      <c r="K32" s="871">
        <f t="shared" si="16"/>
        <v>0.8487562984</v>
      </c>
      <c r="L32" s="872" t="s">
        <v>194</v>
      </c>
      <c r="M32" s="904">
        <v>9629.0</v>
      </c>
      <c r="N32" s="904">
        <v>8936.0</v>
      </c>
      <c r="O32" s="904">
        <v>10649.0</v>
      </c>
      <c r="P32" s="904">
        <v>614.0</v>
      </c>
      <c r="Q32" s="904">
        <v>315.0</v>
      </c>
      <c r="R32" s="904" t="s">
        <v>194</v>
      </c>
      <c r="S32" s="904" t="s">
        <v>194</v>
      </c>
      <c r="T32" s="904" t="s">
        <v>194</v>
      </c>
      <c r="U32" s="15"/>
      <c r="V32" s="851" t="s">
        <v>194</v>
      </c>
      <c r="W32" s="846" t="s">
        <v>194</v>
      </c>
      <c r="X32" s="846" t="s">
        <v>194</v>
      </c>
      <c r="Y32" s="846" t="s">
        <v>194</v>
      </c>
      <c r="Z32" s="846" t="s">
        <v>194</v>
      </c>
      <c r="AA32" s="846" t="s">
        <v>194</v>
      </c>
      <c r="AB32" s="846" t="s">
        <v>194</v>
      </c>
      <c r="AC32" s="846" t="s">
        <v>194</v>
      </c>
      <c r="AD32" s="846" t="s">
        <v>194</v>
      </c>
      <c r="AE32" s="846" t="s">
        <v>194</v>
      </c>
      <c r="AF32" s="846" t="s">
        <v>194</v>
      </c>
      <c r="AG32" s="846" t="s">
        <v>194</v>
      </c>
      <c r="AH32" s="846" t="s">
        <v>194</v>
      </c>
      <c r="AI32" s="846" t="s">
        <v>194</v>
      </c>
      <c r="AJ32" s="846" t="s">
        <v>194</v>
      </c>
      <c r="AK32" s="846" t="s">
        <v>194</v>
      </c>
      <c r="AL32" s="846" t="s">
        <v>194</v>
      </c>
      <c r="AM32" s="846" t="s">
        <v>194</v>
      </c>
      <c r="AN32" s="846" t="s">
        <v>194</v>
      </c>
      <c r="AO32" s="846" t="s">
        <v>194</v>
      </c>
      <c r="AP32" s="846" t="s">
        <v>194</v>
      </c>
      <c r="AQ32" s="846" t="s">
        <v>194</v>
      </c>
    </row>
    <row r="33" ht="15.75" customHeight="1">
      <c r="A33" s="849">
        <v>1.0</v>
      </c>
      <c r="B33" s="15"/>
      <c r="C33" s="869" t="str">
        <f>"    Total Shares Outstanding (TSO)"</f>
        <v>    Total Shares Outstanding (TSO)</v>
      </c>
      <c r="D33" s="870">
        <f t="shared" si="9"/>
        <v>20389860</v>
      </c>
      <c r="E33" s="870">
        <f t="shared" si="10"/>
        <v>20397321.8</v>
      </c>
      <c r="F33" s="870">
        <f t="shared" si="11"/>
        <v>19059364</v>
      </c>
      <c r="G33" s="870">
        <f t="shared" si="12"/>
        <v>21778632</v>
      </c>
      <c r="H33" s="870">
        <f t="shared" si="13"/>
        <v>19782403</v>
      </c>
      <c r="I33" s="870">
        <f t="shared" si="14"/>
        <v>20976350</v>
      </c>
      <c r="J33" s="870">
        <f t="shared" si="15"/>
        <v>1050190.865</v>
      </c>
      <c r="K33" s="871">
        <f t="shared" si="16"/>
        <v>0.05148670374</v>
      </c>
      <c r="L33" s="872" t="s">
        <v>194</v>
      </c>
      <c r="M33" s="904" t="s">
        <v>194</v>
      </c>
      <c r="N33" s="904" t="s">
        <v>194</v>
      </c>
      <c r="O33" s="904" t="s">
        <v>194</v>
      </c>
      <c r="P33" s="904">
        <v>1.9059364E7</v>
      </c>
      <c r="Q33" s="904">
        <v>1.9782403E7</v>
      </c>
      <c r="R33" s="904">
        <v>2.038986E7</v>
      </c>
      <c r="S33" s="904">
        <v>2.097635E7</v>
      </c>
      <c r="T33" s="904">
        <v>2.1778632E7</v>
      </c>
      <c r="U33" s="15"/>
      <c r="V33" s="851" t="s">
        <v>194</v>
      </c>
      <c r="W33" s="846" t="s">
        <v>194</v>
      </c>
      <c r="X33" s="846" t="s">
        <v>194</v>
      </c>
      <c r="Y33" s="846" t="s">
        <v>194</v>
      </c>
      <c r="Z33" s="846" t="s">
        <v>194</v>
      </c>
      <c r="AA33" s="846" t="s">
        <v>194</v>
      </c>
      <c r="AB33" s="846" t="s">
        <v>194</v>
      </c>
      <c r="AC33" s="846" t="s">
        <v>194</v>
      </c>
      <c r="AD33" s="846" t="s">
        <v>194</v>
      </c>
      <c r="AE33" s="846" t="s">
        <v>194</v>
      </c>
      <c r="AF33" s="846" t="s">
        <v>194</v>
      </c>
      <c r="AG33" s="846" t="s">
        <v>194</v>
      </c>
      <c r="AH33" s="846" t="s">
        <v>194</v>
      </c>
      <c r="AI33" s="846" t="s">
        <v>194</v>
      </c>
      <c r="AJ33" s="846" t="s">
        <v>194</v>
      </c>
      <c r="AK33" s="846" t="s">
        <v>194</v>
      </c>
      <c r="AL33" s="846" t="s">
        <v>194</v>
      </c>
      <c r="AM33" s="846" t="s">
        <v>194</v>
      </c>
      <c r="AN33" s="846" t="s">
        <v>194</v>
      </c>
      <c r="AO33" s="846" t="s">
        <v>194</v>
      </c>
      <c r="AP33" s="846" t="s">
        <v>194</v>
      </c>
      <c r="AQ33" s="846" t="s">
        <v>194</v>
      </c>
    </row>
    <row r="34" ht="15.75" customHeight="1">
      <c r="A34" s="978">
        <v>1.0</v>
      </c>
      <c r="B34" s="979"/>
      <c r="C34" s="980" t="str">
        <f>"    Working Capital"</f>
        <v>    Working Capital</v>
      </c>
      <c r="D34" s="981">
        <f t="shared" si="9"/>
        <v>83319.5</v>
      </c>
      <c r="E34" s="981">
        <f t="shared" si="10"/>
        <v>99515.5</v>
      </c>
      <c r="F34" s="981">
        <f t="shared" si="11"/>
        <v>1302</v>
      </c>
      <c r="G34" s="981">
        <f t="shared" si="12"/>
        <v>267998</v>
      </c>
      <c r="H34" s="981">
        <f t="shared" si="13"/>
        <v>13722.25</v>
      </c>
      <c r="I34" s="981">
        <f t="shared" si="14"/>
        <v>152675.5</v>
      </c>
      <c r="J34" s="981">
        <f t="shared" si="15"/>
        <v>95717.41708</v>
      </c>
      <c r="K34" s="982">
        <f t="shared" si="16"/>
        <v>0.9618342578</v>
      </c>
      <c r="L34" s="981" t="s">
        <v>194</v>
      </c>
      <c r="M34" s="981">
        <v>1302.0</v>
      </c>
      <c r="N34" s="981">
        <v>12880.0</v>
      </c>
      <c r="O34" s="981">
        <v>14003.0</v>
      </c>
      <c r="P34" s="981">
        <v>73808.0</v>
      </c>
      <c r="Q34" s="981">
        <v>92831.0</v>
      </c>
      <c r="R34" s="981">
        <v>138700.0</v>
      </c>
      <c r="S34" s="981">
        <v>194602.0</v>
      </c>
      <c r="T34" s="981">
        <v>267998.0</v>
      </c>
      <c r="U34" s="979"/>
      <c r="V34" s="983" t="s">
        <v>194</v>
      </c>
      <c r="W34" s="979" t="s">
        <v>194</v>
      </c>
      <c r="X34" s="979" t="s">
        <v>194</v>
      </c>
      <c r="Y34" s="979" t="s">
        <v>194</v>
      </c>
      <c r="Z34" s="979" t="s">
        <v>194</v>
      </c>
      <c r="AA34" s="979" t="s">
        <v>194</v>
      </c>
      <c r="AB34" s="979" t="s">
        <v>194</v>
      </c>
      <c r="AC34" s="979" t="s">
        <v>194</v>
      </c>
      <c r="AD34" s="979" t="s">
        <v>194</v>
      </c>
      <c r="AE34" s="979" t="s">
        <v>194</v>
      </c>
      <c r="AF34" s="979" t="s">
        <v>194</v>
      </c>
      <c r="AG34" s="979" t="s">
        <v>194</v>
      </c>
      <c r="AH34" s="979" t="s">
        <v>194</v>
      </c>
      <c r="AI34" s="979" t="s">
        <v>194</v>
      </c>
      <c r="AJ34" s="979" t="s">
        <v>194</v>
      </c>
      <c r="AK34" s="979" t="s">
        <v>194</v>
      </c>
      <c r="AL34" s="979" t="s">
        <v>194</v>
      </c>
      <c r="AM34" s="979" t="s">
        <v>194</v>
      </c>
      <c r="AN34" s="979" t="s">
        <v>194</v>
      </c>
      <c r="AO34" s="979" t="s">
        <v>194</v>
      </c>
      <c r="AP34" s="979" t="s">
        <v>194</v>
      </c>
      <c r="AQ34" s="979" t="s">
        <v>194</v>
      </c>
    </row>
    <row r="35" ht="15.75" customHeight="1">
      <c r="A35" s="849">
        <v>1.0</v>
      </c>
      <c r="B35" s="15"/>
      <c r="C35" s="855" t="str">
        <f>"Cash Flow"</f>
        <v>Cash Flow</v>
      </c>
      <c r="D35" s="867" t="s">
        <v>194</v>
      </c>
      <c r="E35" s="867" t="s">
        <v>194</v>
      </c>
      <c r="F35" s="867" t="s">
        <v>194</v>
      </c>
      <c r="G35" s="867" t="s">
        <v>194</v>
      </c>
      <c r="H35" s="867" t="s">
        <v>194</v>
      </c>
      <c r="I35" s="867" t="s">
        <v>194</v>
      </c>
      <c r="J35" s="867" t="s">
        <v>194</v>
      </c>
      <c r="K35" s="867" t="s">
        <v>194</v>
      </c>
      <c r="L35" s="867" t="s">
        <v>194</v>
      </c>
      <c r="M35" s="927" t="s">
        <v>194</v>
      </c>
      <c r="N35" s="927" t="s">
        <v>194</v>
      </c>
      <c r="O35" s="927" t="s">
        <v>194</v>
      </c>
      <c r="P35" s="927" t="s">
        <v>194</v>
      </c>
      <c r="Q35" s="927" t="s">
        <v>194</v>
      </c>
      <c r="R35" s="927" t="s">
        <v>194</v>
      </c>
      <c r="S35" s="927" t="s">
        <v>194</v>
      </c>
      <c r="T35" s="927" t="s">
        <v>194</v>
      </c>
      <c r="U35" s="15"/>
      <c r="V35" s="851" t="s">
        <v>194</v>
      </c>
      <c r="W35" s="846" t="s">
        <v>194</v>
      </c>
      <c r="X35" s="846" t="s">
        <v>194</v>
      </c>
      <c r="Y35" s="846" t="s">
        <v>194</v>
      </c>
      <c r="Z35" s="846" t="s">
        <v>194</v>
      </c>
      <c r="AA35" s="846" t="s">
        <v>194</v>
      </c>
      <c r="AB35" s="846" t="s">
        <v>194</v>
      </c>
      <c r="AC35" s="846" t="s">
        <v>194</v>
      </c>
      <c r="AD35" s="846" t="s">
        <v>194</v>
      </c>
      <c r="AE35" s="846" t="s">
        <v>194</v>
      </c>
      <c r="AF35" s="846" t="s">
        <v>194</v>
      </c>
      <c r="AG35" s="846" t="s">
        <v>194</v>
      </c>
      <c r="AH35" s="846" t="s">
        <v>194</v>
      </c>
      <c r="AI35" s="846" t="s">
        <v>194</v>
      </c>
      <c r="AJ35" s="846" t="s">
        <v>194</v>
      </c>
      <c r="AK35" s="846" t="s">
        <v>194</v>
      </c>
      <c r="AL35" s="846" t="s">
        <v>194</v>
      </c>
      <c r="AM35" s="846" t="s">
        <v>194</v>
      </c>
      <c r="AN35" s="846" t="s">
        <v>194</v>
      </c>
      <c r="AO35" s="846" t="s">
        <v>194</v>
      </c>
      <c r="AP35" s="846" t="s">
        <v>194</v>
      </c>
      <c r="AQ35" s="846" t="s">
        <v>194</v>
      </c>
    </row>
    <row r="36" ht="15.75" customHeight="1">
      <c r="A36" s="849">
        <v>1.0</v>
      </c>
      <c r="B36" s="15"/>
      <c r="C36" s="869" t="str">
        <f>"    Cash Flow from Operating Activities, Indirect"</f>
        <v>    Cash Flow from Operating Activities, Indirect</v>
      </c>
      <c r="D36" s="870">
        <f t="shared" ref="D36:D42" si="17">IF(COUNT(M36:T36)&gt;0,MEDIAN(M36:T36),"")</f>
        <v>23365.5</v>
      </c>
      <c r="E36" s="870">
        <f t="shared" ref="E36:E42" si="18">IF(COUNT(M36:T36)&gt;0,AVERAGE(M36:T36),"")</f>
        <v>28086.625</v>
      </c>
      <c r="F36" s="870">
        <f t="shared" ref="F36:F42" si="19">IF(COUNT(M36:T36)&gt;0,MIN(M36:T36),"")</f>
        <v>1859</v>
      </c>
      <c r="G36" s="870">
        <f t="shared" ref="G36:G42" si="20">IF(COUNT(M36:T36)&gt;0,MAX(M36:T36),"")</f>
        <v>60494</v>
      </c>
      <c r="H36" s="870">
        <f t="shared" ref="H36:H42" si="21">IF(COUNT(M36:T36)&gt;0,QUARTILE(M36:T36,1),"")</f>
        <v>11101.25</v>
      </c>
      <c r="I36" s="870">
        <f t="shared" ref="I36:I42" si="22">IF(COUNT(M36:T36)&gt;0,QUARTILE(M36:T36,3),"")</f>
        <v>43615</v>
      </c>
      <c r="J36" s="870">
        <f t="shared" ref="J36:J42" si="23">IF(COUNT(M36:T36)&gt;1,STDEV(M36:T36),"")</f>
        <v>23337.61956</v>
      </c>
      <c r="K36" s="871">
        <f t="shared" ref="K36:K42" si="24">IF(COUNT(M36:T36)&gt;1,STDEV(M36:T36)/AVERAGE(M36:T36),"")</f>
        <v>0.8309157671</v>
      </c>
      <c r="L36" s="872" t="s">
        <v>194</v>
      </c>
      <c r="M36" s="904">
        <v>1859.0</v>
      </c>
      <c r="N36" s="904">
        <v>4004.0</v>
      </c>
      <c r="O36" s="904">
        <v>13467.0</v>
      </c>
      <c r="P36" s="904">
        <v>15697.0</v>
      </c>
      <c r="Q36" s="904">
        <v>38161.0</v>
      </c>
      <c r="R36" s="904">
        <v>31034.0</v>
      </c>
      <c r="S36" s="904">
        <v>60494.0</v>
      </c>
      <c r="T36" s="904">
        <v>59977.0</v>
      </c>
      <c r="U36" s="15"/>
      <c r="V36" s="851" t="s">
        <v>194</v>
      </c>
      <c r="W36" s="846" t="s">
        <v>194</v>
      </c>
      <c r="X36" s="846" t="s">
        <v>194</v>
      </c>
      <c r="Y36" s="846" t="s">
        <v>194</v>
      </c>
      <c r="Z36" s="846" t="s">
        <v>194</v>
      </c>
      <c r="AA36" s="846" t="s">
        <v>194</v>
      </c>
      <c r="AB36" s="846" t="s">
        <v>194</v>
      </c>
      <c r="AC36" s="846" t="s">
        <v>194</v>
      </c>
      <c r="AD36" s="846" t="s">
        <v>194</v>
      </c>
      <c r="AE36" s="846" t="s">
        <v>194</v>
      </c>
      <c r="AF36" s="846" t="s">
        <v>194</v>
      </c>
      <c r="AG36" s="846" t="s">
        <v>194</v>
      </c>
      <c r="AH36" s="846" t="s">
        <v>194</v>
      </c>
      <c r="AI36" s="846" t="s">
        <v>194</v>
      </c>
      <c r="AJ36" s="846" t="s">
        <v>194</v>
      </c>
      <c r="AK36" s="846" t="s">
        <v>194</v>
      </c>
      <c r="AL36" s="846" t="s">
        <v>194</v>
      </c>
      <c r="AM36" s="846" t="s">
        <v>194</v>
      </c>
      <c r="AN36" s="846" t="s">
        <v>194</v>
      </c>
      <c r="AO36" s="846" t="s">
        <v>194</v>
      </c>
      <c r="AP36" s="846" t="s">
        <v>194</v>
      </c>
      <c r="AQ36" s="846" t="s">
        <v>194</v>
      </c>
    </row>
    <row r="37" ht="15.75" customHeight="1">
      <c r="A37" s="849">
        <v>1.0</v>
      </c>
      <c r="B37" s="15"/>
      <c r="C37" s="869" t="str">
        <f>"    Cash Flow from Investing Activities"</f>
        <v>    Cash Flow from Investing Activities</v>
      </c>
      <c r="D37" s="870">
        <f t="shared" si="17"/>
        <v>-17198</v>
      </c>
      <c r="E37" s="870">
        <f t="shared" si="18"/>
        <v>-18302</v>
      </c>
      <c r="F37" s="870">
        <f t="shared" si="19"/>
        <v>-29305</v>
      </c>
      <c r="G37" s="870">
        <f t="shared" si="20"/>
        <v>-8918</v>
      </c>
      <c r="H37" s="870">
        <f t="shared" si="21"/>
        <v>-24563.75</v>
      </c>
      <c r="I37" s="870">
        <f t="shared" si="22"/>
        <v>-12338</v>
      </c>
      <c r="J37" s="870">
        <f t="shared" si="23"/>
        <v>7269.19013</v>
      </c>
      <c r="K37" s="871">
        <f t="shared" si="24"/>
        <v>-0.3971800967</v>
      </c>
      <c r="L37" s="872" t="s">
        <v>194</v>
      </c>
      <c r="M37" s="904">
        <v>-8918.0</v>
      </c>
      <c r="N37" s="904">
        <v>-12475.0</v>
      </c>
      <c r="O37" s="904">
        <v>-18142.0</v>
      </c>
      <c r="P37" s="904">
        <v>-16254.0</v>
      </c>
      <c r="Q37" s="904">
        <v>-29305.0</v>
      </c>
      <c r="R37" s="904">
        <v>-11927.0</v>
      </c>
      <c r="S37" s="904">
        <v>-24430.0</v>
      </c>
      <c r="T37" s="904">
        <v>-24965.0</v>
      </c>
      <c r="U37" s="15"/>
      <c r="V37" s="851" t="s">
        <v>194</v>
      </c>
      <c r="W37" s="846" t="s">
        <v>194</v>
      </c>
      <c r="X37" s="846" t="s">
        <v>194</v>
      </c>
      <c r="Y37" s="846" t="s">
        <v>194</v>
      </c>
      <c r="Z37" s="846" t="s">
        <v>194</v>
      </c>
      <c r="AA37" s="846" t="s">
        <v>194</v>
      </c>
      <c r="AB37" s="846" t="s">
        <v>194</v>
      </c>
      <c r="AC37" s="846" t="s">
        <v>194</v>
      </c>
      <c r="AD37" s="846" t="s">
        <v>194</v>
      </c>
      <c r="AE37" s="846" t="s">
        <v>194</v>
      </c>
      <c r="AF37" s="846" t="s">
        <v>194</v>
      </c>
      <c r="AG37" s="846" t="s">
        <v>194</v>
      </c>
      <c r="AH37" s="846" t="s">
        <v>194</v>
      </c>
      <c r="AI37" s="846" t="s">
        <v>194</v>
      </c>
      <c r="AJ37" s="846" t="s">
        <v>194</v>
      </c>
      <c r="AK37" s="846" t="s">
        <v>194</v>
      </c>
      <c r="AL37" s="846" t="s">
        <v>194</v>
      </c>
      <c r="AM37" s="846" t="s">
        <v>194</v>
      </c>
      <c r="AN37" s="846" t="s">
        <v>194</v>
      </c>
      <c r="AO37" s="846" t="s">
        <v>194</v>
      </c>
      <c r="AP37" s="846" t="s">
        <v>194</v>
      </c>
      <c r="AQ37" s="846" t="s">
        <v>194</v>
      </c>
    </row>
    <row r="38" ht="15.75" customHeight="1">
      <c r="A38" s="849">
        <v>1.0</v>
      </c>
      <c r="B38" s="15"/>
      <c r="C38" s="869" t="str">
        <f>"    Cash Flow from Financing Activities"</f>
        <v>    Cash Flow from Financing Activities</v>
      </c>
      <c r="D38" s="870">
        <f t="shared" si="17"/>
        <v>10859</v>
      </c>
      <c r="E38" s="870">
        <f t="shared" si="18"/>
        <v>14025.5</v>
      </c>
      <c r="F38" s="870">
        <f t="shared" si="19"/>
        <v>381</v>
      </c>
      <c r="G38" s="870">
        <f t="shared" si="20"/>
        <v>43872</v>
      </c>
      <c r="H38" s="870">
        <f t="shared" si="21"/>
        <v>4653</v>
      </c>
      <c r="I38" s="870">
        <f t="shared" si="22"/>
        <v>18641.25</v>
      </c>
      <c r="J38" s="870">
        <f t="shared" si="23"/>
        <v>13964.38394</v>
      </c>
      <c r="K38" s="871">
        <f t="shared" si="24"/>
        <v>0.9956425041</v>
      </c>
      <c r="L38" s="872" t="s">
        <v>194</v>
      </c>
      <c r="M38" s="904">
        <v>5176.0</v>
      </c>
      <c r="N38" s="904">
        <v>19677.0</v>
      </c>
      <c r="O38" s="904">
        <v>3084.0</v>
      </c>
      <c r="P38" s="904">
        <v>43872.0</v>
      </c>
      <c r="Q38" s="904">
        <v>381.0</v>
      </c>
      <c r="R38" s="904">
        <v>7714.0</v>
      </c>
      <c r="S38" s="904">
        <v>14004.0</v>
      </c>
      <c r="T38" s="904">
        <v>18296.0</v>
      </c>
      <c r="U38" s="15"/>
      <c r="V38" s="851" t="s">
        <v>194</v>
      </c>
      <c r="W38" s="846" t="s">
        <v>194</v>
      </c>
      <c r="X38" s="846" t="s">
        <v>194</v>
      </c>
      <c r="Y38" s="846" t="s">
        <v>194</v>
      </c>
      <c r="Z38" s="846" t="s">
        <v>194</v>
      </c>
      <c r="AA38" s="846" t="s">
        <v>194</v>
      </c>
      <c r="AB38" s="846" t="s">
        <v>194</v>
      </c>
      <c r="AC38" s="846" t="s">
        <v>194</v>
      </c>
      <c r="AD38" s="846" t="s">
        <v>194</v>
      </c>
      <c r="AE38" s="846" t="s">
        <v>194</v>
      </c>
      <c r="AF38" s="846" t="s">
        <v>194</v>
      </c>
      <c r="AG38" s="846" t="s">
        <v>194</v>
      </c>
      <c r="AH38" s="846" t="s">
        <v>194</v>
      </c>
      <c r="AI38" s="846" t="s">
        <v>194</v>
      </c>
      <c r="AJ38" s="846" t="s">
        <v>194</v>
      </c>
      <c r="AK38" s="846" t="s">
        <v>194</v>
      </c>
      <c r="AL38" s="846" t="s">
        <v>194</v>
      </c>
      <c r="AM38" s="846" t="s">
        <v>194</v>
      </c>
      <c r="AN38" s="846" t="s">
        <v>194</v>
      </c>
      <c r="AO38" s="846" t="s">
        <v>194</v>
      </c>
      <c r="AP38" s="846" t="s">
        <v>194</v>
      </c>
      <c r="AQ38" s="846" t="s">
        <v>194</v>
      </c>
    </row>
    <row r="39" ht="15.75" customHeight="1">
      <c r="A39" s="849">
        <v>1.0</v>
      </c>
      <c r="B39" s="15"/>
      <c r="C39" s="869" t="str">
        <f>"    Change in Cash"</f>
        <v>    Change in Cash</v>
      </c>
      <c r="D39" s="870">
        <f t="shared" si="17"/>
        <v>19013.5</v>
      </c>
      <c r="E39" s="870">
        <f t="shared" si="18"/>
        <v>23810.125</v>
      </c>
      <c r="F39" s="870">
        <f t="shared" si="19"/>
        <v>-1883</v>
      </c>
      <c r="G39" s="870">
        <f t="shared" si="20"/>
        <v>53308</v>
      </c>
      <c r="H39" s="870">
        <f t="shared" si="21"/>
        <v>6530</v>
      </c>
      <c r="I39" s="870">
        <f t="shared" si="22"/>
        <v>45003.25</v>
      </c>
      <c r="J39" s="870">
        <f t="shared" si="23"/>
        <v>22758.67153</v>
      </c>
      <c r="K39" s="871">
        <f t="shared" si="24"/>
        <v>0.9558400693</v>
      </c>
      <c r="L39" s="872" t="s">
        <v>194</v>
      </c>
      <c r="M39" s="904">
        <v>-1883.0</v>
      </c>
      <c r="N39" s="904">
        <v>11206.0</v>
      </c>
      <c r="O39" s="904">
        <v>-1591.0</v>
      </c>
      <c r="P39" s="904">
        <v>43315.0</v>
      </c>
      <c r="Q39" s="904">
        <v>9237.0</v>
      </c>
      <c r="R39" s="904">
        <v>26821.0</v>
      </c>
      <c r="S39" s="904">
        <v>50068.0</v>
      </c>
      <c r="T39" s="904">
        <v>53308.0</v>
      </c>
      <c r="U39" s="15"/>
      <c r="V39" s="851" t="s">
        <v>194</v>
      </c>
      <c r="W39" s="846" t="s">
        <v>194</v>
      </c>
      <c r="X39" s="846" t="s">
        <v>194</v>
      </c>
      <c r="Y39" s="846" t="s">
        <v>194</v>
      </c>
      <c r="Z39" s="846" t="s">
        <v>194</v>
      </c>
      <c r="AA39" s="846" t="s">
        <v>194</v>
      </c>
      <c r="AB39" s="846" t="s">
        <v>194</v>
      </c>
      <c r="AC39" s="846" t="s">
        <v>194</v>
      </c>
      <c r="AD39" s="846" t="s">
        <v>194</v>
      </c>
      <c r="AE39" s="846" t="s">
        <v>194</v>
      </c>
      <c r="AF39" s="846" t="s">
        <v>194</v>
      </c>
      <c r="AG39" s="846" t="s">
        <v>194</v>
      </c>
      <c r="AH39" s="846" t="s">
        <v>194</v>
      </c>
      <c r="AI39" s="846" t="s">
        <v>194</v>
      </c>
      <c r="AJ39" s="846" t="s">
        <v>194</v>
      </c>
      <c r="AK39" s="846" t="s">
        <v>194</v>
      </c>
      <c r="AL39" s="846" t="s">
        <v>194</v>
      </c>
      <c r="AM39" s="846" t="s">
        <v>194</v>
      </c>
      <c r="AN39" s="846" t="s">
        <v>194</v>
      </c>
      <c r="AO39" s="846" t="s">
        <v>194</v>
      </c>
      <c r="AP39" s="846" t="s">
        <v>194</v>
      </c>
      <c r="AQ39" s="846" t="s">
        <v>194</v>
      </c>
    </row>
    <row r="40" ht="15.75" customHeight="1">
      <c r="A40" s="849">
        <v>1.0</v>
      </c>
      <c r="B40" s="15"/>
      <c r="C40" s="869" t="str">
        <f>"    Capital Expenditure (Calc)"</f>
        <v>    Capital Expenditure (Calc)</v>
      </c>
      <c r="D40" s="870">
        <f t="shared" si="17"/>
        <v>12468.5</v>
      </c>
      <c r="E40" s="870">
        <f t="shared" si="18"/>
        <v>12436.5</v>
      </c>
      <c r="F40" s="870">
        <f t="shared" si="19"/>
        <v>8016</v>
      </c>
      <c r="G40" s="870">
        <f t="shared" si="20"/>
        <v>18142</v>
      </c>
      <c r="H40" s="870">
        <f t="shared" si="21"/>
        <v>9910.25</v>
      </c>
      <c r="I40" s="870">
        <f t="shared" si="22"/>
        <v>13789</v>
      </c>
      <c r="J40" s="870">
        <f t="shared" si="23"/>
        <v>3459.892938</v>
      </c>
      <c r="K40" s="871">
        <f t="shared" si="24"/>
        <v>0.278204715</v>
      </c>
      <c r="L40" s="872" t="s">
        <v>194</v>
      </c>
      <c r="M40" s="904">
        <v>8960.0</v>
      </c>
      <c r="N40" s="904">
        <v>12448.0</v>
      </c>
      <c r="O40" s="904">
        <v>18142.0</v>
      </c>
      <c r="P40" s="904">
        <v>16237.0</v>
      </c>
      <c r="Q40" s="904">
        <v>12489.0</v>
      </c>
      <c r="R40" s="904">
        <v>8016.0</v>
      </c>
      <c r="S40" s="904">
        <v>10227.0</v>
      </c>
      <c r="T40" s="904">
        <v>12973.0</v>
      </c>
      <c r="U40" s="15"/>
      <c r="V40" s="851" t="s">
        <v>194</v>
      </c>
      <c r="W40" s="846" t="s">
        <v>194</v>
      </c>
      <c r="X40" s="846" t="s">
        <v>194</v>
      </c>
      <c r="Y40" s="846" t="s">
        <v>194</v>
      </c>
      <c r="Z40" s="846" t="s">
        <v>194</v>
      </c>
      <c r="AA40" s="846" t="s">
        <v>194</v>
      </c>
      <c r="AB40" s="846" t="s">
        <v>194</v>
      </c>
      <c r="AC40" s="846" t="s">
        <v>194</v>
      </c>
      <c r="AD40" s="846" t="s">
        <v>194</v>
      </c>
      <c r="AE40" s="846" t="s">
        <v>194</v>
      </c>
      <c r="AF40" s="846" t="s">
        <v>194</v>
      </c>
      <c r="AG40" s="846" t="s">
        <v>194</v>
      </c>
      <c r="AH40" s="846" t="s">
        <v>194</v>
      </c>
      <c r="AI40" s="846" t="s">
        <v>194</v>
      </c>
      <c r="AJ40" s="846" t="s">
        <v>194</v>
      </c>
      <c r="AK40" s="846" t="s">
        <v>194</v>
      </c>
      <c r="AL40" s="846" t="s">
        <v>194</v>
      </c>
      <c r="AM40" s="846" t="s">
        <v>194</v>
      </c>
      <c r="AN40" s="846" t="s">
        <v>194</v>
      </c>
      <c r="AO40" s="846" t="s">
        <v>194</v>
      </c>
      <c r="AP40" s="846" t="s">
        <v>194</v>
      </c>
      <c r="AQ40" s="846" t="s">
        <v>194</v>
      </c>
    </row>
    <row r="41" ht="15.75" customHeight="1">
      <c r="A41" s="849">
        <v>1.0</v>
      </c>
      <c r="B41" s="15"/>
      <c r="C41" s="869" t="str">
        <f>"    Cash and Cash Equivalents, Beginning of Period"</f>
        <v>    Cash and Cash Equivalents, Beginning of Period</v>
      </c>
      <c r="D41" s="870">
        <f t="shared" si="17"/>
        <v>35974</v>
      </c>
      <c r="E41" s="870">
        <f t="shared" si="18"/>
        <v>49634.25</v>
      </c>
      <c r="F41" s="870">
        <f t="shared" si="19"/>
        <v>3906</v>
      </c>
      <c r="G41" s="870">
        <f t="shared" si="20"/>
        <v>142953</v>
      </c>
      <c r="H41" s="870">
        <f t="shared" si="21"/>
        <v>11588</v>
      </c>
      <c r="I41" s="870">
        <f t="shared" si="22"/>
        <v>72792.25</v>
      </c>
      <c r="J41" s="870">
        <f t="shared" si="23"/>
        <v>49869.38898</v>
      </c>
      <c r="K41" s="871">
        <f t="shared" si="24"/>
        <v>1.004737434</v>
      </c>
      <c r="L41" s="872" t="s">
        <v>194</v>
      </c>
      <c r="M41" s="904">
        <v>5789.0</v>
      </c>
      <c r="N41" s="904">
        <v>3906.0</v>
      </c>
      <c r="O41" s="904">
        <v>15112.0</v>
      </c>
      <c r="P41" s="904">
        <v>13521.0</v>
      </c>
      <c r="Q41" s="904">
        <v>56836.0</v>
      </c>
      <c r="R41" s="904">
        <v>66106.0</v>
      </c>
      <c r="S41" s="904">
        <v>92851.0</v>
      </c>
      <c r="T41" s="904">
        <v>142953.0</v>
      </c>
      <c r="U41" s="15"/>
      <c r="V41" s="851" t="s">
        <v>194</v>
      </c>
      <c r="W41" s="846" t="s">
        <v>194</v>
      </c>
      <c r="X41" s="846" t="s">
        <v>194</v>
      </c>
      <c r="Y41" s="846" t="s">
        <v>194</v>
      </c>
      <c r="Z41" s="846" t="s">
        <v>194</v>
      </c>
      <c r="AA41" s="846" t="s">
        <v>194</v>
      </c>
      <c r="AB41" s="846" t="s">
        <v>194</v>
      </c>
      <c r="AC41" s="846" t="s">
        <v>194</v>
      </c>
      <c r="AD41" s="846" t="s">
        <v>194</v>
      </c>
      <c r="AE41" s="846" t="s">
        <v>194</v>
      </c>
      <c r="AF41" s="846" t="s">
        <v>194</v>
      </c>
      <c r="AG41" s="846" t="s">
        <v>194</v>
      </c>
      <c r="AH41" s="846" t="s">
        <v>194</v>
      </c>
      <c r="AI41" s="846" t="s">
        <v>194</v>
      </c>
      <c r="AJ41" s="846" t="s">
        <v>194</v>
      </c>
      <c r="AK41" s="846" t="s">
        <v>194</v>
      </c>
      <c r="AL41" s="846" t="s">
        <v>194</v>
      </c>
      <c r="AM41" s="846" t="s">
        <v>194</v>
      </c>
      <c r="AN41" s="846" t="s">
        <v>194</v>
      </c>
      <c r="AO41" s="846" t="s">
        <v>194</v>
      </c>
      <c r="AP41" s="846" t="s">
        <v>194</v>
      </c>
      <c r="AQ41" s="846" t="s">
        <v>194</v>
      </c>
    </row>
    <row r="42" ht="15.75" customHeight="1">
      <c r="A42" s="849">
        <v>1.0</v>
      </c>
      <c r="B42" s="15"/>
      <c r="C42" s="869" t="str">
        <f>"    Cash and Cash Equivalents, End of Period"</f>
        <v>    Cash and Cash Equivalents, End of Period</v>
      </c>
      <c r="D42" s="870">
        <f t="shared" si="17"/>
        <v>61471</v>
      </c>
      <c r="E42" s="870">
        <f t="shared" si="18"/>
        <v>73489.875</v>
      </c>
      <c r="F42" s="870">
        <f t="shared" si="19"/>
        <v>3906</v>
      </c>
      <c r="G42" s="870">
        <f t="shared" si="20"/>
        <v>196634</v>
      </c>
      <c r="H42" s="870">
        <f t="shared" si="21"/>
        <v>14714.25</v>
      </c>
      <c r="I42" s="870">
        <f t="shared" si="22"/>
        <v>105376.5</v>
      </c>
      <c r="J42" s="870">
        <f t="shared" si="23"/>
        <v>68183.03675</v>
      </c>
      <c r="K42" s="871">
        <f t="shared" si="24"/>
        <v>0.9277881714</v>
      </c>
      <c r="L42" s="872" t="s">
        <v>194</v>
      </c>
      <c r="M42" s="904">
        <v>3906.0</v>
      </c>
      <c r="N42" s="904">
        <v>15112.0</v>
      </c>
      <c r="O42" s="904">
        <v>13521.0</v>
      </c>
      <c r="P42" s="904">
        <v>56836.0</v>
      </c>
      <c r="Q42" s="904">
        <v>66106.0</v>
      </c>
      <c r="R42" s="904">
        <v>92851.0</v>
      </c>
      <c r="S42" s="904">
        <v>142953.0</v>
      </c>
      <c r="T42" s="904">
        <v>196634.0</v>
      </c>
      <c r="U42" s="15"/>
      <c r="V42" s="851" t="s">
        <v>194</v>
      </c>
      <c r="W42" s="846" t="s">
        <v>194</v>
      </c>
      <c r="X42" s="846" t="s">
        <v>194</v>
      </c>
      <c r="Y42" s="846" t="s">
        <v>194</v>
      </c>
      <c r="Z42" s="846" t="s">
        <v>194</v>
      </c>
      <c r="AA42" s="846" t="s">
        <v>194</v>
      </c>
      <c r="AB42" s="846" t="s">
        <v>194</v>
      </c>
      <c r="AC42" s="846" t="s">
        <v>194</v>
      </c>
      <c r="AD42" s="846" t="s">
        <v>194</v>
      </c>
      <c r="AE42" s="846" t="s">
        <v>194</v>
      </c>
      <c r="AF42" s="846" t="s">
        <v>194</v>
      </c>
      <c r="AG42" s="846" t="s">
        <v>194</v>
      </c>
      <c r="AH42" s="846" t="s">
        <v>194</v>
      </c>
      <c r="AI42" s="846" t="s">
        <v>194</v>
      </c>
      <c r="AJ42" s="846" t="s">
        <v>194</v>
      </c>
      <c r="AK42" s="846" t="s">
        <v>194</v>
      </c>
      <c r="AL42" s="846" t="s">
        <v>194</v>
      </c>
      <c r="AM42" s="846" t="s">
        <v>194</v>
      </c>
      <c r="AN42" s="846" t="s">
        <v>194</v>
      </c>
      <c r="AO42" s="846" t="s">
        <v>194</v>
      </c>
      <c r="AP42" s="846" t="s">
        <v>194</v>
      </c>
      <c r="AQ42" s="846" t="s">
        <v>194</v>
      </c>
    </row>
    <row r="43" ht="15.75" customHeight="1">
      <c r="A43" s="849">
        <v>1.0</v>
      </c>
      <c r="B43" s="15"/>
      <c r="C43" s="855" t="str">
        <f>"Ratios"</f>
        <v>Ratios</v>
      </c>
      <c r="D43" s="867" t="s">
        <v>194</v>
      </c>
      <c r="E43" s="867" t="s">
        <v>194</v>
      </c>
      <c r="F43" s="867" t="s">
        <v>194</v>
      </c>
      <c r="G43" s="867" t="s">
        <v>194</v>
      </c>
      <c r="H43" s="867" t="s">
        <v>194</v>
      </c>
      <c r="I43" s="867" t="s">
        <v>194</v>
      </c>
      <c r="J43" s="867" t="s">
        <v>194</v>
      </c>
      <c r="K43" s="867" t="s">
        <v>194</v>
      </c>
      <c r="L43" s="867" t="s">
        <v>194</v>
      </c>
      <c r="M43" s="927" t="s">
        <v>194</v>
      </c>
      <c r="N43" s="927" t="s">
        <v>194</v>
      </c>
      <c r="O43" s="927" t="s">
        <v>194</v>
      </c>
      <c r="P43" s="927" t="s">
        <v>194</v>
      </c>
      <c r="Q43" s="927" t="s">
        <v>194</v>
      </c>
      <c r="R43" s="927" t="s">
        <v>194</v>
      </c>
      <c r="S43" s="927" t="s">
        <v>194</v>
      </c>
      <c r="T43" s="927" t="s">
        <v>194</v>
      </c>
      <c r="U43" s="15"/>
      <c r="V43" s="851" t="s">
        <v>194</v>
      </c>
      <c r="W43" s="846" t="s">
        <v>194</v>
      </c>
      <c r="X43" s="846" t="s">
        <v>194</v>
      </c>
      <c r="Y43" s="846" t="s">
        <v>194</v>
      </c>
      <c r="Z43" s="846" t="s">
        <v>194</v>
      </c>
      <c r="AA43" s="846" t="s">
        <v>194</v>
      </c>
      <c r="AB43" s="846" t="s">
        <v>194</v>
      </c>
      <c r="AC43" s="846" t="s">
        <v>194</v>
      </c>
      <c r="AD43" s="846" t="s">
        <v>194</v>
      </c>
      <c r="AE43" s="846" t="s">
        <v>194</v>
      </c>
      <c r="AF43" s="846" t="s">
        <v>194</v>
      </c>
      <c r="AG43" s="846" t="s">
        <v>194</v>
      </c>
      <c r="AH43" s="846" t="s">
        <v>194</v>
      </c>
      <c r="AI43" s="846" t="s">
        <v>194</v>
      </c>
      <c r="AJ43" s="846" t="s">
        <v>194</v>
      </c>
      <c r="AK43" s="846" t="s">
        <v>194</v>
      </c>
      <c r="AL43" s="846" t="s">
        <v>194</v>
      </c>
      <c r="AM43" s="846" t="s">
        <v>194</v>
      </c>
      <c r="AN43" s="846" t="s">
        <v>194</v>
      </c>
      <c r="AO43" s="846" t="s">
        <v>194</v>
      </c>
      <c r="AP43" s="846" t="s">
        <v>194</v>
      </c>
      <c r="AQ43" s="846" t="s">
        <v>194</v>
      </c>
    </row>
    <row r="44" ht="15.75" customHeight="1">
      <c r="A44" s="849">
        <v>1.0</v>
      </c>
      <c r="B44" s="15"/>
      <c r="C44" s="869" t="str">
        <f>"    EBITDA Margin"</f>
        <v>    EBITDA Margin</v>
      </c>
      <c r="D44" s="938">
        <f t="shared" ref="D44:D57" si="25">IF(COUNT(M44:T44)&gt;0,MEDIAN(M44:T44),"")</f>
        <v>0.1683449863</v>
      </c>
      <c r="E44" s="938">
        <f t="shared" ref="E44:E57" si="26">IF(COUNT(M44:T44)&gt;0,AVERAGE(M44:T44),"")</f>
        <v>0.1497230022</v>
      </c>
      <c r="F44" s="938">
        <f t="shared" ref="F44:F57" si="27">IF(COUNT(M44:T44)&gt;0,MIN(M44:T44),"")</f>
        <v>0.04429718613</v>
      </c>
      <c r="G44" s="938">
        <f t="shared" ref="G44:G57" si="28">IF(COUNT(M44:T44)&gt;0,MAX(M44:T44),"")</f>
        <v>0.2002807965</v>
      </c>
      <c r="H44" s="938">
        <f t="shared" ref="H44:H57" si="29">IF(COUNT(M44:T44)&gt;0,QUARTILE(M44:T44,1),"")</f>
        <v>0.1322859985</v>
      </c>
      <c r="I44" s="938">
        <f t="shared" ref="I44:I57" si="30">IF(COUNT(M44:T44)&gt;0,QUARTILE(M44:T44,3),"")</f>
        <v>0.1785208487</v>
      </c>
      <c r="J44" s="938">
        <f t="shared" ref="J44:J57" si="31">IF(COUNT(M44:T44)&gt;1,STDEV(M44:T44),"")</f>
        <v>0.04933261444</v>
      </c>
      <c r="K44" s="871">
        <f t="shared" ref="K44:K57" si="32">IF(COUNT(M44:T44)&gt;1,STDEV(M44:T44)/AVERAGE(M44:T44),"")</f>
        <v>0.3294925543</v>
      </c>
      <c r="L44" s="939" t="s">
        <v>194</v>
      </c>
      <c r="M44" s="940">
        <v>0.04429718613305478</v>
      </c>
      <c r="N44" s="940">
        <v>0.1229207839262187</v>
      </c>
      <c r="O44" s="940">
        <v>0.17154673064432752</v>
      </c>
      <c r="P44" s="940">
        <v>0.2002807965380275</v>
      </c>
      <c r="Q44" s="940">
        <v>0.1802396151064432</v>
      </c>
      <c r="R44" s="940">
        <v>0.17794792657854647</v>
      </c>
      <c r="S44" s="940">
        <v>0.16514324200803407</v>
      </c>
      <c r="T44" s="940">
        <v>0.13540773670733375</v>
      </c>
      <c r="U44" s="15"/>
      <c r="V44" s="851" t="s">
        <v>194</v>
      </c>
      <c r="W44" s="846" t="s">
        <v>194</v>
      </c>
      <c r="X44" s="846" t="s">
        <v>194</v>
      </c>
      <c r="Y44" s="846" t="s">
        <v>194</v>
      </c>
      <c r="Z44" s="846" t="s">
        <v>194</v>
      </c>
      <c r="AA44" s="846" t="s">
        <v>194</v>
      </c>
      <c r="AB44" s="846" t="s">
        <v>194</v>
      </c>
      <c r="AC44" s="846" t="s">
        <v>194</v>
      </c>
      <c r="AD44" s="846" t="s">
        <v>194</v>
      </c>
      <c r="AE44" s="846" t="s">
        <v>194</v>
      </c>
      <c r="AF44" s="846" t="s">
        <v>194</v>
      </c>
      <c r="AG44" s="846" t="s">
        <v>194</v>
      </c>
      <c r="AH44" s="846" t="s">
        <v>194</v>
      </c>
      <c r="AI44" s="846" t="s">
        <v>194</v>
      </c>
      <c r="AJ44" s="846" t="s">
        <v>194</v>
      </c>
      <c r="AK44" s="846" t="s">
        <v>194</v>
      </c>
      <c r="AL44" s="846" t="s">
        <v>194</v>
      </c>
      <c r="AM44" s="846" t="s">
        <v>194</v>
      </c>
      <c r="AN44" s="846" t="s">
        <v>194</v>
      </c>
      <c r="AO44" s="846" t="s">
        <v>194</v>
      </c>
      <c r="AP44" s="846" t="s">
        <v>194</v>
      </c>
      <c r="AQ44" s="846" t="s">
        <v>194</v>
      </c>
    </row>
    <row r="45" ht="15.75" customHeight="1">
      <c r="A45" s="849">
        <v>1.0</v>
      </c>
      <c r="B45" s="15"/>
      <c r="C45" s="869" t="str">
        <f>"    Revenue % Growth"</f>
        <v>    Revenue % Growth</v>
      </c>
      <c r="D45" s="938">
        <f t="shared" si="25"/>
        <v>0.4356713893</v>
      </c>
      <c r="E45" s="938">
        <f t="shared" si="26"/>
        <v>0.4263509477</v>
      </c>
      <c r="F45" s="938">
        <f t="shared" si="27"/>
        <v>0.229794556</v>
      </c>
      <c r="G45" s="938">
        <f t="shared" si="28"/>
        <v>0.5856891036</v>
      </c>
      <c r="H45" s="938">
        <f t="shared" si="29"/>
        <v>0.3442635304</v>
      </c>
      <c r="I45" s="938">
        <f t="shared" si="30"/>
        <v>0.5223872621</v>
      </c>
      <c r="J45" s="938">
        <f t="shared" si="31"/>
        <v>0.133755786</v>
      </c>
      <c r="K45" s="871">
        <f t="shared" si="32"/>
        <v>0.3137222674</v>
      </c>
      <c r="L45" s="939" t="s">
        <v>194</v>
      </c>
      <c r="M45" s="940" t="s">
        <v>194</v>
      </c>
      <c r="N45" s="940">
        <v>0.5856891036103675</v>
      </c>
      <c r="O45" s="940">
        <v>0.5530920619235837</v>
      </c>
      <c r="P45" s="940">
        <v>0.491682462256273</v>
      </c>
      <c r="Q45" s="940">
        <v>0.4129130863627073</v>
      </c>
      <c r="R45" s="940">
        <v>0.2756139744033206</v>
      </c>
      <c r="S45" s="940">
        <v>0.22979455600530496</v>
      </c>
      <c r="T45" s="940">
        <v>0.43567138928310833</v>
      </c>
      <c r="U45" s="15"/>
      <c r="V45" s="851" t="s">
        <v>194</v>
      </c>
      <c r="W45" s="846" t="s">
        <v>194</v>
      </c>
      <c r="X45" s="846" t="s">
        <v>194</v>
      </c>
      <c r="Y45" s="846" t="s">
        <v>194</v>
      </c>
      <c r="Z45" s="846" t="s">
        <v>194</v>
      </c>
      <c r="AA45" s="846" t="s">
        <v>194</v>
      </c>
      <c r="AB45" s="846" t="s">
        <v>194</v>
      </c>
      <c r="AC45" s="846" t="s">
        <v>194</v>
      </c>
      <c r="AD45" s="846" t="s">
        <v>194</v>
      </c>
      <c r="AE45" s="846" t="s">
        <v>194</v>
      </c>
      <c r="AF45" s="846" t="s">
        <v>194</v>
      </c>
      <c r="AG45" s="846" t="s">
        <v>194</v>
      </c>
      <c r="AH45" s="846" t="s">
        <v>194</v>
      </c>
      <c r="AI45" s="846" t="s">
        <v>194</v>
      </c>
      <c r="AJ45" s="846" t="s">
        <v>194</v>
      </c>
      <c r="AK45" s="846" t="s">
        <v>194</v>
      </c>
      <c r="AL45" s="846" t="s">
        <v>194</v>
      </c>
      <c r="AM45" s="846" t="s">
        <v>194</v>
      </c>
      <c r="AN45" s="846" t="s">
        <v>194</v>
      </c>
      <c r="AO45" s="846" t="s">
        <v>194</v>
      </c>
      <c r="AP45" s="846" t="s">
        <v>194</v>
      </c>
      <c r="AQ45" s="846" t="s">
        <v>194</v>
      </c>
    </row>
    <row r="46" ht="15.75" customHeight="1">
      <c r="A46" s="849">
        <v>1.0</v>
      </c>
      <c r="B46" s="15"/>
      <c r="C46" s="869" t="str">
        <f>"    EBITDA % Growth"</f>
        <v>    EBITDA % Growth</v>
      </c>
      <c r="D46" s="938">
        <f t="shared" si="25"/>
        <v>0.2715293491</v>
      </c>
      <c r="E46" s="938">
        <f t="shared" si="26"/>
        <v>0.8797935225</v>
      </c>
      <c r="F46" s="938">
        <f t="shared" si="27"/>
        <v>0.1413016374</v>
      </c>
      <c r="G46" s="938">
        <f t="shared" si="28"/>
        <v>3.400147384</v>
      </c>
      <c r="H46" s="938">
        <f t="shared" si="29"/>
        <v>0.2182804889</v>
      </c>
      <c r="I46" s="938">
        <f t="shared" si="30"/>
        <v>0.9545076547</v>
      </c>
      <c r="J46" s="938">
        <f t="shared" si="31"/>
        <v>1.172461406</v>
      </c>
      <c r="K46" s="871">
        <f t="shared" si="32"/>
        <v>1.332655192</v>
      </c>
      <c r="L46" s="939" t="s">
        <v>194</v>
      </c>
      <c r="M46" s="940" t="s">
        <v>194</v>
      </c>
      <c r="N46" s="940">
        <v>3.400147383935151</v>
      </c>
      <c r="O46" s="940">
        <v>1.1674761346508125</v>
      </c>
      <c r="P46" s="940">
        <v>0.7415391747797868</v>
      </c>
      <c r="Q46" s="940">
        <v>0.27152934912817783</v>
      </c>
      <c r="R46" s="940">
        <v>0.2593949544645662</v>
      </c>
      <c r="S46" s="940">
        <v>0.14130163743662205</v>
      </c>
      <c r="T46" s="940">
        <v>0.17716602335348242</v>
      </c>
      <c r="U46" s="15"/>
      <c r="V46" s="851" t="s">
        <v>194</v>
      </c>
      <c r="W46" s="846" t="s">
        <v>194</v>
      </c>
      <c r="X46" s="846" t="s">
        <v>194</v>
      </c>
      <c r="Y46" s="846" t="s">
        <v>194</v>
      </c>
      <c r="Z46" s="846" t="s">
        <v>194</v>
      </c>
      <c r="AA46" s="846" t="s">
        <v>194</v>
      </c>
      <c r="AB46" s="846" t="s">
        <v>194</v>
      </c>
      <c r="AC46" s="846" t="s">
        <v>194</v>
      </c>
      <c r="AD46" s="846" t="s">
        <v>194</v>
      </c>
      <c r="AE46" s="846" t="s">
        <v>194</v>
      </c>
      <c r="AF46" s="846" t="s">
        <v>194</v>
      </c>
      <c r="AG46" s="846" t="s">
        <v>194</v>
      </c>
      <c r="AH46" s="846" t="s">
        <v>194</v>
      </c>
      <c r="AI46" s="846" t="s">
        <v>194</v>
      </c>
      <c r="AJ46" s="846" t="s">
        <v>194</v>
      </c>
      <c r="AK46" s="846" t="s">
        <v>194</v>
      </c>
      <c r="AL46" s="846" t="s">
        <v>194</v>
      </c>
      <c r="AM46" s="846" t="s">
        <v>194</v>
      </c>
      <c r="AN46" s="846" t="s">
        <v>194</v>
      </c>
      <c r="AO46" s="846" t="s">
        <v>194</v>
      </c>
      <c r="AP46" s="846" t="s">
        <v>194</v>
      </c>
      <c r="AQ46" s="846" t="s">
        <v>194</v>
      </c>
    </row>
    <row r="47" ht="15.75" customHeight="1">
      <c r="A47" s="849">
        <v>1.0</v>
      </c>
      <c r="B47" s="15"/>
      <c r="C47" s="869" t="str">
        <f>"    EBIT % Growth"</f>
        <v>    EBIT % Growth</v>
      </c>
      <c r="D47" s="938">
        <f t="shared" si="25"/>
        <v>0.4694805029</v>
      </c>
      <c r="E47" s="938">
        <f t="shared" si="26"/>
        <v>1.057087398</v>
      </c>
      <c r="F47" s="938">
        <f t="shared" si="27"/>
        <v>0.2820501442</v>
      </c>
      <c r="G47" s="938">
        <f t="shared" si="28"/>
        <v>3.455927052</v>
      </c>
      <c r="H47" s="938">
        <f t="shared" si="29"/>
        <v>0.3156999945</v>
      </c>
      <c r="I47" s="938">
        <f t="shared" si="30"/>
        <v>1.168229895</v>
      </c>
      <c r="J47" s="938">
        <f t="shared" si="31"/>
        <v>1.245038909</v>
      </c>
      <c r="K47" s="871">
        <f t="shared" si="32"/>
        <v>1.177801298</v>
      </c>
      <c r="L47" s="939" t="s">
        <v>194</v>
      </c>
      <c r="M47" s="940" t="s">
        <v>194</v>
      </c>
      <c r="N47" s="940" t="s">
        <v>194</v>
      </c>
      <c r="O47" s="940">
        <v>3.4559270516717326</v>
      </c>
      <c r="P47" s="940">
        <v>1.3781264211005002</v>
      </c>
      <c r="Q47" s="940">
        <v>0.4004206903145615</v>
      </c>
      <c r="R47" s="940">
        <v>0.5385403154229536</v>
      </c>
      <c r="S47" s="940">
        <v>0.282050144220102</v>
      </c>
      <c r="T47" s="940">
        <v>0.2874597625558133</v>
      </c>
      <c r="U47" s="15"/>
      <c r="V47" s="851" t="s">
        <v>194</v>
      </c>
      <c r="W47" s="846" t="s">
        <v>194</v>
      </c>
      <c r="X47" s="846" t="s">
        <v>194</v>
      </c>
      <c r="Y47" s="846" t="s">
        <v>194</v>
      </c>
      <c r="Z47" s="846" t="s">
        <v>194</v>
      </c>
      <c r="AA47" s="846" t="s">
        <v>194</v>
      </c>
      <c r="AB47" s="846" t="s">
        <v>194</v>
      </c>
      <c r="AC47" s="846" t="s">
        <v>194</v>
      </c>
      <c r="AD47" s="846" t="s">
        <v>194</v>
      </c>
      <c r="AE47" s="846" t="s">
        <v>194</v>
      </c>
      <c r="AF47" s="846" t="s">
        <v>194</v>
      </c>
      <c r="AG47" s="846" t="s">
        <v>194</v>
      </c>
      <c r="AH47" s="846" t="s">
        <v>194</v>
      </c>
      <c r="AI47" s="846" t="s">
        <v>194</v>
      </c>
      <c r="AJ47" s="846" t="s">
        <v>194</v>
      </c>
      <c r="AK47" s="846" t="s">
        <v>194</v>
      </c>
      <c r="AL47" s="846" t="s">
        <v>194</v>
      </c>
      <c r="AM47" s="846" t="s">
        <v>194</v>
      </c>
      <c r="AN47" s="846" t="s">
        <v>194</v>
      </c>
      <c r="AO47" s="846" t="s">
        <v>194</v>
      </c>
      <c r="AP47" s="846" t="s">
        <v>194</v>
      </c>
      <c r="AQ47" s="846" t="s">
        <v>194</v>
      </c>
    </row>
    <row r="48" ht="15.75" customHeight="1">
      <c r="A48" s="849">
        <v>1.0</v>
      </c>
      <c r="B48" s="15"/>
      <c r="C48" s="869" t="str">
        <f>"    Net Income from Continuing Operations Sequential % Growth"</f>
        <v>    Net Income from Continuing Operations Sequential % Growth</v>
      </c>
      <c r="D48" s="938">
        <f t="shared" si="25"/>
        <v>0.163156063</v>
      </c>
      <c r="E48" s="938">
        <f t="shared" si="26"/>
        <v>0.9562402575</v>
      </c>
      <c r="F48" s="938">
        <f t="shared" si="27"/>
        <v>-0.7497617127</v>
      </c>
      <c r="G48" s="938">
        <f t="shared" si="28"/>
        <v>6.120660694</v>
      </c>
      <c r="H48" s="938">
        <f t="shared" si="29"/>
        <v>-0.1454105087</v>
      </c>
      <c r="I48" s="938">
        <f t="shared" si="30"/>
        <v>0.2571613683</v>
      </c>
      <c r="J48" s="938">
        <f t="shared" si="31"/>
        <v>2.55820836</v>
      </c>
      <c r="K48" s="871">
        <f t="shared" si="32"/>
        <v>2.675277829</v>
      </c>
      <c r="L48" s="939" t="s">
        <v>194</v>
      </c>
      <c r="M48" s="940" t="s">
        <v>194</v>
      </c>
      <c r="N48" s="940" t="s">
        <v>194</v>
      </c>
      <c r="O48" s="940">
        <v>6.1206606942889135</v>
      </c>
      <c r="P48" s="940">
        <v>-0.7497617127355378</v>
      </c>
      <c r="Q48" s="940">
        <v>0.2529742591390871</v>
      </c>
      <c r="R48" s="940">
        <v>0.07333786682010768</v>
      </c>
      <c r="S48" s="940">
        <v>-0.21832663391394969</v>
      </c>
      <c r="T48" s="940">
        <v>0.25855707141816775</v>
      </c>
      <c r="U48" s="15"/>
      <c r="V48" s="851" t="s">
        <v>194</v>
      </c>
      <c r="W48" s="846" t="s">
        <v>194</v>
      </c>
      <c r="X48" s="846" t="s">
        <v>194</v>
      </c>
      <c r="Y48" s="846" t="s">
        <v>194</v>
      </c>
      <c r="Z48" s="846" t="s">
        <v>194</v>
      </c>
      <c r="AA48" s="846" t="s">
        <v>194</v>
      </c>
      <c r="AB48" s="846" t="s">
        <v>194</v>
      </c>
      <c r="AC48" s="846" t="s">
        <v>194</v>
      </c>
      <c r="AD48" s="846" t="s">
        <v>194</v>
      </c>
      <c r="AE48" s="846" t="s">
        <v>194</v>
      </c>
      <c r="AF48" s="846" t="s">
        <v>194</v>
      </c>
      <c r="AG48" s="846" t="s">
        <v>194</v>
      </c>
      <c r="AH48" s="846" t="s">
        <v>194</v>
      </c>
      <c r="AI48" s="846" t="s">
        <v>194</v>
      </c>
      <c r="AJ48" s="846" t="s">
        <v>194</v>
      </c>
      <c r="AK48" s="846" t="s">
        <v>194</v>
      </c>
      <c r="AL48" s="846" t="s">
        <v>194</v>
      </c>
      <c r="AM48" s="846" t="s">
        <v>194</v>
      </c>
      <c r="AN48" s="846" t="s">
        <v>194</v>
      </c>
      <c r="AO48" s="846" t="s">
        <v>194</v>
      </c>
      <c r="AP48" s="846" t="s">
        <v>194</v>
      </c>
      <c r="AQ48" s="846" t="s">
        <v>194</v>
      </c>
    </row>
    <row r="49" ht="15.75" customHeight="1">
      <c r="A49" s="849">
        <v>1.0</v>
      </c>
      <c r="B49" s="15"/>
      <c r="C49" s="869" t="str">
        <f>"    Net Income Available to Common Stockholders Sequential % Growth"</f>
        <v>    Net Income Available to Common Stockholders Sequential % Growth</v>
      </c>
      <c r="D49" s="938">
        <f t="shared" si="25"/>
        <v>0.07333786682</v>
      </c>
      <c r="E49" s="938">
        <f t="shared" si="26"/>
        <v>0.05325664436</v>
      </c>
      <c r="F49" s="938">
        <f t="shared" si="27"/>
        <v>-0.2183266339</v>
      </c>
      <c r="G49" s="938">
        <f t="shared" si="28"/>
        <v>0.2585570714</v>
      </c>
      <c r="H49" s="938">
        <f t="shared" si="29"/>
        <v>-0.1008016374</v>
      </c>
      <c r="I49" s="938">
        <f t="shared" si="30"/>
        <v>0.2535165549</v>
      </c>
      <c r="J49" s="938">
        <f t="shared" si="31"/>
        <v>0.2122186277</v>
      </c>
      <c r="K49" s="871">
        <f t="shared" si="32"/>
        <v>3.984829128</v>
      </c>
      <c r="L49" s="939" t="s">
        <v>194</v>
      </c>
      <c r="M49" s="940" t="s">
        <v>194</v>
      </c>
      <c r="N49" s="940" t="s">
        <v>194</v>
      </c>
      <c r="O49" s="940" t="s">
        <v>194</v>
      </c>
      <c r="P49" s="940">
        <v>-0.1008016373870032</v>
      </c>
      <c r="Q49" s="940">
        <v>0.25351655485825586</v>
      </c>
      <c r="R49" s="940">
        <v>0.07333786682010768</v>
      </c>
      <c r="S49" s="940">
        <v>-0.21832663391394969</v>
      </c>
      <c r="T49" s="940">
        <v>0.25855707141816775</v>
      </c>
      <c r="U49" s="15"/>
      <c r="V49" s="851" t="s">
        <v>194</v>
      </c>
      <c r="W49" s="846" t="s">
        <v>194</v>
      </c>
      <c r="X49" s="846" t="s">
        <v>194</v>
      </c>
      <c r="Y49" s="846" t="s">
        <v>194</v>
      </c>
      <c r="Z49" s="846" t="s">
        <v>194</v>
      </c>
      <c r="AA49" s="846" t="s">
        <v>194</v>
      </c>
      <c r="AB49" s="846" t="s">
        <v>194</v>
      </c>
      <c r="AC49" s="846" t="s">
        <v>194</v>
      </c>
      <c r="AD49" s="846" t="s">
        <v>194</v>
      </c>
      <c r="AE49" s="846" t="s">
        <v>194</v>
      </c>
      <c r="AF49" s="846" t="s">
        <v>194</v>
      </c>
      <c r="AG49" s="846" t="s">
        <v>194</v>
      </c>
      <c r="AH49" s="846" t="s">
        <v>194</v>
      </c>
      <c r="AI49" s="846" t="s">
        <v>194</v>
      </c>
      <c r="AJ49" s="846" t="s">
        <v>194</v>
      </c>
      <c r="AK49" s="846" t="s">
        <v>194</v>
      </c>
      <c r="AL49" s="846" t="s">
        <v>194</v>
      </c>
      <c r="AM49" s="846" t="s">
        <v>194</v>
      </c>
      <c r="AN49" s="846" t="s">
        <v>194</v>
      </c>
      <c r="AO49" s="846" t="s">
        <v>194</v>
      </c>
      <c r="AP49" s="846" t="s">
        <v>194</v>
      </c>
      <c r="AQ49" s="846" t="s">
        <v>194</v>
      </c>
    </row>
    <row r="50" ht="15.75" customHeight="1">
      <c r="A50" s="849">
        <v>1.0</v>
      </c>
      <c r="B50" s="15"/>
      <c r="C50" s="869" t="str">
        <f>"    Current Ratio"</f>
        <v>    Current Ratio</v>
      </c>
      <c r="D50" s="886">
        <f t="shared" si="25"/>
        <v>5.078338658</v>
      </c>
      <c r="E50" s="886">
        <f t="shared" si="26"/>
        <v>4.442996347</v>
      </c>
      <c r="F50" s="886">
        <f t="shared" si="27"/>
        <v>1.142435182</v>
      </c>
      <c r="G50" s="886">
        <f t="shared" si="28"/>
        <v>7.071350405</v>
      </c>
      <c r="H50" s="886">
        <f t="shared" si="29"/>
        <v>1.886450675</v>
      </c>
      <c r="I50" s="886">
        <f t="shared" si="30"/>
        <v>6.745353196</v>
      </c>
      <c r="J50" s="886">
        <f t="shared" si="31"/>
        <v>2.47425223</v>
      </c>
      <c r="K50" s="871">
        <f t="shared" si="32"/>
        <v>0.5568881981</v>
      </c>
      <c r="L50" s="887" t="s">
        <v>194</v>
      </c>
      <c r="M50" s="984">
        <v>1.1424351821463734</v>
      </c>
      <c r="N50" s="984">
        <v>1.9340101522842639</v>
      </c>
      <c r="O50" s="984">
        <v>1.7437722419928825</v>
      </c>
      <c r="P50" s="984">
        <v>4.939578329330131</v>
      </c>
      <c r="Q50" s="984">
        <v>5.21709898696225</v>
      </c>
      <c r="R50" s="984">
        <v>7.071350404902605</v>
      </c>
      <c r="S50" s="984">
        <v>6.7428436522457655</v>
      </c>
      <c r="T50" s="984">
        <v>6.752881828914886</v>
      </c>
      <c r="U50" s="15"/>
      <c r="V50" s="851" t="s">
        <v>194</v>
      </c>
      <c r="W50" s="846" t="s">
        <v>194</v>
      </c>
      <c r="X50" s="846" t="s">
        <v>194</v>
      </c>
      <c r="Y50" s="846" t="s">
        <v>194</v>
      </c>
      <c r="Z50" s="846" t="s">
        <v>194</v>
      </c>
      <c r="AA50" s="846" t="s">
        <v>194</v>
      </c>
      <c r="AB50" s="846" t="s">
        <v>194</v>
      </c>
      <c r="AC50" s="846" t="s">
        <v>194</v>
      </c>
      <c r="AD50" s="846" t="s">
        <v>194</v>
      </c>
      <c r="AE50" s="846" t="s">
        <v>194</v>
      </c>
      <c r="AF50" s="846" t="s">
        <v>194</v>
      </c>
      <c r="AG50" s="846" t="s">
        <v>194</v>
      </c>
      <c r="AH50" s="846" t="s">
        <v>194</v>
      </c>
      <c r="AI50" s="846" t="s">
        <v>194</v>
      </c>
      <c r="AJ50" s="846" t="s">
        <v>194</v>
      </c>
      <c r="AK50" s="846" t="s">
        <v>194</v>
      </c>
      <c r="AL50" s="846" t="s">
        <v>194</v>
      </c>
      <c r="AM50" s="846" t="s">
        <v>194</v>
      </c>
      <c r="AN50" s="846" t="s">
        <v>194</v>
      </c>
      <c r="AO50" s="846" t="s">
        <v>194</v>
      </c>
      <c r="AP50" s="846" t="s">
        <v>194</v>
      </c>
      <c r="AQ50" s="846" t="s">
        <v>194</v>
      </c>
    </row>
    <row r="51" ht="15.75" customHeight="1">
      <c r="A51" s="849">
        <v>1.0</v>
      </c>
      <c r="B51" s="15"/>
      <c r="C51" s="869" t="str">
        <f>"    Quick Ratio"</f>
        <v>    Quick Ratio</v>
      </c>
      <c r="D51" s="886">
        <f t="shared" si="25"/>
        <v>4.473387031</v>
      </c>
      <c r="E51" s="886">
        <f t="shared" si="26"/>
        <v>3.898603181</v>
      </c>
      <c r="F51" s="886">
        <f t="shared" si="27"/>
        <v>0.9052620063</v>
      </c>
      <c r="G51" s="886">
        <f t="shared" si="28"/>
        <v>6.35346903</v>
      </c>
      <c r="H51" s="886">
        <f t="shared" si="29"/>
        <v>1.520849946</v>
      </c>
      <c r="I51" s="886">
        <f t="shared" si="30"/>
        <v>6.033586728</v>
      </c>
      <c r="J51" s="886">
        <f t="shared" si="31"/>
        <v>2.308863423</v>
      </c>
      <c r="K51" s="871">
        <f t="shared" si="32"/>
        <v>0.5922283741</v>
      </c>
      <c r="L51" s="887" t="s">
        <v>194</v>
      </c>
      <c r="M51" s="984">
        <v>0.9052620063450388</v>
      </c>
      <c r="N51" s="984">
        <v>1.60572878897752</v>
      </c>
      <c r="O51" s="984">
        <v>1.2662134169012589</v>
      </c>
      <c r="P51" s="984">
        <v>4.180090739258073</v>
      </c>
      <c r="Q51" s="984">
        <v>4.766683323490665</v>
      </c>
      <c r="R51" s="984">
        <v>6.353469030422412</v>
      </c>
      <c r="S51" s="984">
        <v>6.099893761435401</v>
      </c>
      <c r="T51" s="984">
        <v>6.01148438338521</v>
      </c>
      <c r="U51" s="15"/>
      <c r="V51" s="851" t="s">
        <v>194</v>
      </c>
      <c r="W51" s="846" t="s">
        <v>194</v>
      </c>
      <c r="X51" s="846" t="s">
        <v>194</v>
      </c>
      <c r="Y51" s="846" t="s">
        <v>194</v>
      </c>
      <c r="Z51" s="846" t="s">
        <v>194</v>
      </c>
      <c r="AA51" s="846" t="s">
        <v>194</v>
      </c>
      <c r="AB51" s="846" t="s">
        <v>194</v>
      </c>
      <c r="AC51" s="846" t="s">
        <v>194</v>
      </c>
      <c r="AD51" s="846" t="s">
        <v>194</v>
      </c>
      <c r="AE51" s="846" t="s">
        <v>194</v>
      </c>
      <c r="AF51" s="846" t="s">
        <v>194</v>
      </c>
      <c r="AG51" s="846" t="s">
        <v>194</v>
      </c>
      <c r="AH51" s="846" t="s">
        <v>194</v>
      </c>
      <c r="AI51" s="846" t="s">
        <v>194</v>
      </c>
      <c r="AJ51" s="846" t="s">
        <v>194</v>
      </c>
      <c r="AK51" s="846" t="s">
        <v>194</v>
      </c>
      <c r="AL51" s="846" t="s">
        <v>194</v>
      </c>
      <c r="AM51" s="846" t="s">
        <v>194</v>
      </c>
      <c r="AN51" s="846" t="s">
        <v>194</v>
      </c>
      <c r="AO51" s="846" t="s">
        <v>194</v>
      </c>
      <c r="AP51" s="846" t="s">
        <v>194</v>
      </c>
      <c r="AQ51" s="846" t="s">
        <v>194</v>
      </c>
    </row>
    <row r="52" ht="15.75" customHeight="1">
      <c r="A52" s="849">
        <v>1.0</v>
      </c>
      <c r="B52" s="15"/>
      <c r="C52" s="869" t="str">
        <f>"    Debt to Equity"</f>
        <v>    Debt to Equity</v>
      </c>
      <c r="D52" s="886">
        <f t="shared" si="25"/>
        <v>0</v>
      </c>
      <c r="E52" s="886">
        <f t="shared" si="26"/>
        <v>0.02</v>
      </c>
      <c r="F52" s="886">
        <f t="shared" si="27"/>
        <v>0</v>
      </c>
      <c r="G52" s="886">
        <f t="shared" si="28"/>
        <v>0.1</v>
      </c>
      <c r="H52" s="886">
        <f t="shared" si="29"/>
        <v>0</v>
      </c>
      <c r="I52" s="886">
        <f t="shared" si="30"/>
        <v>0</v>
      </c>
      <c r="J52" s="886">
        <f t="shared" si="31"/>
        <v>0.04472135955</v>
      </c>
      <c r="K52" s="871">
        <f t="shared" si="32"/>
        <v>2.236067977</v>
      </c>
      <c r="L52" s="887" t="s">
        <v>194</v>
      </c>
      <c r="M52" s="984" t="s">
        <v>194</v>
      </c>
      <c r="N52" s="984" t="s">
        <v>194</v>
      </c>
      <c r="O52" s="984" t="s">
        <v>194</v>
      </c>
      <c r="P52" s="984">
        <v>0.1</v>
      </c>
      <c r="Q52" s="984">
        <v>0.0</v>
      </c>
      <c r="R52" s="984">
        <v>0.0</v>
      </c>
      <c r="S52" s="984">
        <v>0.0</v>
      </c>
      <c r="T52" s="984">
        <v>0.0</v>
      </c>
      <c r="U52" s="15"/>
      <c r="V52" s="851" t="s">
        <v>194</v>
      </c>
      <c r="W52" s="846" t="s">
        <v>194</v>
      </c>
      <c r="X52" s="846" t="s">
        <v>194</v>
      </c>
      <c r="Y52" s="846" t="s">
        <v>194</v>
      </c>
      <c r="Z52" s="846" t="s">
        <v>194</v>
      </c>
      <c r="AA52" s="846" t="s">
        <v>194</v>
      </c>
      <c r="AB52" s="846" t="s">
        <v>194</v>
      </c>
      <c r="AC52" s="846" t="s">
        <v>194</v>
      </c>
      <c r="AD52" s="846" t="s">
        <v>194</v>
      </c>
      <c r="AE52" s="846" t="s">
        <v>194</v>
      </c>
      <c r="AF52" s="846" t="s">
        <v>194</v>
      </c>
      <c r="AG52" s="846" t="s">
        <v>194</v>
      </c>
      <c r="AH52" s="846" t="s">
        <v>194</v>
      </c>
      <c r="AI52" s="846" t="s">
        <v>194</v>
      </c>
      <c r="AJ52" s="846" t="s">
        <v>194</v>
      </c>
      <c r="AK52" s="846" t="s">
        <v>194</v>
      </c>
      <c r="AL52" s="846" t="s">
        <v>194</v>
      </c>
      <c r="AM52" s="846" t="s">
        <v>194</v>
      </c>
      <c r="AN52" s="846" t="s">
        <v>194</v>
      </c>
      <c r="AO52" s="846" t="s">
        <v>194</v>
      </c>
      <c r="AP52" s="846" t="s">
        <v>194</v>
      </c>
      <c r="AQ52" s="846" t="s">
        <v>194</v>
      </c>
    </row>
    <row r="53" ht="15.75" customHeight="1">
      <c r="A53" s="849">
        <v>1.0</v>
      </c>
      <c r="B53" s="15"/>
      <c r="C53" s="869" t="str">
        <f>"    Total Debt to Equity"</f>
        <v>    Total Debt to Equity</v>
      </c>
      <c r="D53" s="886">
        <f t="shared" si="25"/>
        <v>0</v>
      </c>
      <c r="E53" s="886">
        <f t="shared" si="26"/>
        <v>0.04</v>
      </c>
      <c r="F53" s="886">
        <f t="shared" si="27"/>
        <v>0</v>
      </c>
      <c r="G53" s="886">
        <f t="shared" si="28"/>
        <v>0.1</v>
      </c>
      <c r="H53" s="886">
        <f t="shared" si="29"/>
        <v>0</v>
      </c>
      <c r="I53" s="886">
        <f t="shared" si="30"/>
        <v>0.1</v>
      </c>
      <c r="J53" s="886">
        <f t="shared" si="31"/>
        <v>0.05477225575</v>
      </c>
      <c r="K53" s="871">
        <f t="shared" si="32"/>
        <v>1.369306394</v>
      </c>
      <c r="L53" s="887" t="s">
        <v>194</v>
      </c>
      <c r="M53" s="984" t="s">
        <v>194</v>
      </c>
      <c r="N53" s="984" t="s">
        <v>194</v>
      </c>
      <c r="O53" s="984" t="s">
        <v>194</v>
      </c>
      <c r="P53" s="984">
        <v>0.1</v>
      </c>
      <c r="Q53" s="984">
        <v>0.1</v>
      </c>
      <c r="R53" s="984">
        <v>0.0</v>
      </c>
      <c r="S53" s="984">
        <v>0.0</v>
      </c>
      <c r="T53" s="984">
        <v>0.0</v>
      </c>
      <c r="U53" s="15"/>
      <c r="V53" s="851" t="s">
        <v>194</v>
      </c>
      <c r="W53" s="846" t="s">
        <v>194</v>
      </c>
      <c r="X53" s="846" t="s">
        <v>194</v>
      </c>
      <c r="Y53" s="846" t="s">
        <v>194</v>
      </c>
      <c r="Z53" s="846" t="s">
        <v>194</v>
      </c>
      <c r="AA53" s="846" t="s">
        <v>194</v>
      </c>
      <c r="AB53" s="846" t="s">
        <v>194</v>
      </c>
      <c r="AC53" s="846" t="s">
        <v>194</v>
      </c>
      <c r="AD53" s="846" t="s">
        <v>194</v>
      </c>
      <c r="AE53" s="846" t="s">
        <v>194</v>
      </c>
      <c r="AF53" s="846" t="s">
        <v>194</v>
      </c>
      <c r="AG53" s="846" t="s">
        <v>194</v>
      </c>
      <c r="AH53" s="846" t="s">
        <v>194</v>
      </c>
      <c r="AI53" s="846" t="s">
        <v>194</v>
      </c>
      <c r="AJ53" s="846" t="s">
        <v>194</v>
      </c>
      <c r="AK53" s="846" t="s">
        <v>194</v>
      </c>
      <c r="AL53" s="846" t="s">
        <v>194</v>
      </c>
      <c r="AM53" s="846" t="s">
        <v>194</v>
      </c>
      <c r="AN53" s="846" t="s">
        <v>194</v>
      </c>
      <c r="AO53" s="846" t="s">
        <v>194</v>
      </c>
      <c r="AP53" s="846" t="s">
        <v>194</v>
      </c>
      <c r="AQ53" s="846" t="s">
        <v>194</v>
      </c>
    </row>
    <row r="54" ht="15.75" customHeight="1">
      <c r="A54" s="849">
        <v>1.0</v>
      </c>
      <c r="B54" s="15"/>
      <c r="C54" s="869" t="str">
        <f>"    Total Asset Turnover"</f>
        <v>    Total Asset Turnover</v>
      </c>
      <c r="D54" s="886">
        <f t="shared" si="25"/>
        <v>1.090473324</v>
      </c>
      <c r="E54" s="886">
        <f t="shared" si="26"/>
        <v>1.131576571</v>
      </c>
      <c r="F54" s="886">
        <f t="shared" si="27"/>
        <v>1.011650381</v>
      </c>
      <c r="G54" s="886">
        <f t="shared" si="28"/>
        <v>1.354657891</v>
      </c>
      <c r="H54" s="886">
        <f t="shared" si="29"/>
        <v>1.046320727</v>
      </c>
      <c r="I54" s="886">
        <f t="shared" si="30"/>
        <v>1.187981848</v>
      </c>
      <c r="J54" s="886">
        <f t="shared" si="31"/>
        <v>0.1229982149</v>
      </c>
      <c r="K54" s="871">
        <f t="shared" si="32"/>
        <v>0.1086963252</v>
      </c>
      <c r="L54" s="887" t="s">
        <v>194</v>
      </c>
      <c r="M54" s="984">
        <v>1.2694873813766525</v>
      </c>
      <c r="N54" s="984">
        <v>1.3546578914343879</v>
      </c>
      <c r="O54" s="984">
        <v>1.1608133371287015</v>
      </c>
      <c r="P54" s="984">
        <v>1.011650380704956</v>
      </c>
      <c r="Q54" s="984">
        <v>1.055112989757763</v>
      </c>
      <c r="R54" s="984">
        <v>1.080708540799173</v>
      </c>
      <c r="S54" s="984">
        <v>1.0199439402520032</v>
      </c>
      <c r="T54" s="984">
        <v>1.1002381062107316</v>
      </c>
      <c r="U54" s="15"/>
      <c r="V54" s="851" t="s">
        <v>194</v>
      </c>
      <c r="W54" s="846" t="s">
        <v>194</v>
      </c>
      <c r="X54" s="846" t="s">
        <v>194</v>
      </c>
      <c r="Y54" s="846" t="s">
        <v>194</v>
      </c>
      <c r="Z54" s="846" t="s">
        <v>194</v>
      </c>
      <c r="AA54" s="846" t="s">
        <v>194</v>
      </c>
      <c r="AB54" s="846" t="s">
        <v>194</v>
      </c>
      <c r="AC54" s="846" t="s">
        <v>194</v>
      </c>
      <c r="AD54" s="846" t="s">
        <v>194</v>
      </c>
      <c r="AE54" s="846" t="s">
        <v>194</v>
      </c>
      <c r="AF54" s="846" t="s">
        <v>194</v>
      </c>
      <c r="AG54" s="846" t="s">
        <v>194</v>
      </c>
      <c r="AH54" s="846" t="s">
        <v>194</v>
      </c>
      <c r="AI54" s="846" t="s">
        <v>194</v>
      </c>
      <c r="AJ54" s="846" t="s">
        <v>194</v>
      </c>
      <c r="AK54" s="846" t="s">
        <v>194</v>
      </c>
      <c r="AL54" s="846" t="s">
        <v>194</v>
      </c>
      <c r="AM54" s="846" t="s">
        <v>194</v>
      </c>
      <c r="AN54" s="846" t="s">
        <v>194</v>
      </c>
      <c r="AO54" s="846" t="s">
        <v>194</v>
      </c>
      <c r="AP54" s="846" t="s">
        <v>194</v>
      </c>
      <c r="AQ54" s="846" t="s">
        <v>194</v>
      </c>
    </row>
    <row r="55" ht="15.75" customHeight="1">
      <c r="A55" s="849">
        <v>1.0</v>
      </c>
      <c r="B55" s="15"/>
      <c r="C55" s="869" t="str">
        <f>"    Normalized Return on Equity"</f>
        <v>    Normalized Return on Equity</v>
      </c>
      <c r="D55" s="938">
        <f t="shared" si="25"/>
        <v>0.1397114358</v>
      </c>
      <c r="E55" s="938">
        <f t="shared" si="26"/>
        <v>0.1556885791</v>
      </c>
      <c r="F55" s="938">
        <f t="shared" si="27"/>
        <v>0.07943117287</v>
      </c>
      <c r="G55" s="938">
        <f t="shared" si="28"/>
        <v>0.2365525562</v>
      </c>
      <c r="H55" s="938">
        <f t="shared" si="29"/>
        <v>0.1298235402</v>
      </c>
      <c r="I55" s="938">
        <f t="shared" si="30"/>
        <v>0.1929241904</v>
      </c>
      <c r="J55" s="938">
        <f t="shared" si="31"/>
        <v>0.06054943208</v>
      </c>
      <c r="K55" s="871">
        <f t="shared" si="32"/>
        <v>0.3889137689</v>
      </c>
      <c r="L55" s="939" t="s">
        <v>194</v>
      </c>
      <c r="M55" s="940" t="s">
        <v>194</v>
      </c>
      <c r="N55" s="940" t="s">
        <v>194</v>
      </c>
      <c r="O55" s="940" t="s">
        <v>194</v>
      </c>
      <c r="P55" s="940">
        <v>0.2365525562298536</v>
      </c>
      <c r="Q55" s="940">
        <v>0.07943117286888106</v>
      </c>
      <c r="R55" s="940">
        <v>0.129823540204868</v>
      </c>
      <c r="S55" s="940">
        <v>0.13971143575742614</v>
      </c>
      <c r="T55" s="940">
        <v>0.19292419041239894</v>
      </c>
      <c r="U55" s="15"/>
      <c r="V55" s="851" t="s">
        <v>194</v>
      </c>
      <c r="W55" s="846" t="s">
        <v>194</v>
      </c>
      <c r="X55" s="846" t="s">
        <v>194</v>
      </c>
      <c r="Y55" s="846" t="s">
        <v>194</v>
      </c>
      <c r="Z55" s="846" t="s">
        <v>194</v>
      </c>
      <c r="AA55" s="846" t="s">
        <v>194</v>
      </c>
      <c r="AB55" s="846" t="s">
        <v>194</v>
      </c>
      <c r="AC55" s="846" t="s">
        <v>194</v>
      </c>
      <c r="AD55" s="846" t="s">
        <v>194</v>
      </c>
      <c r="AE55" s="846" t="s">
        <v>194</v>
      </c>
      <c r="AF55" s="846" t="s">
        <v>194</v>
      </c>
      <c r="AG55" s="846" t="s">
        <v>194</v>
      </c>
      <c r="AH55" s="846" t="s">
        <v>194</v>
      </c>
      <c r="AI55" s="846" t="s">
        <v>194</v>
      </c>
      <c r="AJ55" s="846" t="s">
        <v>194</v>
      </c>
      <c r="AK55" s="846" t="s">
        <v>194</v>
      </c>
      <c r="AL55" s="846" t="s">
        <v>194</v>
      </c>
      <c r="AM55" s="846" t="s">
        <v>194</v>
      </c>
      <c r="AN55" s="846" t="s">
        <v>194</v>
      </c>
      <c r="AO55" s="846" t="s">
        <v>194</v>
      </c>
      <c r="AP55" s="846" t="s">
        <v>194</v>
      </c>
      <c r="AQ55" s="846" t="s">
        <v>194</v>
      </c>
    </row>
    <row r="56" ht="15.75" customHeight="1">
      <c r="A56" s="849">
        <v>1.0</v>
      </c>
      <c r="B56" s="15"/>
      <c r="C56" s="869" t="str">
        <f>"    Normalized Return on Assets"</f>
        <v>    Normalized Return on Assets</v>
      </c>
      <c r="D56" s="938">
        <f t="shared" si="25"/>
        <v>0.06274986771</v>
      </c>
      <c r="E56" s="938">
        <f t="shared" si="26"/>
        <v>0.06244549936</v>
      </c>
      <c r="F56" s="938">
        <f t="shared" si="27"/>
        <v>-0.08296382247</v>
      </c>
      <c r="G56" s="938">
        <f t="shared" si="28"/>
        <v>0.1592853741</v>
      </c>
      <c r="H56" s="938">
        <f t="shared" si="29"/>
        <v>0.04579913547</v>
      </c>
      <c r="I56" s="938">
        <f t="shared" si="30"/>
        <v>0.1112123019</v>
      </c>
      <c r="J56" s="938">
        <f t="shared" si="31"/>
        <v>0.07361591366</v>
      </c>
      <c r="K56" s="871">
        <f t="shared" si="32"/>
        <v>1.178882616</v>
      </c>
      <c r="L56" s="939" t="s">
        <v>194</v>
      </c>
      <c r="M56" s="940">
        <v>-0.08296382246902324</v>
      </c>
      <c r="N56" s="940">
        <v>0.015728488363986222</v>
      </c>
      <c r="O56" s="940">
        <v>0.055822684504896795</v>
      </c>
      <c r="P56" s="940">
        <v>0.05904297875783209</v>
      </c>
      <c r="Q56" s="940">
        <v>0.06645675665811765</v>
      </c>
      <c r="R56" s="940">
        <v>0.10932883635307689</v>
      </c>
      <c r="S56" s="940">
        <v>0.11686269859605292</v>
      </c>
      <c r="T56" s="940">
        <v>0.15928537413398466</v>
      </c>
      <c r="U56" s="15"/>
      <c r="V56" s="851" t="s">
        <v>194</v>
      </c>
      <c r="W56" s="846" t="s">
        <v>194</v>
      </c>
      <c r="X56" s="846" t="s">
        <v>194</v>
      </c>
      <c r="Y56" s="846" t="s">
        <v>194</v>
      </c>
      <c r="Z56" s="846" t="s">
        <v>194</v>
      </c>
      <c r="AA56" s="846" t="s">
        <v>194</v>
      </c>
      <c r="AB56" s="846" t="s">
        <v>194</v>
      </c>
      <c r="AC56" s="846" t="s">
        <v>194</v>
      </c>
      <c r="AD56" s="846" t="s">
        <v>194</v>
      </c>
      <c r="AE56" s="846" t="s">
        <v>194</v>
      </c>
      <c r="AF56" s="846" t="s">
        <v>194</v>
      </c>
      <c r="AG56" s="846" t="s">
        <v>194</v>
      </c>
      <c r="AH56" s="846" t="s">
        <v>194</v>
      </c>
      <c r="AI56" s="846" t="s">
        <v>194</v>
      </c>
      <c r="AJ56" s="846" t="s">
        <v>194</v>
      </c>
      <c r="AK56" s="846" t="s">
        <v>194</v>
      </c>
      <c r="AL56" s="846" t="s">
        <v>194</v>
      </c>
      <c r="AM56" s="846" t="s">
        <v>194</v>
      </c>
      <c r="AN56" s="846" t="s">
        <v>194</v>
      </c>
      <c r="AO56" s="846" t="s">
        <v>194</v>
      </c>
      <c r="AP56" s="846" t="s">
        <v>194</v>
      </c>
      <c r="AQ56" s="846" t="s">
        <v>194</v>
      </c>
    </row>
    <row r="57" ht="15.75" customHeight="1">
      <c r="A57" s="849">
        <v>1.0</v>
      </c>
      <c r="B57" s="15"/>
      <c r="C57" s="869" t="str">
        <f>"    Normalized Return on Invested Capital"</f>
        <v>    Normalized Return on Invested Capital</v>
      </c>
      <c r="D57" s="938">
        <f t="shared" si="25"/>
        <v>0.1328368103</v>
      </c>
      <c r="E57" s="938">
        <f t="shared" si="26"/>
        <v>0.1320967931</v>
      </c>
      <c r="F57" s="938">
        <f t="shared" si="27"/>
        <v>0.0786422913</v>
      </c>
      <c r="G57" s="938">
        <f t="shared" si="28"/>
        <v>0.1840712605</v>
      </c>
      <c r="H57" s="938">
        <f t="shared" si="29"/>
        <v>0.1161179666</v>
      </c>
      <c r="I57" s="938">
        <f t="shared" si="30"/>
        <v>0.1488156368</v>
      </c>
      <c r="J57" s="938">
        <f t="shared" si="31"/>
        <v>0.0431878012</v>
      </c>
      <c r="K57" s="871">
        <f t="shared" si="32"/>
        <v>0.3269405728</v>
      </c>
      <c r="L57" s="939" t="s">
        <v>194</v>
      </c>
      <c r="M57" s="940" t="s">
        <v>194</v>
      </c>
      <c r="N57" s="940" t="s">
        <v>194</v>
      </c>
      <c r="O57" s="940" t="s">
        <v>194</v>
      </c>
      <c r="P57" s="940" t="s">
        <v>194</v>
      </c>
      <c r="Q57" s="940">
        <v>0.07864229129543218</v>
      </c>
      <c r="R57" s="940">
        <v>0.12860985838487332</v>
      </c>
      <c r="S57" s="940">
        <v>0.137063762285245</v>
      </c>
      <c r="T57" s="940">
        <v>0.1840712604541691</v>
      </c>
      <c r="U57" s="15"/>
      <c r="V57" s="851" t="s">
        <v>194</v>
      </c>
      <c r="W57" s="846" t="s">
        <v>194</v>
      </c>
      <c r="X57" s="846" t="s">
        <v>194</v>
      </c>
      <c r="Y57" s="846" t="s">
        <v>194</v>
      </c>
      <c r="Z57" s="846" t="s">
        <v>194</v>
      </c>
      <c r="AA57" s="846" t="s">
        <v>194</v>
      </c>
      <c r="AB57" s="846" t="s">
        <v>194</v>
      </c>
      <c r="AC57" s="846" t="s">
        <v>194</v>
      </c>
      <c r="AD57" s="846" t="s">
        <v>194</v>
      </c>
      <c r="AE57" s="846" t="s">
        <v>194</v>
      </c>
      <c r="AF57" s="846" t="s">
        <v>194</v>
      </c>
      <c r="AG57" s="846" t="s">
        <v>194</v>
      </c>
      <c r="AH57" s="846" t="s">
        <v>194</v>
      </c>
      <c r="AI57" s="846" t="s">
        <v>194</v>
      </c>
      <c r="AJ57" s="846" t="s">
        <v>194</v>
      </c>
      <c r="AK57" s="846" t="s">
        <v>194</v>
      </c>
      <c r="AL57" s="846" t="s">
        <v>194</v>
      </c>
      <c r="AM57" s="846" t="s">
        <v>194</v>
      </c>
      <c r="AN57" s="846" t="s">
        <v>194</v>
      </c>
      <c r="AO57" s="846" t="s">
        <v>194</v>
      </c>
      <c r="AP57" s="846" t="s">
        <v>194</v>
      </c>
      <c r="AQ57" s="846" t="s">
        <v>194</v>
      </c>
    </row>
    <row r="58" ht="15.75" customHeight="1">
      <c r="A58" s="849">
        <v>1.0</v>
      </c>
      <c r="B58" s="15"/>
      <c r="C58" s="855" t="str">
        <f>"Multiples*"</f>
        <v>Multiples*</v>
      </c>
      <c r="D58" s="867" t="s">
        <v>194</v>
      </c>
      <c r="E58" s="867" t="s">
        <v>194</v>
      </c>
      <c r="F58" s="867" t="s">
        <v>194</v>
      </c>
      <c r="G58" s="867" t="s">
        <v>194</v>
      </c>
      <c r="H58" s="867" t="s">
        <v>194</v>
      </c>
      <c r="I58" s="867" t="s">
        <v>194</v>
      </c>
      <c r="J58" s="867" t="s">
        <v>194</v>
      </c>
      <c r="K58" s="867" t="s">
        <v>194</v>
      </c>
      <c r="L58" s="867" t="s">
        <v>194</v>
      </c>
      <c r="M58" s="927" t="s">
        <v>194</v>
      </c>
      <c r="N58" s="927" t="s">
        <v>194</v>
      </c>
      <c r="O58" s="927" t="s">
        <v>194</v>
      </c>
      <c r="P58" s="927" t="s">
        <v>194</v>
      </c>
      <c r="Q58" s="927" t="s">
        <v>194</v>
      </c>
      <c r="R58" s="927" t="s">
        <v>194</v>
      </c>
      <c r="S58" s="927" t="s">
        <v>194</v>
      </c>
      <c r="T58" s="927" t="s">
        <v>194</v>
      </c>
      <c r="U58" s="15"/>
      <c r="V58" s="851" t="s">
        <v>194</v>
      </c>
      <c r="W58" s="846" t="s">
        <v>194</v>
      </c>
      <c r="X58" s="846" t="s">
        <v>194</v>
      </c>
      <c r="Y58" s="846" t="s">
        <v>194</v>
      </c>
      <c r="Z58" s="846" t="s">
        <v>194</v>
      </c>
      <c r="AA58" s="846" t="s">
        <v>194</v>
      </c>
      <c r="AB58" s="846" t="s">
        <v>194</v>
      </c>
      <c r="AC58" s="846" t="s">
        <v>194</v>
      </c>
      <c r="AD58" s="846" t="s">
        <v>194</v>
      </c>
      <c r="AE58" s="846" t="s">
        <v>194</v>
      </c>
      <c r="AF58" s="846" t="s">
        <v>194</v>
      </c>
      <c r="AG58" s="846" t="s">
        <v>194</v>
      </c>
      <c r="AH58" s="846" t="s">
        <v>194</v>
      </c>
      <c r="AI58" s="846" t="s">
        <v>194</v>
      </c>
      <c r="AJ58" s="846" t="s">
        <v>194</v>
      </c>
      <c r="AK58" s="846" t="s">
        <v>194</v>
      </c>
      <c r="AL58" s="846" t="s">
        <v>194</v>
      </c>
      <c r="AM58" s="846" t="s">
        <v>194</v>
      </c>
      <c r="AN58" s="846" t="s">
        <v>194</v>
      </c>
      <c r="AO58" s="846" t="s">
        <v>194</v>
      </c>
      <c r="AP58" s="846" t="s">
        <v>194</v>
      </c>
      <c r="AQ58" s="846" t="s">
        <v>194</v>
      </c>
    </row>
    <row r="59" ht="15.75" customHeight="1">
      <c r="A59" s="985">
        <v>1.0</v>
      </c>
      <c r="B59" s="986"/>
      <c r="C59" s="987" t="str">
        <f>"    Stock Price"</f>
        <v>    Stock Price</v>
      </c>
      <c r="D59" s="988">
        <f t="shared" ref="D59:D69" si="33">IF(COUNT(M59:T59)&gt;0,MEDIAN(M59:T59),"")</f>
        <v>67.17</v>
      </c>
      <c r="E59" s="988">
        <f t="shared" ref="E59:E69" si="34">IF(COUNT(M59:T59)&gt;0,AVERAGE(M59:T59),"")</f>
        <v>76.376</v>
      </c>
      <c r="F59" s="988">
        <f t="shared" ref="F59:F69" si="35">IF(COUNT(M59:T59)&gt;0,MIN(M59:T59),"")</f>
        <v>31.37</v>
      </c>
      <c r="G59" s="988">
        <f t="shared" ref="G59:G69" si="36">IF(COUNT(M59:T59)&gt;0,MAX(M59:T59),"")</f>
        <v>124.17</v>
      </c>
      <c r="H59" s="988">
        <f t="shared" ref="H59:H69" si="37">IF(COUNT(M59:T59)&gt;0,QUARTILE(M59:T59,1),"")</f>
        <v>40.09</v>
      </c>
      <c r="I59" s="988">
        <f t="shared" ref="I59:I69" si="38">IF(COUNT(M59:T59)&gt;0,QUARTILE(M59:T59,3),"")</f>
        <v>119.08</v>
      </c>
      <c r="J59" s="988">
        <f t="shared" ref="J59:J69" si="39">IF(COUNT(M59:T59)&gt;1,STDEV(M59:T59),"")</f>
        <v>43.40179236</v>
      </c>
      <c r="K59" s="988">
        <f t="shared" ref="K59:K69" si="40">IF(COUNT(M59:T59)&gt;1,STDEV(M59:T59)/AVERAGE(M59:T59),"")</f>
        <v>0.5682647999</v>
      </c>
      <c r="L59" s="988" t="s">
        <v>194</v>
      </c>
      <c r="M59" s="988" t="s">
        <v>194</v>
      </c>
      <c r="N59" s="988" t="s">
        <v>194</v>
      </c>
      <c r="O59" s="988" t="s">
        <v>194</v>
      </c>
      <c r="P59" s="988">
        <v>31.37</v>
      </c>
      <c r="Q59" s="988">
        <v>40.09</v>
      </c>
      <c r="R59" s="988">
        <v>67.17</v>
      </c>
      <c r="S59" s="988">
        <v>119.08</v>
      </c>
      <c r="T59" s="988">
        <v>124.17</v>
      </c>
      <c r="U59" s="986"/>
      <c r="V59" s="989" t="s">
        <v>194</v>
      </c>
      <c r="W59" s="986" t="s">
        <v>194</v>
      </c>
      <c r="X59" s="986" t="s">
        <v>194</v>
      </c>
      <c r="Y59" s="986" t="s">
        <v>194</v>
      </c>
      <c r="Z59" s="986" t="s">
        <v>194</v>
      </c>
      <c r="AA59" s="986" t="s">
        <v>194</v>
      </c>
      <c r="AB59" s="986" t="s">
        <v>194</v>
      </c>
      <c r="AC59" s="986" t="s">
        <v>194</v>
      </c>
      <c r="AD59" s="986" t="s">
        <v>194</v>
      </c>
      <c r="AE59" s="986" t="s">
        <v>194</v>
      </c>
      <c r="AF59" s="986" t="s">
        <v>194</v>
      </c>
      <c r="AG59" s="986" t="s">
        <v>194</v>
      </c>
      <c r="AH59" s="986" t="s">
        <v>194</v>
      </c>
      <c r="AI59" s="986" t="s">
        <v>194</v>
      </c>
      <c r="AJ59" s="986" t="s">
        <v>194</v>
      </c>
      <c r="AK59" s="986" t="s">
        <v>194</v>
      </c>
      <c r="AL59" s="986" t="s">
        <v>194</v>
      </c>
      <c r="AM59" s="986" t="s">
        <v>194</v>
      </c>
      <c r="AN59" s="986" t="s">
        <v>194</v>
      </c>
      <c r="AO59" s="986" t="s">
        <v>194</v>
      </c>
      <c r="AP59" s="986" t="s">
        <v>194</v>
      </c>
      <c r="AQ59" s="986" t="s">
        <v>194</v>
      </c>
    </row>
    <row r="60" ht="15.75" customHeight="1">
      <c r="A60" s="985">
        <v>1.0</v>
      </c>
      <c r="B60" s="986"/>
      <c r="C60" s="987" t="str">
        <f>"    Market Cap"</f>
        <v>    Market Cap</v>
      </c>
      <c r="D60" s="990">
        <f t="shared" si="33"/>
        <v>1360910.883</v>
      </c>
      <c r="E60" s="990">
        <f t="shared" si="34"/>
        <v>1581916.654</v>
      </c>
      <c r="F60" s="990">
        <f t="shared" si="35"/>
        <v>597892.249</v>
      </c>
      <c r="G60" s="990">
        <f t="shared" si="36"/>
        <v>2672461.49</v>
      </c>
      <c r="H60" s="990">
        <f t="shared" si="37"/>
        <v>793076.536</v>
      </c>
      <c r="I60" s="990">
        <f t="shared" si="38"/>
        <v>2485242.112</v>
      </c>
      <c r="J60" s="990">
        <f t="shared" si="39"/>
        <v>954555.0318</v>
      </c>
      <c r="K60" s="988">
        <f t="shared" si="40"/>
        <v>0.6034167662</v>
      </c>
      <c r="L60" s="990" t="s">
        <v>194</v>
      </c>
      <c r="M60" s="990" t="s">
        <v>194</v>
      </c>
      <c r="N60" s="990" t="s">
        <v>194</v>
      </c>
      <c r="O60" s="990" t="s">
        <v>194</v>
      </c>
      <c r="P60" s="990">
        <v>597892.249</v>
      </c>
      <c r="Q60" s="990">
        <v>793076.536</v>
      </c>
      <c r="R60" s="990">
        <v>1360910.883</v>
      </c>
      <c r="S60" s="990">
        <v>2485242.112</v>
      </c>
      <c r="T60" s="990">
        <v>2672461.49</v>
      </c>
      <c r="U60" s="986"/>
      <c r="V60" s="989" t="s">
        <v>194</v>
      </c>
      <c r="W60" s="986" t="s">
        <v>194</v>
      </c>
      <c r="X60" s="986" t="s">
        <v>194</v>
      </c>
      <c r="Y60" s="986" t="s">
        <v>194</v>
      </c>
      <c r="Z60" s="986" t="s">
        <v>194</v>
      </c>
      <c r="AA60" s="986" t="s">
        <v>194</v>
      </c>
      <c r="AB60" s="986" t="s">
        <v>194</v>
      </c>
      <c r="AC60" s="986" t="s">
        <v>194</v>
      </c>
      <c r="AD60" s="986" t="s">
        <v>194</v>
      </c>
      <c r="AE60" s="986" t="s">
        <v>194</v>
      </c>
      <c r="AF60" s="986" t="s">
        <v>194</v>
      </c>
      <c r="AG60" s="986" t="s">
        <v>194</v>
      </c>
      <c r="AH60" s="986" t="s">
        <v>194</v>
      </c>
      <c r="AI60" s="986" t="s">
        <v>194</v>
      </c>
      <c r="AJ60" s="986" t="s">
        <v>194</v>
      </c>
      <c r="AK60" s="986" t="s">
        <v>194</v>
      </c>
      <c r="AL60" s="986" t="s">
        <v>194</v>
      </c>
      <c r="AM60" s="986" t="s">
        <v>194</v>
      </c>
      <c r="AN60" s="986" t="s">
        <v>194</v>
      </c>
      <c r="AO60" s="986" t="s">
        <v>194</v>
      </c>
      <c r="AP60" s="986" t="s">
        <v>194</v>
      </c>
      <c r="AQ60" s="986" t="s">
        <v>194</v>
      </c>
    </row>
    <row r="61" ht="15.75" customHeight="1">
      <c r="A61" s="985">
        <v>1.0</v>
      </c>
      <c r="B61" s="986"/>
      <c r="C61" s="987" t="str">
        <f>"    Enterprise Value"</f>
        <v>    Enterprise Value</v>
      </c>
      <c r="D61" s="990">
        <f t="shared" si="33"/>
        <v>1252650.883</v>
      </c>
      <c r="E61" s="990">
        <f t="shared" si="34"/>
        <v>1457030.054</v>
      </c>
      <c r="F61" s="990">
        <f t="shared" si="35"/>
        <v>542390.249</v>
      </c>
      <c r="G61" s="990">
        <f t="shared" si="36"/>
        <v>2448605.49</v>
      </c>
      <c r="H61" s="990">
        <f t="shared" si="37"/>
        <v>719349.536</v>
      </c>
      <c r="I61" s="990">
        <f t="shared" si="38"/>
        <v>2322154.112</v>
      </c>
      <c r="J61" s="990">
        <f t="shared" si="39"/>
        <v>887999.2745</v>
      </c>
      <c r="K61" s="988">
        <f t="shared" si="40"/>
        <v>0.6094584474</v>
      </c>
      <c r="L61" s="990" t="s">
        <v>194</v>
      </c>
      <c r="M61" s="990" t="s">
        <v>194</v>
      </c>
      <c r="N61" s="990" t="s">
        <v>194</v>
      </c>
      <c r="O61" s="990" t="s">
        <v>194</v>
      </c>
      <c r="P61" s="990">
        <v>542390.249</v>
      </c>
      <c r="Q61" s="990">
        <v>719349.536</v>
      </c>
      <c r="R61" s="990">
        <v>1252650.883</v>
      </c>
      <c r="S61" s="990">
        <v>2322154.112</v>
      </c>
      <c r="T61" s="990">
        <v>2448605.49</v>
      </c>
      <c r="U61" s="986"/>
      <c r="V61" s="989" t="s">
        <v>194</v>
      </c>
      <c r="W61" s="986" t="s">
        <v>194</v>
      </c>
      <c r="X61" s="986" t="s">
        <v>194</v>
      </c>
      <c r="Y61" s="986" t="s">
        <v>194</v>
      </c>
      <c r="Z61" s="986" t="s">
        <v>194</v>
      </c>
      <c r="AA61" s="986" t="s">
        <v>194</v>
      </c>
      <c r="AB61" s="986" t="s">
        <v>194</v>
      </c>
      <c r="AC61" s="986" t="s">
        <v>194</v>
      </c>
      <c r="AD61" s="986" t="s">
        <v>194</v>
      </c>
      <c r="AE61" s="986" t="s">
        <v>194</v>
      </c>
      <c r="AF61" s="986" t="s">
        <v>194</v>
      </c>
      <c r="AG61" s="986" t="s">
        <v>194</v>
      </c>
      <c r="AH61" s="986" t="s">
        <v>194</v>
      </c>
      <c r="AI61" s="986" t="s">
        <v>194</v>
      </c>
      <c r="AJ61" s="986" t="s">
        <v>194</v>
      </c>
      <c r="AK61" s="986" t="s">
        <v>194</v>
      </c>
      <c r="AL61" s="986" t="s">
        <v>194</v>
      </c>
      <c r="AM61" s="986" t="s">
        <v>194</v>
      </c>
      <c r="AN61" s="986" t="s">
        <v>194</v>
      </c>
      <c r="AO61" s="986" t="s">
        <v>194</v>
      </c>
      <c r="AP61" s="986" t="s">
        <v>194</v>
      </c>
      <c r="AQ61" s="986" t="s">
        <v>194</v>
      </c>
    </row>
    <row r="62" ht="15.75" customHeight="1">
      <c r="A62" s="985">
        <v>1.0</v>
      </c>
      <c r="B62" s="986"/>
      <c r="C62" s="987" t="str">
        <f>"    Enterprise Value to Revenue"</f>
        <v>    Enterprise Value to Revenue</v>
      </c>
      <c r="D62" s="991">
        <f t="shared" si="33"/>
        <v>6.509847436</v>
      </c>
      <c r="E62" s="991">
        <f t="shared" si="34"/>
        <v>6.751531445</v>
      </c>
      <c r="F62" s="991">
        <f t="shared" si="35"/>
        <v>4.871100686</v>
      </c>
      <c r="G62" s="991">
        <f t="shared" si="36"/>
        <v>9.818750421</v>
      </c>
      <c r="H62" s="991">
        <f t="shared" si="37"/>
        <v>5.256687268</v>
      </c>
      <c r="I62" s="991">
        <f t="shared" si="38"/>
        <v>7.301271413</v>
      </c>
      <c r="J62" s="991">
        <f t="shared" si="39"/>
        <v>1.970979223</v>
      </c>
      <c r="K62" s="988">
        <f t="shared" si="40"/>
        <v>0.2919306885</v>
      </c>
      <c r="L62" s="991" t="s">
        <v>194</v>
      </c>
      <c r="M62" s="991" t="s">
        <v>194</v>
      </c>
      <c r="N62" s="991" t="s">
        <v>194</v>
      </c>
      <c r="O62" s="991" t="s">
        <v>194</v>
      </c>
      <c r="P62" s="991">
        <v>5.256687268004768</v>
      </c>
      <c r="Q62" s="991">
        <v>4.871100685956513</v>
      </c>
      <c r="R62" s="991">
        <v>6.509847435870785</v>
      </c>
      <c r="S62" s="991">
        <v>9.818750420715258</v>
      </c>
      <c r="T62" s="991">
        <v>7.3012714131086245</v>
      </c>
      <c r="U62" s="986"/>
      <c r="V62" s="989" t="s">
        <v>194</v>
      </c>
      <c r="W62" s="986" t="s">
        <v>194</v>
      </c>
      <c r="X62" s="986" t="s">
        <v>194</v>
      </c>
      <c r="Y62" s="986" t="s">
        <v>194</v>
      </c>
      <c r="Z62" s="986" t="s">
        <v>194</v>
      </c>
      <c r="AA62" s="986" t="s">
        <v>194</v>
      </c>
      <c r="AB62" s="986" t="s">
        <v>194</v>
      </c>
      <c r="AC62" s="986" t="s">
        <v>194</v>
      </c>
      <c r="AD62" s="986" t="s">
        <v>194</v>
      </c>
      <c r="AE62" s="986" t="s">
        <v>194</v>
      </c>
      <c r="AF62" s="986" t="s">
        <v>194</v>
      </c>
      <c r="AG62" s="986" t="s">
        <v>194</v>
      </c>
      <c r="AH62" s="986" t="s">
        <v>194</v>
      </c>
      <c r="AI62" s="986" t="s">
        <v>194</v>
      </c>
      <c r="AJ62" s="986" t="s">
        <v>194</v>
      </c>
      <c r="AK62" s="986" t="s">
        <v>194</v>
      </c>
      <c r="AL62" s="986" t="s">
        <v>194</v>
      </c>
      <c r="AM62" s="986" t="s">
        <v>194</v>
      </c>
      <c r="AN62" s="986" t="s">
        <v>194</v>
      </c>
      <c r="AO62" s="986" t="s">
        <v>194</v>
      </c>
      <c r="AP62" s="986" t="s">
        <v>194</v>
      </c>
      <c r="AQ62" s="986" t="s">
        <v>194</v>
      </c>
    </row>
    <row r="63" ht="15.75" customHeight="1">
      <c r="A63" s="985">
        <v>1.0</v>
      </c>
      <c r="B63" s="986"/>
      <c r="C63" s="987" t="str">
        <f>"    Enterprise Value to EBIT"</f>
        <v>    Enterprise Value to EBIT</v>
      </c>
      <c r="D63" s="991">
        <f t="shared" si="33"/>
        <v>62.45766269</v>
      </c>
      <c r="E63" s="991">
        <f t="shared" si="34"/>
        <v>63.92616066</v>
      </c>
      <c r="F63" s="991">
        <f t="shared" si="35"/>
        <v>56.45781711</v>
      </c>
      <c r="G63" s="991">
        <f t="shared" si="36"/>
        <v>79.64037698</v>
      </c>
      <c r="H63" s="991">
        <f t="shared" si="37"/>
        <v>56.66846825</v>
      </c>
      <c r="I63" s="991">
        <f t="shared" si="38"/>
        <v>64.40647825</v>
      </c>
      <c r="J63" s="991">
        <f t="shared" si="39"/>
        <v>9.457457907</v>
      </c>
      <c r="K63" s="988">
        <f t="shared" si="40"/>
        <v>0.1479434681</v>
      </c>
      <c r="L63" s="991" t="s">
        <v>194</v>
      </c>
      <c r="M63" s="991" t="s">
        <v>194</v>
      </c>
      <c r="N63" s="991" t="s">
        <v>194</v>
      </c>
      <c r="O63" s="991" t="s">
        <v>194</v>
      </c>
      <c r="P63" s="991">
        <v>56.45781711252212</v>
      </c>
      <c r="Q63" s="991">
        <v>56.66846825271782</v>
      </c>
      <c r="R63" s="991">
        <v>62.45766269445552</v>
      </c>
      <c r="S63" s="991">
        <v>79.64037698058851</v>
      </c>
      <c r="T63" s="991">
        <v>64.40647824714608</v>
      </c>
      <c r="U63" s="986"/>
      <c r="V63" s="989" t="s">
        <v>194</v>
      </c>
      <c r="W63" s="986" t="s">
        <v>194</v>
      </c>
      <c r="X63" s="986" t="s">
        <v>194</v>
      </c>
      <c r="Y63" s="986" t="s">
        <v>194</v>
      </c>
      <c r="Z63" s="986" t="s">
        <v>194</v>
      </c>
      <c r="AA63" s="986" t="s">
        <v>194</v>
      </c>
      <c r="AB63" s="986" t="s">
        <v>194</v>
      </c>
      <c r="AC63" s="986" t="s">
        <v>194</v>
      </c>
      <c r="AD63" s="986" t="s">
        <v>194</v>
      </c>
      <c r="AE63" s="986" t="s">
        <v>194</v>
      </c>
      <c r="AF63" s="986" t="s">
        <v>194</v>
      </c>
      <c r="AG63" s="986" t="s">
        <v>194</v>
      </c>
      <c r="AH63" s="986" t="s">
        <v>194</v>
      </c>
      <c r="AI63" s="986" t="s">
        <v>194</v>
      </c>
      <c r="AJ63" s="986" t="s">
        <v>194</v>
      </c>
      <c r="AK63" s="986" t="s">
        <v>194</v>
      </c>
      <c r="AL63" s="986" t="s">
        <v>194</v>
      </c>
      <c r="AM63" s="986" t="s">
        <v>194</v>
      </c>
      <c r="AN63" s="986" t="s">
        <v>194</v>
      </c>
      <c r="AO63" s="986" t="s">
        <v>194</v>
      </c>
      <c r="AP63" s="986" t="s">
        <v>194</v>
      </c>
      <c r="AQ63" s="986" t="s">
        <v>194</v>
      </c>
    </row>
    <row r="64" ht="15.75" customHeight="1">
      <c r="A64" s="985">
        <v>1.0</v>
      </c>
      <c r="B64" s="986"/>
      <c r="C64" s="987" t="str">
        <f>"    Enterprise Value to EBITDA"</f>
        <v>    Enterprise Value to EBITDA</v>
      </c>
      <c r="D64" s="991">
        <f t="shared" si="33"/>
        <v>36.9622568</v>
      </c>
      <c r="E64" s="991">
        <f t="shared" si="34"/>
        <v>39.02932245</v>
      </c>
      <c r="F64" s="991">
        <f t="shared" si="35"/>
        <v>25.90829945</v>
      </c>
      <c r="G64" s="991">
        <f t="shared" si="36"/>
        <v>55.70986042</v>
      </c>
      <c r="H64" s="991">
        <f t="shared" si="37"/>
        <v>27.18321944</v>
      </c>
      <c r="I64" s="991">
        <f t="shared" si="38"/>
        <v>49.38297616</v>
      </c>
      <c r="J64" s="991">
        <f t="shared" si="39"/>
        <v>13.24955333</v>
      </c>
      <c r="K64" s="988">
        <f t="shared" si="40"/>
        <v>0.3394768983</v>
      </c>
      <c r="L64" s="991" t="s">
        <v>194</v>
      </c>
      <c r="M64" s="991" t="s">
        <v>194</v>
      </c>
      <c r="N64" s="991" t="s">
        <v>194</v>
      </c>
      <c r="O64" s="991" t="s">
        <v>194</v>
      </c>
      <c r="P64" s="991">
        <v>25.90829945068068</v>
      </c>
      <c r="Q64" s="991">
        <v>27.183219438461247</v>
      </c>
      <c r="R64" s="991">
        <v>36.962256801416345</v>
      </c>
      <c r="S64" s="991">
        <v>55.70986042271429</v>
      </c>
      <c r="T64" s="991">
        <v>49.382976161665056</v>
      </c>
      <c r="U64" s="986"/>
      <c r="V64" s="989" t="s">
        <v>194</v>
      </c>
      <c r="W64" s="986" t="s">
        <v>194</v>
      </c>
      <c r="X64" s="986" t="s">
        <v>194</v>
      </c>
      <c r="Y64" s="986" t="s">
        <v>194</v>
      </c>
      <c r="Z64" s="986" t="s">
        <v>194</v>
      </c>
      <c r="AA64" s="986" t="s">
        <v>194</v>
      </c>
      <c r="AB64" s="986" t="s">
        <v>194</v>
      </c>
      <c r="AC64" s="986" t="s">
        <v>194</v>
      </c>
      <c r="AD64" s="986" t="s">
        <v>194</v>
      </c>
      <c r="AE64" s="986" t="s">
        <v>194</v>
      </c>
      <c r="AF64" s="986" t="s">
        <v>194</v>
      </c>
      <c r="AG64" s="986" t="s">
        <v>194</v>
      </c>
      <c r="AH64" s="986" t="s">
        <v>194</v>
      </c>
      <c r="AI64" s="986" t="s">
        <v>194</v>
      </c>
      <c r="AJ64" s="986" t="s">
        <v>194</v>
      </c>
      <c r="AK64" s="986" t="s">
        <v>194</v>
      </c>
      <c r="AL64" s="986" t="s">
        <v>194</v>
      </c>
      <c r="AM64" s="986" t="s">
        <v>194</v>
      </c>
      <c r="AN64" s="986" t="s">
        <v>194</v>
      </c>
      <c r="AO64" s="986" t="s">
        <v>194</v>
      </c>
      <c r="AP64" s="986" t="s">
        <v>194</v>
      </c>
      <c r="AQ64" s="986" t="s">
        <v>194</v>
      </c>
    </row>
    <row r="65" ht="15.75" customHeight="1">
      <c r="A65" s="849">
        <v>1.0</v>
      </c>
      <c r="B65" s="15"/>
      <c r="C65" s="869" t="str">
        <f>"    Price to Earnings"</f>
        <v>    Price to Earnings</v>
      </c>
      <c r="D65" s="886">
        <f t="shared" si="33"/>
        <v>89.08888889</v>
      </c>
      <c r="E65" s="886">
        <f t="shared" si="34"/>
        <v>497.0007919</v>
      </c>
      <c r="F65" s="886">
        <f t="shared" si="35"/>
        <v>67.85245902</v>
      </c>
      <c r="G65" s="886">
        <f t="shared" si="36"/>
        <v>2158.238734</v>
      </c>
      <c r="H65" s="886">
        <f t="shared" si="37"/>
        <v>73.01086957</v>
      </c>
      <c r="I65" s="886">
        <f t="shared" si="38"/>
        <v>96.81300813</v>
      </c>
      <c r="J65" s="886">
        <f t="shared" si="39"/>
        <v>928.7343039</v>
      </c>
      <c r="K65" s="871">
        <f t="shared" si="40"/>
        <v>1.868677714</v>
      </c>
      <c r="L65" s="887" t="s">
        <v>194</v>
      </c>
      <c r="M65" s="984" t="s">
        <v>194</v>
      </c>
      <c r="N65" s="984" t="s">
        <v>194</v>
      </c>
      <c r="O65" s="984" t="s">
        <v>194</v>
      </c>
      <c r="P65" s="984">
        <v>2158.2387340901273</v>
      </c>
      <c r="Q65" s="984">
        <v>89.08888888888889</v>
      </c>
      <c r="R65" s="984">
        <v>73.01086956521739</v>
      </c>
      <c r="S65" s="984">
        <v>96.8130081300813</v>
      </c>
      <c r="T65" s="984">
        <v>67.85245901639344</v>
      </c>
      <c r="U65" s="15"/>
      <c r="V65" s="851" t="s">
        <v>194</v>
      </c>
      <c r="W65" s="846" t="s">
        <v>194</v>
      </c>
      <c r="X65" s="846" t="s">
        <v>194</v>
      </c>
      <c r="Y65" s="846" t="s">
        <v>194</v>
      </c>
      <c r="Z65" s="846" t="s">
        <v>194</v>
      </c>
      <c r="AA65" s="846" t="s">
        <v>194</v>
      </c>
      <c r="AB65" s="846" t="s">
        <v>194</v>
      </c>
      <c r="AC65" s="846" t="s">
        <v>194</v>
      </c>
      <c r="AD65" s="846" t="s">
        <v>194</v>
      </c>
      <c r="AE65" s="846" t="s">
        <v>194</v>
      </c>
      <c r="AF65" s="846" t="s">
        <v>194</v>
      </c>
      <c r="AG65" s="846" t="s">
        <v>194</v>
      </c>
      <c r="AH65" s="846" t="s">
        <v>194</v>
      </c>
      <c r="AI65" s="846" t="s">
        <v>194</v>
      </c>
      <c r="AJ65" s="846" t="s">
        <v>194</v>
      </c>
      <c r="AK65" s="846" t="s">
        <v>194</v>
      </c>
      <c r="AL65" s="846" t="s">
        <v>194</v>
      </c>
      <c r="AM65" s="846" t="s">
        <v>194</v>
      </c>
      <c r="AN65" s="846" t="s">
        <v>194</v>
      </c>
      <c r="AO65" s="846" t="s">
        <v>194</v>
      </c>
      <c r="AP65" s="846" t="s">
        <v>194</v>
      </c>
      <c r="AQ65" s="846" t="s">
        <v>194</v>
      </c>
    </row>
    <row r="66" ht="15.75" customHeight="1">
      <c r="A66" s="849">
        <v>1.0</v>
      </c>
      <c r="B66" s="15"/>
      <c r="C66" s="869" t="str">
        <f>"    Forward Price to Earnings"</f>
        <v>    Forward Price to Earnings</v>
      </c>
      <c r="D66" s="886">
        <f t="shared" si="33"/>
        <v>63.34634285</v>
      </c>
      <c r="E66" s="886">
        <f t="shared" si="34"/>
        <v>61.97717844</v>
      </c>
      <c r="F66" s="886">
        <f t="shared" si="35"/>
        <v>54.6097561</v>
      </c>
      <c r="G66" s="886">
        <f t="shared" si="36"/>
        <v>68.19565217</v>
      </c>
      <c r="H66" s="886">
        <f t="shared" si="37"/>
        <v>56.97607656</v>
      </c>
      <c r="I66" s="886">
        <f t="shared" si="38"/>
        <v>66.75806452</v>
      </c>
      <c r="J66" s="886">
        <f t="shared" si="39"/>
        <v>5.972663361</v>
      </c>
      <c r="K66" s="871">
        <f t="shared" si="40"/>
        <v>0.09636875235</v>
      </c>
      <c r="L66" s="887" t="s">
        <v>194</v>
      </c>
      <c r="M66" s="984" t="s">
        <v>194</v>
      </c>
      <c r="N66" s="984" t="s">
        <v>194</v>
      </c>
      <c r="O66" s="984" t="s">
        <v>194</v>
      </c>
      <c r="P66" s="984">
        <v>68.19565217391305</v>
      </c>
      <c r="Q66" s="984">
        <v>63.346342850822445</v>
      </c>
      <c r="R66" s="984">
        <v>54.609756097560975</v>
      </c>
      <c r="S66" s="984">
        <v>56.97607655502393</v>
      </c>
      <c r="T66" s="984">
        <v>66.75806451612902</v>
      </c>
      <c r="U66" s="15"/>
      <c r="V66" s="851" t="s">
        <v>194</v>
      </c>
      <c r="W66" s="846" t="s">
        <v>194</v>
      </c>
      <c r="X66" s="846" t="s">
        <v>194</v>
      </c>
      <c r="Y66" s="846" t="s">
        <v>194</v>
      </c>
      <c r="Z66" s="846" t="s">
        <v>194</v>
      </c>
      <c r="AA66" s="846" t="s">
        <v>194</v>
      </c>
      <c r="AB66" s="846" t="s">
        <v>194</v>
      </c>
      <c r="AC66" s="846" t="s">
        <v>194</v>
      </c>
      <c r="AD66" s="846" t="s">
        <v>194</v>
      </c>
      <c r="AE66" s="846" t="s">
        <v>194</v>
      </c>
      <c r="AF66" s="846" t="s">
        <v>194</v>
      </c>
      <c r="AG66" s="846" t="s">
        <v>194</v>
      </c>
      <c r="AH66" s="846" t="s">
        <v>194</v>
      </c>
      <c r="AI66" s="846" t="s">
        <v>194</v>
      </c>
      <c r="AJ66" s="846" t="s">
        <v>194</v>
      </c>
      <c r="AK66" s="846" t="s">
        <v>194</v>
      </c>
      <c r="AL66" s="846" t="s">
        <v>194</v>
      </c>
      <c r="AM66" s="846" t="s">
        <v>194</v>
      </c>
      <c r="AN66" s="846" t="s">
        <v>194</v>
      </c>
      <c r="AO66" s="846" t="s">
        <v>194</v>
      </c>
      <c r="AP66" s="846" t="s">
        <v>194</v>
      </c>
      <c r="AQ66" s="846" t="s">
        <v>194</v>
      </c>
    </row>
    <row r="67" ht="15.75" customHeight="1">
      <c r="A67" s="849">
        <v>1.0</v>
      </c>
      <c r="B67" s="15"/>
      <c r="C67" s="869" t="str">
        <f>"    Price to Book (PB)"</f>
        <v>    Price to Book (PB)</v>
      </c>
      <c r="D67" s="886">
        <f t="shared" si="33"/>
        <v>8.774790791</v>
      </c>
      <c r="E67" s="886">
        <f t="shared" si="34"/>
        <v>8.140104741</v>
      </c>
      <c r="F67" s="886">
        <f t="shared" si="35"/>
        <v>5.248996968</v>
      </c>
      <c r="G67" s="886">
        <f t="shared" si="36"/>
        <v>11.28794301</v>
      </c>
      <c r="H67" s="886">
        <f t="shared" si="37"/>
        <v>6.104251291</v>
      </c>
      <c r="I67" s="886">
        <f t="shared" si="38"/>
        <v>9.284541637</v>
      </c>
      <c r="J67" s="886">
        <f t="shared" si="39"/>
        <v>2.455842595</v>
      </c>
      <c r="K67" s="871">
        <f t="shared" si="40"/>
        <v>0.3016966825</v>
      </c>
      <c r="L67" s="887" t="s">
        <v>194</v>
      </c>
      <c r="M67" s="984" t="s">
        <v>194</v>
      </c>
      <c r="N67" s="984" t="s">
        <v>194</v>
      </c>
      <c r="O67" s="984" t="s">
        <v>194</v>
      </c>
      <c r="P67" s="984">
        <v>5.248996968377434</v>
      </c>
      <c r="Q67" s="984">
        <v>6.1042512913132505</v>
      </c>
      <c r="R67" s="984">
        <v>8.774790790738201</v>
      </c>
      <c r="S67" s="984">
        <v>11.287943014921865</v>
      </c>
      <c r="T67" s="984">
        <v>9.28454163727752</v>
      </c>
      <c r="U67" s="15"/>
      <c r="V67" s="851" t="s">
        <v>194</v>
      </c>
      <c r="W67" s="846" t="s">
        <v>194</v>
      </c>
      <c r="X67" s="846" t="s">
        <v>194</v>
      </c>
      <c r="Y67" s="846" t="s">
        <v>194</v>
      </c>
      <c r="Z67" s="846" t="s">
        <v>194</v>
      </c>
      <c r="AA67" s="846" t="s">
        <v>194</v>
      </c>
      <c r="AB67" s="846" t="s">
        <v>194</v>
      </c>
      <c r="AC67" s="846" t="s">
        <v>194</v>
      </c>
      <c r="AD67" s="846" t="s">
        <v>194</v>
      </c>
      <c r="AE67" s="846" t="s">
        <v>194</v>
      </c>
      <c r="AF67" s="846" t="s">
        <v>194</v>
      </c>
      <c r="AG67" s="846" t="s">
        <v>194</v>
      </c>
      <c r="AH67" s="846" t="s">
        <v>194</v>
      </c>
      <c r="AI67" s="846" t="s">
        <v>194</v>
      </c>
      <c r="AJ67" s="846" t="s">
        <v>194</v>
      </c>
      <c r="AK67" s="846" t="s">
        <v>194</v>
      </c>
      <c r="AL67" s="846" t="s">
        <v>194</v>
      </c>
      <c r="AM67" s="846" t="s">
        <v>194</v>
      </c>
      <c r="AN67" s="846" t="s">
        <v>194</v>
      </c>
      <c r="AO67" s="846" t="s">
        <v>194</v>
      </c>
      <c r="AP67" s="846" t="s">
        <v>194</v>
      </c>
      <c r="AQ67" s="846" t="s">
        <v>194</v>
      </c>
    </row>
    <row r="68" ht="15.75" customHeight="1">
      <c r="A68" s="849">
        <v>1.0</v>
      </c>
      <c r="B68" s="15"/>
      <c r="C68" s="869" t="str">
        <f>"    Price to Cash Flow (PCF)"</f>
        <v>    Price to Cash Flow (PCF)</v>
      </c>
      <c r="D68" s="886">
        <f t="shared" si="33"/>
        <v>21.41379544</v>
      </c>
      <c r="E68" s="886">
        <f t="shared" si="34"/>
        <v>24.94769181</v>
      </c>
      <c r="F68" s="886">
        <f t="shared" si="35"/>
        <v>16.97844541</v>
      </c>
      <c r="G68" s="886">
        <f t="shared" si="36"/>
        <v>36.56881414</v>
      </c>
      <c r="H68" s="886">
        <f t="shared" si="37"/>
        <v>17.35802431</v>
      </c>
      <c r="I68" s="886">
        <f t="shared" si="38"/>
        <v>32.41937977</v>
      </c>
      <c r="J68" s="886">
        <f t="shared" si="39"/>
        <v>9.006622145</v>
      </c>
      <c r="K68" s="871">
        <f t="shared" si="40"/>
        <v>0.3610202584</v>
      </c>
      <c r="L68" s="887" t="s">
        <v>194</v>
      </c>
      <c r="M68" s="984" t="s">
        <v>194</v>
      </c>
      <c r="N68" s="984" t="s">
        <v>194</v>
      </c>
      <c r="O68" s="984" t="s">
        <v>194</v>
      </c>
      <c r="P68" s="984">
        <v>16.97844540739918</v>
      </c>
      <c r="Q68" s="984">
        <v>17.358024310098227</v>
      </c>
      <c r="R68" s="984">
        <v>21.41379543602876</v>
      </c>
      <c r="S68" s="984">
        <v>36.568814142606676</v>
      </c>
      <c r="T68" s="984">
        <v>32.41937977182956</v>
      </c>
      <c r="U68" s="15"/>
      <c r="V68" s="851" t="s">
        <v>194</v>
      </c>
      <c r="W68" s="846" t="s">
        <v>194</v>
      </c>
      <c r="X68" s="846" t="s">
        <v>194</v>
      </c>
      <c r="Y68" s="846" t="s">
        <v>194</v>
      </c>
      <c r="Z68" s="846" t="s">
        <v>194</v>
      </c>
      <c r="AA68" s="846" t="s">
        <v>194</v>
      </c>
      <c r="AB68" s="846" t="s">
        <v>194</v>
      </c>
      <c r="AC68" s="846" t="s">
        <v>194</v>
      </c>
      <c r="AD68" s="846" t="s">
        <v>194</v>
      </c>
      <c r="AE68" s="846" t="s">
        <v>194</v>
      </c>
      <c r="AF68" s="846" t="s">
        <v>194</v>
      </c>
      <c r="AG68" s="846" t="s">
        <v>194</v>
      </c>
      <c r="AH68" s="846" t="s">
        <v>194</v>
      </c>
      <c r="AI68" s="846" t="s">
        <v>194</v>
      </c>
      <c r="AJ68" s="846" t="s">
        <v>194</v>
      </c>
      <c r="AK68" s="846" t="s">
        <v>194</v>
      </c>
      <c r="AL68" s="846" t="s">
        <v>194</v>
      </c>
      <c r="AM68" s="846" t="s">
        <v>194</v>
      </c>
      <c r="AN68" s="846" t="s">
        <v>194</v>
      </c>
      <c r="AO68" s="846" t="s">
        <v>194</v>
      </c>
      <c r="AP68" s="846" t="s">
        <v>194</v>
      </c>
      <c r="AQ68" s="846" t="s">
        <v>194</v>
      </c>
    </row>
    <row r="69" ht="15.75" customHeight="1">
      <c r="A69" s="849">
        <v>1.0</v>
      </c>
      <c r="B69" s="15"/>
      <c r="C69" s="869" t="str">
        <f>"    Price to Tangible Book Value"</f>
        <v>    Price to Tangible Book Value</v>
      </c>
      <c r="D69" s="886">
        <f t="shared" si="33"/>
        <v>8.789883426</v>
      </c>
      <c r="E69" s="886">
        <f t="shared" si="34"/>
        <v>8.230798523</v>
      </c>
      <c r="F69" s="886">
        <f t="shared" si="35"/>
        <v>5.261653836</v>
      </c>
      <c r="G69" s="886">
        <f t="shared" si="36"/>
        <v>11.4946838</v>
      </c>
      <c r="H69" s="886">
        <f t="shared" si="37"/>
        <v>6.11493532</v>
      </c>
      <c r="I69" s="886">
        <f t="shared" si="38"/>
        <v>9.49283623</v>
      </c>
      <c r="J69" s="886">
        <f t="shared" si="39"/>
        <v>2.542191942</v>
      </c>
      <c r="K69" s="871">
        <f t="shared" si="40"/>
        <v>0.3088633424</v>
      </c>
      <c r="L69" s="887" t="s">
        <v>194</v>
      </c>
      <c r="M69" s="984" t="s">
        <v>194</v>
      </c>
      <c r="N69" s="984" t="s">
        <v>194</v>
      </c>
      <c r="O69" s="984" t="s">
        <v>194</v>
      </c>
      <c r="P69" s="984">
        <v>5.261653835891298</v>
      </c>
      <c r="Q69" s="984">
        <v>6.114935319557423</v>
      </c>
      <c r="R69" s="984">
        <v>8.789883426393008</v>
      </c>
      <c r="S69" s="984">
        <v>11.494683800723404</v>
      </c>
      <c r="T69" s="984">
        <v>9.492836230320178</v>
      </c>
      <c r="U69" s="15"/>
      <c r="V69" s="851" t="s">
        <v>194</v>
      </c>
      <c r="W69" s="846" t="s">
        <v>194</v>
      </c>
      <c r="X69" s="846" t="s">
        <v>194</v>
      </c>
      <c r="Y69" s="846" t="s">
        <v>194</v>
      </c>
      <c r="Z69" s="846" t="s">
        <v>194</v>
      </c>
      <c r="AA69" s="846" t="s">
        <v>194</v>
      </c>
      <c r="AB69" s="846" t="s">
        <v>194</v>
      </c>
      <c r="AC69" s="846" t="s">
        <v>194</v>
      </c>
      <c r="AD69" s="846" t="s">
        <v>194</v>
      </c>
      <c r="AE69" s="846" t="s">
        <v>194</v>
      </c>
      <c r="AF69" s="846" t="s">
        <v>194</v>
      </c>
      <c r="AG69" s="846" t="s">
        <v>194</v>
      </c>
      <c r="AH69" s="846" t="s">
        <v>194</v>
      </c>
      <c r="AI69" s="846" t="s">
        <v>194</v>
      </c>
      <c r="AJ69" s="846" t="s">
        <v>194</v>
      </c>
      <c r="AK69" s="846" t="s">
        <v>194</v>
      </c>
      <c r="AL69" s="846" t="s">
        <v>194</v>
      </c>
      <c r="AM69" s="846" t="s">
        <v>194</v>
      </c>
      <c r="AN69" s="846" t="s">
        <v>194</v>
      </c>
      <c r="AO69" s="846" t="s">
        <v>194</v>
      </c>
      <c r="AP69" s="846" t="s">
        <v>194</v>
      </c>
      <c r="AQ69" s="846" t="s">
        <v>194</v>
      </c>
    </row>
    <row r="70" ht="15.75" customHeight="1">
      <c r="A70" s="849">
        <v>1.0</v>
      </c>
      <c r="B70" s="15"/>
      <c r="C70" s="855" t="str">
        <f>"Data Origination"</f>
        <v>Data Origination</v>
      </c>
      <c r="D70" s="867" t="s">
        <v>194</v>
      </c>
      <c r="E70" s="867" t="s">
        <v>194</v>
      </c>
      <c r="F70" s="867" t="s">
        <v>194</v>
      </c>
      <c r="G70" s="867" t="s">
        <v>194</v>
      </c>
      <c r="H70" s="867" t="s">
        <v>194</v>
      </c>
      <c r="I70" s="867" t="s">
        <v>194</v>
      </c>
      <c r="J70" s="867" t="s">
        <v>194</v>
      </c>
      <c r="K70" s="867" t="s">
        <v>194</v>
      </c>
      <c r="L70" s="867" t="s">
        <v>194</v>
      </c>
      <c r="M70" s="927" t="s">
        <v>194</v>
      </c>
      <c r="N70" s="927" t="s">
        <v>194</v>
      </c>
      <c r="O70" s="927" t="s">
        <v>194</v>
      </c>
      <c r="P70" s="927" t="s">
        <v>194</v>
      </c>
      <c r="Q70" s="927" t="s">
        <v>194</v>
      </c>
      <c r="R70" s="927" t="s">
        <v>194</v>
      </c>
      <c r="S70" s="927" t="s">
        <v>194</v>
      </c>
      <c r="T70" s="927" t="s">
        <v>194</v>
      </c>
      <c r="U70" s="15"/>
      <c r="V70" s="851" t="s">
        <v>194</v>
      </c>
      <c r="W70" s="846" t="s">
        <v>194</v>
      </c>
      <c r="X70" s="846" t="s">
        <v>194</v>
      </c>
      <c r="Y70" s="846" t="s">
        <v>194</v>
      </c>
      <c r="Z70" s="846" t="s">
        <v>194</v>
      </c>
      <c r="AA70" s="846" t="s">
        <v>194</v>
      </c>
      <c r="AB70" s="846" t="s">
        <v>194</v>
      </c>
      <c r="AC70" s="846" t="s">
        <v>194</v>
      </c>
      <c r="AD70" s="846" t="s">
        <v>194</v>
      </c>
      <c r="AE70" s="846" t="s">
        <v>194</v>
      </c>
      <c r="AF70" s="846" t="s">
        <v>194</v>
      </c>
      <c r="AG70" s="846" t="s">
        <v>194</v>
      </c>
      <c r="AH70" s="846" t="s">
        <v>194</v>
      </c>
      <c r="AI70" s="846" t="s">
        <v>194</v>
      </c>
      <c r="AJ70" s="846" t="s">
        <v>194</v>
      </c>
      <c r="AK70" s="846" t="s">
        <v>194</v>
      </c>
      <c r="AL70" s="846" t="s">
        <v>194</v>
      </c>
      <c r="AM70" s="846" t="s">
        <v>194</v>
      </c>
      <c r="AN70" s="846" t="s">
        <v>194</v>
      </c>
      <c r="AO70" s="846" t="s">
        <v>194</v>
      </c>
      <c r="AP70" s="846" t="s">
        <v>194</v>
      </c>
      <c r="AQ70" s="846" t="s">
        <v>194</v>
      </c>
    </row>
    <row r="71" ht="15.75" customHeight="1">
      <c r="A71" s="849">
        <v>1.0</v>
      </c>
      <c r="B71" s="15"/>
      <c r="C71" s="869" t="str">
        <f>"    Preliminary"</f>
        <v>    Preliminary</v>
      </c>
      <c r="D71" s="889" t="s">
        <v>194</v>
      </c>
      <c r="E71" s="889" t="s">
        <v>194</v>
      </c>
      <c r="F71" s="889" t="s">
        <v>194</v>
      </c>
      <c r="G71" s="889" t="s">
        <v>194</v>
      </c>
      <c r="H71" s="889" t="s">
        <v>194</v>
      </c>
      <c r="I71" s="889" t="s">
        <v>194</v>
      </c>
      <c r="J71" s="889" t="s">
        <v>194</v>
      </c>
      <c r="K71" s="889" t="s">
        <v>194</v>
      </c>
      <c r="L71" s="890" t="s">
        <v>194</v>
      </c>
      <c r="M71" s="931" t="s">
        <v>340</v>
      </c>
      <c r="N71" s="931" t="s">
        <v>340</v>
      </c>
      <c r="O71" s="931" t="s">
        <v>340</v>
      </c>
      <c r="P71" s="931" t="s">
        <v>340</v>
      </c>
      <c r="Q71" s="931" t="s">
        <v>340</v>
      </c>
      <c r="R71" s="931" t="s">
        <v>340</v>
      </c>
      <c r="S71" s="931" t="s">
        <v>340</v>
      </c>
      <c r="T71" s="931" t="s">
        <v>340</v>
      </c>
      <c r="U71" s="15"/>
      <c r="V71" s="851" t="s">
        <v>194</v>
      </c>
      <c r="W71" s="846" t="s">
        <v>194</v>
      </c>
      <c r="X71" s="846" t="s">
        <v>194</v>
      </c>
      <c r="Y71" s="846" t="s">
        <v>194</v>
      </c>
      <c r="Z71" s="846" t="s">
        <v>194</v>
      </c>
      <c r="AA71" s="846" t="s">
        <v>194</v>
      </c>
      <c r="AB71" s="846" t="s">
        <v>194</v>
      </c>
      <c r="AC71" s="846" t="s">
        <v>194</v>
      </c>
      <c r="AD71" s="846" t="s">
        <v>194</v>
      </c>
      <c r="AE71" s="846" t="s">
        <v>194</v>
      </c>
      <c r="AF71" s="846" t="s">
        <v>194</v>
      </c>
      <c r="AG71" s="846" t="s">
        <v>194</v>
      </c>
      <c r="AH71" s="846" t="s">
        <v>194</v>
      </c>
      <c r="AI71" s="846" t="s">
        <v>194</v>
      </c>
      <c r="AJ71" s="846" t="s">
        <v>194</v>
      </c>
      <c r="AK71" s="846" t="s">
        <v>194</v>
      </c>
      <c r="AL71" s="846" t="s">
        <v>194</v>
      </c>
      <c r="AM71" s="846" t="s">
        <v>194</v>
      </c>
      <c r="AN71" s="846" t="s">
        <v>194</v>
      </c>
      <c r="AO71" s="846" t="s">
        <v>194</v>
      </c>
      <c r="AP71" s="846" t="s">
        <v>194</v>
      </c>
      <c r="AQ71" s="846" t="s">
        <v>194</v>
      </c>
    </row>
    <row r="72" ht="15.75" customHeight="1">
      <c r="A72" s="849">
        <v>1.0</v>
      </c>
      <c r="B72" s="15"/>
      <c r="C72" s="869" t="str">
        <f>"    Original"</f>
        <v>    Original</v>
      </c>
      <c r="D72" s="889" t="s">
        <v>194</v>
      </c>
      <c r="E72" s="889" t="s">
        <v>194</v>
      </c>
      <c r="F72" s="889" t="s">
        <v>194</v>
      </c>
      <c r="G72" s="889" t="s">
        <v>194</v>
      </c>
      <c r="H72" s="889" t="s">
        <v>194</v>
      </c>
      <c r="I72" s="889" t="s">
        <v>194</v>
      </c>
      <c r="J72" s="889" t="s">
        <v>194</v>
      </c>
      <c r="K72" s="889" t="s">
        <v>194</v>
      </c>
      <c r="L72" s="890" t="s">
        <v>194</v>
      </c>
      <c r="M72" s="931" t="s">
        <v>340</v>
      </c>
      <c r="N72" s="931" t="s">
        <v>340</v>
      </c>
      <c r="O72" s="931" t="s">
        <v>340</v>
      </c>
      <c r="P72" s="931" t="s">
        <v>340</v>
      </c>
      <c r="Q72" s="931" t="s">
        <v>340</v>
      </c>
      <c r="R72" s="931" t="s">
        <v>340</v>
      </c>
      <c r="S72" s="931" t="s">
        <v>340</v>
      </c>
      <c r="T72" s="931" t="s">
        <v>340</v>
      </c>
      <c r="U72" s="15"/>
      <c r="V72" s="851" t="s">
        <v>194</v>
      </c>
      <c r="W72" s="846" t="s">
        <v>194</v>
      </c>
      <c r="X72" s="846" t="s">
        <v>194</v>
      </c>
      <c r="Y72" s="846" t="s">
        <v>194</v>
      </c>
      <c r="Z72" s="846" t="s">
        <v>194</v>
      </c>
      <c r="AA72" s="846" t="s">
        <v>194</v>
      </c>
      <c r="AB72" s="846" t="s">
        <v>194</v>
      </c>
      <c r="AC72" s="846" t="s">
        <v>194</v>
      </c>
      <c r="AD72" s="846" t="s">
        <v>194</v>
      </c>
      <c r="AE72" s="846" t="s">
        <v>194</v>
      </c>
      <c r="AF72" s="846" t="s">
        <v>194</v>
      </c>
      <c r="AG72" s="846" t="s">
        <v>194</v>
      </c>
      <c r="AH72" s="846" t="s">
        <v>194</v>
      </c>
      <c r="AI72" s="846" t="s">
        <v>194</v>
      </c>
      <c r="AJ72" s="846" t="s">
        <v>194</v>
      </c>
      <c r="AK72" s="846" t="s">
        <v>194</v>
      </c>
      <c r="AL72" s="846" t="s">
        <v>194</v>
      </c>
      <c r="AM72" s="846" t="s">
        <v>194</v>
      </c>
      <c r="AN72" s="846" t="s">
        <v>194</v>
      </c>
      <c r="AO72" s="846" t="s">
        <v>194</v>
      </c>
      <c r="AP72" s="846" t="s">
        <v>194</v>
      </c>
      <c r="AQ72" s="846" t="s">
        <v>194</v>
      </c>
    </row>
    <row r="73" ht="15.75" customHeight="1">
      <c r="A73" s="849">
        <v>1.0</v>
      </c>
      <c r="B73" s="15"/>
      <c r="C73" s="869" t="str">
        <f>"    Restated"</f>
        <v>    Restated</v>
      </c>
      <c r="D73" s="889" t="s">
        <v>194</v>
      </c>
      <c r="E73" s="889" t="s">
        <v>194</v>
      </c>
      <c r="F73" s="889" t="s">
        <v>194</v>
      </c>
      <c r="G73" s="889" t="s">
        <v>194</v>
      </c>
      <c r="H73" s="889" t="s">
        <v>194</v>
      </c>
      <c r="I73" s="889" t="s">
        <v>194</v>
      </c>
      <c r="J73" s="889" t="s">
        <v>194</v>
      </c>
      <c r="K73" s="889" t="s">
        <v>194</v>
      </c>
      <c r="L73" s="890" t="s">
        <v>194</v>
      </c>
      <c r="M73" s="931" t="s">
        <v>340</v>
      </c>
      <c r="N73" s="931" t="s">
        <v>340</v>
      </c>
      <c r="O73" s="931" t="s">
        <v>340</v>
      </c>
      <c r="P73" s="931" t="s">
        <v>340</v>
      </c>
      <c r="Q73" s="931" t="s">
        <v>340</v>
      </c>
      <c r="R73" s="931" t="s">
        <v>340</v>
      </c>
      <c r="S73" s="931" t="s">
        <v>340</v>
      </c>
      <c r="T73" s="931" t="s">
        <v>340</v>
      </c>
      <c r="U73" s="15"/>
      <c r="V73" s="851" t="s">
        <v>194</v>
      </c>
      <c r="W73" s="846" t="s">
        <v>194</v>
      </c>
      <c r="X73" s="846" t="s">
        <v>194</v>
      </c>
      <c r="Y73" s="846" t="s">
        <v>194</v>
      </c>
      <c r="Z73" s="846" t="s">
        <v>194</v>
      </c>
      <c r="AA73" s="846" t="s">
        <v>194</v>
      </c>
      <c r="AB73" s="846" t="s">
        <v>194</v>
      </c>
      <c r="AC73" s="846" t="s">
        <v>194</v>
      </c>
      <c r="AD73" s="846" t="s">
        <v>194</v>
      </c>
      <c r="AE73" s="846" t="s">
        <v>194</v>
      </c>
      <c r="AF73" s="846" t="s">
        <v>194</v>
      </c>
      <c r="AG73" s="846" t="s">
        <v>194</v>
      </c>
      <c r="AH73" s="846" t="s">
        <v>194</v>
      </c>
      <c r="AI73" s="846" t="s">
        <v>194</v>
      </c>
      <c r="AJ73" s="846" t="s">
        <v>194</v>
      </c>
      <c r="AK73" s="846" t="s">
        <v>194</v>
      </c>
      <c r="AL73" s="846" t="s">
        <v>194</v>
      </c>
      <c r="AM73" s="846" t="s">
        <v>194</v>
      </c>
      <c r="AN73" s="846" t="s">
        <v>194</v>
      </c>
      <c r="AO73" s="846" t="s">
        <v>194</v>
      </c>
      <c r="AP73" s="846" t="s">
        <v>194</v>
      </c>
      <c r="AQ73" s="846" t="s">
        <v>194</v>
      </c>
    </row>
    <row r="74" ht="15.75" customHeight="1">
      <c r="A74" s="849">
        <v>1.0</v>
      </c>
      <c r="B74" s="15"/>
      <c r="C74" s="869" t="str">
        <f>"    Calculated"</f>
        <v>    Calculated</v>
      </c>
      <c r="D74" s="889" t="s">
        <v>194</v>
      </c>
      <c r="E74" s="889" t="s">
        <v>194</v>
      </c>
      <c r="F74" s="889" t="s">
        <v>194</v>
      </c>
      <c r="G74" s="889" t="s">
        <v>194</v>
      </c>
      <c r="H74" s="889" t="s">
        <v>194</v>
      </c>
      <c r="I74" s="889" t="s">
        <v>194</v>
      </c>
      <c r="J74" s="889" t="s">
        <v>194</v>
      </c>
      <c r="K74" s="889" t="s">
        <v>194</v>
      </c>
      <c r="L74" s="890" t="s">
        <v>194</v>
      </c>
      <c r="M74" s="931" t="s">
        <v>366</v>
      </c>
      <c r="N74" s="931" t="s">
        <v>366</v>
      </c>
      <c r="O74" s="931" t="s">
        <v>366</v>
      </c>
      <c r="P74" s="931" t="s">
        <v>366</v>
      </c>
      <c r="Q74" s="931" t="s">
        <v>366</v>
      </c>
      <c r="R74" s="931" t="s">
        <v>366</v>
      </c>
      <c r="S74" s="931" t="s">
        <v>366</v>
      </c>
      <c r="T74" s="931" t="s">
        <v>366</v>
      </c>
      <c r="U74" s="15"/>
      <c r="V74" s="851" t="s">
        <v>194</v>
      </c>
      <c r="W74" s="846" t="s">
        <v>194</v>
      </c>
      <c r="X74" s="846" t="s">
        <v>194</v>
      </c>
      <c r="Y74" s="846" t="s">
        <v>194</v>
      </c>
      <c r="Z74" s="846" t="s">
        <v>194</v>
      </c>
      <c r="AA74" s="846" t="s">
        <v>194</v>
      </c>
      <c r="AB74" s="846" t="s">
        <v>194</v>
      </c>
      <c r="AC74" s="846" t="s">
        <v>194</v>
      </c>
      <c r="AD74" s="846" t="s">
        <v>194</v>
      </c>
      <c r="AE74" s="846" t="s">
        <v>194</v>
      </c>
      <c r="AF74" s="846" t="s">
        <v>194</v>
      </c>
      <c r="AG74" s="846" t="s">
        <v>194</v>
      </c>
      <c r="AH74" s="846" t="s">
        <v>194</v>
      </c>
      <c r="AI74" s="846" t="s">
        <v>194</v>
      </c>
      <c r="AJ74" s="846" t="s">
        <v>194</v>
      </c>
      <c r="AK74" s="846" t="s">
        <v>194</v>
      </c>
      <c r="AL74" s="846" t="s">
        <v>194</v>
      </c>
      <c r="AM74" s="846" t="s">
        <v>194</v>
      </c>
      <c r="AN74" s="846" t="s">
        <v>194</v>
      </c>
      <c r="AO74" s="846" t="s">
        <v>194</v>
      </c>
      <c r="AP74" s="846" t="s">
        <v>194</v>
      </c>
      <c r="AQ74" s="846" t="s">
        <v>194</v>
      </c>
    </row>
    <row r="75" ht="15.75" customHeight="1">
      <c r="A75" s="849" t="s">
        <v>194</v>
      </c>
      <c r="B75" s="15"/>
      <c r="C75" s="15"/>
      <c r="D75" s="15"/>
      <c r="E75" s="15"/>
      <c r="F75" s="15"/>
      <c r="G75" s="15"/>
      <c r="H75" s="15"/>
      <c r="I75" s="15"/>
      <c r="J75" s="15"/>
      <c r="K75" s="15"/>
      <c r="L75" s="15"/>
      <c r="M75" s="896"/>
      <c r="N75" s="896"/>
      <c r="O75" s="896"/>
      <c r="P75" s="896"/>
      <c r="Q75" s="896"/>
      <c r="R75" s="896"/>
      <c r="S75" s="896"/>
      <c r="T75" s="896"/>
      <c r="U75" s="15"/>
      <c r="V75" s="851" t="s">
        <v>194</v>
      </c>
      <c r="W75" s="846" t="s">
        <v>194</v>
      </c>
      <c r="X75" s="846" t="s">
        <v>194</v>
      </c>
      <c r="Y75" s="846" t="s">
        <v>194</v>
      </c>
      <c r="Z75" s="846" t="s">
        <v>194</v>
      </c>
      <c r="AA75" s="846" t="s">
        <v>194</v>
      </c>
      <c r="AB75" s="846" t="s">
        <v>194</v>
      </c>
      <c r="AC75" s="846" t="s">
        <v>194</v>
      </c>
      <c r="AD75" s="846" t="s">
        <v>194</v>
      </c>
      <c r="AE75" s="846" t="s">
        <v>194</v>
      </c>
      <c r="AF75" s="846" t="s">
        <v>194</v>
      </c>
      <c r="AG75" s="846" t="s">
        <v>194</v>
      </c>
      <c r="AH75" s="846" t="s">
        <v>194</v>
      </c>
      <c r="AI75" s="846" t="s">
        <v>194</v>
      </c>
      <c r="AJ75" s="846" t="s">
        <v>194</v>
      </c>
      <c r="AK75" s="846" t="s">
        <v>194</v>
      </c>
      <c r="AL75" s="846" t="s">
        <v>194</v>
      </c>
      <c r="AM75" s="846" t="s">
        <v>194</v>
      </c>
      <c r="AN75" s="846" t="s">
        <v>194</v>
      </c>
      <c r="AO75" s="846" t="s">
        <v>194</v>
      </c>
      <c r="AP75" s="846" t="s">
        <v>194</v>
      </c>
      <c r="AQ75" s="846" t="s">
        <v>194</v>
      </c>
    </row>
    <row r="76" ht="15.75" customHeight="1">
      <c r="A76" s="849" t="s">
        <v>194</v>
      </c>
      <c r="B76" s="15"/>
      <c r="C76" s="15"/>
      <c r="D76" s="15"/>
      <c r="E76" s="15"/>
      <c r="F76" s="15"/>
      <c r="G76" s="15"/>
      <c r="H76" s="15"/>
      <c r="I76" s="15"/>
      <c r="J76" s="15"/>
      <c r="K76" s="15"/>
      <c r="L76" s="15"/>
      <c r="M76" s="896"/>
      <c r="N76" s="896"/>
      <c r="O76" s="896"/>
      <c r="P76" s="896"/>
      <c r="Q76" s="896"/>
      <c r="R76" s="896"/>
      <c r="S76" s="896"/>
      <c r="T76" s="896"/>
      <c r="U76" s="15"/>
      <c r="V76" s="851" t="s">
        <v>194</v>
      </c>
      <c r="W76" s="846" t="s">
        <v>194</v>
      </c>
      <c r="X76" s="846" t="s">
        <v>194</v>
      </c>
      <c r="Y76" s="846" t="s">
        <v>194</v>
      </c>
      <c r="Z76" s="846" t="s">
        <v>194</v>
      </c>
      <c r="AA76" s="846" t="s">
        <v>194</v>
      </c>
      <c r="AB76" s="846" t="s">
        <v>194</v>
      </c>
      <c r="AC76" s="846" t="s">
        <v>194</v>
      </c>
      <c r="AD76" s="846" t="s">
        <v>194</v>
      </c>
      <c r="AE76" s="846" t="s">
        <v>194</v>
      </c>
      <c r="AF76" s="846" t="s">
        <v>194</v>
      </c>
      <c r="AG76" s="846" t="s">
        <v>194</v>
      </c>
      <c r="AH76" s="846" t="s">
        <v>194</v>
      </c>
      <c r="AI76" s="846" t="s">
        <v>194</v>
      </c>
      <c r="AJ76" s="846" t="s">
        <v>194</v>
      </c>
      <c r="AK76" s="846" t="s">
        <v>194</v>
      </c>
      <c r="AL76" s="846" t="s">
        <v>194</v>
      </c>
      <c r="AM76" s="846" t="s">
        <v>194</v>
      </c>
      <c r="AN76" s="846" t="s">
        <v>194</v>
      </c>
      <c r="AO76" s="846" t="s">
        <v>194</v>
      </c>
      <c r="AP76" s="846" t="s">
        <v>194</v>
      </c>
      <c r="AQ76" s="846" t="s">
        <v>194</v>
      </c>
    </row>
    <row r="77" ht="15.75" customHeight="1">
      <c r="A77" s="849" t="s">
        <v>194</v>
      </c>
      <c r="B77" s="15"/>
      <c r="C77" s="892" t="s">
        <v>344</v>
      </c>
      <c r="D77" s="15"/>
      <c r="E77" s="15"/>
      <c r="F77" s="15"/>
      <c r="G77" s="15"/>
      <c r="H77" s="15"/>
      <c r="I77" s="15"/>
      <c r="J77" s="15"/>
      <c r="K77" s="15"/>
      <c r="L77" s="15"/>
      <c r="M77" s="896"/>
      <c r="N77" s="896"/>
      <c r="O77" s="896"/>
      <c r="P77" s="896"/>
      <c r="Q77" s="896"/>
      <c r="R77" s="896"/>
      <c r="S77" s="896"/>
      <c r="T77" s="896"/>
      <c r="U77" s="15"/>
      <c r="V77" s="851" t="s">
        <v>194</v>
      </c>
      <c r="W77" s="846" t="s">
        <v>194</v>
      </c>
      <c r="X77" s="846" t="s">
        <v>194</v>
      </c>
      <c r="Y77" s="846" t="s">
        <v>194</v>
      </c>
      <c r="Z77" s="846" t="s">
        <v>194</v>
      </c>
      <c r="AA77" s="846" t="s">
        <v>194</v>
      </c>
      <c r="AB77" s="846" t="s">
        <v>194</v>
      </c>
      <c r="AC77" s="846" t="s">
        <v>194</v>
      </c>
      <c r="AD77" s="846" t="s">
        <v>194</v>
      </c>
      <c r="AE77" s="846" t="s">
        <v>194</v>
      </c>
      <c r="AF77" s="846" t="s">
        <v>194</v>
      </c>
      <c r="AG77" s="846" t="s">
        <v>194</v>
      </c>
      <c r="AH77" s="846" t="s">
        <v>194</v>
      </c>
      <c r="AI77" s="846" t="s">
        <v>194</v>
      </c>
      <c r="AJ77" s="846" t="s">
        <v>194</v>
      </c>
      <c r="AK77" s="846" t="s">
        <v>194</v>
      </c>
      <c r="AL77" s="846" t="s">
        <v>194</v>
      </c>
      <c r="AM77" s="846" t="s">
        <v>194</v>
      </c>
      <c r="AN77" s="846" t="s">
        <v>194</v>
      </c>
      <c r="AO77" s="846" t="s">
        <v>194</v>
      </c>
      <c r="AP77" s="846" t="s">
        <v>194</v>
      </c>
      <c r="AQ77" s="846" t="s">
        <v>194</v>
      </c>
    </row>
    <row r="78" ht="15.75" customHeight="1">
      <c r="A78" s="849" t="s">
        <v>194</v>
      </c>
      <c r="B78" s="15"/>
      <c r="C78" s="892" t="s">
        <v>345</v>
      </c>
      <c r="D78" s="15"/>
      <c r="E78" s="15"/>
      <c r="F78" s="15"/>
      <c r="G78" s="15"/>
      <c r="H78" s="15"/>
      <c r="I78" s="15"/>
      <c r="J78" s="15"/>
      <c r="K78" s="15"/>
      <c r="L78" s="15"/>
      <c r="M78" s="896"/>
      <c r="N78" s="896"/>
      <c r="O78" s="896"/>
      <c r="P78" s="896"/>
      <c r="Q78" s="896"/>
      <c r="R78" s="896"/>
      <c r="S78" s="896"/>
      <c r="T78" s="896"/>
      <c r="U78" s="15"/>
      <c r="V78" s="851" t="s">
        <v>194</v>
      </c>
      <c r="W78" s="846" t="s">
        <v>194</v>
      </c>
      <c r="X78" s="846" t="s">
        <v>194</v>
      </c>
      <c r="Y78" s="846" t="s">
        <v>194</v>
      </c>
      <c r="Z78" s="846" t="s">
        <v>194</v>
      </c>
      <c r="AA78" s="846" t="s">
        <v>194</v>
      </c>
      <c r="AB78" s="846" t="s">
        <v>194</v>
      </c>
      <c r="AC78" s="846" t="s">
        <v>194</v>
      </c>
      <c r="AD78" s="846" t="s">
        <v>194</v>
      </c>
      <c r="AE78" s="846" t="s">
        <v>194</v>
      </c>
      <c r="AF78" s="846" t="s">
        <v>194</v>
      </c>
      <c r="AG78" s="846" t="s">
        <v>194</v>
      </c>
      <c r="AH78" s="846" t="s">
        <v>194</v>
      </c>
      <c r="AI78" s="846" t="s">
        <v>194</v>
      </c>
      <c r="AJ78" s="846" t="s">
        <v>194</v>
      </c>
      <c r="AK78" s="846" t="s">
        <v>194</v>
      </c>
      <c r="AL78" s="846" t="s">
        <v>194</v>
      </c>
      <c r="AM78" s="846" t="s">
        <v>194</v>
      </c>
      <c r="AN78" s="846" t="s">
        <v>194</v>
      </c>
      <c r="AO78" s="846" t="s">
        <v>194</v>
      </c>
      <c r="AP78" s="846" t="s">
        <v>194</v>
      </c>
      <c r="AQ78" s="846" t="s">
        <v>194</v>
      </c>
    </row>
    <row r="79" ht="15.75" customHeight="1">
      <c r="A79" s="849" t="s">
        <v>194</v>
      </c>
      <c r="B79" s="15"/>
      <c r="C79" s="15"/>
      <c r="D79" s="15"/>
      <c r="E79" s="15"/>
      <c r="F79" s="15"/>
      <c r="G79" s="15"/>
      <c r="H79" s="15"/>
      <c r="I79" s="15"/>
      <c r="J79" s="15"/>
      <c r="K79" s="15"/>
      <c r="L79" s="15"/>
      <c r="M79" s="896"/>
      <c r="N79" s="896"/>
      <c r="O79" s="896"/>
      <c r="P79" s="896"/>
      <c r="Q79" s="896"/>
      <c r="R79" s="896"/>
      <c r="S79" s="896"/>
      <c r="T79" s="896"/>
      <c r="U79" s="15"/>
      <c r="V79" s="851" t="s">
        <v>194</v>
      </c>
      <c r="W79" s="846" t="s">
        <v>194</v>
      </c>
      <c r="X79" s="846" t="s">
        <v>194</v>
      </c>
      <c r="Y79" s="846" t="s">
        <v>194</v>
      </c>
      <c r="Z79" s="846" t="s">
        <v>194</v>
      </c>
      <c r="AA79" s="846" t="s">
        <v>194</v>
      </c>
      <c r="AB79" s="846" t="s">
        <v>194</v>
      </c>
      <c r="AC79" s="846" t="s">
        <v>194</v>
      </c>
      <c r="AD79" s="846" t="s">
        <v>194</v>
      </c>
      <c r="AE79" s="846" t="s">
        <v>194</v>
      </c>
      <c r="AF79" s="846" t="s">
        <v>194</v>
      </c>
      <c r="AG79" s="846" t="s">
        <v>194</v>
      </c>
      <c r="AH79" s="846" t="s">
        <v>194</v>
      </c>
      <c r="AI79" s="846" t="s">
        <v>194</v>
      </c>
      <c r="AJ79" s="846" t="s">
        <v>194</v>
      </c>
      <c r="AK79" s="846" t="s">
        <v>194</v>
      </c>
      <c r="AL79" s="846" t="s">
        <v>194</v>
      </c>
      <c r="AM79" s="846" t="s">
        <v>194</v>
      </c>
      <c r="AN79" s="846" t="s">
        <v>194</v>
      </c>
      <c r="AO79" s="846" t="s">
        <v>194</v>
      </c>
      <c r="AP79" s="846" t="s">
        <v>194</v>
      </c>
      <c r="AQ79" s="846" t="s">
        <v>194</v>
      </c>
    </row>
    <row r="80" ht="15.75" customHeight="1">
      <c r="A80" s="846" t="s">
        <v>194</v>
      </c>
      <c r="B80" s="893" t="s">
        <v>194</v>
      </c>
      <c r="C80" s="893" t="s">
        <v>194</v>
      </c>
      <c r="D80" s="893" t="s">
        <v>194</v>
      </c>
      <c r="E80" s="893" t="s">
        <v>194</v>
      </c>
      <c r="F80" s="893" t="s">
        <v>194</v>
      </c>
      <c r="G80" s="893" t="s">
        <v>194</v>
      </c>
      <c r="H80" s="893" t="s">
        <v>194</v>
      </c>
      <c r="I80" s="893" t="s">
        <v>194</v>
      </c>
      <c r="J80" s="893" t="s">
        <v>194</v>
      </c>
      <c r="K80" s="893" t="s">
        <v>194</v>
      </c>
      <c r="L80" s="893" t="s">
        <v>194</v>
      </c>
      <c r="M80" s="973" t="s">
        <v>194</v>
      </c>
      <c r="N80" s="973" t="s">
        <v>194</v>
      </c>
      <c r="O80" s="973" t="s">
        <v>194</v>
      </c>
      <c r="P80" s="973" t="s">
        <v>194</v>
      </c>
      <c r="Q80" s="973" t="s">
        <v>194</v>
      </c>
      <c r="R80" s="973" t="s">
        <v>194</v>
      </c>
      <c r="S80" s="973" t="s">
        <v>194</v>
      </c>
      <c r="T80" s="973" t="s">
        <v>194</v>
      </c>
      <c r="U80" s="893" t="s">
        <v>194</v>
      </c>
      <c r="V80" s="846" t="s">
        <v>194</v>
      </c>
      <c r="W80" s="846" t="s">
        <v>194</v>
      </c>
      <c r="X80" s="846" t="s">
        <v>194</v>
      </c>
      <c r="Y80" s="846" t="s">
        <v>194</v>
      </c>
      <c r="Z80" s="846" t="s">
        <v>194</v>
      </c>
      <c r="AA80" s="846" t="s">
        <v>194</v>
      </c>
      <c r="AB80" s="846" t="s">
        <v>194</v>
      </c>
      <c r="AC80" s="846" t="s">
        <v>194</v>
      </c>
      <c r="AD80" s="846" t="s">
        <v>194</v>
      </c>
      <c r="AE80" s="846" t="s">
        <v>194</v>
      </c>
      <c r="AF80" s="846" t="s">
        <v>194</v>
      </c>
      <c r="AG80" s="846" t="s">
        <v>194</v>
      </c>
      <c r="AH80" s="846" t="s">
        <v>194</v>
      </c>
      <c r="AI80" s="846" t="s">
        <v>194</v>
      </c>
      <c r="AJ80" s="846" t="s">
        <v>194</v>
      </c>
      <c r="AK80" s="846" t="s">
        <v>194</v>
      </c>
      <c r="AL80" s="846" t="s">
        <v>194</v>
      </c>
      <c r="AM80" s="846" t="s">
        <v>194</v>
      </c>
      <c r="AN80" s="846" t="s">
        <v>194</v>
      </c>
      <c r="AO80" s="846" t="s">
        <v>194</v>
      </c>
      <c r="AP80" s="846" t="s">
        <v>194</v>
      </c>
      <c r="AQ80" s="846" t="s">
        <v>194</v>
      </c>
    </row>
    <row r="81" ht="15.75" customHeight="1">
      <c r="A81" s="846" t="s">
        <v>194</v>
      </c>
      <c r="B81" s="846" t="s">
        <v>194</v>
      </c>
      <c r="C81" s="846" t="s">
        <v>194</v>
      </c>
      <c r="D81" s="846" t="s">
        <v>194</v>
      </c>
      <c r="E81" s="846" t="s">
        <v>194</v>
      </c>
      <c r="F81" s="846" t="s">
        <v>194</v>
      </c>
      <c r="G81" s="846" t="s">
        <v>194</v>
      </c>
      <c r="H81" s="846" t="s">
        <v>194</v>
      </c>
      <c r="I81" s="846" t="s">
        <v>194</v>
      </c>
      <c r="J81" s="846" t="s">
        <v>194</v>
      </c>
      <c r="K81" s="846" t="s">
        <v>194</v>
      </c>
      <c r="L81" s="846" t="s">
        <v>194</v>
      </c>
      <c r="M81" s="896" t="s">
        <v>194</v>
      </c>
      <c r="N81" s="896" t="s">
        <v>194</v>
      </c>
      <c r="O81" s="896" t="s">
        <v>194</v>
      </c>
      <c r="P81" s="896" t="s">
        <v>194</v>
      </c>
      <c r="Q81" s="896" t="s">
        <v>194</v>
      </c>
      <c r="R81" s="896" t="s">
        <v>194</v>
      </c>
      <c r="S81" s="896" t="s">
        <v>194</v>
      </c>
      <c r="T81" s="896" t="s">
        <v>194</v>
      </c>
      <c r="U81" s="846" t="s">
        <v>194</v>
      </c>
      <c r="V81" s="846" t="s">
        <v>194</v>
      </c>
      <c r="W81" s="846" t="s">
        <v>194</v>
      </c>
      <c r="X81" s="846" t="s">
        <v>194</v>
      </c>
      <c r="Y81" s="846" t="s">
        <v>194</v>
      </c>
      <c r="Z81" s="846" t="s">
        <v>194</v>
      </c>
      <c r="AA81" s="846" t="s">
        <v>194</v>
      </c>
      <c r="AB81" s="846" t="s">
        <v>194</v>
      </c>
      <c r="AC81" s="846" t="s">
        <v>194</v>
      </c>
      <c r="AD81" s="846" t="s">
        <v>194</v>
      </c>
      <c r="AE81" s="846" t="s">
        <v>194</v>
      </c>
      <c r="AF81" s="846" t="s">
        <v>194</v>
      </c>
      <c r="AG81" s="846" t="s">
        <v>194</v>
      </c>
      <c r="AH81" s="846" t="s">
        <v>194</v>
      </c>
      <c r="AI81" s="846" t="s">
        <v>194</v>
      </c>
      <c r="AJ81" s="846" t="s">
        <v>194</v>
      </c>
      <c r="AK81" s="846" t="s">
        <v>194</v>
      </c>
      <c r="AL81" s="846" t="s">
        <v>194</v>
      </c>
      <c r="AM81" s="846" t="s">
        <v>194</v>
      </c>
      <c r="AN81" s="846" t="s">
        <v>194</v>
      </c>
      <c r="AO81" s="846" t="s">
        <v>194</v>
      </c>
      <c r="AP81" s="846" t="s">
        <v>194</v>
      </c>
      <c r="AQ81" s="846" t="s">
        <v>194</v>
      </c>
    </row>
    <row r="82" ht="15.75" customHeight="1">
      <c r="A82" s="846" t="s">
        <v>194</v>
      </c>
      <c r="B82" s="846" t="s">
        <v>194</v>
      </c>
      <c r="C82" s="846" t="s">
        <v>194</v>
      </c>
      <c r="D82" s="846" t="s">
        <v>194</v>
      </c>
      <c r="E82" s="846" t="s">
        <v>194</v>
      </c>
      <c r="F82" s="846" t="s">
        <v>194</v>
      </c>
      <c r="G82" s="846" t="s">
        <v>194</v>
      </c>
      <c r="H82" s="846" t="s">
        <v>194</v>
      </c>
      <c r="I82" s="846" t="s">
        <v>194</v>
      </c>
      <c r="J82" s="846" t="s">
        <v>194</v>
      </c>
      <c r="K82" s="846" t="s">
        <v>194</v>
      </c>
      <c r="L82" s="846" t="s">
        <v>194</v>
      </c>
      <c r="M82" s="896" t="s">
        <v>194</v>
      </c>
      <c r="N82" s="896" t="s">
        <v>194</v>
      </c>
      <c r="O82" s="896" t="s">
        <v>194</v>
      </c>
      <c r="P82" s="896" t="s">
        <v>194</v>
      </c>
      <c r="Q82" s="896" t="s">
        <v>194</v>
      </c>
      <c r="R82" s="896" t="s">
        <v>194</v>
      </c>
      <c r="S82" s="896" t="s">
        <v>194</v>
      </c>
      <c r="T82" s="896" t="s">
        <v>194</v>
      </c>
      <c r="U82" s="846" t="s">
        <v>194</v>
      </c>
      <c r="V82" s="846" t="s">
        <v>194</v>
      </c>
      <c r="W82" s="846" t="s">
        <v>194</v>
      </c>
      <c r="X82" s="846" t="s">
        <v>194</v>
      </c>
      <c r="Y82" s="846" t="s">
        <v>194</v>
      </c>
      <c r="Z82" s="846" t="s">
        <v>194</v>
      </c>
      <c r="AA82" s="846" t="s">
        <v>194</v>
      </c>
      <c r="AB82" s="846" t="s">
        <v>194</v>
      </c>
      <c r="AC82" s="846" t="s">
        <v>194</v>
      </c>
      <c r="AD82" s="846" t="s">
        <v>194</v>
      </c>
      <c r="AE82" s="846" t="s">
        <v>194</v>
      </c>
      <c r="AF82" s="846" t="s">
        <v>194</v>
      </c>
      <c r="AG82" s="846" t="s">
        <v>194</v>
      </c>
      <c r="AH82" s="846" t="s">
        <v>194</v>
      </c>
      <c r="AI82" s="846" t="s">
        <v>194</v>
      </c>
      <c r="AJ82" s="846" t="s">
        <v>194</v>
      </c>
      <c r="AK82" s="846" t="s">
        <v>194</v>
      </c>
      <c r="AL82" s="846" t="s">
        <v>194</v>
      </c>
      <c r="AM82" s="846" t="s">
        <v>194</v>
      </c>
      <c r="AN82" s="846" t="s">
        <v>194</v>
      </c>
      <c r="AO82" s="846" t="s">
        <v>194</v>
      </c>
      <c r="AP82" s="846" t="s">
        <v>194</v>
      </c>
      <c r="AQ82" s="846" t="s">
        <v>194</v>
      </c>
    </row>
    <row r="83" ht="15.75" customHeight="1">
      <c r="A83" s="846" t="s">
        <v>194</v>
      </c>
      <c r="B83" s="846" t="s">
        <v>194</v>
      </c>
      <c r="C83" s="846" t="s">
        <v>194</v>
      </c>
      <c r="D83" s="846" t="s">
        <v>194</v>
      </c>
      <c r="E83" s="846" t="s">
        <v>194</v>
      </c>
      <c r="F83" s="846" t="s">
        <v>194</v>
      </c>
      <c r="G83" s="846" t="s">
        <v>194</v>
      </c>
      <c r="H83" s="846" t="s">
        <v>194</v>
      </c>
      <c r="I83" s="846" t="s">
        <v>194</v>
      </c>
      <c r="J83" s="846" t="s">
        <v>194</v>
      </c>
      <c r="K83" s="846" t="s">
        <v>194</v>
      </c>
      <c r="L83" s="846" t="s">
        <v>194</v>
      </c>
      <c r="M83" s="896" t="s">
        <v>194</v>
      </c>
      <c r="N83" s="896" t="s">
        <v>194</v>
      </c>
      <c r="O83" s="896" t="s">
        <v>194</v>
      </c>
      <c r="P83" s="896" t="s">
        <v>194</v>
      </c>
      <c r="Q83" s="896" t="s">
        <v>194</v>
      </c>
      <c r="R83" s="896" t="s">
        <v>194</v>
      </c>
      <c r="S83" s="896" t="s">
        <v>194</v>
      </c>
      <c r="T83" s="896" t="s">
        <v>194</v>
      </c>
      <c r="U83" s="846" t="s">
        <v>194</v>
      </c>
      <c r="V83" s="846" t="s">
        <v>194</v>
      </c>
      <c r="W83" s="846" t="s">
        <v>194</v>
      </c>
      <c r="X83" s="846" t="s">
        <v>194</v>
      </c>
      <c r="Y83" s="846" t="s">
        <v>194</v>
      </c>
      <c r="Z83" s="846" t="s">
        <v>194</v>
      </c>
      <c r="AA83" s="846" t="s">
        <v>194</v>
      </c>
      <c r="AB83" s="846" t="s">
        <v>194</v>
      </c>
      <c r="AC83" s="846" t="s">
        <v>194</v>
      </c>
      <c r="AD83" s="846" t="s">
        <v>194</v>
      </c>
      <c r="AE83" s="846" t="s">
        <v>194</v>
      </c>
      <c r="AF83" s="846" t="s">
        <v>194</v>
      </c>
      <c r="AG83" s="846" t="s">
        <v>194</v>
      </c>
      <c r="AH83" s="846" t="s">
        <v>194</v>
      </c>
      <c r="AI83" s="846" t="s">
        <v>194</v>
      </c>
      <c r="AJ83" s="846" t="s">
        <v>194</v>
      </c>
      <c r="AK83" s="846" t="s">
        <v>194</v>
      </c>
      <c r="AL83" s="846" t="s">
        <v>194</v>
      </c>
      <c r="AM83" s="846" t="s">
        <v>194</v>
      </c>
      <c r="AN83" s="846" t="s">
        <v>194</v>
      </c>
      <c r="AO83" s="846" t="s">
        <v>194</v>
      </c>
      <c r="AP83" s="846" t="s">
        <v>194</v>
      </c>
      <c r="AQ83" s="846" t="s">
        <v>194</v>
      </c>
    </row>
    <row r="84" ht="15.75" customHeight="1">
      <c r="A84" s="846" t="s">
        <v>194</v>
      </c>
      <c r="B84" s="846" t="s">
        <v>194</v>
      </c>
      <c r="C84" s="846" t="s">
        <v>194</v>
      </c>
      <c r="D84" s="846" t="s">
        <v>194</v>
      </c>
      <c r="E84" s="846" t="s">
        <v>194</v>
      </c>
      <c r="F84" s="846" t="s">
        <v>194</v>
      </c>
      <c r="G84" s="846" t="s">
        <v>194</v>
      </c>
      <c r="H84" s="846" t="s">
        <v>194</v>
      </c>
      <c r="I84" s="846" t="s">
        <v>194</v>
      </c>
      <c r="J84" s="846" t="s">
        <v>194</v>
      </c>
      <c r="K84" s="846" t="s">
        <v>194</v>
      </c>
      <c r="L84" s="846" t="s">
        <v>194</v>
      </c>
      <c r="M84" s="896" t="s">
        <v>194</v>
      </c>
      <c r="N84" s="896" t="s">
        <v>194</v>
      </c>
      <c r="O84" s="896" t="s">
        <v>194</v>
      </c>
      <c r="P84" s="896" t="s">
        <v>194</v>
      </c>
      <c r="Q84" s="896" t="s">
        <v>194</v>
      </c>
      <c r="R84" s="896" t="s">
        <v>194</v>
      </c>
      <c r="S84" s="896" t="s">
        <v>194</v>
      </c>
      <c r="T84" s="896" t="s">
        <v>194</v>
      </c>
      <c r="U84" s="846" t="s">
        <v>194</v>
      </c>
      <c r="V84" s="846" t="s">
        <v>194</v>
      </c>
      <c r="W84" s="846" t="s">
        <v>194</v>
      </c>
      <c r="X84" s="846" t="s">
        <v>194</v>
      </c>
      <c r="Y84" s="846" t="s">
        <v>194</v>
      </c>
      <c r="Z84" s="846" t="s">
        <v>194</v>
      </c>
      <c r="AA84" s="846" t="s">
        <v>194</v>
      </c>
      <c r="AB84" s="846" t="s">
        <v>194</v>
      </c>
      <c r="AC84" s="846" t="s">
        <v>194</v>
      </c>
      <c r="AD84" s="846" t="s">
        <v>194</v>
      </c>
      <c r="AE84" s="846" t="s">
        <v>194</v>
      </c>
      <c r="AF84" s="846" t="s">
        <v>194</v>
      </c>
      <c r="AG84" s="846" t="s">
        <v>194</v>
      </c>
      <c r="AH84" s="846" t="s">
        <v>194</v>
      </c>
      <c r="AI84" s="846" t="s">
        <v>194</v>
      </c>
      <c r="AJ84" s="846" t="s">
        <v>194</v>
      </c>
      <c r="AK84" s="846" t="s">
        <v>194</v>
      </c>
      <c r="AL84" s="846" t="s">
        <v>194</v>
      </c>
      <c r="AM84" s="846" t="s">
        <v>194</v>
      </c>
      <c r="AN84" s="846" t="s">
        <v>194</v>
      </c>
      <c r="AO84" s="846" t="s">
        <v>194</v>
      </c>
      <c r="AP84" s="846" t="s">
        <v>194</v>
      </c>
      <c r="AQ84" s="846" t="s">
        <v>194</v>
      </c>
    </row>
    <row r="85" ht="15.75" customHeight="1">
      <c r="A85" s="846" t="s">
        <v>194</v>
      </c>
      <c r="B85" s="846" t="s">
        <v>194</v>
      </c>
      <c r="C85" s="846" t="s">
        <v>194</v>
      </c>
      <c r="D85" s="846" t="s">
        <v>194</v>
      </c>
      <c r="E85" s="846" t="s">
        <v>194</v>
      </c>
      <c r="F85" s="846" t="s">
        <v>194</v>
      </c>
      <c r="G85" s="846" t="s">
        <v>194</v>
      </c>
      <c r="H85" s="846" t="s">
        <v>194</v>
      </c>
      <c r="I85" s="846" t="s">
        <v>194</v>
      </c>
      <c r="J85" s="846" t="s">
        <v>194</v>
      </c>
      <c r="K85" s="846" t="s">
        <v>194</v>
      </c>
      <c r="L85" s="846" t="s">
        <v>194</v>
      </c>
      <c r="M85" s="896" t="s">
        <v>194</v>
      </c>
      <c r="N85" s="896" t="s">
        <v>194</v>
      </c>
      <c r="O85" s="896" t="s">
        <v>194</v>
      </c>
      <c r="P85" s="896" t="s">
        <v>194</v>
      </c>
      <c r="Q85" s="896" t="s">
        <v>194</v>
      </c>
      <c r="R85" s="896" t="s">
        <v>194</v>
      </c>
      <c r="S85" s="896" t="s">
        <v>194</v>
      </c>
      <c r="T85" s="896" t="s">
        <v>194</v>
      </c>
      <c r="U85" s="846" t="s">
        <v>194</v>
      </c>
      <c r="V85" s="846" t="s">
        <v>194</v>
      </c>
      <c r="W85" s="846" t="s">
        <v>194</v>
      </c>
      <c r="X85" s="846" t="s">
        <v>194</v>
      </c>
      <c r="Y85" s="846" t="s">
        <v>194</v>
      </c>
      <c r="Z85" s="846" t="s">
        <v>194</v>
      </c>
      <c r="AA85" s="846" t="s">
        <v>194</v>
      </c>
      <c r="AB85" s="846" t="s">
        <v>194</v>
      </c>
      <c r="AC85" s="846" t="s">
        <v>194</v>
      </c>
      <c r="AD85" s="846" t="s">
        <v>194</v>
      </c>
      <c r="AE85" s="846" t="s">
        <v>194</v>
      </c>
      <c r="AF85" s="846" t="s">
        <v>194</v>
      </c>
      <c r="AG85" s="846" t="s">
        <v>194</v>
      </c>
      <c r="AH85" s="846" t="s">
        <v>194</v>
      </c>
      <c r="AI85" s="846" t="s">
        <v>194</v>
      </c>
      <c r="AJ85" s="846" t="s">
        <v>194</v>
      </c>
      <c r="AK85" s="846" t="s">
        <v>194</v>
      </c>
      <c r="AL85" s="846" t="s">
        <v>194</v>
      </c>
      <c r="AM85" s="846" t="s">
        <v>194</v>
      </c>
      <c r="AN85" s="846" t="s">
        <v>194</v>
      </c>
      <c r="AO85" s="846" t="s">
        <v>194</v>
      </c>
      <c r="AP85" s="846" t="s">
        <v>194</v>
      </c>
      <c r="AQ85" s="846" t="s">
        <v>194</v>
      </c>
    </row>
    <row r="86" ht="15.75" customHeight="1">
      <c r="A86" s="846" t="s">
        <v>194</v>
      </c>
      <c r="B86" s="846" t="s">
        <v>194</v>
      </c>
      <c r="C86" s="846" t="s">
        <v>194</v>
      </c>
      <c r="D86" s="846" t="s">
        <v>194</v>
      </c>
      <c r="E86" s="846" t="s">
        <v>194</v>
      </c>
      <c r="F86" s="846" t="s">
        <v>194</v>
      </c>
      <c r="G86" s="846" t="s">
        <v>194</v>
      </c>
      <c r="H86" s="846" t="s">
        <v>194</v>
      </c>
      <c r="I86" s="846" t="s">
        <v>194</v>
      </c>
      <c r="J86" s="846" t="s">
        <v>194</v>
      </c>
      <c r="K86" s="846" t="s">
        <v>194</v>
      </c>
      <c r="L86" s="846" t="s">
        <v>194</v>
      </c>
      <c r="M86" s="896" t="s">
        <v>194</v>
      </c>
      <c r="N86" s="896" t="s">
        <v>194</v>
      </c>
      <c r="O86" s="896" t="s">
        <v>194</v>
      </c>
      <c r="P86" s="896" t="s">
        <v>194</v>
      </c>
      <c r="Q86" s="896" t="s">
        <v>194</v>
      </c>
      <c r="R86" s="896" t="s">
        <v>194</v>
      </c>
      <c r="S86" s="896" t="s">
        <v>194</v>
      </c>
      <c r="T86" s="896" t="s">
        <v>194</v>
      </c>
      <c r="U86" s="846" t="s">
        <v>194</v>
      </c>
      <c r="V86" s="846" t="s">
        <v>194</v>
      </c>
      <c r="W86" s="846" t="s">
        <v>194</v>
      </c>
      <c r="X86" s="846" t="s">
        <v>194</v>
      </c>
      <c r="Y86" s="846" t="s">
        <v>194</v>
      </c>
      <c r="Z86" s="846" t="s">
        <v>194</v>
      </c>
      <c r="AA86" s="846" t="s">
        <v>194</v>
      </c>
      <c r="AB86" s="846" t="s">
        <v>194</v>
      </c>
      <c r="AC86" s="846" t="s">
        <v>194</v>
      </c>
      <c r="AD86" s="846" t="s">
        <v>194</v>
      </c>
      <c r="AE86" s="846" t="s">
        <v>194</v>
      </c>
      <c r="AF86" s="846" t="s">
        <v>194</v>
      </c>
      <c r="AG86" s="846" t="s">
        <v>194</v>
      </c>
      <c r="AH86" s="846" t="s">
        <v>194</v>
      </c>
      <c r="AI86" s="846" t="s">
        <v>194</v>
      </c>
      <c r="AJ86" s="846" t="s">
        <v>194</v>
      </c>
      <c r="AK86" s="846" t="s">
        <v>194</v>
      </c>
      <c r="AL86" s="846" t="s">
        <v>194</v>
      </c>
      <c r="AM86" s="846" t="s">
        <v>194</v>
      </c>
      <c r="AN86" s="846" t="s">
        <v>194</v>
      </c>
      <c r="AO86" s="846" t="s">
        <v>194</v>
      </c>
      <c r="AP86" s="846" t="s">
        <v>194</v>
      </c>
      <c r="AQ86" s="846" t="s">
        <v>194</v>
      </c>
    </row>
    <row r="87" ht="15.75" customHeight="1">
      <c r="A87" s="846" t="s">
        <v>194</v>
      </c>
      <c r="B87" s="846" t="s">
        <v>194</v>
      </c>
      <c r="C87" s="846" t="s">
        <v>194</v>
      </c>
      <c r="D87" s="846" t="s">
        <v>194</v>
      </c>
      <c r="E87" s="846" t="s">
        <v>194</v>
      </c>
      <c r="F87" s="846" t="s">
        <v>194</v>
      </c>
      <c r="G87" s="846" t="s">
        <v>194</v>
      </c>
      <c r="H87" s="846" t="s">
        <v>194</v>
      </c>
      <c r="I87" s="846" t="s">
        <v>194</v>
      </c>
      <c r="J87" s="846" t="s">
        <v>194</v>
      </c>
      <c r="K87" s="846" t="s">
        <v>194</v>
      </c>
      <c r="L87" s="846" t="s">
        <v>194</v>
      </c>
      <c r="M87" s="896" t="s">
        <v>194</v>
      </c>
      <c r="N87" s="896" t="s">
        <v>194</v>
      </c>
      <c r="O87" s="896" t="s">
        <v>194</v>
      </c>
      <c r="P87" s="896" t="s">
        <v>194</v>
      </c>
      <c r="Q87" s="896" t="s">
        <v>194</v>
      </c>
      <c r="R87" s="896" t="s">
        <v>194</v>
      </c>
      <c r="S87" s="896" t="s">
        <v>194</v>
      </c>
      <c r="T87" s="896" t="s">
        <v>194</v>
      </c>
      <c r="U87" s="846" t="s">
        <v>194</v>
      </c>
      <c r="V87" s="846" t="s">
        <v>194</v>
      </c>
      <c r="W87" s="846" t="s">
        <v>194</v>
      </c>
      <c r="X87" s="846" t="s">
        <v>194</v>
      </c>
      <c r="Y87" s="846" t="s">
        <v>194</v>
      </c>
      <c r="Z87" s="846" t="s">
        <v>194</v>
      </c>
      <c r="AA87" s="846" t="s">
        <v>194</v>
      </c>
      <c r="AB87" s="846" t="s">
        <v>194</v>
      </c>
      <c r="AC87" s="846" t="s">
        <v>194</v>
      </c>
      <c r="AD87" s="846" t="s">
        <v>194</v>
      </c>
      <c r="AE87" s="846" t="s">
        <v>194</v>
      </c>
      <c r="AF87" s="846" t="s">
        <v>194</v>
      </c>
      <c r="AG87" s="846" t="s">
        <v>194</v>
      </c>
      <c r="AH87" s="846" t="s">
        <v>194</v>
      </c>
      <c r="AI87" s="846" t="s">
        <v>194</v>
      </c>
      <c r="AJ87" s="846" t="s">
        <v>194</v>
      </c>
      <c r="AK87" s="846" t="s">
        <v>194</v>
      </c>
      <c r="AL87" s="846" t="s">
        <v>194</v>
      </c>
      <c r="AM87" s="846" t="s">
        <v>194</v>
      </c>
      <c r="AN87" s="846" t="s">
        <v>194</v>
      </c>
      <c r="AO87" s="846" t="s">
        <v>194</v>
      </c>
      <c r="AP87" s="846" t="s">
        <v>194</v>
      </c>
      <c r="AQ87" s="846" t="s">
        <v>194</v>
      </c>
    </row>
    <row r="88" ht="15.75" customHeight="1">
      <c r="A88" s="846" t="s">
        <v>194</v>
      </c>
      <c r="B88" s="846" t="s">
        <v>194</v>
      </c>
      <c r="C88" s="846" t="s">
        <v>194</v>
      </c>
      <c r="D88" s="846" t="s">
        <v>194</v>
      </c>
      <c r="E88" s="846" t="s">
        <v>194</v>
      </c>
      <c r="F88" s="846" t="s">
        <v>194</v>
      </c>
      <c r="G88" s="846" t="s">
        <v>194</v>
      </c>
      <c r="H88" s="846" t="s">
        <v>194</v>
      </c>
      <c r="I88" s="846" t="s">
        <v>194</v>
      </c>
      <c r="J88" s="846" t="s">
        <v>194</v>
      </c>
      <c r="K88" s="846" t="s">
        <v>194</v>
      </c>
      <c r="L88" s="846" t="s">
        <v>194</v>
      </c>
      <c r="M88" s="896" t="s">
        <v>194</v>
      </c>
      <c r="N88" s="896" t="s">
        <v>194</v>
      </c>
      <c r="O88" s="896" t="s">
        <v>194</v>
      </c>
      <c r="P88" s="896" t="s">
        <v>194</v>
      </c>
      <c r="Q88" s="896" t="s">
        <v>194</v>
      </c>
      <c r="R88" s="896" t="s">
        <v>194</v>
      </c>
      <c r="S88" s="896" t="s">
        <v>194</v>
      </c>
      <c r="T88" s="896" t="s">
        <v>194</v>
      </c>
      <c r="U88" s="846" t="s">
        <v>194</v>
      </c>
      <c r="V88" s="846" t="s">
        <v>194</v>
      </c>
      <c r="W88" s="846" t="s">
        <v>194</v>
      </c>
      <c r="X88" s="846" t="s">
        <v>194</v>
      </c>
      <c r="Y88" s="846" t="s">
        <v>194</v>
      </c>
      <c r="Z88" s="846" t="s">
        <v>194</v>
      </c>
      <c r="AA88" s="846" t="s">
        <v>194</v>
      </c>
      <c r="AB88" s="846" t="s">
        <v>194</v>
      </c>
      <c r="AC88" s="846" t="s">
        <v>194</v>
      </c>
      <c r="AD88" s="846" t="s">
        <v>194</v>
      </c>
      <c r="AE88" s="846" t="s">
        <v>194</v>
      </c>
      <c r="AF88" s="846" t="s">
        <v>194</v>
      </c>
      <c r="AG88" s="846" t="s">
        <v>194</v>
      </c>
      <c r="AH88" s="846" t="s">
        <v>194</v>
      </c>
      <c r="AI88" s="846" t="s">
        <v>194</v>
      </c>
      <c r="AJ88" s="846" t="s">
        <v>194</v>
      </c>
      <c r="AK88" s="846" t="s">
        <v>194</v>
      </c>
      <c r="AL88" s="846" t="s">
        <v>194</v>
      </c>
      <c r="AM88" s="846" t="s">
        <v>194</v>
      </c>
      <c r="AN88" s="846" t="s">
        <v>194</v>
      </c>
      <c r="AO88" s="846" t="s">
        <v>194</v>
      </c>
      <c r="AP88" s="846" t="s">
        <v>194</v>
      </c>
      <c r="AQ88" s="846" t="s">
        <v>194</v>
      </c>
    </row>
    <row r="89" ht="15.75" customHeight="1">
      <c r="A89" s="846" t="s">
        <v>194</v>
      </c>
      <c r="B89" s="846" t="s">
        <v>194</v>
      </c>
      <c r="C89" s="846" t="s">
        <v>194</v>
      </c>
      <c r="D89" s="846" t="s">
        <v>194</v>
      </c>
      <c r="E89" s="846" t="s">
        <v>194</v>
      </c>
      <c r="F89" s="846" t="s">
        <v>194</v>
      </c>
      <c r="G89" s="846" t="s">
        <v>194</v>
      </c>
      <c r="H89" s="846" t="s">
        <v>194</v>
      </c>
      <c r="I89" s="846" t="s">
        <v>194</v>
      </c>
      <c r="J89" s="846" t="s">
        <v>194</v>
      </c>
      <c r="K89" s="846" t="s">
        <v>194</v>
      </c>
      <c r="L89" s="846" t="s">
        <v>194</v>
      </c>
      <c r="M89" s="896" t="s">
        <v>194</v>
      </c>
      <c r="N89" s="896" t="s">
        <v>194</v>
      </c>
      <c r="O89" s="896" t="s">
        <v>194</v>
      </c>
      <c r="P89" s="896" t="s">
        <v>194</v>
      </c>
      <c r="Q89" s="896" t="s">
        <v>194</v>
      </c>
      <c r="R89" s="896" t="s">
        <v>194</v>
      </c>
      <c r="S89" s="896" t="s">
        <v>194</v>
      </c>
      <c r="T89" s="896" t="s">
        <v>194</v>
      </c>
      <c r="U89" s="846" t="s">
        <v>194</v>
      </c>
      <c r="V89" s="846" t="s">
        <v>194</v>
      </c>
      <c r="W89" s="846" t="s">
        <v>194</v>
      </c>
      <c r="X89" s="846" t="s">
        <v>194</v>
      </c>
      <c r="Y89" s="846" t="s">
        <v>194</v>
      </c>
      <c r="Z89" s="846" t="s">
        <v>194</v>
      </c>
      <c r="AA89" s="846" t="s">
        <v>194</v>
      </c>
      <c r="AB89" s="846" t="s">
        <v>194</v>
      </c>
      <c r="AC89" s="846" t="s">
        <v>194</v>
      </c>
      <c r="AD89" s="846" t="s">
        <v>194</v>
      </c>
      <c r="AE89" s="846" t="s">
        <v>194</v>
      </c>
      <c r="AF89" s="846" t="s">
        <v>194</v>
      </c>
      <c r="AG89" s="846" t="s">
        <v>194</v>
      </c>
      <c r="AH89" s="846" t="s">
        <v>194</v>
      </c>
      <c r="AI89" s="846" t="s">
        <v>194</v>
      </c>
      <c r="AJ89" s="846" t="s">
        <v>194</v>
      </c>
      <c r="AK89" s="846" t="s">
        <v>194</v>
      </c>
      <c r="AL89" s="846" t="s">
        <v>194</v>
      </c>
      <c r="AM89" s="846" t="s">
        <v>194</v>
      </c>
      <c r="AN89" s="846" t="s">
        <v>194</v>
      </c>
      <c r="AO89" s="846" t="s">
        <v>194</v>
      </c>
      <c r="AP89" s="846" t="s">
        <v>194</v>
      </c>
      <c r="AQ89" s="846" t="s">
        <v>194</v>
      </c>
    </row>
    <row r="90" ht="15.75" customHeight="1">
      <c r="A90" s="846" t="s">
        <v>194</v>
      </c>
      <c r="B90" s="846" t="s">
        <v>194</v>
      </c>
      <c r="C90" s="846" t="s">
        <v>194</v>
      </c>
      <c r="D90" s="846" t="s">
        <v>194</v>
      </c>
      <c r="E90" s="846" t="s">
        <v>194</v>
      </c>
      <c r="F90" s="846" t="s">
        <v>194</v>
      </c>
      <c r="G90" s="846" t="s">
        <v>194</v>
      </c>
      <c r="H90" s="846" t="s">
        <v>194</v>
      </c>
      <c r="I90" s="846" t="s">
        <v>194</v>
      </c>
      <c r="J90" s="846" t="s">
        <v>194</v>
      </c>
      <c r="K90" s="846" t="s">
        <v>194</v>
      </c>
      <c r="L90" s="846" t="s">
        <v>194</v>
      </c>
      <c r="M90" s="896" t="s">
        <v>194</v>
      </c>
      <c r="N90" s="896" t="s">
        <v>194</v>
      </c>
      <c r="O90" s="896" t="s">
        <v>194</v>
      </c>
      <c r="P90" s="896" t="s">
        <v>194</v>
      </c>
      <c r="Q90" s="896" t="s">
        <v>194</v>
      </c>
      <c r="R90" s="896" t="s">
        <v>194</v>
      </c>
      <c r="S90" s="896" t="s">
        <v>194</v>
      </c>
      <c r="T90" s="896" t="s">
        <v>194</v>
      </c>
      <c r="U90" s="846" t="s">
        <v>194</v>
      </c>
      <c r="V90" s="846" t="s">
        <v>194</v>
      </c>
      <c r="W90" s="846" t="s">
        <v>194</v>
      </c>
      <c r="X90" s="846" t="s">
        <v>194</v>
      </c>
      <c r="Y90" s="846" t="s">
        <v>194</v>
      </c>
      <c r="Z90" s="846" t="s">
        <v>194</v>
      </c>
      <c r="AA90" s="846" t="s">
        <v>194</v>
      </c>
      <c r="AB90" s="846" t="s">
        <v>194</v>
      </c>
      <c r="AC90" s="846" t="s">
        <v>194</v>
      </c>
      <c r="AD90" s="846" t="s">
        <v>194</v>
      </c>
      <c r="AE90" s="846" t="s">
        <v>194</v>
      </c>
      <c r="AF90" s="846" t="s">
        <v>194</v>
      </c>
      <c r="AG90" s="846" t="s">
        <v>194</v>
      </c>
      <c r="AH90" s="846" t="s">
        <v>194</v>
      </c>
      <c r="AI90" s="846" t="s">
        <v>194</v>
      </c>
      <c r="AJ90" s="846" t="s">
        <v>194</v>
      </c>
      <c r="AK90" s="846" t="s">
        <v>194</v>
      </c>
      <c r="AL90" s="846" t="s">
        <v>194</v>
      </c>
      <c r="AM90" s="846" t="s">
        <v>194</v>
      </c>
      <c r="AN90" s="846" t="s">
        <v>194</v>
      </c>
      <c r="AO90" s="846" t="s">
        <v>194</v>
      </c>
      <c r="AP90" s="846" t="s">
        <v>194</v>
      </c>
      <c r="AQ90" s="846" t="s">
        <v>194</v>
      </c>
    </row>
    <row r="91" ht="15.75" customHeight="1">
      <c r="A91" s="846" t="s">
        <v>194</v>
      </c>
      <c r="B91" s="846" t="s">
        <v>194</v>
      </c>
      <c r="C91" s="846" t="s">
        <v>194</v>
      </c>
      <c r="D91" s="846" t="s">
        <v>194</v>
      </c>
      <c r="E91" s="846" t="s">
        <v>194</v>
      </c>
      <c r="F91" s="846" t="s">
        <v>194</v>
      </c>
      <c r="G91" s="846" t="s">
        <v>194</v>
      </c>
      <c r="H91" s="846" t="s">
        <v>194</v>
      </c>
      <c r="I91" s="846" t="s">
        <v>194</v>
      </c>
      <c r="J91" s="846" t="s">
        <v>194</v>
      </c>
      <c r="K91" s="846" t="s">
        <v>194</v>
      </c>
      <c r="L91" s="846" t="s">
        <v>194</v>
      </c>
      <c r="M91" s="896" t="s">
        <v>194</v>
      </c>
      <c r="N91" s="896" t="s">
        <v>194</v>
      </c>
      <c r="O91" s="896" t="s">
        <v>194</v>
      </c>
      <c r="P91" s="896" t="s">
        <v>194</v>
      </c>
      <c r="Q91" s="896" t="s">
        <v>194</v>
      </c>
      <c r="R91" s="896" t="s">
        <v>194</v>
      </c>
      <c r="S91" s="896" t="s">
        <v>194</v>
      </c>
      <c r="T91" s="896" t="s">
        <v>194</v>
      </c>
      <c r="U91" s="846" t="s">
        <v>194</v>
      </c>
      <c r="V91" s="846" t="s">
        <v>194</v>
      </c>
      <c r="W91" s="846" t="s">
        <v>194</v>
      </c>
      <c r="X91" s="846" t="s">
        <v>194</v>
      </c>
      <c r="Y91" s="846" t="s">
        <v>194</v>
      </c>
      <c r="Z91" s="846" t="s">
        <v>194</v>
      </c>
      <c r="AA91" s="846" t="s">
        <v>194</v>
      </c>
      <c r="AB91" s="846" t="s">
        <v>194</v>
      </c>
      <c r="AC91" s="846" t="s">
        <v>194</v>
      </c>
      <c r="AD91" s="846" t="s">
        <v>194</v>
      </c>
      <c r="AE91" s="846" t="s">
        <v>194</v>
      </c>
      <c r="AF91" s="846" t="s">
        <v>194</v>
      </c>
      <c r="AG91" s="846" t="s">
        <v>194</v>
      </c>
      <c r="AH91" s="846" t="s">
        <v>194</v>
      </c>
      <c r="AI91" s="846" t="s">
        <v>194</v>
      </c>
      <c r="AJ91" s="846" t="s">
        <v>194</v>
      </c>
      <c r="AK91" s="846" t="s">
        <v>194</v>
      </c>
      <c r="AL91" s="846" t="s">
        <v>194</v>
      </c>
      <c r="AM91" s="846" t="s">
        <v>194</v>
      </c>
      <c r="AN91" s="846" t="s">
        <v>194</v>
      </c>
      <c r="AO91" s="846" t="s">
        <v>194</v>
      </c>
      <c r="AP91" s="846" t="s">
        <v>194</v>
      </c>
      <c r="AQ91" s="846" t="s">
        <v>194</v>
      </c>
    </row>
    <row r="92" ht="15.75" customHeight="1">
      <c r="A92" s="846" t="s">
        <v>194</v>
      </c>
      <c r="B92" s="846" t="s">
        <v>194</v>
      </c>
      <c r="C92" s="846" t="s">
        <v>194</v>
      </c>
      <c r="D92" s="846" t="s">
        <v>194</v>
      </c>
      <c r="E92" s="846" t="s">
        <v>194</v>
      </c>
      <c r="F92" s="846" t="s">
        <v>194</v>
      </c>
      <c r="G92" s="846" t="s">
        <v>194</v>
      </c>
      <c r="H92" s="846" t="s">
        <v>194</v>
      </c>
      <c r="I92" s="846" t="s">
        <v>194</v>
      </c>
      <c r="J92" s="846" t="s">
        <v>194</v>
      </c>
      <c r="K92" s="846" t="s">
        <v>194</v>
      </c>
      <c r="L92" s="846" t="s">
        <v>194</v>
      </c>
      <c r="M92" s="896" t="s">
        <v>194</v>
      </c>
      <c r="N92" s="896" t="s">
        <v>194</v>
      </c>
      <c r="O92" s="896" t="s">
        <v>194</v>
      </c>
      <c r="P92" s="896" t="s">
        <v>194</v>
      </c>
      <c r="Q92" s="896" t="s">
        <v>194</v>
      </c>
      <c r="R92" s="896" t="s">
        <v>194</v>
      </c>
      <c r="S92" s="896" t="s">
        <v>194</v>
      </c>
      <c r="T92" s="896" t="s">
        <v>194</v>
      </c>
      <c r="U92" s="846" t="s">
        <v>194</v>
      </c>
      <c r="V92" s="846" t="s">
        <v>194</v>
      </c>
      <c r="W92" s="846" t="s">
        <v>194</v>
      </c>
      <c r="X92" s="846" t="s">
        <v>194</v>
      </c>
      <c r="Y92" s="846" t="s">
        <v>194</v>
      </c>
      <c r="Z92" s="846" t="s">
        <v>194</v>
      </c>
      <c r="AA92" s="846" t="s">
        <v>194</v>
      </c>
      <c r="AB92" s="846" t="s">
        <v>194</v>
      </c>
      <c r="AC92" s="846" t="s">
        <v>194</v>
      </c>
      <c r="AD92" s="846" t="s">
        <v>194</v>
      </c>
      <c r="AE92" s="846" t="s">
        <v>194</v>
      </c>
      <c r="AF92" s="846" t="s">
        <v>194</v>
      </c>
      <c r="AG92" s="846" t="s">
        <v>194</v>
      </c>
      <c r="AH92" s="846" t="s">
        <v>194</v>
      </c>
      <c r="AI92" s="846" t="s">
        <v>194</v>
      </c>
      <c r="AJ92" s="846" t="s">
        <v>194</v>
      </c>
      <c r="AK92" s="846" t="s">
        <v>194</v>
      </c>
      <c r="AL92" s="846" t="s">
        <v>194</v>
      </c>
      <c r="AM92" s="846" t="s">
        <v>194</v>
      </c>
      <c r="AN92" s="846" t="s">
        <v>194</v>
      </c>
      <c r="AO92" s="846" t="s">
        <v>194</v>
      </c>
      <c r="AP92" s="846" t="s">
        <v>194</v>
      </c>
      <c r="AQ92" s="846" t="s">
        <v>194</v>
      </c>
    </row>
    <row r="93" ht="15.75" customHeight="1">
      <c r="A93" s="846" t="s">
        <v>194</v>
      </c>
      <c r="B93" s="846" t="s">
        <v>194</v>
      </c>
      <c r="C93" s="846" t="s">
        <v>194</v>
      </c>
      <c r="D93" s="846" t="s">
        <v>194</v>
      </c>
      <c r="E93" s="846" t="s">
        <v>194</v>
      </c>
      <c r="F93" s="846" t="s">
        <v>194</v>
      </c>
      <c r="G93" s="846" t="s">
        <v>194</v>
      </c>
      <c r="H93" s="846" t="s">
        <v>194</v>
      </c>
      <c r="I93" s="846" t="s">
        <v>194</v>
      </c>
      <c r="J93" s="846" t="s">
        <v>194</v>
      </c>
      <c r="K93" s="846" t="s">
        <v>194</v>
      </c>
      <c r="L93" s="846" t="s">
        <v>194</v>
      </c>
      <c r="M93" s="896" t="s">
        <v>194</v>
      </c>
      <c r="N93" s="896" t="s">
        <v>194</v>
      </c>
      <c r="O93" s="896" t="s">
        <v>194</v>
      </c>
      <c r="P93" s="896" t="s">
        <v>194</v>
      </c>
      <c r="Q93" s="896" t="s">
        <v>194</v>
      </c>
      <c r="R93" s="896" t="s">
        <v>194</v>
      </c>
      <c r="S93" s="896" t="s">
        <v>194</v>
      </c>
      <c r="T93" s="896" t="s">
        <v>194</v>
      </c>
      <c r="U93" s="846" t="s">
        <v>194</v>
      </c>
      <c r="V93" s="846" t="s">
        <v>194</v>
      </c>
      <c r="W93" s="846" t="s">
        <v>194</v>
      </c>
      <c r="X93" s="846" t="s">
        <v>194</v>
      </c>
      <c r="Y93" s="846" t="s">
        <v>194</v>
      </c>
      <c r="Z93" s="846" t="s">
        <v>194</v>
      </c>
      <c r="AA93" s="846" t="s">
        <v>194</v>
      </c>
      <c r="AB93" s="846" t="s">
        <v>194</v>
      </c>
      <c r="AC93" s="846" t="s">
        <v>194</v>
      </c>
      <c r="AD93" s="846" t="s">
        <v>194</v>
      </c>
      <c r="AE93" s="846" t="s">
        <v>194</v>
      </c>
      <c r="AF93" s="846" t="s">
        <v>194</v>
      </c>
      <c r="AG93" s="846" t="s">
        <v>194</v>
      </c>
      <c r="AH93" s="846" t="s">
        <v>194</v>
      </c>
      <c r="AI93" s="846" t="s">
        <v>194</v>
      </c>
      <c r="AJ93" s="846" t="s">
        <v>194</v>
      </c>
      <c r="AK93" s="846" t="s">
        <v>194</v>
      </c>
      <c r="AL93" s="846" t="s">
        <v>194</v>
      </c>
      <c r="AM93" s="846" t="s">
        <v>194</v>
      </c>
      <c r="AN93" s="846" t="s">
        <v>194</v>
      </c>
      <c r="AO93" s="846" t="s">
        <v>194</v>
      </c>
      <c r="AP93" s="846" t="s">
        <v>194</v>
      </c>
      <c r="AQ93" s="846" t="s">
        <v>194</v>
      </c>
    </row>
    <row r="94" ht="15.75" customHeight="1">
      <c r="A94" s="846" t="s">
        <v>194</v>
      </c>
      <c r="B94" s="846" t="s">
        <v>194</v>
      </c>
      <c r="C94" s="846" t="s">
        <v>194</v>
      </c>
      <c r="D94" s="846" t="s">
        <v>194</v>
      </c>
      <c r="E94" s="846" t="s">
        <v>194</v>
      </c>
      <c r="F94" s="846" t="s">
        <v>194</v>
      </c>
      <c r="G94" s="846" t="s">
        <v>194</v>
      </c>
      <c r="H94" s="846" t="s">
        <v>194</v>
      </c>
      <c r="I94" s="846" t="s">
        <v>194</v>
      </c>
      <c r="J94" s="846" t="s">
        <v>194</v>
      </c>
      <c r="K94" s="846" t="s">
        <v>194</v>
      </c>
      <c r="L94" s="846" t="s">
        <v>194</v>
      </c>
      <c r="M94" s="896" t="s">
        <v>194</v>
      </c>
      <c r="N94" s="896" t="s">
        <v>194</v>
      </c>
      <c r="O94" s="896" t="s">
        <v>194</v>
      </c>
      <c r="P94" s="896" t="s">
        <v>194</v>
      </c>
      <c r="Q94" s="896" t="s">
        <v>194</v>
      </c>
      <c r="R94" s="896" t="s">
        <v>194</v>
      </c>
      <c r="S94" s="896" t="s">
        <v>194</v>
      </c>
      <c r="T94" s="896" t="s">
        <v>194</v>
      </c>
      <c r="U94" s="846" t="s">
        <v>194</v>
      </c>
      <c r="V94" s="846" t="s">
        <v>194</v>
      </c>
      <c r="W94" s="846" t="s">
        <v>194</v>
      </c>
      <c r="X94" s="846" t="s">
        <v>194</v>
      </c>
      <c r="Y94" s="846" t="s">
        <v>194</v>
      </c>
      <c r="Z94" s="846" t="s">
        <v>194</v>
      </c>
      <c r="AA94" s="846" t="s">
        <v>194</v>
      </c>
      <c r="AB94" s="846" t="s">
        <v>194</v>
      </c>
      <c r="AC94" s="846" t="s">
        <v>194</v>
      </c>
      <c r="AD94" s="846" t="s">
        <v>194</v>
      </c>
      <c r="AE94" s="846" t="s">
        <v>194</v>
      </c>
      <c r="AF94" s="846" t="s">
        <v>194</v>
      </c>
      <c r="AG94" s="846" t="s">
        <v>194</v>
      </c>
      <c r="AH94" s="846" t="s">
        <v>194</v>
      </c>
      <c r="AI94" s="846" t="s">
        <v>194</v>
      </c>
      <c r="AJ94" s="846" t="s">
        <v>194</v>
      </c>
      <c r="AK94" s="846" t="s">
        <v>194</v>
      </c>
      <c r="AL94" s="846" t="s">
        <v>194</v>
      </c>
      <c r="AM94" s="846" t="s">
        <v>194</v>
      </c>
      <c r="AN94" s="846" t="s">
        <v>194</v>
      </c>
      <c r="AO94" s="846" t="s">
        <v>194</v>
      </c>
      <c r="AP94" s="846" t="s">
        <v>194</v>
      </c>
      <c r="AQ94" s="846" t="s">
        <v>194</v>
      </c>
    </row>
    <row r="95" ht="15.75" customHeight="1">
      <c r="A95" s="846" t="s">
        <v>194</v>
      </c>
      <c r="B95" s="846" t="s">
        <v>194</v>
      </c>
      <c r="C95" s="846" t="s">
        <v>194</v>
      </c>
      <c r="D95" s="846" t="s">
        <v>194</v>
      </c>
      <c r="E95" s="846" t="s">
        <v>194</v>
      </c>
      <c r="F95" s="846" t="s">
        <v>194</v>
      </c>
      <c r="G95" s="846" t="s">
        <v>194</v>
      </c>
      <c r="H95" s="846" t="s">
        <v>194</v>
      </c>
      <c r="I95" s="846" t="s">
        <v>194</v>
      </c>
      <c r="J95" s="846" t="s">
        <v>194</v>
      </c>
      <c r="K95" s="846" t="s">
        <v>194</v>
      </c>
      <c r="L95" s="846" t="s">
        <v>194</v>
      </c>
      <c r="M95" s="896" t="s">
        <v>194</v>
      </c>
      <c r="N95" s="896" t="s">
        <v>194</v>
      </c>
      <c r="O95" s="896" t="s">
        <v>194</v>
      </c>
      <c r="P95" s="896" t="s">
        <v>194</v>
      </c>
      <c r="Q95" s="896" t="s">
        <v>194</v>
      </c>
      <c r="R95" s="896" t="s">
        <v>194</v>
      </c>
      <c r="S95" s="896" t="s">
        <v>194</v>
      </c>
      <c r="T95" s="896" t="s">
        <v>194</v>
      </c>
      <c r="U95" s="846" t="s">
        <v>194</v>
      </c>
      <c r="V95" s="846" t="s">
        <v>194</v>
      </c>
      <c r="W95" s="846" t="s">
        <v>194</v>
      </c>
      <c r="X95" s="846" t="s">
        <v>194</v>
      </c>
      <c r="Y95" s="846" t="s">
        <v>194</v>
      </c>
      <c r="Z95" s="846" t="s">
        <v>194</v>
      </c>
      <c r="AA95" s="846" t="s">
        <v>194</v>
      </c>
      <c r="AB95" s="846" t="s">
        <v>194</v>
      </c>
      <c r="AC95" s="846" t="s">
        <v>194</v>
      </c>
      <c r="AD95" s="846" t="s">
        <v>194</v>
      </c>
      <c r="AE95" s="846" t="s">
        <v>194</v>
      </c>
      <c r="AF95" s="846" t="s">
        <v>194</v>
      </c>
      <c r="AG95" s="846" t="s">
        <v>194</v>
      </c>
      <c r="AH95" s="846" t="s">
        <v>194</v>
      </c>
      <c r="AI95" s="846" t="s">
        <v>194</v>
      </c>
      <c r="AJ95" s="846" t="s">
        <v>194</v>
      </c>
      <c r="AK95" s="846" t="s">
        <v>194</v>
      </c>
      <c r="AL95" s="846" t="s">
        <v>194</v>
      </c>
      <c r="AM95" s="846" t="s">
        <v>194</v>
      </c>
      <c r="AN95" s="846" t="s">
        <v>194</v>
      </c>
      <c r="AO95" s="846" t="s">
        <v>194</v>
      </c>
      <c r="AP95" s="846" t="s">
        <v>194</v>
      </c>
      <c r="AQ95" s="846" t="s">
        <v>194</v>
      </c>
    </row>
    <row r="96" ht="15.75" customHeight="1">
      <c r="A96" s="846" t="s">
        <v>194</v>
      </c>
      <c r="B96" s="846" t="s">
        <v>194</v>
      </c>
      <c r="C96" s="846" t="s">
        <v>194</v>
      </c>
      <c r="D96" s="846" t="s">
        <v>194</v>
      </c>
      <c r="E96" s="846" t="s">
        <v>194</v>
      </c>
      <c r="F96" s="846" t="s">
        <v>194</v>
      </c>
      <c r="G96" s="846" t="s">
        <v>194</v>
      </c>
      <c r="H96" s="846" t="s">
        <v>194</v>
      </c>
      <c r="I96" s="846" t="s">
        <v>194</v>
      </c>
      <c r="J96" s="846" t="s">
        <v>194</v>
      </c>
      <c r="K96" s="846" t="s">
        <v>194</v>
      </c>
      <c r="L96" s="846" t="s">
        <v>194</v>
      </c>
      <c r="M96" s="896" t="s">
        <v>194</v>
      </c>
      <c r="N96" s="896" t="s">
        <v>194</v>
      </c>
      <c r="O96" s="896" t="s">
        <v>194</v>
      </c>
      <c r="P96" s="896" t="s">
        <v>194</v>
      </c>
      <c r="Q96" s="896" t="s">
        <v>194</v>
      </c>
      <c r="R96" s="896" t="s">
        <v>194</v>
      </c>
      <c r="S96" s="896" t="s">
        <v>194</v>
      </c>
      <c r="T96" s="896" t="s">
        <v>194</v>
      </c>
      <c r="U96" s="846" t="s">
        <v>194</v>
      </c>
      <c r="V96" s="846" t="s">
        <v>194</v>
      </c>
      <c r="W96" s="846" t="s">
        <v>194</v>
      </c>
      <c r="X96" s="846" t="s">
        <v>194</v>
      </c>
      <c r="Y96" s="846" t="s">
        <v>194</v>
      </c>
      <c r="Z96" s="846" t="s">
        <v>194</v>
      </c>
      <c r="AA96" s="846" t="s">
        <v>194</v>
      </c>
      <c r="AB96" s="846" t="s">
        <v>194</v>
      </c>
      <c r="AC96" s="846" t="s">
        <v>194</v>
      </c>
      <c r="AD96" s="846" t="s">
        <v>194</v>
      </c>
      <c r="AE96" s="846" t="s">
        <v>194</v>
      </c>
      <c r="AF96" s="846" t="s">
        <v>194</v>
      </c>
      <c r="AG96" s="846" t="s">
        <v>194</v>
      </c>
      <c r="AH96" s="846" t="s">
        <v>194</v>
      </c>
      <c r="AI96" s="846" t="s">
        <v>194</v>
      </c>
      <c r="AJ96" s="846" t="s">
        <v>194</v>
      </c>
      <c r="AK96" s="846" t="s">
        <v>194</v>
      </c>
      <c r="AL96" s="846" t="s">
        <v>194</v>
      </c>
      <c r="AM96" s="846" t="s">
        <v>194</v>
      </c>
      <c r="AN96" s="846" t="s">
        <v>194</v>
      </c>
      <c r="AO96" s="846" t="s">
        <v>194</v>
      </c>
      <c r="AP96" s="846" t="s">
        <v>194</v>
      </c>
      <c r="AQ96" s="846" t="s">
        <v>194</v>
      </c>
    </row>
    <row r="97" ht="15.75" customHeight="1">
      <c r="A97" s="846" t="s">
        <v>194</v>
      </c>
      <c r="B97" s="846" t="s">
        <v>194</v>
      </c>
      <c r="C97" s="846" t="s">
        <v>194</v>
      </c>
      <c r="D97" s="846" t="s">
        <v>194</v>
      </c>
      <c r="E97" s="846" t="s">
        <v>194</v>
      </c>
      <c r="F97" s="846" t="s">
        <v>194</v>
      </c>
      <c r="G97" s="846" t="s">
        <v>194</v>
      </c>
      <c r="H97" s="846" t="s">
        <v>194</v>
      </c>
      <c r="I97" s="846" t="s">
        <v>194</v>
      </c>
      <c r="J97" s="846" t="s">
        <v>194</v>
      </c>
      <c r="K97" s="846" t="s">
        <v>194</v>
      </c>
      <c r="L97" s="846" t="s">
        <v>194</v>
      </c>
      <c r="M97" s="896" t="s">
        <v>194</v>
      </c>
      <c r="N97" s="896" t="s">
        <v>194</v>
      </c>
      <c r="O97" s="896" t="s">
        <v>194</v>
      </c>
      <c r="P97" s="896" t="s">
        <v>194</v>
      </c>
      <c r="Q97" s="896" t="s">
        <v>194</v>
      </c>
      <c r="R97" s="896" t="s">
        <v>194</v>
      </c>
      <c r="S97" s="896" t="s">
        <v>194</v>
      </c>
      <c r="T97" s="896" t="s">
        <v>194</v>
      </c>
      <c r="U97" s="846" t="s">
        <v>194</v>
      </c>
      <c r="V97" s="846" t="s">
        <v>194</v>
      </c>
      <c r="W97" s="846" t="s">
        <v>194</v>
      </c>
      <c r="X97" s="846" t="s">
        <v>194</v>
      </c>
      <c r="Y97" s="846" t="s">
        <v>194</v>
      </c>
      <c r="Z97" s="846" t="s">
        <v>194</v>
      </c>
      <c r="AA97" s="846" t="s">
        <v>194</v>
      </c>
      <c r="AB97" s="846" t="s">
        <v>194</v>
      </c>
      <c r="AC97" s="846" t="s">
        <v>194</v>
      </c>
      <c r="AD97" s="846" t="s">
        <v>194</v>
      </c>
      <c r="AE97" s="846" t="s">
        <v>194</v>
      </c>
      <c r="AF97" s="846" t="s">
        <v>194</v>
      </c>
      <c r="AG97" s="846" t="s">
        <v>194</v>
      </c>
      <c r="AH97" s="846" t="s">
        <v>194</v>
      </c>
      <c r="AI97" s="846" t="s">
        <v>194</v>
      </c>
      <c r="AJ97" s="846" t="s">
        <v>194</v>
      </c>
      <c r="AK97" s="846" t="s">
        <v>194</v>
      </c>
      <c r="AL97" s="846" t="s">
        <v>194</v>
      </c>
      <c r="AM97" s="846" t="s">
        <v>194</v>
      </c>
      <c r="AN97" s="846" t="s">
        <v>194</v>
      </c>
      <c r="AO97" s="846" t="s">
        <v>194</v>
      </c>
      <c r="AP97" s="846" t="s">
        <v>194</v>
      </c>
      <c r="AQ97" s="846" t="s">
        <v>194</v>
      </c>
    </row>
    <row r="98" ht="15.75" customHeight="1">
      <c r="A98" s="846" t="s">
        <v>194</v>
      </c>
      <c r="B98" s="846" t="s">
        <v>194</v>
      </c>
      <c r="C98" s="846" t="s">
        <v>194</v>
      </c>
      <c r="D98" s="846" t="s">
        <v>194</v>
      </c>
      <c r="E98" s="846" t="s">
        <v>194</v>
      </c>
      <c r="F98" s="846" t="s">
        <v>194</v>
      </c>
      <c r="G98" s="846" t="s">
        <v>194</v>
      </c>
      <c r="H98" s="846" t="s">
        <v>194</v>
      </c>
      <c r="I98" s="846" t="s">
        <v>194</v>
      </c>
      <c r="J98" s="846" t="s">
        <v>194</v>
      </c>
      <c r="K98" s="846" t="s">
        <v>194</v>
      </c>
      <c r="L98" s="846" t="s">
        <v>194</v>
      </c>
      <c r="M98" s="896" t="s">
        <v>194</v>
      </c>
      <c r="N98" s="896" t="s">
        <v>194</v>
      </c>
      <c r="O98" s="896" t="s">
        <v>194</v>
      </c>
      <c r="P98" s="896" t="s">
        <v>194</v>
      </c>
      <c r="Q98" s="896" t="s">
        <v>194</v>
      </c>
      <c r="R98" s="896" t="s">
        <v>194</v>
      </c>
      <c r="S98" s="896" t="s">
        <v>194</v>
      </c>
      <c r="T98" s="896" t="s">
        <v>194</v>
      </c>
      <c r="U98" s="846" t="s">
        <v>194</v>
      </c>
      <c r="V98" s="846" t="s">
        <v>194</v>
      </c>
      <c r="W98" s="846" t="s">
        <v>194</v>
      </c>
      <c r="X98" s="846" t="s">
        <v>194</v>
      </c>
      <c r="Y98" s="846" t="s">
        <v>194</v>
      </c>
      <c r="Z98" s="846" t="s">
        <v>194</v>
      </c>
      <c r="AA98" s="846" t="s">
        <v>194</v>
      </c>
      <c r="AB98" s="846" t="s">
        <v>194</v>
      </c>
      <c r="AC98" s="846" t="s">
        <v>194</v>
      </c>
      <c r="AD98" s="846" t="s">
        <v>194</v>
      </c>
      <c r="AE98" s="846" t="s">
        <v>194</v>
      </c>
      <c r="AF98" s="846" t="s">
        <v>194</v>
      </c>
      <c r="AG98" s="846" t="s">
        <v>194</v>
      </c>
      <c r="AH98" s="846" t="s">
        <v>194</v>
      </c>
      <c r="AI98" s="846" t="s">
        <v>194</v>
      </c>
      <c r="AJ98" s="846" t="s">
        <v>194</v>
      </c>
      <c r="AK98" s="846" t="s">
        <v>194</v>
      </c>
      <c r="AL98" s="846" t="s">
        <v>194</v>
      </c>
      <c r="AM98" s="846" t="s">
        <v>194</v>
      </c>
      <c r="AN98" s="846" t="s">
        <v>194</v>
      </c>
      <c r="AO98" s="846" t="s">
        <v>194</v>
      </c>
      <c r="AP98" s="846" t="s">
        <v>194</v>
      </c>
      <c r="AQ98" s="846" t="s">
        <v>194</v>
      </c>
    </row>
    <row r="99" ht="15.75" customHeight="1">
      <c r="A99" s="846" t="s">
        <v>194</v>
      </c>
      <c r="B99" s="846" t="s">
        <v>194</v>
      </c>
      <c r="C99" s="846" t="s">
        <v>194</v>
      </c>
      <c r="D99" s="846" t="s">
        <v>194</v>
      </c>
      <c r="E99" s="846" t="s">
        <v>194</v>
      </c>
      <c r="F99" s="846" t="s">
        <v>194</v>
      </c>
      <c r="G99" s="846" t="s">
        <v>194</v>
      </c>
      <c r="H99" s="846" t="s">
        <v>194</v>
      </c>
      <c r="I99" s="846" t="s">
        <v>194</v>
      </c>
      <c r="J99" s="846" t="s">
        <v>194</v>
      </c>
      <c r="K99" s="846" t="s">
        <v>194</v>
      </c>
      <c r="L99" s="846" t="s">
        <v>194</v>
      </c>
      <c r="M99" s="896" t="s">
        <v>194</v>
      </c>
      <c r="N99" s="896" t="s">
        <v>194</v>
      </c>
      <c r="O99" s="896" t="s">
        <v>194</v>
      </c>
      <c r="P99" s="896" t="s">
        <v>194</v>
      </c>
      <c r="Q99" s="896" t="s">
        <v>194</v>
      </c>
      <c r="R99" s="896" t="s">
        <v>194</v>
      </c>
      <c r="S99" s="896" t="s">
        <v>194</v>
      </c>
      <c r="T99" s="896" t="s">
        <v>194</v>
      </c>
      <c r="U99" s="846" t="s">
        <v>194</v>
      </c>
      <c r="V99" s="846" t="s">
        <v>194</v>
      </c>
      <c r="W99" s="846" t="s">
        <v>194</v>
      </c>
      <c r="X99" s="846" t="s">
        <v>194</v>
      </c>
      <c r="Y99" s="846" t="s">
        <v>194</v>
      </c>
      <c r="Z99" s="846" t="s">
        <v>194</v>
      </c>
      <c r="AA99" s="846" t="s">
        <v>194</v>
      </c>
      <c r="AB99" s="846" t="s">
        <v>194</v>
      </c>
      <c r="AC99" s="846" t="s">
        <v>194</v>
      </c>
      <c r="AD99" s="846" t="s">
        <v>194</v>
      </c>
      <c r="AE99" s="846" t="s">
        <v>194</v>
      </c>
      <c r="AF99" s="846" t="s">
        <v>194</v>
      </c>
      <c r="AG99" s="846" t="s">
        <v>194</v>
      </c>
      <c r="AH99" s="846" t="s">
        <v>194</v>
      </c>
      <c r="AI99" s="846" t="s">
        <v>194</v>
      </c>
      <c r="AJ99" s="846" t="s">
        <v>194</v>
      </c>
      <c r="AK99" s="846" t="s">
        <v>194</v>
      </c>
      <c r="AL99" s="846" t="s">
        <v>194</v>
      </c>
      <c r="AM99" s="846" t="s">
        <v>194</v>
      </c>
      <c r="AN99" s="846" t="s">
        <v>194</v>
      </c>
      <c r="AO99" s="846" t="s">
        <v>194</v>
      </c>
      <c r="AP99" s="846" t="s">
        <v>194</v>
      </c>
      <c r="AQ99" s="846" t="s">
        <v>194</v>
      </c>
    </row>
    <row r="100" ht="15.75" customHeight="1">
      <c r="A100" s="846" t="s">
        <v>194</v>
      </c>
      <c r="B100" s="846" t="s">
        <v>194</v>
      </c>
      <c r="C100" s="846" t="s">
        <v>194</v>
      </c>
      <c r="D100" s="846" t="s">
        <v>194</v>
      </c>
      <c r="E100" s="846" t="s">
        <v>194</v>
      </c>
      <c r="F100" s="846" t="s">
        <v>194</v>
      </c>
      <c r="G100" s="846" t="s">
        <v>194</v>
      </c>
      <c r="H100" s="846" t="s">
        <v>194</v>
      </c>
      <c r="I100" s="846" t="s">
        <v>194</v>
      </c>
      <c r="J100" s="846" t="s">
        <v>194</v>
      </c>
      <c r="K100" s="846" t="s">
        <v>194</v>
      </c>
      <c r="L100" s="846" t="s">
        <v>194</v>
      </c>
      <c r="M100" s="896" t="s">
        <v>194</v>
      </c>
      <c r="N100" s="896" t="s">
        <v>194</v>
      </c>
      <c r="O100" s="896" t="s">
        <v>194</v>
      </c>
      <c r="P100" s="896" t="s">
        <v>194</v>
      </c>
      <c r="Q100" s="896" t="s">
        <v>194</v>
      </c>
      <c r="R100" s="896" t="s">
        <v>194</v>
      </c>
      <c r="S100" s="896" t="s">
        <v>194</v>
      </c>
      <c r="T100" s="896" t="s">
        <v>194</v>
      </c>
      <c r="U100" s="846" t="s">
        <v>194</v>
      </c>
      <c r="V100" s="846" t="s">
        <v>194</v>
      </c>
      <c r="W100" s="846" t="s">
        <v>194</v>
      </c>
      <c r="X100" s="846" t="s">
        <v>194</v>
      </c>
      <c r="Y100" s="846" t="s">
        <v>194</v>
      </c>
      <c r="Z100" s="846" t="s">
        <v>194</v>
      </c>
      <c r="AA100" s="846" t="s">
        <v>194</v>
      </c>
      <c r="AB100" s="846" t="s">
        <v>194</v>
      </c>
      <c r="AC100" s="846" t="s">
        <v>194</v>
      </c>
      <c r="AD100" s="846" t="s">
        <v>194</v>
      </c>
      <c r="AE100" s="846" t="s">
        <v>194</v>
      </c>
      <c r="AF100" s="846" t="s">
        <v>194</v>
      </c>
      <c r="AG100" s="846" t="s">
        <v>194</v>
      </c>
      <c r="AH100" s="846" t="s">
        <v>194</v>
      </c>
      <c r="AI100" s="846" t="s">
        <v>194</v>
      </c>
      <c r="AJ100" s="846" t="s">
        <v>194</v>
      </c>
      <c r="AK100" s="846" t="s">
        <v>194</v>
      </c>
      <c r="AL100" s="846" t="s">
        <v>194</v>
      </c>
      <c r="AM100" s="846" t="s">
        <v>194</v>
      </c>
      <c r="AN100" s="846" t="s">
        <v>194</v>
      </c>
      <c r="AO100" s="846" t="s">
        <v>194</v>
      </c>
      <c r="AP100" s="846" t="s">
        <v>194</v>
      </c>
      <c r="AQ100" s="846" t="s">
        <v>194</v>
      </c>
    </row>
    <row r="101" ht="15.75" customHeight="1">
      <c r="A101" s="846" t="s">
        <v>194</v>
      </c>
      <c r="B101" s="846" t="s">
        <v>194</v>
      </c>
      <c r="C101" s="846" t="s">
        <v>194</v>
      </c>
      <c r="D101" s="846" t="s">
        <v>194</v>
      </c>
      <c r="E101" s="846" t="s">
        <v>194</v>
      </c>
      <c r="F101" s="846" t="s">
        <v>194</v>
      </c>
      <c r="G101" s="846" t="s">
        <v>194</v>
      </c>
      <c r="H101" s="846" t="s">
        <v>194</v>
      </c>
      <c r="I101" s="846" t="s">
        <v>194</v>
      </c>
      <c r="J101" s="846" t="s">
        <v>194</v>
      </c>
      <c r="K101" s="846" t="s">
        <v>194</v>
      </c>
      <c r="L101" s="846" t="s">
        <v>194</v>
      </c>
      <c r="M101" s="896" t="s">
        <v>194</v>
      </c>
      <c r="N101" s="896" t="s">
        <v>194</v>
      </c>
      <c r="O101" s="896" t="s">
        <v>194</v>
      </c>
      <c r="P101" s="896" t="s">
        <v>194</v>
      </c>
      <c r="Q101" s="896" t="s">
        <v>194</v>
      </c>
      <c r="R101" s="896" t="s">
        <v>194</v>
      </c>
      <c r="S101" s="896" t="s">
        <v>194</v>
      </c>
      <c r="T101" s="896" t="s">
        <v>194</v>
      </c>
      <c r="U101" s="846" t="s">
        <v>194</v>
      </c>
      <c r="V101" s="846" t="s">
        <v>194</v>
      </c>
      <c r="W101" s="846" t="s">
        <v>194</v>
      </c>
      <c r="X101" s="846" t="s">
        <v>194</v>
      </c>
      <c r="Y101" s="846" t="s">
        <v>194</v>
      </c>
      <c r="Z101" s="846" t="s">
        <v>194</v>
      </c>
      <c r="AA101" s="846" t="s">
        <v>194</v>
      </c>
      <c r="AB101" s="846" t="s">
        <v>194</v>
      </c>
      <c r="AC101" s="846" t="s">
        <v>194</v>
      </c>
      <c r="AD101" s="846" t="s">
        <v>194</v>
      </c>
      <c r="AE101" s="846" t="s">
        <v>194</v>
      </c>
      <c r="AF101" s="846" t="s">
        <v>194</v>
      </c>
      <c r="AG101" s="846" t="s">
        <v>194</v>
      </c>
      <c r="AH101" s="846" t="s">
        <v>194</v>
      </c>
      <c r="AI101" s="846" t="s">
        <v>194</v>
      </c>
      <c r="AJ101" s="846" t="s">
        <v>194</v>
      </c>
      <c r="AK101" s="846" t="s">
        <v>194</v>
      </c>
      <c r="AL101" s="846" t="s">
        <v>194</v>
      </c>
      <c r="AM101" s="846" t="s">
        <v>194</v>
      </c>
      <c r="AN101" s="846" t="s">
        <v>194</v>
      </c>
      <c r="AO101" s="846" t="s">
        <v>194</v>
      </c>
      <c r="AP101" s="846" t="s">
        <v>194</v>
      </c>
      <c r="AQ101" s="846" t="s">
        <v>194</v>
      </c>
    </row>
    <row r="102" ht="15.75" customHeight="1">
      <c r="A102" s="846" t="s">
        <v>194</v>
      </c>
      <c r="B102" s="846" t="s">
        <v>194</v>
      </c>
      <c r="C102" s="846" t="s">
        <v>194</v>
      </c>
      <c r="D102" s="846" t="s">
        <v>194</v>
      </c>
      <c r="E102" s="846" t="s">
        <v>194</v>
      </c>
      <c r="F102" s="846" t="s">
        <v>194</v>
      </c>
      <c r="G102" s="846" t="s">
        <v>194</v>
      </c>
      <c r="H102" s="846" t="s">
        <v>194</v>
      </c>
      <c r="I102" s="846" t="s">
        <v>194</v>
      </c>
      <c r="J102" s="846" t="s">
        <v>194</v>
      </c>
      <c r="K102" s="846" t="s">
        <v>194</v>
      </c>
      <c r="L102" s="846" t="s">
        <v>194</v>
      </c>
      <c r="M102" s="896" t="s">
        <v>194</v>
      </c>
      <c r="N102" s="896" t="s">
        <v>194</v>
      </c>
      <c r="O102" s="896" t="s">
        <v>194</v>
      </c>
      <c r="P102" s="896" t="s">
        <v>194</v>
      </c>
      <c r="Q102" s="896" t="s">
        <v>194</v>
      </c>
      <c r="R102" s="896" t="s">
        <v>194</v>
      </c>
      <c r="S102" s="896" t="s">
        <v>194</v>
      </c>
      <c r="T102" s="896" t="s">
        <v>194</v>
      </c>
      <c r="U102" s="846" t="s">
        <v>194</v>
      </c>
      <c r="V102" s="846" t="s">
        <v>194</v>
      </c>
      <c r="W102" s="846" t="s">
        <v>194</v>
      </c>
      <c r="X102" s="846" t="s">
        <v>194</v>
      </c>
      <c r="Y102" s="846" t="s">
        <v>194</v>
      </c>
      <c r="Z102" s="846" t="s">
        <v>194</v>
      </c>
      <c r="AA102" s="846" t="s">
        <v>194</v>
      </c>
      <c r="AB102" s="846" t="s">
        <v>194</v>
      </c>
      <c r="AC102" s="846" t="s">
        <v>194</v>
      </c>
      <c r="AD102" s="846" t="s">
        <v>194</v>
      </c>
      <c r="AE102" s="846" t="s">
        <v>194</v>
      </c>
      <c r="AF102" s="846" t="s">
        <v>194</v>
      </c>
      <c r="AG102" s="846" t="s">
        <v>194</v>
      </c>
      <c r="AH102" s="846" t="s">
        <v>194</v>
      </c>
      <c r="AI102" s="846" t="s">
        <v>194</v>
      </c>
      <c r="AJ102" s="846" t="s">
        <v>194</v>
      </c>
      <c r="AK102" s="846" t="s">
        <v>194</v>
      </c>
      <c r="AL102" s="846" t="s">
        <v>194</v>
      </c>
      <c r="AM102" s="846" t="s">
        <v>194</v>
      </c>
      <c r="AN102" s="846" t="s">
        <v>194</v>
      </c>
      <c r="AO102" s="846" t="s">
        <v>194</v>
      </c>
      <c r="AP102" s="846" t="s">
        <v>194</v>
      </c>
      <c r="AQ102" s="846" t="s">
        <v>194</v>
      </c>
    </row>
    <row r="103" ht="15.75" customHeight="1">
      <c r="A103" s="846" t="s">
        <v>194</v>
      </c>
      <c r="B103" s="846" t="s">
        <v>194</v>
      </c>
      <c r="C103" s="846" t="s">
        <v>194</v>
      </c>
      <c r="D103" s="846" t="s">
        <v>194</v>
      </c>
      <c r="E103" s="846" t="s">
        <v>194</v>
      </c>
      <c r="F103" s="846" t="s">
        <v>194</v>
      </c>
      <c r="G103" s="846" t="s">
        <v>194</v>
      </c>
      <c r="H103" s="846" t="s">
        <v>194</v>
      </c>
      <c r="I103" s="846" t="s">
        <v>194</v>
      </c>
      <c r="J103" s="846" t="s">
        <v>194</v>
      </c>
      <c r="K103" s="846" t="s">
        <v>194</v>
      </c>
      <c r="L103" s="846" t="s">
        <v>194</v>
      </c>
      <c r="M103" s="896" t="s">
        <v>194</v>
      </c>
      <c r="N103" s="896" t="s">
        <v>194</v>
      </c>
      <c r="O103" s="896" t="s">
        <v>194</v>
      </c>
      <c r="P103" s="896" t="s">
        <v>194</v>
      </c>
      <c r="Q103" s="896" t="s">
        <v>194</v>
      </c>
      <c r="R103" s="896" t="s">
        <v>194</v>
      </c>
      <c r="S103" s="896" t="s">
        <v>194</v>
      </c>
      <c r="T103" s="896" t="s">
        <v>194</v>
      </c>
      <c r="U103" s="846" t="s">
        <v>194</v>
      </c>
      <c r="V103" s="846" t="s">
        <v>194</v>
      </c>
      <c r="W103" s="846" t="s">
        <v>194</v>
      </c>
      <c r="X103" s="846" t="s">
        <v>194</v>
      </c>
      <c r="Y103" s="846" t="s">
        <v>194</v>
      </c>
      <c r="Z103" s="846" t="s">
        <v>194</v>
      </c>
      <c r="AA103" s="846" t="s">
        <v>194</v>
      </c>
      <c r="AB103" s="846" t="s">
        <v>194</v>
      </c>
      <c r="AC103" s="846" t="s">
        <v>194</v>
      </c>
      <c r="AD103" s="846" t="s">
        <v>194</v>
      </c>
      <c r="AE103" s="846" t="s">
        <v>194</v>
      </c>
      <c r="AF103" s="846" t="s">
        <v>194</v>
      </c>
      <c r="AG103" s="846" t="s">
        <v>194</v>
      </c>
      <c r="AH103" s="846" t="s">
        <v>194</v>
      </c>
      <c r="AI103" s="846" t="s">
        <v>194</v>
      </c>
      <c r="AJ103" s="846" t="s">
        <v>194</v>
      </c>
      <c r="AK103" s="846" t="s">
        <v>194</v>
      </c>
      <c r="AL103" s="846" t="s">
        <v>194</v>
      </c>
      <c r="AM103" s="846" t="s">
        <v>194</v>
      </c>
      <c r="AN103" s="846" t="s">
        <v>194</v>
      </c>
      <c r="AO103" s="846" t="s">
        <v>194</v>
      </c>
      <c r="AP103" s="846" t="s">
        <v>194</v>
      </c>
      <c r="AQ103" s="846" t="s">
        <v>194</v>
      </c>
    </row>
    <row r="104" ht="15.75" customHeight="1">
      <c r="A104" s="846" t="s">
        <v>194</v>
      </c>
      <c r="B104" s="846" t="s">
        <v>194</v>
      </c>
      <c r="C104" s="846" t="s">
        <v>194</v>
      </c>
      <c r="D104" s="846" t="s">
        <v>194</v>
      </c>
      <c r="E104" s="846" t="s">
        <v>194</v>
      </c>
      <c r="F104" s="846" t="s">
        <v>194</v>
      </c>
      <c r="G104" s="846" t="s">
        <v>194</v>
      </c>
      <c r="H104" s="846" t="s">
        <v>194</v>
      </c>
      <c r="I104" s="846" t="s">
        <v>194</v>
      </c>
      <c r="J104" s="846" t="s">
        <v>194</v>
      </c>
      <c r="K104" s="846" t="s">
        <v>194</v>
      </c>
      <c r="L104" s="846" t="s">
        <v>194</v>
      </c>
      <c r="M104" s="896" t="s">
        <v>194</v>
      </c>
      <c r="N104" s="896" t="s">
        <v>194</v>
      </c>
      <c r="O104" s="896" t="s">
        <v>194</v>
      </c>
      <c r="P104" s="896" t="s">
        <v>194</v>
      </c>
      <c r="Q104" s="896" t="s">
        <v>194</v>
      </c>
      <c r="R104" s="896" t="s">
        <v>194</v>
      </c>
      <c r="S104" s="896" t="s">
        <v>194</v>
      </c>
      <c r="T104" s="896" t="s">
        <v>194</v>
      </c>
      <c r="U104" s="846" t="s">
        <v>194</v>
      </c>
      <c r="V104" s="846" t="s">
        <v>194</v>
      </c>
      <c r="W104" s="846" t="s">
        <v>194</v>
      </c>
      <c r="X104" s="846" t="s">
        <v>194</v>
      </c>
      <c r="Y104" s="846" t="s">
        <v>194</v>
      </c>
      <c r="Z104" s="846" t="s">
        <v>194</v>
      </c>
      <c r="AA104" s="846" t="s">
        <v>194</v>
      </c>
      <c r="AB104" s="846" t="s">
        <v>194</v>
      </c>
      <c r="AC104" s="846" t="s">
        <v>194</v>
      </c>
      <c r="AD104" s="846" t="s">
        <v>194</v>
      </c>
      <c r="AE104" s="846" t="s">
        <v>194</v>
      </c>
      <c r="AF104" s="846" t="s">
        <v>194</v>
      </c>
      <c r="AG104" s="846" t="s">
        <v>194</v>
      </c>
      <c r="AH104" s="846" t="s">
        <v>194</v>
      </c>
      <c r="AI104" s="846" t="s">
        <v>194</v>
      </c>
      <c r="AJ104" s="846" t="s">
        <v>194</v>
      </c>
      <c r="AK104" s="846" t="s">
        <v>194</v>
      </c>
      <c r="AL104" s="846" t="s">
        <v>194</v>
      </c>
      <c r="AM104" s="846" t="s">
        <v>194</v>
      </c>
      <c r="AN104" s="846" t="s">
        <v>194</v>
      </c>
      <c r="AO104" s="846" t="s">
        <v>194</v>
      </c>
      <c r="AP104" s="846" t="s">
        <v>194</v>
      </c>
      <c r="AQ104" s="846" t="s">
        <v>194</v>
      </c>
    </row>
    <row r="105" ht="15.75" customHeight="1">
      <c r="A105" s="846" t="s">
        <v>194</v>
      </c>
      <c r="B105" s="846" t="s">
        <v>194</v>
      </c>
      <c r="C105" s="846" t="s">
        <v>194</v>
      </c>
      <c r="D105" s="846" t="s">
        <v>194</v>
      </c>
      <c r="E105" s="846" t="s">
        <v>194</v>
      </c>
      <c r="F105" s="846" t="s">
        <v>194</v>
      </c>
      <c r="G105" s="846" t="s">
        <v>194</v>
      </c>
      <c r="H105" s="846" t="s">
        <v>194</v>
      </c>
      <c r="I105" s="846" t="s">
        <v>194</v>
      </c>
      <c r="J105" s="846" t="s">
        <v>194</v>
      </c>
      <c r="K105" s="846" t="s">
        <v>194</v>
      </c>
      <c r="L105" s="846" t="s">
        <v>194</v>
      </c>
      <c r="M105" s="896" t="s">
        <v>194</v>
      </c>
      <c r="N105" s="896" t="s">
        <v>194</v>
      </c>
      <c r="O105" s="896" t="s">
        <v>194</v>
      </c>
      <c r="P105" s="896" t="s">
        <v>194</v>
      </c>
      <c r="Q105" s="896" t="s">
        <v>194</v>
      </c>
      <c r="R105" s="896" t="s">
        <v>194</v>
      </c>
      <c r="S105" s="896" t="s">
        <v>194</v>
      </c>
      <c r="T105" s="896" t="s">
        <v>194</v>
      </c>
      <c r="U105" s="846" t="s">
        <v>194</v>
      </c>
      <c r="V105" s="846" t="s">
        <v>194</v>
      </c>
      <c r="W105" s="846" t="s">
        <v>194</v>
      </c>
      <c r="X105" s="846" t="s">
        <v>194</v>
      </c>
      <c r="Y105" s="846" t="s">
        <v>194</v>
      </c>
      <c r="Z105" s="846" t="s">
        <v>194</v>
      </c>
      <c r="AA105" s="846" t="s">
        <v>194</v>
      </c>
      <c r="AB105" s="846" t="s">
        <v>194</v>
      </c>
      <c r="AC105" s="846" t="s">
        <v>194</v>
      </c>
      <c r="AD105" s="846" t="s">
        <v>194</v>
      </c>
      <c r="AE105" s="846" t="s">
        <v>194</v>
      </c>
      <c r="AF105" s="846" t="s">
        <v>194</v>
      </c>
      <c r="AG105" s="846" t="s">
        <v>194</v>
      </c>
      <c r="AH105" s="846" t="s">
        <v>194</v>
      </c>
      <c r="AI105" s="846" t="s">
        <v>194</v>
      </c>
      <c r="AJ105" s="846" t="s">
        <v>194</v>
      </c>
      <c r="AK105" s="846" t="s">
        <v>194</v>
      </c>
      <c r="AL105" s="846" t="s">
        <v>194</v>
      </c>
      <c r="AM105" s="846" t="s">
        <v>194</v>
      </c>
      <c r="AN105" s="846" t="s">
        <v>194</v>
      </c>
      <c r="AO105" s="846" t="s">
        <v>194</v>
      </c>
      <c r="AP105" s="846" t="s">
        <v>194</v>
      </c>
      <c r="AQ105" s="846" t="s">
        <v>194</v>
      </c>
    </row>
    <row r="106" ht="15.75" customHeight="1">
      <c r="A106" s="846" t="s">
        <v>194</v>
      </c>
      <c r="B106" s="846" t="s">
        <v>194</v>
      </c>
      <c r="C106" s="846" t="s">
        <v>194</v>
      </c>
      <c r="D106" s="846" t="s">
        <v>194</v>
      </c>
      <c r="E106" s="846" t="s">
        <v>194</v>
      </c>
      <c r="F106" s="846" t="s">
        <v>194</v>
      </c>
      <c r="G106" s="846" t="s">
        <v>194</v>
      </c>
      <c r="H106" s="846" t="s">
        <v>194</v>
      </c>
      <c r="I106" s="846" t="s">
        <v>194</v>
      </c>
      <c r="J106" s="846" t="s">
        <v>194</v>
      </c>
      <c r="K106" s="846" t="s">
        <v>194</v>
      </c>
      <c r="L106" s="846" t="s">
        <v>194</v>
      </c>
      <c r="M106" s="896" t="s">
        <v>194</v>
      </c>
      <c r="N106" s="896" t="s">
        <v>194</v>
      </c>
      <c r="O106" s="896" t="s">
        <v>194</v>
      </c>
      <c r="P106" s="896" t="s">
        <v>194</v>
      </c>
      <c r="Q106" s="896" t="s">
        <v>194</v>
      </c>
      <c r="R106" s="896" t="s">
        <v>194</v>
      </c>
      <c r="S106" s="896" t="s">
        <v>194</v>
      </c>
      <c r="T106" s="896" t="s">
        <v>194</v>
      </c>
      <c r="U106" s="846" t="s">
        <v>194</v>
      </c>
      <c r="V106" s="846" t="s">
        <v>194</v>
      </c>
      <c r="W106" s="846" t="s">
        <v>194</v>
      </c>
      <c r="X106" s="846" t="s">
        <v>194</v>
      </c>
      <c r="Y106" s="846" t="s">
        <v>194</v>
      </c>
      <c r="Z106" s="846" t="s">
        <v>194</v>
      </c>
      <c r="AA106" s="846" t="s">
        <v>194</v>
      </c>
      <c r="AB106" s="846" t="s">
        <v>194</v>
      </c>
      <c r="AC106" s="846" t="s">
        <v>194</v>
      </c>
      <c r="AD106" s="846" t="s">
        <v>194</v>
      </c>
      <c r="AE106" s="846" t="s">
        <v>194</v>
      </c>
      <c r="AF106" s="846" t="s">
        <v>194</v>
      </c>
      <c r="AG106" s="846" t="s">
        <v>194</v>
      </c>
      <c r="AH106" s="846" t="s">
        <v>194</v>
      </c>
      <c r="AI106" s="846" t="s">
        <v>194</v>
      </c>
      <c r="AJ106" s="846" t="s">
        <v>194</v>
      </c>
      <c r="AK106" s="846" t="s">
        <v>194</v>
      </c>
      <c r="AL106" s="846" t="s">
        <v>194</v>
      </c>
      <c r="AM106" s="846" t="s">
        <v>194</v>
      </c>
      <c r="AN106" s="846" t="s">
        <v>194</v>
      </c>
      <c r="AO106" s="846" t="s">
        <v>194</v>
      </c>
      <c r="AP106" s="846" t="s">
        <v>194</v>
      </c>
      <c r="AQ106" s="846" t="s">
        <v>194</v>
      </c>
    </row>
    <row r="107" ht="15.75" customHeight="1">
      <c r="A107" s="846" t="s">
        <v>194</v>
      </c>
      <c r="B107" s="846" t="s">
        <v>194</v>
      </c>
      <c r="C107" s="846" t="s">
        <v>194</v>
      </c>
      <c r="D107" s="846" t="s">
        <v>194</v>
      </c>
      <c r="E107" s="846" t="s">
        <v>194</v>
      </c>
      <c r="F107" s="846" t="s">
        <v>194</v>
      </c>
      <c r="G107" s="846" t="s">
        <v>194</v>
      </c>
      <c r="H107" s="846" t="s">
        <v>194</v>
      </c>
      <c r="I107" s="846" t="s">
        <v>194</v>
      </c>
      <c r="J107" s="846" t="s">
        <v>194</v>
      </c>
      <c r="K107" s="846" t="s">
        <v>194</v>
      </c>
      <c r="L107" s="846" t="s">
        <v>194</v>
      </c>
      <c r="M107" s="896" t="s">
        <v>194</v>
      </c>
      <c r="N107" s="896" t="s">
        <v>194</v>
      </c>
      <c r="O107" s="896" t="s">
        <v>194</v>
      </c>
      <c r="P107" s="896" t="s">
        <v>194</v>
      </c>
      <c r="Q107" s="896" t="s">
        <v>194</v>
      </c>
      <c r="R107" s="896" t="s">
        <v>194</v>
      </c>
      <c r="S107" s="896" t="s">
        <v>194</v>
      </c>
      <c r="T107" s="896" t="s">
        <v>194</v>
      </c>
      <c r="U107" s="846" t="s">
        <v>194</v>
      </c>
      <c r="V107" s="846" t="s">
        <v>194</v>
      </c>
      <c r="W107" s="846" t="s">
        <v>194</v>
      </c>
      <c r="X107" s="846" t="s">
        <v>194</v>
      </c>
      <c r="Y107" s="846" t="s">
        <v>194</v>
      </c>
      <c r="Z107" s="846" t="s">
        <v>194</v>
      </c>
      <c r="AA107" s="846" t="s">
        <v>194</v>
      </c>
      <c r="AB107" s="846" t="s">
        <v>194</v>
      </c>
      <c r="AC107" s="846" t="s">
        <v>194</v>
      </c>
      <c r="AD107" s="846" t="s">
        <v>194</v>
      </c>
      <c r="AE107" s="846" t="s">
        <v>194</v>
      </c>
      <c r="AF107" s="846" t="s">
        <v>194</v>
      </c>
      <c r="AG107" s="846" t="s">
        <v>194</v>
      </c>
      <c r="AH107" s="846" t="s">
        <v>194</v>
      </c>
      <c r="AI107" s="846" t="s">
        <v>194</v>
      </c>
      <c r="AJ107" s="846" t="s">
        <v>194</v>
      </c>
      <c r="AK107" s="846" t="s">
        <v>194</v>
      </c>
      <c r="AL107" s="846" t="s">
        <v>194</v>
      </c>
      <c r="AM107" s="846" t="s">
        <v>194</v>
      </c>
      <c r="AN107" s="846" t="s">
        <v>194</v>
      </c>
      <c r="AO107" s="846" t="s">
        <v>194</v>
      </c>
      <c r="AP107" s="846" t="s">
        <v>194</v>
      </c>
      <c r="AQ107" s="846" t="s">
        <v>194</v>
      </c>
    </row>
    <row r="108" ht="15.75" customHeight="1">
      <c r="A108" s="846" t="s">
        <v>194</v>
      </c>
      <c r="B108" s="846" t="s">
        <v>194</v>
      </c>
      <c r="C108" s="846" t="s">
        <v>194</v>
      </c>
      <c r="D108" s="846" t="s">
        <v>194</v>
      </c>
      <c r="E108" s="846" t="s">
        <v>194</v>
      </c>
      <c r="F108" s="846" t="s">
        <v>194</v>
      </c>
      <c r="G108" s="846" t="s">
        <v>194</v>
      </c>
      <c r="H108" s="846" t="s">
        <v>194</v>
      </c>
      <c r="I108" s="846" t="s">
        <v>194</v>
      </c>
      <c r="J108" s="846" t="s">
        <v>194</v>
      </c>
      <c r="K108" s="846" t="s">
        <v>194</v>
      </c>
      <c r="L108" s="846" t="s">
        <v>194</v>
      </c>
      <c r="M108" s="896" t="s">
        <v>194</v>
      </c>
      <c r="N108" s="896" t="s">
        <v>194</v>
      </c>
      <c r="O108" s="896" t="s">
        <v>194</v>
      </c>
      <c r="P108" s="896" t="s">
        <v>194</v>
      </c>
      <c r="Q108" s="896" t="s">
        <v>194</v>
      </c>
      <c r="R108" s="896" t="s">
        <v>194</v>
      </c>
      <c r="S108" s="896" t="s">
        <v>194</v>
      </c>
      <c r="T108" s="896" t="s">
        <v>194</v>
      </c>
      <c r="U108" s="846" t="s">
        <v>194</v>
      </c>
      <c r="V108" s="846" t="s">
        <v>194</v>
      </c>
      <c r="W108" s="846" t="s">
        <v>194</v>
      </c>
      <c r="X108" s="846" t="s">
        <v>194</v>
      </c>
      <c r="Y108" s="846" t="s">
        <v>194</v>
      </c>
      <c r="Z108" s="846" t="s">
        <v>194</v>
      </c>
      <c r="AA108" s="846" t="s">
        <v>194</v>
      </c>
      <c r="AB108" s="846" t="s">
        <v>194</v>
      </c>
      <c r="AC108" s="846" t="s">
        <v>194</v>
      </c>
      <c r="AD108" s="846" t="s">
        <v>194</v>
      </c>
      <c r="AE108" s="846" t="s">
        <v>194</v>
      </c>
      <c r="AF108" s="846" t="s">
        <v>194</v>
      </c>
      <c r="AG108" s="846" t="s">
        <v>194</v>
      </c>
      <c r="AH108" s="846" t="s">
        <v>194</v>
      </c>
      <c r="AI108" s="846" t="s">
        <v>194</v>
      </c>
      <c r="AJ108" s="846" t="s">
        <v>194</v>
      </c>
      <c r="AK108" s="846" t="s">
        <v>194</v>
      </c>
      <c r="AL108" s="846" t="s">
        <v>194</v>
      </c>
      <c r="AM108" s="846" t="s">
        <v>194</v>
      </c>
      <c r="AN108" s="846" t="s">
        <v>194</v>
      </c>
      <c r="AO108" s="846" t="s">
        <v>194</v>
      </c>
      <c r="AP108" s="846" t="s">
        <v>194</v>
      </c>
      <c r="AQ108" s="846" t="s">
        <v>194</v>
      </c>
    </row>
    <row r="109" ht="15.75" customHeight="1">
      <c r="A109" s="846" t="s">
        <v>194</v>
      </c>
      <c r="B109" s="846" t="s">
        <v>194</v>
      </c>
      <c r="C109" s="846" t="s">
        <v>194</v>
      </c>
      <c r="D109" s="846" t="s">
        <v>194</v>
      </c>
      <c r="E109" s="846" t="s">
        <v>194</v>
      </c>
      <c r="F109" s="846" t="s">
        <v>194</v>
      </c>
      <c r="G109" s="846" t="s">
        <v>194</v>
      </c>
      <c r="H109" s="846" t="s">
        <v>194</v>
      </c>
      <c r="I109" s="846" t="s">
        <v>194</v>
      </c>
      <c r="J109" s="846" t="s">
        <v>194</v>
      </c>
      <c r="K109" s="846" t="s">
        <v>194</v>
      </c>
      <c r="L109" s="846" t="s">
        <v>194</v>
      </c>
      <c r="M109" s="896" t="s">
        <v>194</v>
      </c>
      <c r="N109" s="896" t="s">
        <v>194</v>
      </c>
      <c r="O109" s="896" t="s">
        <v>194</v>
      </c>
      <c r="P109" s="896" t="s">
        <v>194</v>
      </c>
      <c r="Q109" s="896" t="s">
        <v>194</v>
      </c>
      <c r="R109" s="896" t="s">
        <v>194</v>
      </c>
      <c r="S109" s="896" t="s">
        <v>194</v>
      </c>
      <c r="T109" s="896" t="s">
        <v>194</v>
      </c>
      <c r="U109" s="846" t="s">
        <v>194</v>
      </c>
      <c r="V109" s="846" t="s">
        <v>194</v>
      </c>
      <c r="W109" s="846" t="s">
        <v>194</v>
      </c>
      <c r="X109" s="846" t="s">
        <v>194</v>
      </c>
      <c r="Y109" s="846" t="s">
        <v>194</v>
      </c>
      <c r="Z109" s="846" t="s">
        <v>194</v>
      </c>
      <c r="AA109" s="846" t="s">
        <v>194</v>
      </c>
      <c r="AB109" s="846" t="s">
        <v>194</v>
      </c>
      <c r="AC109" s="846" t="s">
        <v>194</v>
      </c>
      <c r="AD109" s="846" t="s">
        <v>194</v>
      </c>
      <c r="AE109" s="846" t="s">
        <v>194</v>
      </c>
      <c r="AF109" s="846" t="s">
        <v>194</v>
      </c>
      <c r="AG109" s="846" t="s">
        <v>194</v>
      </c>
      <c r="AH109" s="846" t="s">
        <v>194</v>
      </c>
      <c r="AI109" s="846" t="s">
        <v>194</v>
      </c>
      <c r="AJ109" s="846" t="s">
        <v>194</v>
      </c>
      <c r="AK109" s="846" t="s">
        <v>194</v>
      </c>
      <c r="AL109" s="846" t="s">
        <v>194</v>
      </c>
      <c r="AM109" s="846" t="s">
        <v>194</v>
      </c>
      <c r="AN109" s="846" t="s">
        <v>194</v>
      </c>
      <c r="AO109" s="846" t="s">
        <v>194</v>
      </c>
      <c r="AP109" s="846" t="s">
        <v>194</v>
      </c>
      <c r="AQ109" s="846" t="s">
        <v>194</v>
      </c>
    </row>
    <row r="110" ht="15.75" customHeight="1">
      <c r="A110" s="846" t="s">
        <v>194</v>
      </c>
      <c r="B110" s="846" t="s">
        <v>194</v>
      </c>
      <c r="C110" s="846" t="s">
        <v>194</v>
      </c>
      <c r="D110" s="846" t="s">
        <v>194</v>
      </c>
      <c r="E110" s="846" t="s">
        <v>194</v>
      </c>
      <c r="F110" s="846" t="s">
        <v>194</v>
      </c>
      <c r="G110" s="846" t="s">
        <v>194</v>
      </c>
      <c r="H110" s="846" t="s">
        <v>194</v>
      </c>
      <c r="I110" s="846" t="s">
        <v>194</v>
      </c>
      <c r="J110" s="846" t="s">
        <v>194</v>
      </c>
      <c r="K110" s="846" t="s">
        <v>194</v>
      </c>
      <c r="L110" s="846" t="s">
        <v>194</v>
      </c>
      <c r="M110" s="896" t="s">
        <v>194</v>
      </c>
      <c r="N110" s="896" t="s">
        <v>194</v>
      </c>
      <c r="O110" s="896" t="s">
        <v>194</v>
      </c>
      <c r="P110" s="896" t="s">
        <v>194</v>
      </c>
      <c r="Q110" s="896" t="s">
        <v>194</v>
      </c>
      <c r="R110" s="896" t="s">
        <v>194</v>
      </c>
      <c r="S110" s="896" t="s">
        <v>194</v>
      </c>
      <c r="T110" s="896" t="s">
        <v>194</v>
      </c>
      <c r="U110" s="846" t="s">
        <v>194</v>
      </c>
      <c r="V110" s="846" t="s">
        <v>194</v>
      </c>
      <c r="W110" s="846" t="s">
        <v>194</v>
      </c>
      <c r="X110" s="846" t="s">
        <v>194</v>
      </c>
      <c r="Y110" s="846" t="s">
        <v>194</v>
      </c>
      <c r="Z110" s="846" t="s">
        <v>194</v>
      </c>
      <c r="AA110" s="846" t="s">
        <v>194</v>
      </c>
      <c r="AB110" s="846" t="s">
        <v>194</v>
      </c>
      <c r="AC110" s="846" t="s">
        <v>194</v>
      </c>
      <c r="AD110" s="846" t="s">
        <v>194</v>
      </c>
      <c r="AE110" s="846" t="s">
        <v>194</v>
      </c>
      <c r="AF110" s="846" t="s">
        <v>194</v>
      </c>
      <c r="AG110" s="846" t="s">
        <v>194</v>
      </c>
      <c r="AH110" s="846" t="s">
        <v>194</v>
      </c>
      <c r="AI110" s="846" t="s">
        <v>194</v>
      </c>
      <c r="AJ110" s="846" t="s">
        <v>194</v>
      </c>
      <c r="AK110" s="846" t="s">
        <v>194</v>
      </c>
      <c r="AL110" s="846" t="s">
        <v>194</v>
      </c>
      <c r="AM110" s="846" t="s">
        <v>194</v>
      </c>
      <c r="AN110" s="846" t="s">
        <v>194</v>
      </c>
      <c r="AO110" s="846" t="s">
        <v>194</v>
      </c>
      <c r="AP110" s="846" t="s">
        <v>194</v>
      </c>
      <c r="AQ110" s="846" t="s">
        <v>194</v>
      </c>
    </row>
    <row r="111" ht="15.75" customHeight="1">
      <c r="A111" s="15"/>
      <c r="B111" s="15"/>
      <c r="C111" s="15"/>
      <c r="D111" s="15"/>
      <c r="E111" s="15"/>
      <c r="F111" s="15"/>
      <c r="G111" s="15"/>
      <c r="H111" s="15"/>
      <c r="I111" s="15"/>
      <c r="J111" s="15"/>
      <c r="K111" s="15"/>
      <c r="L111" s="15"/>
      <c r="M111" s="896"/>
      <c r="N111" s="896"/>
      <c r="O111" s="896"/>
      <c r="P111" s="896"/>
      <c r="Q111" s="896"/>
      <c r="R111" s="896"/>
      <c r="S111" s="896"/>
      <c r="T111" s="896"/>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row>
    <row r="112" ht="15.75" customHeight="1">
      <c r="A112" s="15"/>
      <c r="B112" s="15"/>
      <c r="C112" s="15"/>
      <c r="D112" s="15"/>
      <c r="E112" s="15"/>
      <c r="F112" s="15"/>
      <c r="G112" s="15"/>
      <c r="H112" s="15"/>
      <c r="I112" s="15"/>
      <c r="J112" s="15"/>
      <c r="K112" s="15"/>
      <c r="L112" s="15"/>
      <c r="M112" s="896"/>
      <c r="N112" s="896"/>
      <c r="O112" s="896"/>
      <c r="P112" s="896"/>
      <c r="Q112" s="896"/>
      <c r="R112" s="896"/>
      <c r="S112" s="896"/>
      <c r="T112" s="896"/>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row>
    <row r="113" ht="15.75" customHeight="1">
      <c r="A113" s="15"/>
      <c r="B113" s="15"/>
      <c r="C113" s="15"/>
      <c r="D113" s="15"/>
      <c r="E113" s="15"/>
      <c r="F113" s="15"/>
      <c r="G113" s="15"/>
      <c r="H113" s="15"/>
      <c r="I113" s="15"/>
      <c r="J113" s="15"/>
      <c r="K113" s="15"/>
      <c r="L113" s="15"/>
      <c r="M113" s="896"/>
      <c r="N113" s="896"/>
      <c r="O113" s="896"/>
      <c r="P113" s="896"/>
      <c r="Q113" s="896"/>
      <c r="R113" s="896"/>
      <c r="S113" s="896"/>
      <c r="T113" s="896"/>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row>
    <row r="114" ht="15.75" customHeight="1">
      <c r="A114" s="15"/>
      <c r="B114" s="15"/>
      <c r="C114" s="15"/>
      <c r="D114" s="15"/>
      <c r="E114" s="15"/>
      <c r="F114" s="15"/>
      <c r="G114" s="15"/>
      <c r="H114" s="15"/>
      <c r="I114" s="15"/>
      <c r="J114" s="15"/>
      <c r="K114" s="15"/>
      <c r="L114" s="15"/>
      <c r="M114" s="896"/>
      <c r="N114" s="896"/>
      <c r="O114" s="896"/>
      <c r="P114" s="896"/>
      <c r="Q114" s="896"/>
      <c r="R114" s="896"/>
      <c r="S114" s="896"/>
      <c r="T114" s="896"/>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row>
    <row r="115" ht="15.75" customHeight="1">
      <c r="A115" s="15"/>
      <c r="B115" s="15"/>
      <c r="C115" s="15"/>
      <c r="D115" s="15"/>
      <c r="E115" s="15"/>
      <c r="F115" s="15"/>
      <c r="G115" s="15"/>
      <c r="H115" s="15"/>
      <c r="I115" s="15"/>
      <c r="J115" s="15"/>
      <c r="K115" s="15"/>
      <c r="L115" s="15"/>
      <c r="M115" s="896"/>
      <c r="N115" s="896"/>
      <c r="O115" s="896"/>
      <c r="P115" s="896"/>
      <c r="Q115" s="896"/>
      <c r="R115" s="896"/>
      <c r="S115" s="896"/>
      <c r="T115" s="896"/>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row>
    <row r="116" ht="15.75" customHeight="1">
      <c r="A116" s="15"/>
      <c r="B116" s="15"/>
      <c r="C116" s="15"/>
      <c r="D116" s="15"/>
      <c r="E116" s="15"/>
      <c r="F116" s="15"/>
      <c r="G116" s="15"/>
      <c r="H116" s="15"/>
      <c r="I116" s="15"/>
      <c r="J116" s="15"/>
      <c r="K116" s="15"/>
      <c r="L116" s="15"/>
      <c r="M116" s="896"/>
      <c r="N116" s="896"/>
      <c r="O116" s="896"/>
      <c r="P116" s="896"/>
      <c r="Q116" s="896"/>
      <c r="R116" s="896"/>
      <c r="S116" s="896"/>
      <c r="T116" s="896"/>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row>
    <row r="117" ht="15.75" customHeight="1">
      <c r="A117" s="15"/>
      <c r="B117" s="15"/>
      <c r="C117" s="15"/>
      <c r="D117" s="15"/>
      <c r="E117" s="15"/>
      <c r="F117" s="15"/>
      <c r="G117" s="15"/>
      <c r="H117" s="15"/>
      <c r="I117" s="15"/>
      <c r="J117" s="15"/>
      <c r="K117" s="15"/>
      <c r="L117" s="15"/>
      <c r="M117" s="896"/>
      <c r="N117" s="896"/>
      <c r="O117" s="896"/>
      <c r="P117" s="896"/>
      <c r="Q117" s="896"/>
      <c r="R117" s="896"/>
      <c r="S117" s="896"/>
      <c r="T117" s="896"/>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row>
    <row r="118" ht="15.75" customHeight="1">
      <c r="A118" s="15"/>
      <c r="B118" s="15"/>
      <c r="C118" s="15"/>
      <c r="D118" s="15"/>
      <c r="E118" s="15"/>
      <c r="F118" s="15"/>
      <c r="G118" s="15"/>
      <c r="H118" s="15"/>
      <c r="I118" s="15"/>
      <c r="J118" s="15"/>
      <c r="K118" s="15"/>
      <c r="L118" s="15"/>
      <c r="M118" s="896"/>
      <c r="N118" s="896"/>
      <c r="O118" s="896"/>
      <c r="P118" s="896"/>
      <c r="Q118" s="896"/>
      <c r="R118" s="896"/>
      <c r="S118" s="896"/>
      <c r="T118" s="896"/>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row>
    <row r="119" ht="15.75" customHeight="1">
      <c r="A119" s="15"/>
      <c r="B119" s="15"/>
      <c r="C119" s="15"/>
      <c r="D119" s="15"/>
      <c r="E119" s="15"/>
      <c r="F119" s="15"/>
      <c r="G119" s="15"/>
      <c r="H119" s="15"/>
      <c r="I119" s="15"/>
      <c r="J119" s="15"/>
      <c r="K119" s="15"/>
      <c r="L119" s="15"/>
      <c r="M119" s="896"/>
      <c r="N119" s="896"/>
      <c r="O119" s="896"/>
      <c r="P119" s="896"/>
      <c r="Q119" s="896"/>
      <c r="R119" s="896"/>
      <c r="S119" s="896"/>
      <c r="T119" s="896"/>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row>
    <row r="120" ht="15.75" customHeight="1">
      <c r="A120" s="15"/>
      <c r="B120" s="15"/>
      <c r="C120" s="15"/>
      <c r="D120" s="15"/>
      <c r="E120" s="15"/>
      <c r="F120" s="15"/>
      <c r="G120" s="15"/>
      <c r="H120" s="15"/>
      <c r="I120" s="15"/>
      <c r="J120" s="15"/>
      <c r="K120" s="15"/>
      <c r="L120" s="15"/>
      <c r="M120" s="896"/>
      <c r="N120" s="896"/>
      <c r="O120" s="896"/>
      <c r="P120" s="896"/>
      <c r="Q120" s="896"/>
      <c r="R120" s="896"/>
      <c r="S120" s="896"/>
      <c r="T120" s="896"/>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row>
    <row r="121" ht="15.75" customHeight="1">
      <c r="A121" s="15"/>
      <c r="B121" s="15"/>
      <c r="C121" s="15"/>
      <c r="D121" s="15"/>
      <c r="E121" s="15"/>
      <c r="F121" s="15"/>
      <c r="G121" s="15"/>
      <c r="H121" s="15"/>
      <c r="I121" s="15"/>
      <c r="J121" s="15"/>
      <c r="K121" s="15"/>
      <c r="L121" s="15"/>
      <c r="M121" s="896"/>
      <c r="N121" s="896"/>
      <c r="O121" s="896"/>
      <c r="P121" s="896"/>
      <c r="Q121" s="896"/>
      <c r="R121" s="896"/>
      <c r="S121" s="896"/>
      <c r="T121" s="896"/>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row>
    <row r="122" ht="15.75" customHeight="1">
      <c r="A122" s="15"/>
      <c r="B122" s="15"/>
      <c r="C122" s="15"/>
      <c r="D122" s="15"/>
      <c r="E122" s="15"/>
      <c r="F122" s="15"/>
      <c r="G122" s="15"/>
      <c r="H122" s="15"/>
      <c r="I122" s="15"/>
      <c r="J122" s="15"/>
      <c r="K122" s="15"/>
      <c r="L122" s="15"/>
      <c r="M122" s="896"/>
      <c r="N122" s="896"/>
      <c r="O122" s="896"/>
      <c r="P122" s="896"/>
      <c r="Q122" s="896"/>
      <c r="R122" s="896"/>
      <c r="S122" s="896"/>
      <c r="T122" s="896"/>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row>
    <row r="123" ht="15.75" customHeight="1">
      <c r="A123" s="15"/>
      <c r="B123" s="15"/>
      <c r="C123" s="15"/>
      <c r="D123" s="15"/>
      <c r="E123" s="15"/>
      <c r="F123" s="15"/>
      <c r="G123" s="15"/>
      <c r="H123" s="15"/>
      <c r="I123" s="15"/>
      <c r="J123" s="15"/>
      <c r="K123" s="15"/>
      <c r="L123" s="15"/>
      <c r="M123" s="896"/>
      <c r="N123" s="896"/>
      <c r="O123" s="896"/>
      <c r="P123" s="896"/>
      <c r="Q123" s="896"/>
      <c r="R123" s="896"/>
      <c r="S123" s="896"/>
      <c r="T123" s="896"/>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row>
    <row r="124" ht="15.75" customHeight="1">
      <c r="A124" s="15"/>
      <c r="B124" s="15"/>
      <c r="C124" s="15"/>
      <c r="D124" s="15"/>
      <c r="E124" s="15"/>
      <c r="F124" s="15"/>
      <c r="G124" s="15"/>
      <c r="H124" s="15"/>
      <c r="I124" s="15"/>
      <c r="J124" s="15"/>
      <c r="K124" s="15"/>
      <c r="L124" s="15"/>
      <c r="M124" s="896"/>
      <c r="N124" s="896"/>
      <c r="O124" s="896"/>
      <c r="P124" s="896"/>
      <c r="Q124" s="896"/>
      <c r="R124" s="896"/>
      <c r="S124" s="896"/>
      <c r="T124" s="896"/>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row>
    <row r="125" ht="15.75" customHeight="1">
      <c r="A125" s="15"/>
      <c r="B125" s="15"/>
      <c r="C125" s="15"/>
      <c r="D125" s="15"/>
      <c r="E125" s="15"/>
      <c r="F125" s="15"/>
      <c r="G125" s="15"/>
      <c r="H125" s="15"/>
      <c r="I125" s="15"/>
      <c r="J125" s="15"/>
      <c r="K125" s="15"/>
      <c r="L125" s="15"/>
      <c r="M125" s="896"/>
      <c r="N125" s="896"/>
      <c r="O125" s="896"/>
      <c r="P125" s="896"/>
      <c r="Q125" s="896"/>
      <c r="R125" s="896"/>
      <c r="S125" s="896"/>
      <c r="T125" s="896"/>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row>
    <row r="126" ht="15.75" customHeight="1">
      <c r="A126" s="15"/>
      <c r="B126" s="15"/>
      <c r="C126" s="15"/>
      <c r="D126" s="15"/>
      <c r="E126" s="15"/>
      <c r="F126" s="15"/>
      <c r="G126" s="15"/>
      <c r="H126" s="15"/>
      <c r="I126" s="15"/>
      <c r="J126" s="15"/>
      <c r="K126" s="15"/>
      <c r="L126" s="15"/>
      <c r="M126" s="896"/>
      <c r="N126" s="896"/>
      <c r="O126" s="896"/>
      <c r="P126" s="896"/>
      <c r="Q126" s="896"/>
      <c r="R126" s="896"/>
      <c r="S126" s="896"/>
      <c r="T126" s="896"/>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row>
    <row r="127" ht="15.75" customHeight="1">
      <c r="A127" s="15"/>
      <c r="B127" s="15"/>
      <c r="C127" s="15"/>
      <c r="D127" s="15"/>
      <c r="E127" s="15"/>
      <c r="F127" s="15"/>
      <c r="G127" s="15"/>
      <c r="H127" s="15"/>
      <c r="I127" s="15"/>
      <c r="J127" s="15"/>
      <c r="K127" s="15"/>
      <c r="L127" s="15"/>
      <c r="M127" s="896"/>
      <c r="N127" s="896"/>
      <c r="O127" s="896"/>
      <c r="P127" s="896"/>
      <c r="Q127" s="896"/>
      <c r="R127" s="896"/>
      <c r="S127" s="896"/>
      <c r="T127" s="896"/>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row>
    <row r="128" ht="15.75" customHeight="1">
      <c r="A128" s="15"/>
      <c r="B128" s="15"/>
      <c r="C128" s="15"/>
      <c r="D128" s="15"/>
      <c r="E128" s="15"/>
      <c r="F128" s="15"/>
      <c r="G128" s="15"/>
      <c r="H128" s="15"/>
      <c r="I128" s="15"/>
      <c r="J128" s="15"/>
      <c r="K128" s="15"/>
      <c r="L128" s="15"/>
      <c r="M128" s="896"/>
      <c r="N128" s="896"/>
      <c r="O128" s="896"/>
      <c r="P128" s="896"/>
      <c r="Q128" s="896"/>
      <c r="R128" s="896"/>
      <c r="S128" s="896"/>
      <c r="T128" s="896"/>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row>
    <row r="129" ht="15.75" customHeight="1">
      <c r="A129" s="15"/>
      <c r="B129" s="15"/>
      <c r="C129" s="15"/>
      <c r="D129" s="15"/>
      <c r="E129" s="15"/>
      <c r="F129" s="15"/>
      <c r="G129" s="15"/>
      <c r="H129" s="15"/>
      <c r="I129" s="15"/>
      <c r="J129" s="15"/>
      <c r="K129" s="15"/>
      <c r="L129" s="15"/>
      <c r="M129" s="896"/>
      <c r="N129" s="896"/>
      <c r="O129" s="896"/>
      <c r="P129" s="896"/>
      <c r="Q129" s="896"/>
      <c r="R129" s="896"/>
      <c r="S129" s="896"/>
      <c r="T129" s="896"/>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row>
    <row r="130" ht="15.75" customHeight="1">
      <c r="A130" s="15"/>
      <c r="B130" s="15"/>
      <c r="C130" s="15"/>
      <c r="D130" s="15"/>
      <c r="E130" s="15"/>
      <c r="F130" s="15"/>
      <c r="G130" s="15"/>
      <c r="H130" s="15"/>
      <c r="I130" s="15"/>
      <c r="J130" s="15"/>
      <c r="K130" s="15"/>
      <c r="L130" s="15"/>
      <c r="M130" s="896"/>
      <c r="N130" s="896"/>
      <c r="O130" s="896"/>
      <c r="P130" s="896"/>
      <c r="Q130" s="896"/>
      <c r="R130" s="896"/>
      <c r="S130" s="896"/>
      <c r="T130" s="896"/>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row>
    <row r="131" ht="15.75" customHeight="1">
      <c r="A131" s="15"/>
      <c r="B131" s="15"/>
      <c r="C131" s="15"/>
      <c r="D131" s="15"/>
      <c r="E131" s="15"/>
      <c r="F131" s="15"/>
      <c r="G131" s="15"/>
      <c r="H131" s="15"/>
      <c r="I131" s="15"/>
      <c r="J131" s="15"/>
      <c r="K131" s="15"/>
      <c r="L131" s="15"/>
      <c r="M131" s="896"/>
      <c r="N131" s="896"/>
      <c r="O131" s="896"/>
      <c r="P131" s="896"/>
      <c r="Q131" s="896"/>
      <c r="R131" s="896"/>
      <c r="S131" s="896"/>
      <c r="T131" s="896"/>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row>
    <row r="132" ht="15.75" customHeight="1">
      <c r="A132" s="15"/>
      <c r="B132" s="15"/>
      <c r="C132" s="15"/>
      <c r="D132" s="15"/>
      <c r="E132" s="15"/>
      <c r="F132" s="15"/>
      <c r="G132" s="15"/>
      <c r="H132" s="15"/>
      <c r="I132" s="15"/>
      <c r="J132" s="15"/>
      <c r="K132" s="15"/>
      <c r="L132" s="15"/>
      <c r="M132" s="896"/>
      <c r="N132" s="896"/>
      <c r="O132" s="896"/>
      <c r="P132" s="896"/>
      <c r="Q132" s="896"/>
      <c r="R132" s="896"/>
      <c r="S132" s="896"/>
      <c r="T132" s="896"/>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row>
    <row r="133" ht="15.75" customHeight="1">
      <c r="A133" s="15"/>
      <c r="B133" s="15"/>
      <c r="C133" s="15"/>
      <c r="D133" s="15"/>
      <c r="E133" s="15"/>
      <c r="F133" s="15"/>
      <c r="G133" s="15"/>
      <c r="H133" s="15"/>
      <c r="I133" s="15"/>
      <c r="J133" s="15"/>
      <c r="K133" s="15"/>
      <c r="L133" s="15"/>
      <c r="M133" s="896"/>
      <c r="N133" s="896"/>
      <c r="O133" s="896"/>
      <c r="P133" s="896"/>
      <c r="Q133" s="896"/>
      <c r="R133" s="896"/>
      <c r="S133" s="896"/>
      <c r="T133" s="896"/>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row>
    <row r="134" ht="15.75" customHeight="1">
      <c r="A134" s="15"/>
      <c r="B134" s="15"/>
      <c r="C134" s="15"/>
      <c r="D134" s="15"/>
      <c r="E134" s="15"/>
      <c r="F134" s="15"/>
      <c r="G134" s="15"/>
      <c r="H134" s="15"/>
      <c r="I134" s="15"/>
      <c r="J134" s="15"/>
      <c r="K134" s="15"/>
      <c r="L134" s="15"/>
      <c r="M134" s="896"/>
      <c r="N134" s="896"/>
      <c r="O134" s="896"/>
      <c r="P134" s="896"/>
      <c r="Q134" s="896"/>
      <c r="R134" s="896"/>
      <c r="S134" s="896"/>
      <c r="T134" s="896"/>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row>
    <row r="135" ht="15.75" customHeight="1">
      <c r="A135" s="15"/>
      <c r="B135" s="15"/>
      <c r="C135" s="15"/>
      <c r="D135" s="15"/>
      <c r="E135" s="15"/>
      <c r="F135" s="15"/>
      <c r="G135" s="15"/>
      <c r="H135" s="15"/>
      <c r="I135" s="15"/>
      <c r="J135" s="15"/>
      <c r="K135" s="15"/>
      <c r="L135" s="15"/>
      <c r="M135" s="896"/>
      <c r="N135" s="896"/>
      <c r="O135" s="896"/>
      <c r="P135" s="896"/>
      <c r="Q135" s="896"/>
      <c r="R135" s="896"/>
      <c r="S135" s="896"/>
      <c r="T135" s="896"/>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row>
    <row r="136" ht="15.75" customHeight="1">
      <c r="A136" s="15"/>
      <c r="B136" s="15"/>
      <c r="C136" s="15"/>
      <c r="D136" s="15"/>
      <c r="E136" s="15"/>
      <c r="F136" s="15"/>
      <c r="G136" s="15"/>
      <c r="H136" s="15"/>
      <c r="I136" s="15"/>
      <c r="J136" s="15"/>
      <c r="K136" s="15"/>
      <c r="L136" s="15"/>
      <c r="M136" s="896"/>
      <c r="N136" s="896"/>
      <c r="O136" s="896"/>
      <c r="P136" s="896"/>
      <c r="Q136" s="896"/>
      <c r="R136" s="896"/>
      <c r="S136" s="896"/>
      <c r="T136" s="896"/>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row>
    <row r="137" ht="15.75" customHeight="1">
      <c r="A137" s="15"/>
      <c r="B137" s="15"/>
      <c r="C137" s="15"/>
      <c r="D137" s="15"/>
      <c r="E137" s="15"/>
      <c r="F137" s="15"/>
      <c r="G137" s="15"/>
      <c r="H137" s="15"/>
      <c r="I137" s="15"/>
      <c r="J137" s="15"/>
      <c r="K137" s="15"/>
      <c r="L137" s="15"/>
      <c r="M137" s="896"/>
      <c r="N137" s="896"/>
      <c r="O137" s="896"/>
      <c r="P137" s="896"/>
      <c r="Q137" s="896"/>
      <c r="R137" s="896"/>
      <c r="S137" s="896"/>
      <c r="T137" s="896"/>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row>
    <row r="138" ht="15.75" customHeight="1">
      <c r="A138" s="15"/>
      <c r="B138" s="15"/>
      <c r="C138" s="15"/>
      <c r="D138" s="15"/>
      <c r="E138" s="15"/>
      <c r="F138" s="15"/>
      <c r="G138" s="15"/>
      <c r="H138" s="15"/>
      <c r="I138" s="15"/>
      <c r="J138" s="15"/>
      <c r="K138" s="15"/>
      <c r="L138" s="15"/>
      <c r="M138" s="896"/>
      <c r="N138" s="896"/>
      <c r="O138" s="896"/>
      <c r="P138" s="896"/>
      <c r="Q138" s="896"/>
      <c r="R138" s="896"/>
      <c r="S138" s="896"/>
      <c r="T138" s="896"/>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row>
    <row r="139" ht="15.75" customHeight="1">
      <c r="A139" s="15"/>
      <c r="B139" s="15"/>
      <c r="C139" s="15"/>
      <c r="D139" s="15"/>
      <c r="E139" s="15"/>
      <c r="F139" s="15"/>
      <c r="G139" s="15"/>
      <c r="H139" s="15"/>
      <c r="I139" s="15"/>
      <c r="J139" s="15"/>
      <c r="K139" s="15"/>
      <c r="L139" s="15"/>
      <c r="M139" s="896"/>
      <c r="N139" s="896"/>
      <c r="O139" s="896"/>
      <c r="P139" s="896"/>
      <c r="Q139" s="896"/>
      <c r="R139" s="896"/>
      <c r="S139" s="896"/>
      <c r="T139" s="896"/>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row>
    <row r="140" ht="15.75" customHeight="1">
      <c r="A140" s="15"/>
      <c r="B140" s="15"/>
      <c r="C140" s="15"/>
      <c r="D140" s="15"/>
      <c r="E140" s="15"/>
      <c r="F140" s="15"/>
      <c r="G140" s="15"/>
      <c r="H140" s="15"/>
      <c r="I140" s="15"/>
      <c r="J140" s="15"/>
      <c r="K140" s="15"/>
      <c r="L140" s="15"/>
      <c r="M140" s="896"/>
      <c r="N140" s="896"/>
      <c r="O140" s="896"/>
      <c r="P140" s="896"/>
      <c r="Q140" s="896"/>
      <c r="R140" s="896"/>
      <c r="S140" s="896"/>
      <c r="T140" s="896"/>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row>
    <row r="141" ht="15.75" customHeight="1">
      <c r="A141" s="15"/>
      <c r="B141" s="15"/>
      <c r="C141" s="15"/>
      <c r="D141" s="15"/>
      <c r="E141" s="15"/>
      <c r="F141" s="15"/>
      <c r="G141" s="15"/>
      <c r="H141" s="15"/>
      <c r="I141" s="15"/>
      <c r="J141" s="15"/>
      <c r="K141" s="15"/>
      <c r="L141" s="15"/>
      <c r="M141" s="896"/>
      <c r="N141" s="896"/>
      <c r="O141" s="896"/>
      <c r="P141" s="896"/>
      <c r="Q141" s="896"/>
      <c r="R141" s="896"/>
      <c r="S141" s="896"/>
      <c r="T141" s="896"/>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row>
    <row r="142" ht="15.75" customHeight="1">
      <c r="A142" s="15"/>
      <c r="B142" s="15"/>
      <c r="C142" s="15"/>
      <c r="D142" s="15"/>
      <c r="E142" s="15"/>
      <c r="F142" s="15"/>
      <c r="G142" s="15"/>
      <c r="H142" s="15"/>
      <c r="I142" s="15"/>
      <c r="J142" s="15"/>
      <c r="K142" s="15"/>
      <c r="L142" s="15"/>
      <c r="M142" s="896"/>
      <c r="N142" s="896"/>
      <c r="O142" s="896"/>
      <c r="P142" s="896"/>
      <c r="Q142" s="896"/>
      <c r="R142" s="896"/>
      <c r="S142" s="896"/>
      <c r="T142" s="896"/>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row>
    <row r="143" ht="15.75" customHeight="1">
      <c r="A143" s="15"/>
      <c r="B143" s="15"/>
      <c r="C143" s="15"/>
      <c r="D143" s="15"/>
      <c r="E143" s="15"/>
      <c r="F143" s="15"/>
      <c r="G143" s="15"/>
      <c r="H143" s="15"/>
      <c r="I143" s="15"/>
      <c r="J143" s="15"/>
      <c r="K143" s="15"/>
      <c r="L143" s="15"/>
      <c r="M143" s="896"/>
      <c r="N143" s="896"/>
      <c r="O143" s="896"/>
      <c r="P143" s="896"/>
      <c r="Q143" s="896"/>
      <c r="R143" s="896"/>
      <c r="S143" s="896"/>
      <c r="T143" s="896"/>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row>
    <row r="144" ht="15.75" customHeight="1">
      <c r="A144" s="15"/>
      <c r="B144" s="15"/>
      <c r="C144" s="15"/>
      <c r="D144" s="15"/>
      <c r="E144" s="15"/>
      <c r="F144" s="15"/>
      <c r="G144" s="15"/>
      <c r="H144" s="15"/>
      <c r="I144" s="15"/>
      <c r="J144" s="15"/>
      <c r="K144" s="15"/>
      <c r="L144" s="15"/>
      <c r="M144" s="896"/>
      <c r="N144" s="896"/>
      <c r="O144" s="896"/>
      <c r="P144" s="896"/>
      <c r="Q144" s="896"/>
      <c r="R144" s="896"/>
      <c r="S144" s="896"/>
      <c r="T144" s="896"/>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row>
    <row r="145" ht="15.75" customHeight="1">
      <c r="A145" s="15"/>
      <c r="B145" s="15"/>
      <c r="C145" s="15"/>
      <c r="D145" s="15"/>
      <c r="E145" s="15"/>
      <c r="F145" s="15"/>
      <c r="G145" s="15"/>
      <c r="H145" s="15"/>
      <c r="I145" s="15"/>
      <c r="J145" s="15"/>
      <c r="K145" s="15"/>
      <c r="L145" s="15"/>
      <c r="M145" s="896"/>
      <c r="N145" s="896"/>
      <c r="O145" s="896"/>
      <c r="P145" s="896"/>
      <c r="Q145" s="896"/>
      <c r="R145" s="896"/>
      <c r="S145" s="896"/>
      <c r="T145" s="896"/>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row>
    <row r="146" ht="15.75" customHeight="1">
      <c r="A146" s="15"/>
      <c r="B146" s="15"/>
      <c r="C146" s="15"/>
      <c r="D146" s="15"/>
      <c r="E146" s="15"/>
      <c r="F146" s="15"/>
      <c r="G146" s="15"/>
      <c r="H146" s="15"/>
      <c r="I146" s="15"/>
      <c r="J146" s="15"/>
      <c r="K146" s="15"/>
      <c r="L146" s="15"/>
      <c r="M146" s="896"/>
      <c r="N146" s="896"/>
      <c r="O146" s="896"/>
      <c r="P146" s="896"/>
      <c r="Q146" s="896"/>
      <c r="R146" s="896"/>
      <c r="S146" s="896"/>
      <c r="T146" s="896"/>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row>
    <row r="147" ht="15.75" customHeight="1">
      <c r="A147" s="15"/>
      <c r="B147" s="15"/>
      <c r="C147" s="15"/>
      <c r="D147" s="15"/>
      <c r="E147" s="15"/>
      <c r="F147" s="15"/>
      <c r="G147" s="15"/>
      <c r="H147" s="15"/>
      <c r="I147" s="15"/>
      <c r="J147" s="15"/>
      <c r="K147" s="15"/>
      <c r="L147" s="15"/>
      <c r="M147" s="896"/>
      <c r="N147" s="896"/>
      <c r="O147" s="896"/>
      <c r="P147" s="896"/>
      <c r="Q147" s="896"/>
      <c r="R147" s="896"/>
      <c r="S147" s="896"/>
      <c r="T147" s="896"/>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row>
    <row r="148" ht="15.75" customHeight="1">
      <c r="A148" s="15"/>
      <c r="B148" s="15"/>
      <c r="C148" s="15"/>
      <c r="D148" s="15"/>
      <c r="E148" s="15"/>
      <c r="F148" s="15"/>
      <c r="G148" s="15"/>
      <c r="H148" s="15"/>
      <c r="I148" s="15"/>
      <c r="J148" s="15"/>
      <c r="K148" s="15"/>
      <c r="L148" s="15"/>
      <c r="M148" s="896"/>
      <c r="N148" s="896"/>
      <c r="O148" s="896"/>
      <c r="P148" s="896"/>
      <c r="Q148" s="896"/>
      <c r="R148" s="896"/>
      <c r="S148" s="896"/>
      <c r="T148" s="896"/>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row>
    <row r="149" ht="15.75" customHeight="1">
      <c r="A149" s="15"/>
      <c r="B149" s="15"/>
      <c r="C149" s="15"/>
      <c r="D149" s="15"/>
      <c r="E149" s="15"/>
      <c r="F149" s="15"/>
      <c r="G149" s="15"/>
      <c r="H149" s="15"/>
      <c r="I149" s="15"/>
      <c r="J149" s="15"/>
      <c r="K149" s="15"/>
      <c r="L149" s="15"/>
      <c r="M149" s="896"/>
      <c r="N149" s="896"/>
      <c r="O149" s="896"/>
      <c r="P149" s="896"/>
      <c r="Q149" s="896"/>
      <c r="R149" s="896"/>
      <c r="S149" s="896"/>
      <c r="T149" s="896"/>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row>
    <row r="150" ht="15.75" customHeight="1">
      <c r="A150" s="15"/>
      <c r="B150" s="15"/>
      <c r="C150" s="15"/>
      <c r="D150" s="15"/>
      <c r="E150" s="15"/>
      <c r="F150" s="15"/>
      <c r="G150" s="15"/>
      <c r="H150" s="15"/>
      <c r="I150" s="15"/>
      <c r="J150" s="15"/>
      <c r="K150" s="15"/>
      <c r="L150" s="15"/>
      <c r="M150" s="896"/>
      <c r="N150" s="896"/>
      <c r="O150" s="896"/>
      <c r="P150" s="896"/>
      <c r="Q150" s="896"/>
      <c r="R150" s="896"/>
      <c r="S150" s="896"/>
      <c r="T150" s="896"/>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row>
    <row r="151" ht="15.75" customHeight="1">
      <c r="A151" s="15"/>
      <c r="B151" s="15"/>
      <c r="C151" s="15"/>
      <c r="D151" s="15"/>
      <c r="E151" s="15"/>
      <c r="F151" s="15"/>
      <c r="G151" s="15"/>
      <c r="H151" s="15"/>
      <c r="I151" s="15"/>
      <c r="J151" s="15"/>
      <c r="K151" s="15"/>
      <c r="L151" s="15"/>
      <c r="M151" s="896"/>
      <c r="N151" s="896"/>
      <c r="O151" s="896"/>
      <c r="P151" s="896"/>
      <c r="Q151" s="896"/>
      <c r="R151" s="896"/>
      <c r="S151" s="896"/>
      <c r="T151" s="896"/>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row>
    <row r="152" ht="15.75" customHeight="1">
      <c r="A152" s="15"/>
      <c r="B152" s="15"/>
      <c r="C152" s="15"/>
      <c r="D152" s="15"/>
      <c r="E152" s="15"/>
      <c r="F152" s="15"/>
      <c r="G152" s="15"/>
      <c r="H152" s="15"/>
      <c r="I152" s="15"/>
      <c r="J152" s="15"/>
      <c r="K152" s="15"/>
      <c r="L152" s="15"/>
      <c r="M152" s="896"/>
      <c r="N152" s="896"/>
      <c r="O152" s="896"/>
      <c r="P152" s="896"/>
      <c r="Q152" s="896"/>
      <c r="R152" s="896"/>
      <c r="S152" s="896"/>
      <c r="T152" s="896"/>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row>
    <row r="153" ht="15.75" customHeight="1">
      <c r="A153" s="15"/>
      <c r="B153" s="15"/>
      <c r="C153" s="15"/>
      <c r="D153" s="15"/>
      <c r="E153" s="15"/>
      <c r="F153" s="15"/>
      <c r="G153" s="15"/>
      <c r="H153" s="15"/>
      <c r="I153" s="15"/>
      <c r="J153" s="15"/>
      <c r="K153" s="15"/>
      <c r="L153" s="15"/>
      <c r="M153" s="896"/>
      <c r="N153" s="896"/>
      <c r="O153" s="896"/>
      <c r="P153" s="896"/>
      <c r="Q153" s="896"/>
      <c r="R153" s="896"/>
      <c r="S153" s="896"/>
      <c r="T153" s="896"/>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row>
    <row r="154" ht="15.75" customHeight="1">
      <c r="A154" s="15"/>
      <c r="B154" s="15"/>
      <c r="C154" s="15"/>
      <c r="D154" s="15"/>
      <c r="E154" s="15"/>
      <c r="F154" s="15"/>
      <c r="G154" s="15"/>
      <c r="H154" s="15"/>
      <c r="I154" s="15"/>
      <c r="J154" s="15"/>
      <c r="K154" s="15"/>
      <c r="L154" s="15"/>
      <c r="M154" s="896"/>
      <c r="N154" s="896"/>
      <c r="O154" s="896"/>
      <c r="P154" s="896"/>
      <c r="Q154" s="896"/>
      <c r="R154" s="896"/>
      <c r="S154" s="896"/>
      <c r="T154" s="896"/>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row>
    <row r="155" ht="15.75" customHeight="1">
      <c r="A155" s="15"/>
      <c r="B155" s="15"/>
      <c r="C155" s="15"/>
      <c r="D155" s="15"/>
      <c r="E155" s="15"/>
      <c r="F155" s="15"/>
      <c r="G155" s="15"/>
      <c r="H155" s="15"/>
      <c r="I155" s="15"/>
      <c r="J155" s="15"/>
      <c r="K155" s="15"/>
      <c r="L155" s="15"/>
      <c r="M155" s="896"/>
      <c r="N155" s="896"/>
      <c r="O155" s="896"/>
      <c r="P155" s="896"/>
      <c r="Q155" s="896"/>
      <c r="R155" s="896"/>
      <c r="S155" s="896"/>
      <c r="T155" s="896"/>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row>
    <row r="156" ht="15.75" customHeight="1">
      <c r="A156" s="15"/>
      <c r="B156" s="15"/>
      <c r="C156" s="15"/>
      <c r="D156" s="15"/>
      <c r="E156" s="15"/>
      <c r="F156" s="15"/>
      <c r="G156" s="15"/>
      <c r="H156" s="15"/>
      <c r="I156" s="15"/>
      <c r="J156" s="15"/>
      <c r="K156" s="15"/>
      <c r="L156" s="15"/>
      <c r="M156" s="896"/>
      <c r="N156" s="896"/>
      <c r="O156" s="896"/>
      <c r="P156" s="896"/>
      <c r="Q156" s="896"/>
      <c r="R156" s="896"/>
      <c r="S156" s="896"/>
      <c r="T156" s="896"/>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row>
    <row r="157" ht="15.75" customHeight="1">
      <c r="A157" s="15"/>
      <c r="B157" s="15"/>
      <c r="C157" s="15"/>
      <c r="D157" s="15"/>
      <c r="E157" s="15"/>
      <c r="F157" s="15"/>
      <c r="G157" s="15"/>
      <c r="H157" s="15"/>
      <c r="I157" s="15"/>
      <c r="J157" s="15"/>
      <c r="K157" s="15"/>
      <c r="L157" s="15"/>
      <c r="M157" s="896"/>
      <c r="N157" s="896"/>
      <c r="O157" s="896"/>
      <c r="P157" s="896"/>
      <c r="Q157" s="896"/>
      <c r="R157" s="896"/>
      <c r="S157" s="896"/>
      <c r="T157" s="896"/>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row>
    <row r="158" ht="15.75" customHeight="1">
      <c r="A158" s="15"/>
      <c r="B158" s="15"/>
      <c r="C158" s="15"/>
      <c r="D158" s="15"/>
      <c r="E158" s="15"/>
      <c r="F158" s="15"/>
      <c r="G158" s="15"/>
      <c r="H158" s="15"/>
      <c r="I158" s="15"/>
      <c r="J158" s="15"/>
      <c r="K158" s="15"/>
      <c r="L158" s="15"/>
      <c r="M158" s="896"/>
      <c r="N158" s="896"/>
      <c r="O158" s="896"/>
      <c r="P158" s="896"/>
      <c r="Q158" s="896"/>
      <c r="R158" s="896"/>
      <c r="S158" s="896"/>
      <c r="T158" s="896"/>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row>
    <row r="159" ht="15.75" customHeight="1">
      <c r="A159" s="15"/>
      <c r="B159" s="15"/>
      <c r="C159" s="15"/>
      <c r="D159" s="15"/>
      <c r="E159" s="15"/>
      <c r="F159" s="15"/>
      <c r="G159" s="15"/>
      <c r="H159" s="15"/>
      <c r="I159" s="15"/>
      <c r="J159" s="15"/>
      <c r="K159" s="15"/>
      <c r="L159" s="15"/>
      <c r="M159" s="896"/>
      <c r="N159" s="896"/>
      <c r="O159" s="896"/>
      <c r="P159" s="896"/>
      <c r="Q159" s="896"/>
      <c r="R159" s="896"/>
      <c r="S159" s="896"/>
      <c r="T159" s="896"/>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row>
    <row r="160" ht="15.75" customHeight="1">
      <c r="A160" s="15"/>
      <c r="B160" s="15"/>
      <c r="C160" s="15"/>
      <c r="D160" s="15"/>
      <c r="E160" s="15"/>
      <c r="F160" s="15"/>
      <c r="G160" s="15"/>
      <c r="H160" s="15"/>
      <c r="I160" s="15"/>
      <c r="J160" s="15"/>
      <c r="K160" s="15"/>
      <c r="L160" s="15"/>
      <c r="M160" s="896"/>
      <c r="N160" s="896"/>
      <c r="O160" s="896"/>
      <c r="P160" s="896"/>
      <c r="Q160" s="896"/>
      <c r="R160" s="896"/>
      <c r="S160" s="896"/>
      <c r="T160" s="896"/>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row>
    <row r="161" ht="15.75" customHeight="1">
      <c r="A161" s="15"/>
      <c r="B161" s="15"/>
      <c r="C161" s="15"/>
      <c r="D161" s="15"/>
      <c r="E161" s="15"/>
      <c r="F161" s="15"/>
      <c r="G161" s="15"/>
      <c r="H161" s="15"/>
      <c r="I161" s="15"/>
      <c r="J161" s="15"/>
      <c r="K161" s="15"/>
      <c r="L161" s="15"/>
      <c r="M161" s="896"/>
      <c r="N161" s="896"/>
      <c r="O161" s="896"/>
      <c r="P161" s="896"/>
      <c r="Q161" s="896"/>
      <c r="R161" s="896"/>
      <c r="S161" s="896"/>
      <c r="T161" s="896"/>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row>
    <row r="162" ht="15.75" customHeight="1">
      <c r="A162" s="15"/>
      <c r="B162" s="15"/>
      <c r="C162" s="15"/>
      <c r="D162" s="15"/>
      <c r="E162" s="15"/>
      <c r="F162" s="15"/>
      <c r="G162" s="15"/>
      <c r="H162" s="15"/>
      <c r="I162" s="15"/>
      <c r="J162" s="15"/>
      <c r="K162" s="15"/>
      <c r="L162" s="15"/>
      <c r="M162" s="896"/>
      <c r="N162" s="896"/>
      <c r="O162" s="896"/>
      <c r="P162" s="896"/>
      <c r="Q162" s="896"/>
      <c r="R162" s="896"/>
      <c r="S162" s="896"/>
      <c r="T162" s="896"/>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row>
    <row r="163" ht="15.75" customHeight="1">
      <c r="A163" s="15"/>
      <c r="B163" s="15"/>
      <c r="C163" s="15"/>
      <c r="D163" s="15"/>
      <c r="E163" s="15"/>
      <c r="F163" s="15"/>
      <c r="G163" s="15"/>
      <c r="H163" s="15"/>
      <c r="I163" s="15"/>
      <c r="J163" s="15"/>
      <c r="K163" s="15"/>
      <c r="L163" s="15"/>
      <c r="M163" s="896"/>
      <c r="N163" s="896"/>
      <c r="O163" s="896"/>
      <c r="P163" s="896"/>
      <c r="Q163" s="896"/>
      <c r="R163" s="896"/>
      <c r="S163" s="896"/>
      <c r="T163" s="896"/>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row>
    <row r="164" ht="15.75" customHeight="1">
      <c r="A164" s="15"/>
      <c r="B164" s="15"/>
      <c r="C164" s="15"/>
      <c r="D164" s="15"/>
      <c r="E164" s="15"/>
      <c r="F164" s="15"/>
      <c r="G164" s="15"/>
      <c r="H164" s="15"/>
      <c r="I164" s="15"/>
      <c r="J164" s="15"/>
      <c r="K164" s="15"/>
      <c r="L164" s="15"/>
      <c r="M164" s="896"/>
      <c r="N164" s="896"/>
      <c r="O164" s="896"/>
      <c r="P164" s="896"/>
      <c r="Q164" s="896"/>
      <c r="R164" s="896"/>
      <c r="S164" s="896"/>
      <c r="T164" s="896"/>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row>
    <row r="165" ht="15.75" customHeight="1">
      <c r="A165" s="15"/>
      <c r="B165" s="15"/>
      <c r="C165" s="15"/>
      <c r="D165" s="15"/>
      <c r="E165" s="15"/>
      <c r="F165" s="15"/>
      <c r="G165" s="15"/>
      <c r="H165" s="15"/>
      <c r="I165" s="15"/>
      <c r="J165" s="15"/>
      <c r="K165" s="15"/>
      <c r="L165" s="15"/>
      <c r="M165" s="896"/>
      <c r="N165" s="896"/>
      <c r="O165" s="896"/>
      <c r="P165" s="896"/>
      <c r="Q165" s="896"/>
      <c r="R165" s="896"/>
      <c r="S165" s="896"/>
      <c r="T165" s="896"/>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row>
    <row r="166" ht="15.75" customHeight="1">
      <c r="A166" s="15"/>
      <c r="B166" s="15"/>
      <c r="C166" s="15"/>
      <c r="D166" s="15"/>
      <c r="E166" s="15"/>
      <c r="F166" s="15"/>
      <c r="G166" s="15"/>
      <c r="H166" s="15"/>
      <c r="I166" s="15"/>
      <c r="J166" s="15"/>
      <c r="K166" s="15"/>
      <c r="L166" s="15"/>
      <c r="M166" s="896"/>
      <c r="N166" s="896"/>
      <c r="O166" s="896"/>
      <c r="P166" s="896"/>
      <c r="Q166" s="896"/>
      <c r="R166" s="896"/>
      <c r="S166" s="896"/>
      <c r="T166" s="896"/>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row>
    <row r="167" ht="15.75" customHeight="1">
      <c r="A167" s="15"/>
      <c r="B167" s="15"/>
      <c r="C167" s="15"/>
      <c r="D167" s="15"/>
      <c r="E167" s="15"/>
      <c r="F167" s="15"/>
      <c r="G167" s="15"/>
      <c r="H167" s="15"/>
      <c r="I167" s="15"/>
      <c r="J167" s="15"/>
      <c r="K167" s="15"/>
      <c r="L167" s="15"/>
      <c r="M167" s="896"/>
      <c r="N167" s="896"/>
      <c r="O167" s="896"/>
      <c r="P167" s="896"/>
      <c r="Q167" s="896"/>
      <c r="R167" s="896"/>
      <c r="S167" s="896"/>
      <c r="T167" s="896"/>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row>
    <row r="168" ht="15.75" customHeight="1">
      <c r="A168" s="15"/>
      <c r="B168" s="15"/>
      <c r="C168" s="15"/>
      <c r="D168" s="15"/>
      <c r="E168" s="15"/>
      <c r="F168" s="15"/>
      <c r="G168" s="15"/>
      <c r="H168" s="15"/>
      <c r="I168" s="15"/>
      <c r="J168" s="15"/>
      <c r="K168" s="15"/>
      <c r="L168" s="15"/>
      <c r="M168" s="896"/>
      <c r="N168" s="896"/>
      <c r="O168" s="896"/>
      <c r="P168" s="896"/>
      <c r="Q168" s="896"/>
      <c r="R168" s="896"/>
      <c r="S168" s="896"/>
      <c r="T168" s="896"/>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row>
    <row r="169" ht="15.75" customHeight="1">
      <c r="A169" s="15"/>
      <c r="B169" s="15"/>
      <c r="C169" s="15"/>
      <c r="D169" s="15"/>
      <c r="E169" s="15"/>
      <c r="F169" s="15"/>
      <c r="G169" s="15"/>
      <c r="H169" s="15"/>
      <c r="I169" s="15"/>
      <c r="J169" s="15"/>
      <c r="K169" s="15"/>
      <c r="L169" s="15"/>
      <c r="M169" s="896"/>
      <c r="N169" s="896"/>
      <c r="O169" s="896"/>
      <c r="P169" s="896"/>
      <c r="Q169" s="896"/>
      <c r="R169" s="896"/>
      <c r="S169" s="896"/>
      <c r="T169" s="896"/>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row>
    <row r="170" ht="15.75" customHeight="1">
      <c r="A170" s="15"/>
      <c r="B170" s="15"/>
      <c r="C170" s="15"/>
      <c r="D170" s="15"/>
      <c r="E170" s="15"/>
      <c r="F170" s="15"/>
      <c r="G170" s="15"/>
      <c r="H170" s="15"/>
      <c r="I170" s="15"/>
      <c r="J170" s="15"/>
      <c r="K170" s="15"/>
      <c r="L170" s="15"/>
      <c r="M170" s="896"/>
      <c r="N170" s="896"/>
      <c r="O170" s="896"/>
      <c r="P170" s="896"/>
      <c r="Q170" s="896"/>
      <c r="R170" s="896"/>
      <c r="S170" s="896"/>
      <c r="T170" s="896"/>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row>
    <row r="171" ht="15.75" customHeight="1">
      <c r="A171" s="15"/>
      <c r="B171" s="15"/>
      <c r="C171" s="15"/>
      <c r="D171" s="15"/>
      <c r="E171" s="15"/>
      <c r="F171" s="15"/>
      <c r="G171" s="15"/>
      <c r="H171" s="15"/>
      <c r="I171" s="15"/>
      <c r="J171" s="15"/>
      <c r="K171" s="15"/>
      <c r="L171" s="15"/>
      <c r="M171" s="896"/>
      <c r="N171" s="896"/>
      <c r="O171" s="896"/>
      <c r="P171" s="896"/>
      <c r="Q171" s="896"/>
      <c r="R171" s="896"/>
      <c r="S171" s="896"/>
      <c r="T171" s="896"/>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row>
    <row r="172" ht="15.75" customHeight="1">
      <c r="A172" s="15"/>
      <c r="B172" s="15"/>
      <c r="C172" s="15"/>
      <c r="D172" s="15"/>
      <c r="E172" s="15"/>
      <c r="F172" s="15"/>
      <c r="G172" s="15"/>
      <c r="H172" s="15"/>
      <c r="I172" s="15"/>
      <c r="J172" s="15"/>
      <c r="K172" s="15"/>
      <c r="L172" s="15"/>
      <c r="M172" s="896"/>
      <c r="N172" s="896"/>
      <c r="O172" s="896"/>
      <c r="P172" s="896"/>
      <c r="Q172" s="896"/>
      <c r="R172" s="896"/>
      <c r="S172" s="896"/>
      <c r="T172" s="896"/>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row>
    <row r="173" ht="15.75" customHeight="1">
      <c r="A173" s="15"/>
      <c r="B173" s="15"/>
      <c r="C173" s="15"/>
      <c r="D173" s="15"/>
      <c r="E173" s="15"/>
      <c r="F173" s="15"/>
      <c r="G173" s="15"/>
      <c r="H173" s="15"/>
      <c r="I173" s="15"/>
      <c r="J173" s="15"/>
      <c r="K173" s="15"/>
      <c r="L173" s="15"/>
      <c r="M173" s="896"/>
      <c r="N173" s="896"/>
      <c r="O173" s="896"/>
      <c r="P173" s="896"/>
      <c r="Q173" s="896"/>
      <c r="R173" s="896"/>
      <c r="S173" s="896"/>
      <c r="T173" s="896"/>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row>
    <row r="174" ht="15.75" customHeight="1">
      <c r="A174" s="15"/>
      <c r="B174" s="15"/>
      <c r="C174" s="15"/>
      <c r="D174" s="15"/>
      <c r="E174" s="15"/>
      <c r="F174" s="15"/>
      <c r="G174" s="15"/>
      <c r="H174" s="15"/>
      <c r="I174" s="15"/>
      <c r="J174" s="15"/>
      <c r="K174" s="15"/>
      <c r="L174" s="15"/>
      <c r="M174" s="896"/>
      <c r="N174" s="896"/>
      <c r="O174" s="896"/>
      <c r="P174" s="896"/>
      <c r="Q174" s="896"/>
      <c r="R174" s="896"/>
      <c r="S174" s="896"/>
      <c r="T174" s="896"/>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row>
    <row r="175" ht="15.75" customHeight="1">
      <c r="A175" s="15"/>
      <c r="B175" s="15"/>
      <c r="C175" s="15"/>
      <c r="D175" s="15"/>
      <c r="E175" s="15"/>
      <c r="F175" s="15"/>
      <c r="G175" s="15"/>
      <c r="H175" s="15"/>
      <c r="I175" s="15"/>
      <c r="J175" s="15"/>
      <c r="K175" s="15"/>
      <c r="L175" s="15"/>
      <c r="M175" s="896"/>
      <c r="N175" s="896"/>
      <c r="O175" s="896"/>
      <c r="P175" s="896"/>
      <c r="Q175" s="896"/>
      <c r="R175" s="896"/>
      <c r="S175" s="896"/>
      <c r="T175" s="896"/>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row>
    <row r="176" ht="15.75" customHeight="1">
      <c r="A176" s="15"/>
      <c r="B176" s="15"/>
      <c r="C176" s="15"/>
      <c r="D176" s="15"/>
      <c r="E176" s="15"/>
      <c r="F176" s="15"/>
      <c r="G176" s="15"/>
      <c r="H176" s="15"/>
      <c r="I176" s="15"/>
      <c r="J176" s="15"/>
      <c r="K176" s="15"/>
      <c r="L176" s="15"/>
      <c r="M176" s="896"/>
      <c r="N176" s="896"/>
      <c r="O176" s="896"/>
      <c r="P176" s="896"/>
      <c r="Q176" s="896"/>
      <c r="R176" s="896"/>
      <c r="S176" s="896"/>
      <c r="T176" s="896"/>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row>
    <row r="177" ht="15.75" customHeight="1">
      <c r="A177" s="15"/>
      <c r="B177" s="15"/>
      <c r="C177" s="15"/>
      <c r="D177" s="15"/>
      <c r="E177" s="15"/>
      <c r="F177" s="15"/>
      <c r="G177" s="15"/>
      <c r="H177" s="15"/>
      <c r="I177" s="15"/>
      <c r="J177" s="15"/>
      <c r="K177" s="15"/>
      <c r="L177" s="15"/>
      <c r="M177" s="896"/>
      <c r="N177" s="896"/>
      <c r="O177" s="896"/>
      <c r="P177" s="896"/>
      <c r="Q177" s="896"/>
      <c r="R177" s="896"/>
      <c r="S177" s="896"/>
      <c r="T177" s="896"/>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row>
    <row r="178" ht="15.75" customHeight="1">
      <c r="A178" s="15"/>
      <c r="B178" s="15"/>
      <c r="C178" s="15"/>
      <c r="D178" s="15"/>
      <c r="E178" s="15"/>
      <c r="F178" s="15"/>
      <c r="G178" s="15"/>
      <c r="H178" s="15"/>
      <c r="I178" s="15"/>
      <c r="J178" s="15"/>
      <c r="K178" s="15"/>
      <c r="L178" s="15"/>
      <c r="M178" s="896"/>
      <c r="N178" s="896"/>
      <c r="O178" s="896"/>
      <c r="P178" s="896"/>
      <c r="Q178" s="896"/>
      <c r="R178" s="896"/>
      <c r="S178" s="896"/>
      <c r="T178" s="896"/>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row>
    <row r="179" ht="15.75" customHeight="1">
      <c r="A179" s="15"/>
      <c r="B179" s="15"/>
      <c r="C179" s="15"/>
      <c r="D179" s="15"/>
      <c r="E179" s="15"/>
      <c r="F179" s="15"/>
      <c r="G179" s="15"/>
      <c r="H179" s="15"/>
      <c r="I179" s="15"/>
      <c r="J179" s="15"/>
      <c r="K179" s="15"/>
      <c r="L179" s="15"/>
      <c r="M179" s="896"/>
      <c r="N179" s="896"/>
      <c r="O179" s="896"/>
      <c r="P179" s="896"/>
      <c r="Q179" s="896"/>
      <c r="R179" s="896"/>
      <c r="S179" s="896"/>
      <c r="T179" s="896"/>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row>
    <row r="180" ht="15.75" customHeight="1">
      <c r="A180" s="15"/>
      <c r="B180" s="15"/>
      <c r="C180" s="15"/>
      <c r="D180" s="15"/>
      <c r="E180" s="15"/>
      <c r="F180" s="15"/>
      <c r="G180" s="15"/>
      <c r="H180" s="15"/>
      <c r="I180" s="15"/>
      <c r="J180" s="15"/>
      <c r="K180" s="15"/>
      <c r="L180" s="15"/>
      <c r="M180" s="896"/>
      <c r="N180" s="896"/>
      <c r="O180" s="896"/>
      <c r="P180" s="896"/>
      <c r="Q180" s="896"/>
      <c r="R180" s="896"/>
      <c r="S180" s="896"/>
      <c r="T180" s="896"/>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row>
    <row r="181" ht="15.75" customHeight="1">
      <c r="A181" s="15"/>
      <c r="B181" s="15"/>
      <c r="C181" s="15"/>
      <c r="D181" s="15"/>
      <c r="E181" s="15"/>
      <c r="F181" s="15"/>
      <c r="G181" s="15"/>
      <c r="H181" s="15"/>
      <c r="I181" s="15"/>
      <c r="J181" s="15"/>
      <c r="K181" s="15"/>
      <c r="L181" s="15"/>
      <c r="M181" s="896"/>
      <c r="N181" s="896"/>
      <c r="O181" s="896"/>
      <c r="P181" s="896"/>
      <c r="Q181" s="896"/>
      <c r="R181" s="896"/>
      <c r="S181" s="896"/>
      <c r="T181" s="896"/>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row>
    <row r="182" ht="15.75" customHeight="1">
      <c r="A182" s="15"/>
      <c r="B182" s="15"/>
      <c r="C182" s="15"/>
      <c r="D182" s="15"/>
      <c r="E182" s="15"/>
      <c r="F182" s="15"/>
      <c r="G182" s="15"/>
      <c r="H182" s="15"/>
      <c r="I182" s="15"/>
      <c r="J182" s="15"/>
      <c r="K182" s="15"/>
      <c r="L182" s="15"/>
      <c r="M182" s="896"/>
      <c r="N182" s="896"/>
      <c r="O182" s="896"/>
      <c r="P182" s="896"/>
      <c r="Q182" s="896"/>
      <c r="R182" s="896"/>
      <c r="S182" s="896"/>
      <c r="T182" s="896"/>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row>
    <row r="183" ht="15.75" customHeight="1">
      <c r="A183" s="15"/>
      <c r="B183" s="15"/>
      <c r="C183" s="15"/>
      <c r="D183" s="15"/>
      <c r="E183" s="15"/>
      <c r="F183" s="15"/>
      <c r="G183" s="15"/>
      <c r="H183" s="15"/>
      <c r="I183" s="15"/>
      <c r="J183" s="15"/>
      <c r="K183" s="15"/>
      <c r="L183" s="15"/>
      <c r="M183" s="896"/>
      <c r="N183" s="896"/>
      <c r="O183" s="896"/>
      <c r="P183" s="896"/>
      <c r="Q183" s="896"/>
      <c r="R183" s="896"/>
      <c r="S183" s="896"/>
      <c r="T183" s="896"/>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row>
    <row r="184" ht="15.75" customHeight="1">
      <c r="A184" s="15"/>
      <c r="B184" s="15"/>
      <c r="C184" s="15"/>
      <c r="D184" s="15"/>
      <c r="E184" s="15"/>
      <c r="F184" s="15"/>
      <c r="G184" s="15"/>
      <c r="H184" s="15"/>
      <c r="I184" s="15"/>
      <c r="J184" s="15"/>
      <c r="K184" s="15"/>
      <c r="L184" s="15"/>
      <c r="M184" s="896"/>
      <c r="N184" s="896"/>
      <c r="O184" s="896"/>
      <c r="P184" s="896"/>
      <c r="Q184" s="896"/>
      <c r="R184" s="896"/>
      <c r="S184" s="896"/>
      <c r="T184" s="896"/>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row>
    <row r="185" ht="15.75" customHeight="1">
      <c r="A185" s="15"/>
      <c r="B185" s="15"/>
      <c r="C185" s="15"/>
      <c r="D185" s="15"/>
      <c r="E185" s="15"/>
      <c r="F185" s="15"/>
      <c r="G185" s="15"/>
      <c r="H185" s="15"/>
      <c r="I185" s="15"/>
      <c r="J185" s="15"/>
      <c r="K185" s="15"/>
      <c r="L185" s="15"/>
      <c r="M185" s="896"/>
      <c r="N185" s="896"/>
      <c r="O185" s="896"/>
      <c r="P185" s="896"/>
      <c r="Q185" s="896"/>
      <c r="R185" s="896"/>
      <c r="S185" s="896"/>
      <c r="T185" s="896"/>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row>
    <row r="186" ht="15.75" customHeight="1">
      <c r="A186" s="15"/>
      <c r="B186" s="15"/>
      <c r="C186" s="15"/>
      <c r="D186" s="15"/>
      <c r="E186" s="15"/>
      <c r="F186" s="15"/>
      <c r="G186" s="15"/>
      <c r="H186" s="15"/>
      <c r="I186" s="15"/>
      <c r="J186" s="15"/>
      <c r="K186" s="15"/>
      <c r="L186" s="15"/>
      <c r="M186" s="896"/>
      <c r="N186" s="896"/>
      <c r="O186" s="896"/>
      <c r="P186" s="896"/>
      <c r="Q186" s="896"/>
      <c r="R186" s="896"/>
      <c r="S186" s="896"/>
      <c r="T186" s="896"/>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row>
    <row r="187" ht="15.75" customHeight="1">
      <c r="A187" s="15"/>
      <c r="B187" s="15"/>
      <c r="C187" s="15"/>
      <c r="D187" s="15"/>
      <c r="E187" s="15"/>
      <c r="F187" s="15"/>
      <c r="G187" s="15"/>
      <c r="H187" s="15"/>
      <c r="I187" s="15"/>
      <c r="J187" s="15"/>
      <c r="K187" s="15"/>
      <c r="L187" s="15"/>
      <c r="M187" s="896"/>
      <c r="N187" s="896"/>
      <c r="O187" s="896"/>
      <c r="P187" s="896"/>
      <c r="Q187" s="896"/>
      <c r="R187" s="896"/>
      <c r="S187" s="896"/>
      <c r="T187" s="896"/>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row>
    <row r="188" ht="15.75" customHeight="1">
      <c r="A188" s="15"/>
      <c r="B188" s="15"/>
      <c r="C188" s="15"/>
      <c r="D188" s="15"/>
      <c r="E188" s="15"/>
      <c r="F188" s="15"/>
      <c r="G188" s="15"/>
      <c r="H188" s="15"/>
      <c r="I188" s="15"/>
      <c r="J188" s="15"/>
      <c r="K188" s="15"/>
      <c r="L188" s="15"/>
      <c r="M188" s="896"/>
      <c r="N188" s="896"/>
      <c r="O188" s="896"/>
      <c r="P188" s="896"/>
      <c r="Q188" s="896"/>
      <c r="R188" s="896"/>
      <c r="S188" s="896"/>
      <c r="T188" s="896"/>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row>
    <row r="189" ht="15.75" customHeight="1">
      <c r="A189" s="15"/>
      <c r="B189" s="15"/>
      <c r="C189" s="15"/>
      <c r="D189" s="15"/>
      <c r="E189" s="15"/>
      <c r="F189" s="15"/>
      <c r="G189" s="15"/>
      <c r="H189" s="15"/>
      <c r="I189" s="15"/>
      <c r="J189" s="15"/>
      <c r="K189" s="15"/>
      <c r="L189" s="15"/>
      <c r="M189" s="896"/>
      <c r="N189" s="896"/>
      <c r="O189" s="896"/>
      <c r="P189" s="896"/>
      <c r="Q189" s="896"/>
      <c r="R189" s="896"/>
      <c r="S189" s="896"/>
      <c r="T189" s="896"/>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row>
    <row r="190" ht="15.75" customHeight="1">
      <c r="A190" s="15"/>
      <c r="B190" s="15"/>
      <c r="C190" s="15"/>
      <c r="D190" s="15"/>
      <c r="E190" s="15"/>
      <c r="F190" s="15"/>
      <c r="G190" s="15"/>
      <c r="H190" s="15"/>
      <c r="I190" s="15"/>
      <c r="J190" s="15"/>
      <c r="K190" s="15"/>
      <c r="L190" s="15"/>
      <c r="M190" s="896"/>
      <c r="N190" s="896"/>
      <c r="O190" s="896"/>
      <c r="P190" s="896"/>
      <c r="Q190" s="896"/>
      <c r="R190" s="896"/>
      <c r="S190" s="896"/>
      <c r="T190" s="896"/>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row>
    <row r="191" ht="15.75" customHeight="1">
      <c r="A191" s="15"/>
      <c r="B191" s="15"/>
      <c r="C191" s="15"/>
      <c r="D191" s="15"/>
      <c r="E191" s="15"/>
      <c r="F191" s="15"/>
      <c r="G191" s="15"/>
      <c r="H191" s="15"/>
      <c r="I191" s="15"/>
      <c r="J191" s="15"/>
      <c r="K191" s="15"/>
      <c r="L191" s="15"/>
      <c r="M191" s="896"/>
      <c r="N191" s="896"/>
      <c r="O191" s="896"/>
      <c r="P191" s="896"/>
      <c r="Q191" s="896"/>
      <c r="R191" s="896"/>
      <c r="S191" s="896"/>
      <c r="T191" s="896"/>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row>
    <row r="192" ht="15.75" customHeight="1">
      <c r="A192" s="15"/>
      <c r="B192" s="15"/>
      <c r="C192" s="15"/>
      <c r="D192" s="15"/>
      <c r="E192" s="15"/>
      <c r="F192" s="15"/>
      <c r="G192" s="15"/>
      <c r="H192" s="15"/>
      <c r="I192" s="15"/>
      <c r="J192" s="15"/>
      <c r="K192" s="15"/>
      <c r="L192" s="15"/>
      <c r="M192" s="896"/>
      <c r="N192" s="896"/>
      <c r="O192" s="896"/>
      <c r="P192" s="896"/>
      <c r="Q192" s="896"/>
      <c r="R192" s="896"/>
      <c r="S192" s="896"/>
      <c r="T192" s="896"/>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row>
    <row r="193" ht="15.75" customHeight="1">
      <c r="A193" s="15"/>
      <c r="B193" s="15"/>
      <c r="C193" s="15"/>
      <c r="D193" s="15"/>
      <c r="E193" s="15"/>
      <c r="F193" s="15"/>
      <c r="G193" s="15"/>
      <c r="H193" s="15"/>
      <c r="I193" s="15"/>
      <c r="J193" s="15"/>
      <c r="K193" s="15"/>
      <c r="L193" s="15"/>
      <c r="M193" s="896"/>
      <c r="N193" s="896"/>
      <c r="O193" s="896"/>
      <c r="P193" s="896"/>
      <c r="Q193" s="896"/>
      <c r="R193" s="896"/>
      <c r="S193" s="896"/>
      <c r="T193" s="896"/>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row>
    <row r="194" ht="15.75" customHeight="1">
      <c r="A194" s="15"/>
      <c r="B194" s="15"/>
      <c r="C194" s="15"/>
      <c r="D194" s="15"/>
      <c r="E194" s="15"/>
      <c r="F194" s="15"/>
      <c r="G194" s="15"/>
      <c r="H194" s="15"/>
      <c r="I194" s="15"/>
      <c r="J194" s="15"/>
      <c r="K194" s="15"/>
      <c r="L194" s="15"/>
      <c r="M194" s="896"/>
      <c r="N194" s="896"/>
      <c r="O194" s="896"/>
      <c r="P194" s="896"/>
      <c r="Q194" s="896"/>
      <c r="R194" s="896"/>
      <c r="S194" s="896"/>
      <c r="T194" s="896"/>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row>
    <row r="195" ht="15.75" customHeight="1">
      <c r="A195" s="15"/>
      <c r="B195" s="15"/>
      <c r="C195" s="15"/>
      <c r="D195" s="15"/>
      <c r="E195" s="15"/>
      <c r="F195" s="15"/>
      <c r="G195" s="15"/>
      <c r="H195" s="15"/>
      <c r="I195" s="15"/>
      <c r="J195" s="15"/>
      <c r="K195" s="15"/>
      <c r="L195" s="15"/>
      <c r="M195" s="896"/>
      <c r="N195" s="896"/>
      <c r="O195" s="896"/>
      <c r="P195" s="896"/>
      <c r="Q195" s="896"/>
      <c r="R195" s="896"/>
      <c r="S195" s="896"/>
      <c r="T195" s="896"/>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row>
    <row r="196" ht="15.75" customHeight="1">
      <c r="A196" s="15"/>
      <c r="B196" s="15"/>
      <c r="C196" s="15"/>
      <c r="D196" s="15"/>
      <c r="E196" s="15"/>
      <c r="F196" s="15"/>
      <c r="G196" s="15"/>
      <c r="H196" s="15"/>
      <c r="I196" s="15"/>
      <c r="J196" s="15"/>
      <c r="K196" s="15"/>
      <c r="L196" s="15"/>
      <c r="M196" s="896"/>
      <c r="N196" s="896"/>
      <c r="O196" s="896"/>
      <c r="P196" s="896"/>
      <c r="Q196" s="896"/>
      <c r="R196" s="896"/>
      <c r="S196" s="896"/>
      <c r="T196" s="896"/>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row>
    <row r="197" ht="15.75" customHeight="1">
      <c r="A197" s="15"/>
      <c r="B197" s="15"/>
      <c r="C197" s="15"/>
      <c r="D197" s="15"/>
      <c r="E197" s="15"/>
      <c r="F197" s="15"/>
      <c r="G197" s="15"/>
      <c r="H197" s="15"/>
      <c r="I197" s="15"/>
      <c r="J197" s="15"/>
      <c r="K197" s="15"/>
      <c r="L197" s="15"/>
      <c r="M197" s="896"/>
      <c r="N197" s="896"/>
      <c r="O197" s="896"/>
      <c r="P197" s="896"/>
      <c r="Q197" s="896"/>
      <c r="R197" s="896"/>
      <c r="S197" s="896"/>
      <c r="T197" s="896"/>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row>
    <row r="198" ht="15.75" customHeight="1">
      <c r="A198" s="15"/>
      <c r="B198" s="15"/>
      <c r="C198" s="15"/>
      <c r="D198" s="15"/>
      <c r="E198" s="15"/>
      <c r="F198" s="15"/>
      <c r="G198" s="15"/>
      <c r="H198" s="15"/>
      <c r="I198" s="15"/>
      <c r="J198" s="15"/>
      <c r="K198" s="15"/>
      <c r="L198" s="15"/>
      <c r="M198" s="896"/>
      <c r="N198" s="896"/>
      <c r="O198" s="896"/>
      <c r="P198" s="896"/>
      <c r="Q198" s="896"/>
      <c r="R198" s="896"/>
      <c r="S198" s="896"/>
      <c r="T198" s="896"/>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row>
    <row r="199" ht="15.75" customHeight="1">
      <c r="A199" s="15"/>
      <c r="B199" s="15"/>
      <c r="C199" s="15"/>
      <c r="D199" s="15"/>
      <c r="E199" s="15"/>
      <c r="F199" s="15"/>
      <c r="G199" s="15"/>
      <c r="H199" s="15"/>
      <c r="I199" s="15"/>
      <c r="J199" s="15"/>
      <c r="K199" s="15"/>
      <c r="L199" s="15"/>
      <c r="M199" s="896"/>
      <c r="N199" s="896"/>
      <c r="O199" s="896"/>
      <c r="P199" s="896"/>
      <c r="Q199" s="896"/>
      <c r="R199" s="896"/>
      <c r="S199" s="896"/>
      <c r="T199" s="896"/>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row>
    <row r="200" ht="15.75" customHeight="1">
      <c r="A200" s="15"/>
      <c r="B200" s="15"/>
      <c r="C200" s="15"/>
      <c r="D200" s="15"/>
      <c r="E200" s="15"/>
      <c r="F200" s="15"/>
      <c r="G200" s="15"/>
      <c r="H200" s="15"/>
      <c r="I200" s="15"/>
      <c r="J200" s="15"/>
      <c r="K200" s="15"/>
      <c r="L200" s="15"/>
      <c r="M200" s="896"/>
      <c r="N200" s="896"/>
      <c r="O200" s="896"/>
      <c r="P200" s="896"/>
      <c r="Q200" s="896"/>
      <c r="R200" s="896"/>
      <c r="S200" s="896"/>
      <c r="T200" s="896"/>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row>
    <row r="201" ht="15.75" customHeight="1">
      <c r="A201" s="15"/>
      <c r="B201" s="15"/>
      <c r="C201" s="15"/>
      <c r="D201" s="15"/>
      <c r="E201" s="15"/>
      <c r="F201" s="15"/>
      <c r="G201" s="15"/>
      <c r="H201" s="15"/>
      <c r="I201" s="15"/>
      <c r="J201" s="15"/>
      <c r="K201" s="15"/>
      <c r="L201" s="15"/>
      <c r="M201" s="896"/>
      <c r="N201" s="896"/>
      <c r="O201" s="896"/>
      <c r="P201" s="896"/>
      <c r="Q201" s="896"/>
      <c r="R201" s="896"/>
      <c r="S201" s="896"/>
      <c r="T201" s="896"/>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row>
    <row r="202" ht="15.75" customHeight="1">
      <c r="A202" s="15"/>
      <c r="B202" s="15"/>
      <c r="C202" s="15"/>
      <c r="D202" s="15"/>
      <c r="E202" s="15"/>
      <c r="F202" s="15"/>
      <c r="G202" s="15"/>
      <c r="H202" s="15"/>
      <c r="I202" s="15"/>
      <c r="J202" s="15"/>
      <c r="K202" s="15"/>
      <c r="L202" s="15"/>
      <c r="M202" s="896"/>
      <c r="N202" s="896"/>
      <c r="O202" s="896"/>
      <c r="P202" s="896"/>
      <c r="Q202" s="896"/>
      <c r="R202" s="896"/>
      <c r="S202" s="896"/>
      <c r="T202" s="896"/>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row>
    <row r="203" ht="15.75" customHeight="1">
      <c r="A203" s="15"/>
      <c r="B203" s="15"/>
      <c r="C203" s="15"/>
      <c r="D203" s="15"/>
      <c r="E203" s="15"/>
      <c r="F203" s="15"/>
      <c r="G203" s="15"/>
      <c r="H203" s="15"/>
      <c r="I203" s="15"/>
      <c r="J203" s="15"/>
      <c r="K203" s="15"/>
      <c r="L203" s="15"/>
      <c r="M203" s="896"/>
      <c r="N203" s="896"/>
      <c r="O203" s="896"/>
      <c r="P203" s="896"/>
      <c r="Q203" s="896"/>
      <c r="R203" s="896"/>
      <c r="S203" s="896"/>
      <c r="T203" s="896"/>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row>
    <row r="204" ht="15.75" customHeight="1">
      <c r="A204" s="15"/>
      <c r="B204" s="15"/>
      <c r="C204" s="15"/>
      <c r="D204" s="15"/>
      <c r="E204" s="15"/>
      <c r="F204" s="15"/>
      <c r="G204" s="15"/>
      <c r="H204" s="15"/>
      <c r="I204" s="15"/>
      <c r="J204" s="15"/>
      <c r="K204" s="15"/>
      <c r="L204" s="15"/>
      <c r="M204" s="896"/>
      <c r="N204" s="896"/>
      <c r="O204" s="896"/>
      <c r="P204" s="896"/>
      <c r="Q204" s="896"/>
      <c r="R204" s="896"/>
      <c r="S204" s="896"/>
      <c r="T204" s="896"/>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row>
    <row r="205" ht="15.75" customHeight="1">
      <c r="A205" s="15"/>
      <c r="B205" s="15"/>
      <c r="C205" s="15"/>
      <c r="D205" s="15"/>
      <c r="E205" s="15"/>
      <c r="F205" s="15"/>
      <c r="G205" s="15"/>
      <c r="H205" s="15"/>
      <c r="I205" s="15"/>
      <c r="J205" s="15"/>
      <c r="K205" s="15"/>
      <c r="L205" s="15"/>
      <c r="M205" s="896"/>
      <c r="N205" s="896"/>
      <c r="O205" s="896"/>
      <c r="P205" s="896"/>
      <c r="Q205" s="896"/>
      <c r="R205" s="896"/>
      <c r="S205" s="896"/>
      <c r="T205" s="896"/>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row>
    <row r="206" ht="15.75" customHeight="1">
      <c r="A206" s="15"/>
      <c r="B206" s="15"/>
      <c r="C206" s="15"/>
      <c r="D206" s="15"/>
      <c r="E206" s="15"/>
      <c r="F206" s="15"/>
      <c r="G206" s="15"/>
      <c r="H206" s="15"/>
      <c r="I206" s="15"/>
      <c r="J206" s="15"/>
      <c r="K206" s="15"/>
      <c r="L206" s="15"/>
      <c r="M206" s="896"/>
      <c r="N206" s="896"/>
      <c r="O206" s="896"/>
      <c r="P206" s="896"/>
      <c r="Q206" s="896"/>
      <c r="R206" s="896"/>
      <c r="S206" s="896"/>
      <c r="T206" s="896"/>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row>
    <row r="207" ht="15.75" customHeight="1">
      <c r="A207" s="15"/>
      <c r="B207" s="15"/>
      <c r="C207" s="15"/>
      <c r="D207" s="15"/>
      <c r="E207" s="15"/>
      <c r="F207" s="15"/>
      <c r="G207" s="15"/>
      <c r="H207" s="15"/>
      <c r="I207" s="15"/>
      <c r="J207" s="15"/>
      <c r="K207" s="15"/>
      <c r="L207" s="15"/>
      <c r="M207" s="896"/>
      <c r="N207" s="896"/>
      <c r="O207" s="896"/>
      <c r="P207" s="896"/>
      <c r="Q207" s="896"/>
      <c r="R207" s="896"/>
      <c r="S207" s="896"/>
      <c r="T207" s="896"/>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row>
    <row r="208" ht="15.75" customHeight="1">
      <c r="A208" s="15"/>
      <c r="B208" s="15"/>
      <c r="C208" s="15"/>
      <c r="D208" s="15"/>
      <c r="E208" s="15"/>
      <c r="F208" s="15"/>
      <c r="G208" s="15"/>
      <c r="H208" s="15"/>
      <c r="I208" s="15"/>
      <c r="J208" s="15"/>
      <c r="K208" s="15"/>
      <c r="L208" s="15"/>
      <c r="M208" s="896"/>
      <c r="N208" s="896"/>
      <c r="O208" s="896"/>
      <c r="P208" s="896"/>
      <c r="Q208" s="896"/>
      <c r="R208" s="896"/>
      <c r="S208" s="896"/>
      <c r="T208" s="896"/>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row>
    <row r="209" ht="15.75" customHeight="1">
      <c r="A209" s="15"/>
      <c r="B209" s="15"/>
      <c r="C209" s="15"/>
      <c r="D209" s="15"/>
      <c r="E209" s="15"/>
      <c r="F209" s="15"/>
      <c r="G209" s="15"/>
      <c r="H209" s="15"/>
      <c r="I209" s="15"/>
      <c r="J209" s="15"/>
      <c r="K209" s="15"/>
      <c r="L209" s="15"/>
      <c r="M209" s="896"/>
      <c r="N209" s="896"/>
      <c r="O209" s="896"/>
      <c r="P209" s="896"/>
      <c r="Q209" s="896"/>
      <c r="R209" s="896"/>
      <c r="S209" s="896"/>
      <c r="T209" s="896"/>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row>
    <row r="210" ht="15.75" customHeight="1">
      <c r="A210" s="15"/>
      <c r="B210" s="15"/>
      <c r="C210" s="15"/>
      <c r="D210" s="15"/>
      <c r="E210" s="15"/>
      <c r="F210" s="15"/>
      <c r="G210" s="15"/>
      <c r="H210" s="15"/>
      <c r="I210" s="15"/>
      <c r="J210" s="15"/>
      <c r="K210" s="15"/>
      <c r="L210" s="15"/>
      <c r="M210" s="896"/>
      <c r="N210" s="896"/>
      <c r="O210" s="896"/>
      <c r="P210" s="896"/>
      <c r="Q210" s="896"/>
      <c r="R210" s="896"/>
      <c r="S210" s="896"/>
      <c r="T210" s="896"/>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row>
    <row r="211" ht="15.75" customHeight="1">
      <c r="A211" s="15"/>
      <c r="B211" s="15"/>
      <c r="C211" s="15"/>
      <c r="D211" s="15"/>
      <c r="E211" s="15"/>
      <c r="F211" s="15"/>
      <c r="G211" s="15"/>
      <c r="H211" s="15"/>
      <c r="I211" s="15"/>
      <c r="J211" s="15"/>
      <c r="K211" s="15"/>
      <c r="L211" s="15"/>
      <c r="M211" s="896"/>
      <c r="N211" s="896"/>
      <c r="O211" s="896"/>
      <c r="P211" s="896"/>
      <c r="Q211" s="896"/>
      <c r="R211" s="896"/>
      <c r="S211" s="896"/>
      <c r="T211" s="896"/>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row>
    <row r="212" ht="15.75" customHeight="1">
      <c r="A212" s="15"/>
      <c r="B212" s="15"/>
      <c r="C212" s="15"/>
      <c r="D212" s="15"/>
      <c r="E212" s="15"/>
      <c r="F212" s="15"/>
      <c r="G212" s="15"/>
      <c r="H212" s="15"/>
      <c r="I212" s="15"/>
      <c r="J212" s="15"/>
      <c r="K212" s="15"/>
      <c r="L212" s="15"/>
      <c r="M212" s="896"/>
      <c r="N212" s="896"/>
      <c r="O212" s="896"/>
      <c r="P212" s="896"/>
      <c r="Q212" s="896"/>
      <c r="R212" s="896"/>
      <c r="S212" s="896"/>
      <c r="T212" s="896"/>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row>
    <row r="213" ht="15.75" customHeight="1">
      <c r="A213" s="15"/>
      <c r="B213" s="15"/>
      <c r="C213" s="15"/>
      <c r="D213" s="15"/>
      <c r="E213" s="15"/>
      <c r="F213" s="15"/>
      <c r="G213" s="15"/>
      <c r="H213" s="15"/>
      <c r="I213" s="15"/>
      <c r="J213" s="15"/>
      <c r="K213" s="15"/>
      <c r="L213" s="15"/>
      <c r="M213" s="896"/>
      <c r="N213" s="896"/>
      <c r="O213" s="896"/>
      <c r="P213" s="896"/>
      <c r="Q213" s="896"/>
      <c r="R213" s="896"/>
      <c r="S213" s="896"/>
      <c r="T213" s="896"/>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row>
    <row r="214" ht="15.75" customHeight="1">
      <c r="A214" s="15"/>
      <c r="B214" s="15"/>
      <c r="C214" s="15"/>
      <c r="D214" s="15"/>
      <c r="E214" s="15"/>
      <c r="F214" s="15"/>
      <c r="G214" s="15"/>
      <c r="H214" s="15"/>
      <c r="I214" s="15"/>
      <c r="J214" s="15"/>
      <c r="K214" s="15"/>
      <c r="L214" s="15"/>
      <c r="M214" s="896"/>
      <c r="N214" s="896"/>
      <c r="O214" s="896"/>
      <c r="P214" s="896"/>
      <c r="Q214" s="896"/>
      <c r="R214" s="896"/>
      <c r="S214" s="896"/>
      <c r="T214" s="896"/>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row>
    <row r="215" ht="15.75" customHeight="1">
      <c r="A215" s="15"/>
      <c r="B215" s="15"/>
      <c r="C215" s="15"/>
      <c r="D215" s="15"/>
      <c r="E215" s="15"/>
      <c r="F215" s="15"/>
      <c r="G215" s="15"/>
      <c r="H215" s="15"/>
      <c r="I215" s="15"/>
      <c r="J215" s="15"/>
      <c r="K215" s="15"/>
      <c r="L215" s="15"/>
      <c r="M215" s="896"/>
      <c r="N215" s="896"/>
      <c r="O215" s="896"/>
      <c r="P215" s="896"/>
      <c r="Q215" s="896"/>
      <c r="R215" s="896"/>
      <c r="S215" s="896"/>
      <c r="T215" s="896"/>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row>
    <row r="216" ht="15.75" customHeight="1">
      <c r="A216" s="15"/>
      <c r="B216" s="15"/>
      <c r="C216" s="15"/>
      <c r="D216" s="15"/>
      <c r="E216" s="15"/>
      <c r="F216" s="15"/>
      <c r="G216" s="15"/>
      <c r="H216" s="15"/>
      <c r="I216" s="15"/>
      <c r="J216" s="15"/>
      <c r="K216" s="15"/>
      <c r="L216" s="15"/>
      <c r="M216" s="896"/>
      <c r="N216" s="896"/>
      <c r="O216" s="896"/>
      <c r="P216" s="896"/>
      <c r="Q216" s="896"/>
      <c r="R216" s="896"/>
      <c r="S216" s="896"/>
      <c r="T216" s="896"/>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row>
    <row r="217" ht="15.75" customHeight="1">
      <c r="A217" s="15"/>
      <c r="B217" s="15"/>
      <c r="C217" s="15"/>
      <c r="D217" s="15"/>
      <c r="E217" s="15"/>
      <c r="F217" s="15"/>
      <c r="G217" s="15"/>
      <c r="H217" s="15"/>
      <c r="I217" s="15"/>
      <c r="J217" s="15"/>
      <c r="K217" s="15"/>
      <c r="L217" s="15"/>
      <c r="M217" s="896"/>
      <c r="N217" s="896"/>
      <c r="O217" s="896"/>
      <c r="P217" s="896"/>
      <c r="Q217" s="896"/>
      <c r="R217" s="896"/>
      <c r="S217" s="896"/>
      <c r="T217" s="896"/>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row>
    <row r="218" ht="15.75" customHeight="1">
      <c r="A218" s="15"/>
      <c r="B218" s="15"/>
      <c r="C218" s="15"/>
      <c r="D218" s="15"/>
      <c r="E218" s="15"/>
      <c r="F218" s="15"/>
      <c r="G218" s="15"/>
      <c r="H218" s="15"/>
      <c r="I218" s="15"/>
      <c r="J218" s="15"/>
      <c r="K218" s="15"/>
      <c r="L218" s="15"/>
      <c r="M218" s="896"/>
      <c r="N218" s="896"/>
      <c r="O218" s="896"/>
      <c r="P218" s="896"/>
      <c r="Q218" s="896"/>
      <c r="R218" s="896"/>
      <c r="S218" s="896"/>
      <c r="T218" s="896"/>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row>
    <row r="219" ht="15.75" customHeight="1">
      <c r="A219" s="15"/>
      <c r="B219" s="15"/>
      <c r="C219" s="15"/>
      <c r="D219" s="15"/>
      <c r="E219" s="15"/>
      <c r="F219" s="15"/>
      <c r="G219" s="15"/>
      <c r="H219" s="15"/>
      <c r="I219" s="15"/>
      <c r="J219" s="15"/>
      <c r="K219" s="15"/>
      <c r="L219" s="15"/>
      <c r="M219" s="896"/>
      <c r="N219" s="896"/>
      <c r="O219" s="896"/>
      <c r="P219" s="896"/>
      <c r="Q219" s="896"/>
      <c r="R219" s="896"/>
      <c r="S219" s="896"/>
      <c r="T219" s="896"/>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row>
    <row r="220" ht="15.75" customHeight="1">
      <c r="A220" s="15"/>
      <c r="B220" s="15"/>
      <c r="C220" s="15"/>
      <c r="D220" s="15"/>
      <c r="E220" s="15"/>
      <c r="F220" s="15"/>
      <c r="G220" s="15"/>
      <c r="H220" s="15"/>
      <c r="I220" s="15"/>
      <c r="J220" s="15"/>
      <c r="K220" s="15"/>
      <c r="L220" s="15"/>
      <c r="M220" s="896"/>
      <c r="N220" s="896"/>
      <c r="O220" s="896"/>
      <c r="P220" s="896"/>
      <c r="Q220" s="896"/>
      <c r="R220" s="896"/>
      <c r="S220" s="896"/>
      <c r="T220" s="896"/>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row>
    <row r="221" ht="15.75" customHeight="1">
      <c r="A221" s="15"/>
      <c r="B221" s="15"/>
      <c r="C221" s="15"/>
      <c r="D221" s="15"/>
      <c r="E221" s="15"/>
      <c r="F221" s="15"/>
      <c r="G221" s="15"/>
      <c r="H221" s="15"/>
      <c r="I221" s="15"/>
      <c r="J221" s="15"/>
      <c r="K221" s="15"/>
      <c r="L221" s="15"/>
      <c r="M221" s="896"/>
      <c r="N221" s="896"/>
      <c r="O221" s="896"/>
      <c r="P221" s="896"/>
      <c r="Q221" s="896"/>
      <c r="R221" s="896"/>
      <c r="S221" s="896"/>
      <c r="T221" s="896"/>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row>
    <row r="222" ht="15.75" customHeight="1">
      <c r="A222" s="15"/>
      <c r="B222" s="15"/>
      <c r="C222" s="15"/>
      <c r="D222" s="15"/>
      <c r="E222" s="15"/>
      <c r="F222" s="15"/>
      <c r="G222" s="15"/>
      <c r="H222" s="15"/>
      <c r="I222" s="15"/>
      <c r="J222" s="15"/>
      <c r="K222" s="15"/>
      <c r="L222" s="15"/>
      <c r="M222" s="896"/>
      <c r="N222" s="896"/>
      <c r="O222" s="896"/>
      <c r="P222" s="896"/>
      <c r="Q222" s="896"/>
      <c r="R222" s="896"/>
      <c r="S222" s="896"/>
      <c r="T222" s="896"/>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row>
    <row r="223" ht="15.75" customHeight="1">
      <c r="A223" s="15"/>
      <c r="B223" s="15"/>
      <c r="C223" s="15"/>
      <c r="D223" s="15"/>
      <c r="E223" s="15"/>
      <c r="F223" s="15"/>
      <c r="G223" s="15"/>
      <c r="H223" s="15"/>
      <c r="I223" s="15"/>
      <c r="J223" s="15"/>
      <c r="K223" s="15"/>
      <c r="L223" s="15"/>
      <c r="M223" s="896"/>
      <c r="N223" s="896"/>
      <c r="O223" s="896"/>
      <c r="P223" s="896"/>
      <c r="Q223" s="896"/>
      <c r="R223" s="896"/>
      <c r="S223" s="896"/>
      <c r="T223" s="896"/>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row>
    <row r="224" ht="15.75" customHeight="1">
      <c r="A224" s="15"/>
      <c r="B224" s="15"/>
      <c r="C224" s="15"/>
      <c r="D224" s="15"/>
      <c r="E224" s="15"/>
      <c r="F224" s="15"/>
      <c r="G224" s="15"/>
      <c r="H224" s="15"/>
      <c r="I224" s="15"/>
      <c r="J224" s="15"/>
      <c r="K224" s="15"/>
      <c r="L224" s="15"/>
      <c r="M224" s="896"/>
      <c r="N224" s="896"/>
      <c r="O224" s="896"/>
      <c r="P224" s="896"/>
      <c r="Q224" s="896"/>
      <c r="R224" s="896"/>
      <c r="S224" s="896"/>
      <c r="T224" s="896"/>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row>
    <row r="225" ht="15.75" customHeight="1">
      <c r="A225" s="15"/>
      <c r="B225" s="15"/>
      <c r="C225" s="15"/>
      <c r="D225" s="15"/>
      <c r="E225" s="15"/>
      <c r="F225" s="15"/>
      <c r="G225" s="15"/>
      <c r="H225" s="15"/>
      <c r="I225" s="15"/>
      <c r="J225" s="15"/>
      <c r="K225" s="15"/>
      <c r="L225" s="15"/>
      <c r="M225" s="896"/>
      <c r="N225" s="896"/>
      <c r="O225" s="896"/>
      <c r="P225" s="896"/>
      <c r="Q225" s="896"/>
      <c r="R225" s="896"/>
      <c r="S225" s="896"/>
      <c r="T225" s="896"/>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row>
    <row r="226" ht="15.75" customHeight="1">
      <c r="A226" s="15"/>
      <c r="B226" s="15"/>
      <c r="C226" s="15"/>
      <c r="D226" s="15"/>
      <c r="E226" s="15"/>
      <c r="F226" s="15"/>
      <c r="G226" s="15"/>
      <c r="H226" s="15"/>
      <c r="I226" s="15"/>
      <c r="J226" s="15"/>
      <c r="K226" s="15"/>
      <c r="L226" s="15"/>
      <c r="M226" s="896"/>
      <c r="N226" s="896"/>
      <c r="O226" s="896"/>
      <c r="P226" s="896"/>
      <c r="Q226" s="896"/>
      <c r="R226" s="896"/>
      <c r="S226" s="896"/>
      <c r="T226" s="896"/>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row>
    <row r="227" ht="15.75" customHeight="1">
      <c r="A227" s="15"/>
      <c r="B227" s="15"/>
      <c r="C227" s="15"/>
      <c r="D227" s="15"/>
      <c r="E227" s="15"/>
      <c r="F227" s="15"/>
      <c r="G227" s="15"/>
      <c r="H227" s="15"/>
      <c r="I227" s="15"/>
      <c r="J227" s="15"/>
      <c r="K227" s="15"/>
      <c r="L227" s="15"/>
      <c r="M227" s="896"/>
      <c r="N227" s="896"/>
      <c r="O227" s="896"/>
      <c r="P227" s="896"/>
      <c r="Q227" s="896"/>
      <c r="R227" s="896"/>
      <c r="S227" s="896"/>
      <c r="T227" s="896"/>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row>
    <row r="228" ht="15.75" customHeight="1">
      <c r="A228" s="15"/>
      <c r="B228" s="15"/>
      <c r="C228" s="15"/>
      <c r="D228" s="15"/>
      <c r="E228" s="15"/>
      <c r="F228" s="15"/>
      <c r="G228" s="15"/>
      <c r="H228" s="15"/>
      <c r="I228" s="15"/>
      <c r="J228" s="15"/>
      <c r="K228" s="15"/>
      <c r="L228" s="15"/>
      <c r="M228" s="896"/>
      <c r="N228" s="896"/>
      <c r="O228" s="896"/>
      <c r="P228" s="896"/>
      <c r="Q228" s="896"/>
      <c r="R228" s="896"/>
      <c r="S228" s="896"/>
      <c r="T228" s="896"/>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row>
    <row r="229" ht="15.75" customHeight="1">
      <c r="A229" s="15"/>
      <c r="B229" s="15"/>
      <c r="C229" s="15"/>
      <c r="D229" s="15"/>
      <c r="E229" s="15"/>
      <c r="F229" s="15"/>
      <c r="G229" s="15"/>
      <c r="H229" s="15"/>
      <c r="I229" s="15"/>
      <c r="J229" s="15"/>
      <c r="K229" s="15"/>
      <c r="L229" s="15"/>
      <c r="M229" s="896"/>
      <c r="N229" s="896"/>
      <c r="O229" s="896"/>
      <c r="P229" s="896"/>
      <c r="Q229" s="896"/>
      <c r="R229" s="896"/>
      <c r="S229" s="896"/>
      <c r="T229" s="896"/>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row>
    <row r="230" ht="15.75" customHeight="1">
      <c r="A230" s="15"/>
      <c r="B230" s="15"/>
      <c r="C230" s="15"/>
      <c r="D230" s="15"/>
      <c r="E230" s="15"/>
      <c r="F230" s="15"/>
      <c r="G230" s="15"/>
      <c r="H230" s="15"/>
      <c r="I230" s="15"/>
      <c r="J230" s="15"/>
      <c r="K230" s="15"/>
      <c r="L230" s="15"/>
      <c r="M230" s="896"/>
      <c r="N230" s="896"/>
      <c r="O230" s="896"/>
      <c r="P230" s="896"/>
      <c r="Q230" s="896"/>
      <c r="R230" s="896"/>
      <c r="S230" s="896"/>
      <c r="T230" s="896"/>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row>
    <row r="231" ht="15.75" customHeight="1">
      <c r="A231" s="15"/>
      <c r="B231" s="15"/>
      <c r="C231" s="15"/>
      <c r="D231" s="15"/>
      <c r="E231" s="15"/>
      <c r="F231" s="15"/>
      <c r="G231" s="15"/>
      <c r="H231" s="15"/>
      <c r="I231" s="15"/>
      <c r="J231" s="15"/>
      <c r="K231" s="15"/>
      <c r="L231" s="15"/>
      <c r="M231" s="896"/>
      <c r="N231" s="896"/>
      <c r="O231" s="896"/>
      <c r="P231" s="896"/>
      <c r="Q231" s="896"/>
      <c r="R231" s="896"/>
      <c r="S231" s="896"/>
      <c r="T231" s="896"/>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row>
    <row r="232" ht="15.75" customHeight="1">
      <c r="A232" s="15"/>
      <c r="B232" s="15"/>
      <c r="C232" s="15"/>
      <c r="D232" s="15"/>
      <c r="E232" s="15"/>
      <c r="F232" s="15"/>
      <c r="G232" s="15"/>
      <c r="H232" s="15"/>
      <c r="I232" s="15"/>
      <c r="J232" s="15"/>
      <c r="K232" s="15"/>
      <c r="L232" s="15"/>
      <c r="M232" s="896"/>
      <c r="N232" s="896"/>
      <c r="O232" s="896"/>
      <c r="P232" s="896"/>
      <c r="Q232" s="896"/>
      <c r="R232" s="896"/>
      <c r="S232" s="896"/>
      <c r="T232" s="896"/>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row>
    <row r="233" ht="15.75" customHeight="1">
      <c r="A233" s="15"/>
      <c r="B233" s="15"/>
      <c r="C233" s="15"/>
      <c r="D233" s="15"/>
      <c r="E233" s="15"/>
      <c r="F233" s="15"/>
      <c r="G233" s="15"/>
      <c r="H233" s="15"/>
      <c r="I233" s="15"/>
      <c r="J233" s="15"/>
      <c r="K233" s="15"/>
      <c r="L233" s="15"/>
      <c r="M233" s="896"/>
      <c r="N233" s="896"/>
      <c r="O233" s="896"/>
      <c r="P233" s="896"/>
      <c r="Q233" s="896"/>
      <c r="R233" s="896"/>
      <c r="S233" s="896"/>
      <c r="T233" s="896"/>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row>
    <row r="234" ht="15.75" customHeight="1">
      <c r="A234" s="15"/>
      <c r="B234" s="15"/>
      <c r="C234" s="15"/>
      <c r="D234" s="15"/>
      <c r="E234" s="15"/>
      <c r="F234" s="15"/>
      <c r="G234" s="15"/>
      <c r="H234" s="15"/>
      <c r="I234" s="15"/>
      <c r="J234" s="15"/>
      <c r="K234" s="15"/>
      <c r="L234" s="15"/>
      <c r="M234" s="896"/>
      <c r="N234" s="896"/>
      <c r="O234" s="896"/>
      <c r="P234" s="896"/>
      <c r="Q234" s="896"/>
      <c r="R234" s="896"/>
      <c r="S234" s="896"/>
      <c r="T234" s="896"/>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row>
    <row r="235" ht="15.75" customHeight="1">
      <c r="A235" s="15"/>
      <c r="B235" s="15"/>
      <c r="C235" s="15"/>
      <c r="D235" s="15"/>
      <c r="E235" s="15"/>
      <c r="F235" s="15"/>
      <c r="G235" s="15"/>
      <c r="H235" s="15"/>
      <c r="I235" s="15"/>
      <c r="J235" s="15"/>
      <c r="K235" s="15"/>
      <c r="L235" s="15"/>
      <c r="M235" s="896"/>
      <c r="N235" s="896"/>
      <c r="O235" s="896"/>
      <c r="P235" s="896"/>
      <c r="Q235" s="896"/>
      <c r="R235" s="896"/>
      <c r="S235" s="896"/>
      <c r="T235" s="896"/>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row>
    <row r="236" ht="15.75" customHeight="1">
      <c r="A236" s="15"/>
      <c r="B236" s="15"/>
      <c r="C236" s="15"/>
      <c r="D236" s="15"/>
      <c r="E236" s="15"/>
      <c r="F236" s="15"/>
      <c r="G236" s="15"/>
      <c r="H236" s="15"/>
      <c r="I236" s="15"/>
      <c r="J236" s="15"/>
      <c r="K236" s="15"/>
      <c r="L236" s="15"/>
      <c r="M236" s="896"/>
      <c r="N236" s="896"/>
      <c r="O236" s="896"/>
      <c r="P236" s="896"/>
      <c r="Q236" s="896"/>
      <c r="R236" s="896"/>
      <c r="S236" s="896"/>
      <c r="T236" s="896"/>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row>
    <row r="237" ht="15.75" customHeight="1">
      <c r="A237" s="15"/>
      <c r="B237" s="15"/>
      <c r="C237" s="15"/>
      <c r="D237" s="15"/>
      <c r="E237" s="15"/>
      <c r="F237" s="15"/>
      <c r="G237" s="15"/>
      <c r="H237" s="15"/>
      <c r="I237" s="15"/>
      <c r="J237" s="15"/>
      <c r="K237" s="15"/>
      <c r="L237" s="15"/>
      <c r="M237" s="896"/>
      <c r="N237" s="896"/>
      <c r="O237" s="896"/>
      <c r="P237" s="896"/>
      <c r="Q237" s="896"/>
      <c r="R237" s="896"/>
      <c r="S237" s="896"/>
      <c r="T237" s="896"/>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row>
    <row r="238" ht="15.75" customHeight="1">
      <c r="A238" s="15"/>
      <c r="B238" s="15"/>
      <c r="C238" s="15"/>
      <c r="D238" s="15"/>
      <c r="E238" s="15"/>
      <c r="F238" s="15"/>
      <c r="G238" s="15"/>
      <c r="H238" s="15"/>
      <c r="I238" s="15"/>
      <c r="J238" s="15"/>
      <c r="K238" s="15"/>
      <c r="L238" s="15"/>
      <c r="M238" s="896"/>
      <c r="N238" s="896"/>
      <c r="O238" s="896"/>
      <c r="P238" s="896"/>
      <c r="Q238" s="896"/>
      <c r="R238" s="896"/>
      <c r="S238" s="896"/>
      <c r="T238" s="896"/>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row>
    <row r="239" ht="15.75" customHeight="1">
      <c r="A239" s="15"/>
      <c r="B239" s="15"/>
      <c r="C239" s="15"/>
      <c r="D239" s="15"/>
      <c r="E239" s="15"/>
      <c r="F239" s="15"/>
      <c r="G239" s="15"/>
      <c r="H239" s="15"/>
      <c r="I239" s="15"/>
      <c r="J239" s="15"/>
      <c r="K239" s="15"/>
      <c r="L239" s="15"/>
      <c r="M239" s="896"/>
      <c r="N239" s="896"/>
      <c r="O239" s="896"/>
      <c r="P239" s="896"/>
      <c r="Q239" s="896"/>
      <c r="R239" s="896"/>
      <c r="S239" s="896"/>
      <c r="T239" s="896"/>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row>
    <row r="240" ht="15.75" customHeight="1">
      <c r="A240" s="15"/>
      <c r="B240" s="15"/>
      <c r="C240" s="15"/>
      <c r="D240" s="15"/>
      <c r="E240" s="15"/>
      <c r="F240" s="15"/>
      <c r="G240" s="15"/>
      <c r="H240" s="15"/>
      <c r="I240" s="15"/>
      <c r="J240" s="15"/>
      <c r="K240" s="15"/>
      <c r="L240" s="15"/>
      <c r="M240" s="896"/>
      <c r="N240" s="896"/>
      <c r="O240" s="896"/>
      <c r="P240" s="896"/>
      <c r="Q240" s="896"/>
      <c r="R240" s="896"/>
      <c r="S240" s="896"/>
      <c r="T240" s="896"/>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row>
    <row r="241" ht="15.75" customHeight="1">
      <c r="A241" s="15"/>
      <c r="B241" s="15"/>
      <c r="C241" s="15"/>
      <c r="D241" s="15"/>
      <c r="E241" s="15"/>
      <c r="F241" s="15"/>
      <c r="G241" s="15"/>
      <c r="H241" s="15"/>
      <c r="I241" s="15"/>
      <c r="J241" s="15"/>
      <c r="K241" s="15"/>
      <c r="L241" s="15"/>
      <c r="M241" s="896"/>
      <c r="N241" s="896"/>
      <c r="O241" s="896"/>
      <c r="P241" s="896"/>
      <c r="Q241" s="896"/>
      <c r="R241" s="896"/>
      <c r="S241" s="896"/>
      <c r="T241" s="896"/>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row>
    <row r="242" ht="15.75" customHeight="1">
      <c r="A242" s="15"/>
      <c r="B242" s="15"/>
      <c r="C242" s="15"/>
      <c r="D242" s="15"/>
      <c r="E242" s="15"/>
      <c r="F242" s="15"/>
      <c r="G242" s="15"/>
      <c r="H242" s="15"/>
      <c r="I242" s="15"/>
      <c r="J242" s="15"/>
      <c r="K242" s="15"/>
      <c r="L242" s="15"/>
      <c r="M242" s="896"/>
      <c r="N242" s="896"/>
      <c r="O242" s="896"/>
      <c r="P242" s="896"/>
      <c r="Q242" s="896"/>
      <c r="R242" s="896"/>
      <c r="S242" s="896"/>
      <c r="T242" s="896"/>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row>
    <row r="243" ht="15.75" customHeight="1">
      <c r="A243" s="15"/>
      <c r="B243" s="15"/>
      <c r="C243" s="15"/>
      <c r="D243" s="15"/>
      <c r="E243" s="15"/>
      <c r="F243" s="15"/>
      <c r="G243" s="15"/>
      <c r="H243" s="15"/>
      <c r="I243" s="15"/>
      <c r="J243" s="15"/>
      <c r="K243" s="15"/>
      <c r="L243" s="15"/>
      <c r="M243" s="896"/>
      <c r="N243" s="896"/>
      <c r="O243" s="896"/>
      <c r="P243" s="896"/>
      <c r="Q243" s="896"/>
      <c r="R243" s="896"/>
      <c r="S243" s="896"/>
      <c r="T243" s="896"/>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row>
    <row r="244" ht="15.75" customHeight="1">
      <c r="A244" s="15"/>
      <c r="B244" s="15"/>
      <c r="C244" s="15"/>
      <c r="D244" s="15"/>
      <c r="E244" s="15"/>
      <c r="F244" s="15"/>
      <c r="G244" s="15"/>
      <c r="H244" s="15"/>
      <c r="I244" s="15"/>
      <c r="J244" s="15"/>
      <c r="K244" s="15"/>
      <c r="L244" s="15"/>
      <c r="M244" s="896"/>
      <c r="N244" s="896"/>
      <c r="O244" s="896"/>
      <c r="P244" s="896"/>
      <c r="Q244" s="896"/>
      <c r="R244" s="896"/>
      <c r="S244" s="896"/>
      <c r="T244" s="896"/>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row>
    <row r="245" ht="15.75" customHeight="1">
      <c r="A245" s="15"/>
      <c r="B245" s="15"/>
      <c r="C245" s="15"/>
      <c r="D245" s="15"/>
      <c r="E245" s="15"/>
      <c r="F245" s="15"/>
      <c r="G245" s="15"/>
      <c r="H245" s="15"/>
      <c r="I245" s="15"/>
      <c r="J245" s="15"/>
      <c r="K245" s="15"/>
      <c r="L245" s="15"/>
      <c r="M245" s="896"/>
      <c r="N245" s="896"/>
      <c r="O245" s="896"/>
      <c r="P245" s="896"/>
      <c r="Q245" s="896"/>
      <c r="R245" s="896"/>
      <c r="S245" s="896"/>
      <c r="T245" s="896"/>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row>
    <row r="246" ht="15.75" customHeight="1">
      <c r="A246" s="15"/>
      <c r="B246" s="15"/>
      <c r="C246" s="15"/>
      <c r="D246" s="15"/>
      <c r="E246" s="15"/>
      <c r="F246" s="15"/>
      <c r="G246" s="15"/>
      <c r="H246" s="15"/>
      <c r="I246" s="15"/>
      <c r="J246" s="15"/>
      <c r="K246" s="15"/>
      <c r="L246" s="15"/>
      <c r="M246" s="896"/>
      <c r="N246" s="896"/>
      <c r="O246" s="896"/>
      <c r="P246" s="896"/>
      <c r="Q246" s="896"/>
      <c r="R246" s="896"/>
      <c r="S246" s="896"/>
      <c r="T246" s="896"/>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row>
    <row r="247" ht="15.75" customHeight="1">
      <c r="A247" s="15"/>
      <c r="B247" s="15"/>
      <c r="C247" s="15"/>
      <c r="D247" s="15"/>
      <c r="E247" s="15"/>
      <c r="F247" s="15"/>
      <c r="G247" s="15"/>
      <c r="H247" s="15"/>
      <c r="I247" s="15"/>
      <c r="J247" s="15"/>
      <c r="K247" s="15"/>
      <c r="L247" s="15"/>
      <c r="M247" s="896"/>
      <c r="N247" s="896"/>
      <c r="O247" s="896"/>
      <c r="P247" s="896"/>
      <c r="Q247" s="896"/>
      <c r="R247" s="896"/>
      <c r="S247" s="896"/>
      <c r="T247" s="896"/>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row>
    <row r="248" ht="15.75" customHeight="1">
      <c r="A248" s="15"/>
      <c r="B248" s="15"/>
      <c r="C248" s="15"/>
      <c r="D248" s="15"/>
      <c r="E248" s="15"/>
      <c r="F248" s="15"/>
      <c r="G248" s="15"/>
      <c r="H248" s="15"/>
      <c r="I248" s="15"/>
      <c r="J248" s="15"/>
      <c r="K248" s="15"/>
      <c r="L248" s="15"/>
      <c r="M248" s="896"/>
      <c r="N248" s="896"/>
      <c r="O248" s="896"/>
      <c r="P248" s="896"/>
      <c r="Q248" s="896"/>
      <c r="R248" s="896"/>
      <c r="S248" s="896"/>
      <c r="T248" s="896"/>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row>
    <row r="249" ht="15.75" customHeight="1">
      <c r="A249" s="15"/>
      <c r="B249" s="15"/>
      <c r="C249" s="15"/>
      <c r="D249" s="15"/>
      <c r="E249" s="15"/>
      <c r="F249" s="15"/>
      <c r="G249" s="15"/>
      <c r="H249" s="15"/>
      <c r="I249" s="15"/>
      <c r="J249" s="15"/>
      <c r="K249" s="15"/>
      <c r="L249" s="15"/>
      <c r="M249" s="896"/>
      <c r="N249" s="896"/>
      <c r="O249" s="896"/>
      <c r="P249" s="896"/>
      <c r="Q249" s="896"/>
      <c r="R249" s="896"/>
      <c r="S249" s="896"/>
      <c r="T249" s="896"/>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row>
    <row r="250" ht="15.75" customHeight="1">
      <c r="A250" s="15"/>
      <c r="B250" s="15"/>
      <c r="C250" s="15"/>
      <c r="D250" s="15"/>
      <c r="E250" s="15"/>
      <c r="F250" s="15"/>
      <c r="G250" s="15"/>
      <c r="H250" s="15"/>
      <c r="I250" s="15"/>
      <c r="J250" s="15"/>
      <c r="K250" s="15"/>
      <c r="L250" s="15"/>
      <c r="M250" s="896"/>
      <c r="N250" s="896"/>
      <c r="O250" s="896"/>
      <c r="P250" s="896"/>
      <c r="Q250" s="896"/>
      <c r="R250" s="896"/>
      <c r="S250" s="896"/>
      <c r="T250" s="896"/>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row>
    <row r="251" ht="15.75" customHeight="1">
      <c r="A251" s="15"/>
      <c r="B251" s="15"/>
      <c r="C251" s="15"/>
      <c r="D251" s="15"/>
      <c r="E251" s="15"/>
      <c r="F251" s="15"/>
      <c r="G251" s="15"/>
      <c r="H251" s="15"/>
      <c r="I251" s="15"/>
      <c r="J251" s="15"/>
      <c r="K251" s="15"/>
      <c r="L251" s="15"/>
      <c r="M251" s="896"/>
      <c r="N251" s="896"/>
      <c r="O251" s="896"/>
      <c r="P251" s="896"/>
      <c r="Q251" s="896"/>
      <c r="R251" s="896"/>
      <c r="S251" s="896"/>
      <c r="T251" s="896"/>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row>
    <row r="252" ht="15.75" customHeight="1">
      <c r="A252" s="15"/>
      <c r="B252" s="15"/>
      <c r="C252" s="15"/>
      <c r="D252" s="15"/>
      <c r="E252" s="15"/>
      <c r="F252" s="15"/>
      <c r="G252" s="15"/>
      <c r="H252" s="15"/>
      <c r="I252" s="15"/>
      <c r="J252" s="15"/>
      <c r="K252" s="15"/>
      <c r="L252" s="15"/>
      <c r="M252" s="896"/>
      <c r="N252" s="896"/>
      <c r="O252" s="896"/>
      <c r="P252" s="896"/>
      <c r="Q252" s="896"/>
      <c r="R252" s="896"/>
      <c r="S252" s="896"/>
      <c r="T252" s="896"/>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row>
    <row r="253" ht="15.75" customHeight="1">
      <c r="A253" s="15"/>
      <c r="B253" s="15"/>
      <c r="C253" s="15"/>
      <c r="D253" s="15"/>
      <c r="E253" s="15"/>
      <c r="F253" s="15"/>
      <c r="G253" s="15"/>
      <c r="H253" s="15"/>
      <c r="I253" s="15"/>
      <c r="J253" s="15"/>
      <c r="K253" s="15"/>
      <c r="L253" s="15"/>
      <c r="M253" s="896"/>
      <c r="N253" s="896"/>
      <c r="O253" s="896"/>
      <c r="P253" s="896"/>
      <c r="Q253" s="896"/>
      <c r="R253" s="896"/>
      <c r="S253" s="896"/>
      <c r="T253" s="896"/>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row>
    <row r="254" ht="15.75" customHeight="1">
      <c r="A254" s="15"/>
      <c r="B254" s="15"/>
      <c r="C254" s="15"/>
      <c r="D254" s="15"/>
      <c r="E254" s="15"/>
      <c r="F254" s="15"/>
      <c r="G254" s="15"/>
      <c r="H254" s="15"/>
      <c r="I254" s="15"/>
      <c r="J254" s="15"/>
      <c r="K254" s="15"/>
      <c r="L254" s="15"/>
      <c r="M254" s="896"/>
      <c r="N254" s="896"/>
      <c r="O254" s="896"/>
      <c r="P254" s="896"/>
      <c r="Q254" s="896"/>
      <c r="R254" s="896"/>
      <c r="S254" s="896"/>
      <c r="T254" s="896"/>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row>
    <row r="255" ht="15.75" customHeight="1">
      <c r="A255" s="15"/>
      <c r="B255" s="15"/>
      <c r="C255" s="15"/>
      <c r="D255" s="15"/>
      <c r="E255" s="15"/>
      <c r="F255" s="15"/>
      <c r="G255" s="15"/>
      <c r="H255" s="15"/>
      <c r="I255" s="15"/>
      <c r="J255" s="15"/>
      <c r="K255" s="15"/>
      <c r="L255" s="15"/>
      <c r="M255" s="896"/>
      <c r="N255" s="896"/>
      <c r="O255" s="896"/>
      <c r="P255" s="896"/>
      <c r="Q255" s="896"/>
      <c r="R255" s="896"/>
      <c r="S255" s="896"/>
      <c r="T255" s="896"/>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row>
    <row r="256" ht="15.75" customHeight="1">
      <c r="A256" s="15"/>
      <c r="B256" s="15"/>
      <c r="C256" s="15"/>
      <c r="D256" s="15"/>
      <c r="E256" s="15"/>
      <c r="F256" s="15"/>
      <c r="G256" s="15"/>
      <c r="H256" s="15"/>
      <c r="I256" s="15"/>
      <c r="J256" s="15"/>
      <c r="K256" s="15"/>
      <c r="L256" s="15"/>
      <c r="M256" s="896"/>
      <c r="N256" s="896"/>
      <c r="O256" s="896"/>
      <c r="P256" s="896"/>
      <c r="Q256" s="896"/>
      <c r="R256" s="896"/>
      <c r="S256" s="896"/>
      <c r="T256" s="896"/>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row>
    <row r="257" ht="15.75" customHeight="1">
      <c r="A257" s="15"/>
      <c r="B257" s="15"/>
      <c r="C257" s="15"/>
      <c r="D257" s="15"/>
      <c r="E257" s="15"/>
      <c r="F257" s="15"/>
      <c r="G257" s="15"/>
      <c r="H257" s="15"/>
      <c r="I257" s="15"/>
      <c r="J257" s="15"/>
      <c r="K257" s="15"/>
      <c r="L257" s="15"/>
      <c r="M257" s="896"/>
      <c r="N257" s="896"/>
      <c r="O257" s="896"/>
      <c r="P257" s="896"/>
      <c r="Q257" s="896"/>
      <c r="R257" s="896"/>
      <c r="S257" s="896"/>
      <c r="T257" s="896"/>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row>
    <row r="258" ht="15.75" customHeight="1">
      <c r="A258" s="15"/>
      <c r="B258" s="15"/>
      <c r="C258" s="15"/>
      <c r="D258" s="15"/>
      <c r="E258" s="15"/>
      <c r="F258" s="15"/>
      <c r="G258" s="15"/>
      <c r="H258" s="15"/>
      <c r="I258" s="15"/>
      <c r="J258" s="15"/>
      <c r="K258" s="15"/>
      <c r="L258" s="15"/>
      <c r="M258" s="896"/>
      <c r="N258" s="896"/>
      <c r="O258" s="896"/>
      <c r="P258" s="896"/>
      <c r="Q258" s="896"/>
      <c r="R258" s="896"/>
      <c r="S258" s="896"/>
      <c r="T258" s="896"/>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row>
    <row r="259" ht="15.75" customHeight="1">
      <c r="A259" s="15"/>
      <c r="B259" s="15"/>
      <c r="C259" s="15"/>
      <c r="D259" s="15"/>
      <c r="E259" s="15"/>
      <c r="F259" s="15"/>
      <c r="G259" s="15"/>
      <c r="H259" s="15"/>
      <c r="I259" s="15"/>
      <c r="J259" s="15"/>
      <c r="K259" s="15"/>
      <c r="L259" s="15"/>
      <c r="M259" s="896"/>
      <c r="N259" s="896"/>
      <c r="O259" s="896"/>
      <c r="P259" s="896"/>
      <c r="Q259" s="896"/>
      <c r="R259" s="896"/>
      <c r="S259" s="896"/>
      <c r="T259" s="896"/>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row>
    <row r="260" ht="15.75" customHeight="1">
      <c r="A260" s="15"/>
      <c r="B260" s="15"/>
      <c r="C260" s="15"/>
      <c r="D260" s="15"/>
      <c r="E260" s="15"/>
      <c r="F260" s="15"/>
      <c r="G260" s="15"/>
      <c r="H260" s="15"/>
      <c r="I260" s="15"/>
      <c r="J260" s="15"/>
      <c r="K260" s="15"/>
      <c r="L260" s="15"/>
      <c r="M260" s="896"/>
      <c r="N260" s="896"/>
      <c r="O260" s="896"/>
      <c r="P260" s="896"/>
      <c r="Q260" s="896"/>
      <c r="R260" s="896"/>
      <c r="S260" s="896"/>
      <c r="T260" s="896"/>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row>
    <row r="261" ht="15.75" customHeight="1">
      <c r="A261" s="15"/>
      <c r="B261" s="15"/>
      <c r="C261" s="15"/>
      <c r="D261" s="15"/>
      <c r="E261" s="15"/>
      <c r="F261" s="15"/>
      <c r="G261" s="15"/>
      <c r="H261" s="15"/>
      <c r="I261" s="15"/>
      <c r="J261" s="15"/>
      <c r="K261" s="15"/>
      <c r="L261" s="15"/>
      <c r="M261" s="896"/>
      <c r="N261" s="896"/>
      <c r="O261" s="896"/>
      <c r="P261" s="896"/>
      <c r="Q261" s="896"/>
      <c r="R261" s="896"/>
      <c r="S261" s="896"/>
      <c r="T261" s="896"/>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row>
    <row r="262" ht="15.75" customHeight="1">
      <c r="A262" s="15"/>
      <c r="B262" s="15"/>
      <c r="C262" s="15"/>
      <c r="D262" s="15"/>
      <c r="E262" s="15"/>
      <c r="F262" s="15"/>
      <c r="G262" s="15"/>
      <c r="H262" s="15"/>
      <c r="I262" s="15"/>
      <c r="J262" s="15"/>
      <c r="K262" s="15"/>
      <c r="L262" s="15"/>
      <c r="M262" s="896"/>
      <c r="N262" s="896"/>
      <c r="O262" s="896"/>
      <c r="P262" s="896"/>
      <c r="Q262" s="896"/>
      <c r="R262" s="896"/>
      <c r="S262" s="896"/>
      <c r="T262" s="896"/>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row>
    <row r="263" ht="15.75" customHeight="1">
      <c r="A263" s="15"/>
      <c r="B263" s="15"/>
      <c r="C263" s="15"/>
      <c r="D263" s="15"/>
      <c r="E263" s="15"/>
      <c r="F263" s="15"/>
      <c r="G263" s="15"/>
      <c r="H263" s="15"/>
      <c r="I263" s="15"/>
      <c r="J263" s="15"/>
      <c r="K263" s="15"/>
      <c r="L263" s="15"/>
      <c r="M263" s="896"/>
      <c r="N263" s="896"/>
      <c r="O263" s="896"/>
      <c r="P263" s="896"/>
      <c r="Q263" s="896"/>
      <c r="R263" s="896"/>
      <c r="S263" s="896"/>
      <c r="T263" s="896"/>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row>
    <row r="264" ht="15.75" customHeight="1">
      <c r="A264" s="15"/>
      <c r="B264" s="15"/>
      <c r="C264" s="15"/>
      <c r="D264" s="15"/>
      <c r="E264" s="15"/>
      <c r="F264" s="15"/>
      <c r="G264" s="15"/>
      <c r="H264" s="15"/>
      <c r="I264" s="15"/>
      <c r="J264" s="15"/>
      <c r="K264" s="15"/>
      <c r="L264" s="15"/>
      <c r="M264" s="896"/>
      <c r="N264" s="896"/>
      <c r="O264" s="896"/>
      <c r="P264" s="896"/>
      <c r="Q264" s="896"/>
      <c r="R264" s="896"/>
      <c r="S264" s="896"/>
      <c r="T264" s="896"/>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row>
    <row r="265" ht="15.75" customHeight="1">
      <c r="A265" s="15"/>
      <c r="B265" s="15"/>
      <c r="C265" s="15"/>
      <c r="D265" s="15"/>
      <c r="E265" s="15"/>
      <c r="F265" s="15"/>
      <c r="G265" s="15"/>
      <c r="H265" s="15"/>
      <c r="I265" s="15"/>
      <c r="J265" s="15"/>
      <c r="K265" s="15"/>
      <c r="L265" s="15"/>
      <c r="M265" s="896"/>
      <c r="N265" s="896"/>
      <c r="O265" s="896"/>
      <c r="P265" s="896"/>
      <c r="Q265" s="896"/>
      <c r="R265" s="896"/>
      <c r="S265" s="896"/>
      <c r="T265" s="896"/>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row>
    <row r="266" ht="15.75" customHeight="1">
      <c r="A266" s="15"/>
      <c r="B266" s="15"/>
      <c r="C266" s="15"/>
      <c r="D266" s="15"/>
      <c r="E266" s="15"/>
      <c r="F266" s="15"/>
      <c r="G266" s="15"/>
      <c r="H266" s="15"/>
      <c r="I266" s="15"/>
      <c r="J266" s="15"/>
      <c r="K266" s="15"/>
      <c r="L266" s="15"/>
      <c r="M266" s="896"/>
      <c r="N266" s="896"/>
      <c r="O266" s="896"/>
      <c r="P266" s="896"/>
      <c r="Q266" s="896"/>
      <c r="R266" s="896"/>
      <c r="S266" s="896"/>
      <c r="T266" s="896"/>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row>
    <row r="267" ht="15.75" customHeight="1">
      <c r="A267" s="15"/>
      <c r="B267" s="15"/>
      <c r="C267" s="15"/>
      <c r="D267" s="15"/>
      <c r="E267" s="15"/>
      <c r="F267" s="15"/>
      <c r="G267" s="15"/>
      <c r="H267" s="15"/>
      <c r="I267" s="15"/>
      <c r="J267" s="15"/>
      <c r="K267" s="15"/>
      <c r="L267" s="15"/>
      <c r="M267" s="896"/>
      <c r="N267" s="896"/>
      <c r="O267" s="896"/>
      <c r="P267" s="896"/>
      <c r="Q267" s="896"/>
      <c r="R267" s="896"/>
      <c r="S267" s="896"/>
      <c r="T267" s="896"/>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row>
    <row r="268" ht="15.75" customHeight="1">
      <c r="A268" s="15"/>
      <c r="B268" s="15"/>
      <c r="C268" s="15"/>
      <c r="D268" s="15"/>
      <c r="E268" s="15"/>
      <c r="F268" s="15"/>
      <c r="G268" s="15"/>
      <c r="H268" s="15"/>
      <c r="I268" s="15"/>
      <c r="J268" s="15"/>
      <c r="K268" s="15"/>
      <c r="L268" s="15"/>
      <c r="M268" s="896"/>
      <c r="N268" s="896"/>
      <c r="O268" s="896"/>
      <c r="P268" s="896"/>
      <c r="Q268" s="896"/>
      <c r="R268" s="896"/>
      <c r="S268" s="896"/>
      <c r="T268" s="896"/>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row>
    <row r="269" ht="15.75" customHeight="1">
      <c r="A269" s="15"/>
      <c r="B269" s="15"/>
      <c r="C269" s="15"/>
      <c r="D269" s="15"/>
      <c r="E269" s="15"/>
      <c r="F269" s="15"/>
      <c r="G269" s="15"/>
      <c r="H269" s="15"/>
      <c r="I269" s="15"/>
      <c r="J269" s="15"/>
      <c r="K269" s="15"/>
      <c r="L269" s="15"/>
      <c r="M269" s="896"/>
      <c r="N269" s="896"/>
      <c r="O269" s="896"/>
      <c r="P269" s="896"/>
      <c r="Q269" s="896"/>
      <c r="R269" s="896"/>
      <c r="S269" s="896"/>
      <c r="T269" s="896"/>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row>
    <row r="270" ht="15.75" customHeight="1">
      <c r="A270" s="15"/>
      <c r="B270" s="15"/>
      <c r="C270" s="15"/>
      <c r="D270" s="15"/>
      <c r="E270" s="15"/>
      <c r="F270" s="15"/>
      <c r="G270" s="15"/>
      <c r="H270" s="15"/>
      <c r="I270" s="15"/>
      <c r="J270" s="15"/>
      <c r="K270" s="15"/>
      <c r="L270" s="15"/>
      <c r="M270" s="896"/>
      <c r="N270" s="896"/>
      <c r="O270" s="896"/>
      <c r="P270" s="896"/>
      <c r="Q270" s="896"/>
      <c r="R270" s="896"/>
      <c r="S270" s="896"/>
      <c r="T270" s="896"/>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row>
    <row r="271" ht="15.75" customHeight="1">
      <c r="A271" s="15"/>
      <c r="B271" s="15"/>
      <c r="C271" s="15"/>
      <c r="D271" s="15"/>
      <c r="E271" s="15"/>
      <c r="F271" s="15"/>
      <c r="G271" s="15"/>
      <c r="H271" s="15"/>
      <c r="I271" s="15"/>
      <c r="J271" s="15"/>
      <c r="K271" s="15"/>
      <c r="L271" s="15"/>
      <c r="M271" s="896"/>
      <c r="N271" s="896"/>
      <c r="O271" s="896"/>
      <c r="P271" s="896"/>
      <c r="Q271" s="896"/>
      <c r="R271" s="896"/>
      <c r="S271" s="896"/>
      <c r="T271" s="896"/>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row>
    <row r="272" ht="15.75" customHeight="1">
      <c r="A272" s="15"/>
      <c r="B272" s="15"/>
      <c r="C272" s="15"/>
      <c r="D272" s="15"/>
      <c r="E272" s="15"/>
      <c r="F272" s="15"/>
      <c r="G272" s="15"/>
      <c r="H272" s="15"/>
      <c r="I272" s="15"/>
      <c r="J272" s="15"/>
      <c r="K272" s="15"/>
      <c r="L272" s="15"/>
      <c r="M272" s="896"/>
      <c r="N272" s="896"/>
      <c r="O272" s="896"/>
      <c r="P272" s="896"/>
      <c r="Q272" s="896"/>
      <c r="R272" s="896"/>
      <c r="S272" s="896"/>
      <c r="T272" s="896"/>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row>
    <row r="273" ht="15.75" customHeight="1">
      <c r="A273" s="15"/>
      <c r="B273" s="15"/>
      <c r="C273" s="15"/>
      <c r="D273" s="15"/>
      <c r="E273" s="15"/>
      <c r="F273" s="15"/>
      <c r="G273" s="15"/>
      <c r="H273" s="15"/>
      <c r="I273" s="15"/>
      <c r="J273" s="15"/>
      <c r="K273" s="15"/>
      <c r="L273" s="15"/>
      <c r="M273" s="896"/>
      <c r="N273" s="896"/>
      <c r="O273" s="896"/>
      <c r="P273" s="896"/>
      <c r="Q273" s="896"/>
      <c r="R273" s="896"/>
      <c r="S273" s="896"/>
      <c r="T273" s="896"/>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row>
    <row r="274" ht="15.75" customHeight="1">
      <c r="A274" s="15"/>
      <c r="B274" s="15"/>
      <c r="C274" s="15"/>
      <c r="D274" s="15"/>
      <c r="E274" s="15"/>
      <c r="F274" s="15"/>
      <c r="G274" s="15"/>
      <c r="H274" s="15"/>
      <c r="I274" s="15"/>
      <c r="J274" s="15"/>
      <c r="K274" s="15"/>
      <c r="L274" s="15"/>
      <c r="M274" s="896"/>
      <c r="N274" s="896"/>
      <c r="O274" s="896"/>
      <c r="P274" s="896"/>
      <c r="Q274" s="896"/>
      <c r="R274" s="896"/>
      <c r="S274" s="896"/>
      <c r="T274" s="896"/>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row>
    <row r="275" ht="15.75" customHeight="1">
      <c r="A275" s="15"/>
      <c r="B275" s="15"/>
      <c r="C275" s="15"/>
      <c r="D275" s="15"/>
      <c r="E275" s="15"/>
      <c r="F275" s="15"/>
      <c r="G275" s="15"/>
      <c r="H275" s="15"/>
      <c r="I275" s="15"/>
      <c r="J275" s="15"/>
      <c r="K275" s="15"/>
      <c r="L275" s="15"/>
      <c r="M275" s="896"/>
      <c r="N275" s="896"/>
      <c r="O275" s="896"/>
      <c r="P275" s="896"/>
      <c r="Q275" s="896"/>
      <c r="R275" s="896"/>
      <c r="S275" s="896"/>
      <c r="T275" s="896"/>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row>
    <row r="276" ht="15.75" customHeight="1">
      <c r="A276" s="15"/>
      <c r="B276" s="15"/>
      <c r="C276" s="15"/>
      <c r="D276" s="15"/>
      <c r="E276" s="15"/>
      <c r="F276" s="15"/>
      <c r="G276" s="15"/>
      <c r="H276" s="15"/>
      <c r="I276" s="15"/>
      <c r="J276" s="15"/>
      <c r="K276" s="15"/>
      <c r="L276" s="15"/>
      <c r="M276" s="896"/>
      <c r="N276" s="896"/>
      <c r="O276" s="896"/>
      <c r="P276" s="896"/>
      <c r="Q276" s="896"/>
      <c r="R276" s="896"/>
      <c r="S276" s="896"/>
      <c r="T276" s="896"/>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row>
    <row r="277" ht="15.75" customHeight="1">
      <c r="A277" s="15"/>
      <c r="B277" s="15"/>
      <c r="C277" s="15"/>
      <c r="D277" s="15"/>
      <c r="E277" s="15"/>
      <c r="F277" s="15"/>
      <c r="G277" s="15"/>
      <c r="H277" s="15"/>
      <c r="I277" s="15"/>
      <c r="J277" s="15"/>
      <c r="K277" s="15"/>
      <c r="L277" s="15"/>
      <c r="M277" s="896"/>
      <c r="N277" s="896"/>
      <c r="O277" s="896"/>
      <c r="P277" s="896"/>
      <c r="Q277" s="896"/>
      <c r="R277" s="896"/>
      <c r="S277" s="896"/>
      <c r="T277" s="896"/>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row>
    <row r="278" ht="15.75" customHeight="1">
      <c r="A278" s="15"/>
      <c r="B278" s="15"/>
      <c r="C278" s="15"/>
      <c r="D278" s="15"/>
      <c r="E278" s="15"/>
      <c r="F278" s="15"/>
      <c r="G278" s="15"/>
      <c r="H278" s="15"/>
      <c r="I278" s="15"/>
      <c r="J278" s="15"/>
      <c r="K278" s="15"/>
      <c r="L278" s="15"/>
      <c r="M278" s="896"/>
      <c r="N278" s="896"/>
      <c r="O278" s="896"/>
      <c r="P278" s="896"/>
      <c r="Q278" s="896"/>
      <c r="R278" s="896"/>
      <c r="S278" s="896"/>
      <c r="T278" s="896"/>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row>
    <row r="279" ht="15.75" customHeight="1">
      <c r="A279" s="15"/>
      <c r="B279" s="15"/>
      <c r="C279" s="15"/>
      <c r="D279" s="15"/>
      <c r="E279" s="15"/>
      <c r="F279" s="15"/>
      <c r="G279" s="15"/>
      <c r="H279" s="15"/>
      <c r="I279" s="15"/>
      <c r="J279" s="15"/>
      <c r="K279" s="15"/>
      <c r="L279" s="15"/>
      <c r="M279" s="896"/>
      <c r="N279" s="896"/>
      <c r="O279" s="896"/>
      <c r="P279" s="896"/>
      <c r="Q279" s="896"/>
      <c r="R279" s="896"/>
      <c r="S279" s="896"/>
      <c r="T279" s="896"/>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row>
    <row r="280" ht="15.75" customHeight="1">
      <c r="A280" s="15"/>
      <c r="B280" s="15"/>
      <c r="C280" s="15"/>
      <c r="D280" s="15"/>
      <c r="E280" s="15"/>
      <c r="F280" s="15"/>
      <c r="G280" s="15"/>
      <c r="H280" s="15"/>
      <c r="I280" s="15"/>
      <c r="J280" s="15"/>
      <c r="K280" s="15"/>
      <c r="L280" s="15"/>
      <c r="M280" s="896"/>
      <c r="N280" s="896"/>
      <c r="O280" s="896"/>
      <c r="P280" s="896"/>
      <c r="Q280" s="896"/>
      <c r="R280" s="896"/>
      <c r="S280" s="896"/>
      <c r="T280" s="896"/>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row>
    <row r="281" ht="15.75" customHeight="1">
      <c r="A281" s="15"/>
      <c r="B281" s="15"/>
      <c r="C281" s="15"/>
      <c r="D281" s="15"/>
      <c r="E281" s="15"/>
      <c r="F281" s="15"/>
      <c r="G281" s="15"/>
      <c r="H281" s="15"/>
      <c r="I281" s="15"/>
      <c r="J281" s="15"/>
      <c r="K281" s="15"/>
      <c r="L281" s="15"/>
      <c r="M281" s="896"/>
      <c r="N281" s="896"/>
      <c r="O281" s="896"/>
      <c r="P281" s="896"/>
      <c r="Q281" s="896"/>
      <c r="R281" s="896"/>
      <c r="S281" s="896"/>
      <c r="T281" s="896"/>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row>
    <row r="282" ht="15.75" customHeight="1">
      <c r="A282" s="15"/>
      <c r="B282" s="15"/>
      <c r="C282" s="15"/>
      <c r="D282" s="15"/>
      <c r="E282" s="15"/>
      <c r="F282" s="15"/>
      <c r="G282" s="15"/>
      <c r="H282" s="15"/>
      <c r="I282" s="15"/>
      <c r="J282" s="15"/>
      <c r="K282" s="15"/>
      <c r="L282" s="15"/>
      <c r="M282" s="896"/>
      <c r="N282" s="896"/>
      <c r="O282" s="896"/>
      <c r="P282" s="896"/>
      <c r="Q282" s="896"/>
      <c r="R282" s="896"/>
      <c r="S282" s="896"/>
      <c r="T282" s="896"/>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row>
    <row r="283" ht="15.75" customHeight="1">
      <c r="A283" s="15"/>
      <c r="B283" s="15"/>
      <c r="C283" s="15"/>
      <c r="D283" s="15"/>
      <c r="E283" s="15"/>
      <c r="F283" s="15"/>
      <c r="G283" s="15"/>
      <c r="H283" s="15"/>
      <c r="I283" s="15"/>
      <c r="J283" s="15"/>
      <c r="K283" s="15"/>
      <c r="L283" s="15"/>
      <c r="M283" s="896"/>
      <c r="N283" s="896"/>
      <c r="O283" s="896"/>
      <c r="P283" s="896"/>
      <c r="Q283" s="896"/>
      <c r="R283" s="896"/>
      <c r="S283" s="896"/>
      <c r="T283" s="896"/>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row>
    <row r="284" ht="15.75" customHeight="1">
      <c r="A284" s="15"/>
      <c r="B284" s="15"/>
      <c r="C284" s="15"/>
      <c r="D284" s="15"/>
      <c r="E284" s="15"/>
      <c r="F284" s="15"/>
      <c r="G284" s="15"/>
      <c r="H284" s="15"/>
      <c r="I284" s="15"/>
      <c r="J284" s="15"/>
      <c r="K284" s="15"/>
      <c r="L284" s="15"/>
      <c r="M284" s="896"/>
      <c r="N284" s="896"/>
      <c r="O284" s="896"/>
      <c r="P284" s="896"/>
      <c r="Q284" s="896"/>
      <c r="R284" s="896"/>
      <c r="S284" s="896"/>
      <c r="T284" s="896"/>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row>
    <row r="285" ht="15.75" customHeight="1">
      <c r="A285" s="15"/>
      <c r="B285" s="15"/>
      <c r="C285" s="15"/>
      <c r="D285" s="15"/>
      <c r="E285" s="15"/>
      <c r="F285" s="15"/>
      <c r="G285" s="15"/>
      <c r="H285" s="15"/>
      <c r="I285" s="15"/>
      <c r="J285" s="15"/>
      <c r="K285" s="15"/>
      <c r="L285" s="15"/>
      <c r="M285" s="896"/>
      <c r="N285" s="896"/>
      <c r="O285" s="896"/>
      <c r="P285" s="896"/>
      <c r="Q285" s="896"/>
      <c r="R285" s="896"/>
      <c r="S285" s="896"/>
      <c r="T285" s="896"/>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row>
    <row r="286" ht="15.75" customHeight="1">
      <c r="A286" s="15"/>
      <c r="B286" s="15"/>
      <c r="C286" s="15"/>
      <c r="D286" s="15"/>
      <c r="E286" s="15"/>
      <c r="F286" s="15"/>
      <c r="G286" s="15"/>
      <c r="H286" s="15"/>
      <c r="I286" s="15"/>
      <c r="J286" s="15"/>
      <c r="K286" s="15"/>
      <c r="L286" s="15"/>
      <c r="M286" s="896"/>
      <c r="N286" s="896"/>
      <c r="O286" s="896"/>
      <c r="P286" s="896"/>
      <c r="Q286" s="896"/>
      <c r="R286" s="896"/>
      <c r="S286" s="896"/>
      <c r="T286" s="896"/>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row>
    <row r="287" ht="15.75" customHeight="1">
      <c r="A287" s="15"/>
      <c r="B287" s="15"/>
      <c r="C287" s="15"/>
      <c r="D287" s="15"/>
      <c r="E287" s="15"/>
      <c r="F287" s="15"/>
      <c r="G287" s="15"/>
      <c r="H287" s="15"/>
      <c r="I287" s="15"/>
      <c r="J287" s="15"/>
      <c r="K287" s="15"/>
      <c r="L287" s="15"/>
      <c r="M287" s="896"/>
      <c r="N287" s="896"/>
      <c r="O287" s="896"/>
      <c r="P287" s="896"/>
      <c r="Q287" s="896"/>
      <c r="R287" s="896"/>
      <c r="S287" s="896"/>
      <c r="T287" s="896"/>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row>
    <row r="288" ht="15.75" customHeight="1">
      <c r="A288" s="15"/>
      <c r="B288" s="15"/>
      <c r="C288" s="15"/>
      <c r="D288" s="15"/>
      <c r="E288" s="15"/>
      <c r="F288" s="15"/>
      <c r="G288" s="15"/>
      <c r="H288" s="15"/>
      <c r="I288" s="15"/>
      <c r="J288" s="15"/>
      <c r="K288" s="15"/>
      <c r="L288" s="15"/>
      <c r="M288" s="896"/>
      <c r="N288" s="896"/>
      <c r="O288" s="896"/>
      <c r="P288" s="896"/>
      <c r="Q288" s="896"/>
      <c r="R288" s="896"/>
      <c r="S288" s="896"/>
      <c r="T288" s="896"/>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row>
    <row r="289" ht="15.75" customHeight="1">
      <c r="A289" s="15"/>
      <c r="B289" s="15"/>
      <c r="C289" s="15"/>
      <c r="D289" s="15"/>
      <c r="E289" s="15"/>
      <c r="F289" s="15"/>
      <c r="G289" s="15"/>
      <c r="H289" s="15"/>
      <c r="I289" s="15"/>
      <c r="J289" s="15"/>
      <c r="K289" s="15"/>
      <c r="L289" s="15"/>
      <c r="M289" s="896"/>
      <c r="N289" s="896"/>
      <c r="O289" s="896"/>
      <c r="P289" s="896"/>
      <c r="Q289" s="896"/>
      <c r="R289" s="896"/>
      <c r="S289" s="896"/>
      <c r="T289" s="896"/>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row>
    <row r="290" ht="15.75" customHeight="1">
      <c r="A290" s="15"/>
      <c r="B290" s="15"/>
      <c r="C290" s="15"/>
      <c r="D290" s="15"/>
      <c r="E290" s="15"/>
      <c r="F290" s="15"/>
      <c r="G290" s="15"/>
      <c r="H290" s="15"/>
      <c r="I290" s="15"/>
      <c r="J290" s="15"/>
      <c r="K290" s="15"/>
      <c r="L290" s="15"/>
      <c r="M290" s="896"/>
      <c r="N290" s="896"/>
      <c r="O290" s="896"/>
      <c r="P290" s="896"/>
      <c r="Q290" s="896"/>
      <c r="R290" s="896"/>
      <c r="S290" s="896"/>
      <c r="T290" s="896"/>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row>
    <row r="291" ht="15.75" customHeight="1">
      <c r="A291" s="15"/>
      <c r="B291" s="15"/>
      <c r="C291" s="15"/>
      <c r="D291" s="15"/>
      <c r="E291" s="15"/>
      <c r="F291" s="15"/>
      <c r="G291" s="15"/>
      <c r="H291" s="15"/>
      <c r="I291" s="15"/>
      <c r="J291" s="15"/>
      <c r="K291" s="15"/>
      <c r="L291" s="15"/>
      <c r="M291" s="896"/>
      <c r="N291" s="896"/>
      <c r="O291" s="896"/>
      <c r="P291" s="896"/>
      <c r="Q291" s="896"/>
      <c r="R291" s="896"/>
      <c r="S291" s="896"/>
      <c r="T291" s="896"/>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row>
    <row r="292" ht="15.75" customHeight="1">
      <c r="A292" s="15"/>
      <c r="B292" s="15"/>
      <c r="C292" s="15"/>
      <c r="D292" s="15"/>
      <c r="E292" s="15"/>
      <c r="F292" s="15"/>
      <c r="G292" s="15"/>
      <c r="H292" s="15"/>
      <c r="I292" s="15"/>
      <c r="J292" s="15"/>
      <c r="K292" s="15"/>
      <c r="L292" s="15"/>
      <c r="M292" s="896"/>
      <c r="N292" s="896"/>
      <c r="O292" s="896"/>
      <c r="P292" s="896"/>
      <c r="Q292" s="896"/>
      <c r="R292" s="896"/>
      <c r="S292" s="896"/>
      <c r="T292" s="896"/>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row>
    <row r="293" ht="15.75" customHeight="1">
      <c r="A293" s="15"/>
      <c r="B293" s="15"/>
      <c r="C293" s="15"/>
      <c r="D293" s="15"/>
      <c r="E293" s="15"/>
      <c r="F293" s="15"/>
      <c r="G293" s="15"/>
      <c r="H293" s="15"/>
      <c r="I293" s="15"/>
      <c r="J293" s="15"/>
      <c r="K293" s="15"/>
      <c r="L293" s="15"/>
      <c r="M293" s="896"/>
      <c r="N293" s="896"/>
      <c r="O293" s="896"/>
      <c r="P293" s="896"/>
      <c r="Q293" s="896"/>
      <c r="R293" s="896"/>
      <c r="S293" s="896"/>
      <c r="T293" s="896"/>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row>
    <row r="294" ht="15.75" customHeight="1">
      <c r="A294" s="15"/>
      <c r="B294" s="15"/>
      <c r="C294" s="15"/>
      <c r="D294" s="15"/>
      <c r="E294" s="15"/>
      <c r="F294" s="15"/>
      <c r="G294" s="15"/>
      <c r="H294" s="15"/>
      <c r="I294" s="15"/>
      <c r="J294" s="15"/>
      <c r="K294" s="15"/>
      <c r="L294" s="15"/>
      <c r="M294" s="896"/>
      <c r="N294" s="896"/>
      <c r="O294" s="896"/>
      <c r="P294" s="896"/>
      <c r="Q294" s="896"/>
      <c r="R294" s="896"/>
      <c r="S294" s="896"/>
      <c r="T294" s="896"/>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row>
    <row r="295" ht="15.75" customHeight="1">
      <c r="A295" s="15"/>
      <c r="B295" s="15"/>
      <c r="C295" s="15"/>
      <c r="D295" s="15"/>
      <c r="E295" s="15"/>
      <c r="F295" s="15"/>
      <c r="G295" s="15"/>
      <c r="H295" s="15"/>
      <c r="I295" s="15"/>
      <c r="J295" s="15"/>
      <c r="K295" s="15"/>
      <c r="L295" s="15"/>
      <c r="M295" s="896"/>
      <c r="N295" s="896"/>
      <c r="O295" s="896"/>
      <c r="P295" s="896"/>
      <c r="Q295" s="896"/>
      <c r="R295" s="896"/>
      <c r="S295" s="896"/>
      <c r="T295" s="896"/>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row>
    <row r="296" ht="15.75" customHeight="1">
      <c r="A296" s="15"/>
      <c r="B296" s="15"/>
      <c r="C296" s="15"/>
      <c r="D296" s="15"/>
      <c r="E296" s="15"/>
      <c r="F296" s="15"/>
      <c r="G296" s="15"/>
      <c r="H296" s="15"/>
      <c r="I296" s="15"/>
      <c r="J296" s="15"/>
      <c r="K296" s="15"/>
      <c r="L296" s="15"/>
      <c r="M296" s="896"/>
      <c r="N296" s="896"/>
      <c r="O296" s="896"/>
      <c r="P296" s="896"/>
      <c r="Q296" s="896"/>
      <c r="R296" s="896"/>
      <c r="S296" s="896"/>
      <c r="T296" s="896"/>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row>
    <row r="297" ht="15.75" customHeight="1">
      <c r="A297" s="15"/>
      <c r="B297" s="15"/>
      <c r="C297" s="15"/>
      <c r="D297" s="15"/>
      <c r="E297" s="15"/>
      <c r="F297" s="15"/>
      <c r="G297" s="15"/>
      <c r="H297" s="15"/>
      <c r="I297" s="15"/>
      <c r="J297" s="15"/>
      <c r="K297" s="15"/>
      <c r="L297" s="15"/>
      <c r="M297" s="896"/>
      <c r="N297" s="896"/>
      <c r="O297" s="896"/>
      <c r="P297" s="896"/>
      <c r="Q297" s="896"/>
      <c r="R297" s="896"/>
      <c r="S297" s="896"/>
      <c r="T297" s="896"/>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row>
    <row r="298" ht="15.75" customHeight="1">
      <c r="A298" s="15"/>
      <c r="B298" s="15"/>
      <c r="C298" s="15"/>
      <c r="D298" s="15"/>
      <c r="E298" s="15"/>
      <c r="F298" s="15"/>
      <c r="G298" s="15"/>
      <c r="H298" s="15"/>
      <c r="I298" s="15"/>
      <c r="J298" s="15"/>
      <c r="K298" s="15"/>
      <c r="L298" s="15"/>
      <c r="M298" s="896"/>
      <c r="N298" s="896"/>
      <c r="O298" s="896"/>
      <c r="P298" s="896"/>
      <c r="Q298" s="896"/>
      <c r="R298" s="896"/>
      <c r="S298" s="896"/>
      <c r="T298" s="896"/>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row>
    <row r="299" ht="15.75" customHeight="1">
      <c r="A299" s="15"/>
      <c r="B299" s="15"/>
      <c r="C299" s="15"/>
      <c r="D299" s="15"/>
      <c r="E299" s="15"/>
      <c r="F299" s="15"/>
      <c r="G299" s="15"/>
      <c r="H299" s="15"/>
      <c r="I299" s="15"/>
      <c r="J299" s="15"/>
      <c r="K299" s="15"/>
      <c r="L299" s="15"/>
      <c r="M299" s="896"/>
      <c r="N299" s="896"/>
      <c r="O299" s="896"/>
      <c r="P299" s="896"/>
      <c r="Q299" s="896"/>
      <c r="R299" s="896"/>
      <c r="S299" s="896"/>
      <c r="T299" s="896"/>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row>
    <row r="300" ht="15.75" customHeight="1">
      <c r="A300" s="15"/>
      <c r="B300" s="15"/>
      <c r="C300" s="15"/>
      <c r="D300" s="15"/>
      <c r="E300" s="15"/>
      <c r="F300" s="15"/>
      <c r="G300" s="15"/>
      <c r="H300" s="15"/>
      <c r="I300" s="15"/>
      <c r="J300" s="15"/>
      <c r="K300" s="15"/>
      <c r="L300" s="15"/>
      <c r="M300" s="896"/>
      <c r="N300" s="896"/>
      <c r="O300" s="896"/>
      <c r="P300" s="896"/>
      <c r="Q300" s="896"/>
      <c r="R300" s="896"/>
      <c r="S300" s="896"/>
      <c r="T300" s="896"/>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row>
    <row r="301" ht="15.75" customHeight="1">
      <c r="A301" s="15"/>
      <c r="B301" s="15"/>
      <c r="C301" s="15"/>
      <c r="D301" s="15"/>
      <c r="E301" s="15"/>
      <c r="F301" s="15"/>
      <c r="G301" s="15"/>
      <c r="H301" s="15"/>
      <c r="I301" s="15"/>
      <c r="J301" s="15"/>
      <c r="K301" s="15"/>
      <c r="L301" s="15"/>
      <c r="M301" s="896"/>
      <c r="N301" s="896"/>
      <c r="O301" s="896"/>
      <c r="P301" s="896"/>
      <c r="Q301" s="896"/>
      <c r="R301" s="896"/>
      <c r="S301" s="896"/>
      <c r="T301" s="896"/>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row>
    <row r="302" ht="15.75" customHeight="1">
      <c r="A302" s="15"/>
      <c r="B302" s="15"/>
      <c r="C302" s="15"/>
      <c r="D302" s="15"/>
      <c r="E302" s="15"/>
      <c r="F302" s="15"/>
      <c r="G302" s="15"/>
      <c r="H302" s="15"/>
      <c r="I302" s="15"/>
      <c r="J302" s="15"/>
      <c r="K302" s="15"/>
      <c r="L302" s="15"/>
      <c r="M302" s="896"/>
      <c r="N302" s="896"/>
      <c r="O302" s="896"/>
      <c r="P302" s="896"/>
      <c r="Q302" s="896"/>
      <c r="R302" s="896"/>
      <c r="S302" s="896"/>
      <c r="T302" s="896"/>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row>
    <row r="303" ht="15.75" customHeight="1">
      <c r="A303" s="15"/>
      <c r="B303" s="15"/>
      <c r="C303" s="15"/>
      <c r="D303" s="15"/>
      <c r="E303" s="15"/>
      <c r="F303" s="15"/>
      <c r="G303" s="15"/>
      <c r="H303" s="15"/>
      <c r="I303" s="15"/>
      <c r="J303" s="15"/>
      <c r="K303" s="15"/>
      <c r="L303" s="15"/>
      <c r="M303" s="896"/>
      <c r="N303" s="896"/>
      <c r="O303" s="896"/>
      <c r="P303" s="896"/>
      <c r="Q303" s="896"/>
      <c r="R303" s="896"/>
      <c r="S303" s="896"/>
      <c r="T303" s="896"/>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row>
    <row r="304" ht="15.75" customHeight="1">
      <c r="A304" s="15"/>
      <c r="B304" s="15"/>
      <c r="C304" s="15"/>
      <c r="D304" s="15"/>
      <c r="E304" s="15"/>
      <c r="F304" s="15"/>
      <c r="G304" s="15"/>
      <c r="H304" s="15"/>
      <c r="I304" s="15"/>
      <c r="J304" s="15"/>
      <c r="K304" s="15"/>
      <c r="L304" s="15"/>
      <c r="M304" s="896"/>
      <c r="N304" s="896"/>
      <c r="O304" s="896"/>
      <c r="P304" s="896"/>
      <c r="Q304" s="896"/>
      <c r="R304" s="896"/>
      <c r="S304" s="896"/>
      <c r="T304" s="896"/>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row>
    <row r="305" ht="15.75" customHeight="1">
      <c r="A305" s="15"/>
      <c r="B305" s="15"/>
      <c r="C305" s="15"/>
      <c r="D305" s="15"/>
      <c r="E305" s="15"/>
      <c r="F305" s="15"/>
      <c r="G305" s="15"/>
      <c r="H305" s="15"/>
      <c r="I305" s="15"/>
      <c r="J305" s="15"/>
      <c r="K305" s="15"/>
      <c r="L305" s="15"/>
      <c r="M305" s="896"/>
      <c r="N305" s="896"/>
      <c r="O305" s="896"/>
      <c r="P305" s="896"/>
      <c r="Q305" s="896"/>
      <c r="R305" s="896"/>
      <c r="S305" s="896"/>
      <c r="T305" s="896"/>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row>
    <row r="306" ht="15.75" customHeight="1">
      <c r="A306" s="15"/>
      <c r="B306" s="15"/>
      <c r="C306" s="15"/>
      <c r="D306" s="15"/>
      <c r="E306" s="15"/>
      <c r="F306" s="15"/>
      <c r="G306" s="15"/>
      <c r="H306" s="15"/>
      <c r="I306" s="15"/>
      <c r="J306" s="15"/>
      <c r="K306" s="15"/>
      <c r="L306" s="15"/>
      <c r="M306" s="896"/>
      <c r="N306" s="896"/>
      <c r="O306" s="896"/>
      <c r="P306" s="896"/>
      <c r="Q306" s="896"/>
      <c r="R306" s="896"/>
      <c r="S306" s="896"/>
      <c r="T306" s="896"/>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row>
    <row r="307" ht="15.75" customHeight="1">
      <c r="A307" s="15"/>
      <c r="B307" s="15"/>
      <c r="C307" s="15"/>
      <c r="D307" s="15"/>
      <c r="E307" s="15"/>
      <c r="F307" s="15"/>
      <c r="G307" s="15"/>
      <c r="H307" s="15"/>
      <c r="I307" s="15"/>
      <c r="J307" s="15"/>
      <c r="K307" s="15"/>
      <c r="L307" s="15"/>
      <c r="M307" s="896"/>
      <c r="N307" s="896"/>
      <c r="O307" s="896"/>
      <c r="P307" s="896"/>
      <c r="Q307" s="896"/>
      <c r="R307" s="896"/>
      <c r="S307" s="896"/>
      <c r="T307" s="896"/>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row>
    <row r="308" ht="15.75" customHeight="1">
      <c r="A308" s="15"/>
      <c r="B308" s="15"/>
      <c r="C308" s="15"/>
      <c r="D308" s="15"/>
      <c r="E308" s="15"/>
      <c r="F308" s="15"/>
      <c r="G308" s="15"/>
      <c r="H308" s="15"/>
      <c r="I308" s="15"/>
      <c r="J308" s="15"/>
      <c r="K308" s="15"/>
      <c r="L308" s="15"/>
      <c r="M308" s="896"/>
      <c r="N308" s="896"/>
      <c r="O308" s="896"/>
      <c r="P308" s="896"/>
      <c r="Q308" s="896"/>
      <c r="R308" s="896"/>
      <c r="S308" s="896"/>
      <c r="T308" s="896"/>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row>
    <row r="309" ht="15.75" customHeight="1">
      <c r="A309" s="15"/>
      <c r="B309" s="15"/>
      <c r="C309" s="15"/>
      <c r="D309" s="15"/>
      <c r="E309" s="15"/>
      <c r="F309" s="15"/>
      <c r="G309" s="15"/>
      <c r="H309" s="15"/>
      <c r="I309" s="15"/>
      <c r="J309" s="15"/>
      <c r="K309" s="15"/>
      <c r="L309" s="15"/>
      <c r="M309" s="896"/>
      <c r="N309" s="896"/>
      <c r="O309" s="896"/>
      <c r="P309" s="896"/>
      <c r="Q309" s="896"/>
      <c r="R309" s="896"/>
      <c r="S309" s="896"/>
      <c r="T309" s="896"/>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row>
    <row r="310" ht="15.75" customHeight="1">
      <c r="A310" s="15"/>
      <c r="B310" s="15"/>
      <c r="C310" s="15"/>
      <c r="D310" s="15"/>
      <c r="E310" s="15"/>
      <c r="F310" s="15"/>
      <c r="G310" s="15"/>
      <c r="H310" s="15"/>
      <c r="I310" s="15"/>
      <c r="J310" s="15"/>
      <c r="K310" s="15"/>
      <c r="L310" s="15"/>
      <c r="M310" s="896"/>
      <c r="N310" s="896"/>
      <c r="O310" s="896"/>
      <c r="P310" s="896"/>
      <c r="Q310" s="896"/>
      <c r="R310" s="896"/>
      <c r="S310" s="896"/>
      <c r="T310" s="896"/>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row>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5:D6"/>
    <mergeCell ref="E5:E6"/>
    <mergeCell ref="F5:F6"/>
    <mergeCell ref="G5:G6"/>
    <mergeCell ref="H5:H6"/>
    <mergeCell ref="I5:I6"/>
    <mergeCell ref="J5:J6"/>
    <mergeCell ref="K5:K6"/>
  </mergeCells>
  <conditionalFormatting sqref="D10:T10 D22:T22 D35:T35 D43:T43 D58:T58 D70:T70">
    <cfRule type="expression" dxfId="1" priority="1">
      <formula>NOT(SUBTOTAL(109,$A11)=$A11)</formula>
    </cfRule>
  </conditionalFormatting>
  <printOptions/>
  <pageMargins bottom="0.75" footer="0.0" header="0.0" left="0.7" right="0.7" top="0.75"/>
  <pageSetup paperSize="9"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EEAF6"/>
    <outlinePr summaryBelow="0"/>
    <pageSetUpPr/>
  </sheetPr>
  <sheetViews>
    <sheetView showGridLines="0"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4.43" defaultRowHeight="15.0" outlineLevelCol="1"/>
  <cols>
    <col customWidth="1" min="1" max="1" width="1.0"/>
    <col customWidth="1" min="2" max="2" width="2.0"/>
    <col customWidth="1" min="3" max="3" width="50.57"/>
    <col customWidth="1" hidden="1" min="4" max="10" width="12.57" outlineLevel="1"/>
    <col customWidth="1" hidden="1" min="11" max="11" width="10.57" outlineLevel="1"/>
    <col customWidth="1" min="12" max="12" width="2.57"/>
    <col customWidth="1" min="13" max="17" width="14.57"/>
    <col customWidth="1" min="18" max="18" width="1.86"/>
    <col customWidth="1" min="19" max="40" width="14.57"/>
  </cols>
  <sheetData>
    <row r="1" ht="6.0" customHeight="1">
      <c r="A1" s="846"/>
      <c r="B1" s="847"/>
      <c r="C1" s="847"/>
      <c r="D1" s="847"/>
      <c r="E1" s="847"/>
      <c r="F1" s="847"/>
      <c r="G1" s="847"/>
      <c r="H1" s="847"/>
      <c r="I1" s="847"/>
      <c r="J1" s="847"/>
      <c r="K1" s="847"/>
      <c r="L1" s="847"/>
      <c r="M1" s="895"/>
      <c r="N1" s="895"/>
      <c r="O1" s="895"/>
      <c r="P1" s="895"/>
      <c r="Q1" s="895"/>
      <c r="R1" s="847"/>
      <c r="S1" s="846"/>
      <c r="T1" s="846"/>
      <c r="U1" s="846"/>
      <c r="V1" s="846"/>
      <c r="W1" s="846"/>
      <c r="X1" s="846"/>
      <c r="Y1" s="846"/>
      <c r="Z1" s="846"/>
      <c r="AA1" s="846"/>
      <c r="AB1" s="846"/>
      <c r="AC1" s="846"/>
      <c r="AD1" s="846"/>
      <c r="AE1" s="846"/>
      <c r="AF1" s="846"/>
      <c r="AG1" s="846"/>
      <c r="AH1" s="846"/>
      <c r="AI1" s="846"/>
      <c r="AJ1" s="846"/>
      <c r="AK1" s="846"/>
      <c r="AL1" s="846"/>
      <c r="AM1" s="846"/>
      <c r="AN1" s="846"/>
    </row>
    <row r="2" ht="39.75" customHeight="1">
      <c r="A2" s="849"/>
      <c r="B2" s="15"/>
      <c r="C2" s="15"/>
      <c r="D2" s="15"/>
      <c r="E2" s="15"/>
      <c r="F2" s="15"/>
      <c r="G2" s="15"/>
      <c r="H2" s="15"/>
      <c r="I2" s="15"/>
      <c r="J2" s="15"/>
      <c r="K2" s="15"/>
      <c r="L2" s="15"/>
      <c r="M2" s="896"/>
      <c r="N2" s="896"/>
      <c r="O2" s="896"/>
      <c r="P2" s="896"/>
      <c r="Q2" s="896"/>
      <c r="R2" s="15"/>
      <c r="S2" s="851"/>
      <c r="T2" s="846"/>
      <c r="U2" s="846"/>
      <c r="V2" s="846"/>
      <c r="W2" s="846"/>
      <c r="X2" s="846"/>
      <c r="Y2" s="846"/>
      <c r="Z2" s="846"/>
      <c r="AA2" s="846"/>
      <c r="AB2" s="846"/>
      <c r="AC2" s="846"/>
      <c r="AD2" s="846"/>
      <c r="AE2" s="846"/>
      <c r="AF2" s="846"/>
      <c r="AG2" s="846"/>
      <c r="AH2" s="846"/>
      <c r="AI2" s="846"/>
      <c r="AJ2" s="846"/>
      <c r="AK2" s="846"/>
      <c r="AL2" s="846"/>
      <c r="AM2" s="846"/>
      <c r="AN2" s="846"/>
    </row>
    <row r="3" ht="18.75" customHeight="1">
      <c r="A3" s="849"/>
      <c r="B3" s="15"/>
      <c r="C3" s="852" t="s">
        <v>367</v>
      </c>
      <c r="D3" s="15"/>
      <c r="E3" s="15"/>
      <c r="F3" s="15"/>
      <c r="G3" s="15"/>
      <c r="H3" s="15"/>
      <c r="I3" s="15"/>
      <c r="J3" s="15"/>
      <c r="K3" s="15"/>
      <c r="L3" s="15"/>
      <c r="M3" s="896"/>
      <c r="N3" s="896"/>
      <c r="O3" s="896"/>
      <c r="P3" s="896"/>
      <c r="Q3" s="896"/>
      <c r="R3" s="15"/>
      <c r="S3" s="851"/>
      <c r="T3" s="846"/>
      <c r="U3" s="846"/>
      <c r="V3" s="846"/>
      <c r="W3" s="846"/>
      <c r="X3" s="846"/>
      <c r="Y3" s="846"/>
      <c r="Z3" s="846"/>
      <c r="AA3" s="846"/>
      <c r="AB3" s="846"/>
      <c r="AC3" s="846"/>
      <c r="AD3" s="846"/>
      <c r="AE3" s="846"/>
      <c r="AF3" s="846"/>
      <c r="AG3" s="846"/>
      <c r="AH3" s="846"/>
      <c r="AI3" s="846"/>
      <c r="AJ3" s="846"/>
      <c r="AK3" s="846"/>
      <c r="AL3" s="846"/>
      <c r="AM3" s="846"/>
      <c r="AN3" s="846"/>
    </row>
    <row r="4">
      <c r="A4" s="849" t="s">
        <v>194</v>
      </c>
      <c r="B4" s="15"/>
      <c r="C4" s="853" t="s">
        <v>364</v>
      </c>
      <c r="D4" s="854" t="s">
        <v>196</v>
      </c>
      <c r="E4" s="855" t="s">
        <v>194</v>
      </c>
      <c r="F4" s="855" t="s">
        <v>194</v>
      </c>
      <c r="G4" s="855" t="s">
        <v>194</v>
      </c>
      <c r="H4" s="855" t="s">
        <v>194</v>
      </c>
      <c r="I4" s="855" t="s">
        <v>194</v>
      </c>
      <c r="J4" s="855" t="s">
        <v>194</v>
      </c>
      <c r="K4" s="855" t="s">
        <v>194</v>
      </c>
      <c r="L4" s="15"/>
      <c r="M4" s="896"/>
      <c r="N4" s="896"/>
      <c r="O4" s="896"/>
      <c r="P4" s="896"/>
      <c r="Q4" s="896"/>
      <c r="R4" s="15"/>
      <c r="S4" s="851" t="s">
        <v>194</v>
      </c>
      <c r="T4" s="846" t="s">
        <v>194</v>
      </c>
      <c r="U4" s="846" t="s">
        <v>194</v>
      </c>
      <c r="V4" s="846" t="s">
        <v>194</v>
      </c>
      <c r="W4" s="846" t="s">
        <v>194</v>
      </c>
      <c r="X4" s="846" t="s">
        <v>194</v>
      </c>
      <c r="Y4" s="846" t="s">
        <v>194</v>
      </c>
      <c r="Z4" s="846" t="s">
        <v>194</v>
      </c>
      <c r="AA4" s="846" t="s">
        <v>194</v>
      </c>
      <c r="AB4" s="846" t="s">
        <v>194</v>
      </c>
      <c r="AC4" s="846" t="s">
        <v>194</v>
      </c>
      <c r="AD4" s="846" t="s">
        <v>194</v>
      </c>
      <c r="AE4" s="846" t="s">
        <v>194</v>
      </c>
      <c r="AF4" s="846" t="s">
        <v>194</v>
      </c>
      <c r="AG4" s="846" t="s">
        <v>194</v>
      </c>
      <c r="AH4" s="846" t="s">
        <v>194</v>
      </c>
      <c r="AI4" s="846" t="s">
        <v>194</v>
      </c>
      <c r="AJ4" s="846" t="s">
        <v>194</v>
      </c>
      <c r="AK4" s="846" t="s">
        <v>194</v>
      </c>
      <c r="AL4" s="846" t="s">
        <v>194</v>
      </c>
      <c r="AM4" s="846" t="s">
        <v>194</v>
      </c>
      <c r="AN4" s="846" t="s">
        <v>194</v>
      </c>
    </row>
    <row r="5">
      <c r="A5" s="849" t="s">
        <v>194</v>
      </c>
      <c r="B5" s="15"/>
      <c r="C5" s="853" t="s">
        <v>359</v>
      </c>
      <c r="D5" s="856" t="s">
        <v>174</v>
      </c>
      <c r="E5" s="856" t="s">
        <v>198</v>
      </c>
      <c r="F5" s="856" t="s">
        <v>199</v>
      </c>
      <c r="G5" s="856" t="s">
        <v>200</v>
      </c>
      <c r="H5" s="856" t="s">
        <v>201</v>
      </c>
      <c r="I5" s="856" t="s">
        <v>202</v>
      </c>
      <c r="J5" s="856" t="s">
        <v>203</v>
      </c>
      <c r="K5" s="856" t="s">
        <v>204</v>
      </c>
      <c r="L5" s="15"/>
      <c r="M5" s="897" t="str">
        <f>HYPERLINK("https://my.pitchbook.com?c=52157-62", "FY 2014")</f>
        <v>FY 2014</v>
      </c>
      <c r="N5" s="897" t="str">
        <f>HYPERLINK("https://my.pitchbook.com?c=52157-62", "FY 2015")</f>
        <v>FY 2015</v>
      </c>
      <c r="O5" s="897" t="str">
        <f>HYPERLINK("https://my.pitchbook.com?c=52157-62", "FY 2016")</f>
        <v>FY 2016</v>
      </c>
      <c r="P5" s="897" t="str">
        <f>HYPERLINK("https://my.pitchbook.com?c=52157-62", "FY 2017")</f>
        <v>FY 2017</v>
      </c>
      <c r="Q5" s="897" t="str">
        <f>HYPERLINK("https://my.pitchbook.com?c=52157-62", "FY 2018")</f>
        <v>FY 2018</v>
      </c>
      <c r="R5" s="15"/>
      <c r="S5" s="851" t="s">
        <v>194</v>
      </c>
      <c r="T5" s="846" t="s">
        <v>194</v>
      </c>
      <c r="U5" s="846" t="s">
        <v>194</v>
      </c>
      <c r="V5" s="846" t="s">
        <v>194</v>
      </c>
      <c r="W5" s="846" t="s">
        <v>194</v>
      </c>
      <c r="X5" s="846" t="s">
        <v>194</v>
      </c>
      <c r="Y5" s="846" t="s">
        <v>194</v>
      </c>
      <c r="Z5" s="846" t="s">
        <v>194</v>
      </c>
      <c r="AA5" s="846" t="s">
        <v>194</v>
      </c>
      <c r="AB5" s="846" t="s">
        <v>194</v>
      </c>
      <c r="AC5" s="846" t="s">
        <v>194</v>
      </c>
      <c r="AD5" s="846" t="s">
        <v>194</v>
      </c>
      <c r="AE5" s="846" t="s">
        <v>194</v>
      </c>
      <c r="AF5" s="846" t="s">
        <v>194</v>
      </c>
      <c r="AG5" s="846" t="s">
        <v>194</v>
      </c>
      <c r="AH5" s="846" t="s">
        <v>194</v>
      </c>
      <c r="AI5" s="846" t="s">
        <v>194</v>
      </c>
      <c r="AJ5" s="846" t="s">
        <v>194</v>
      </c>
      <c r="AK5" s="846" t="s">
        <v>194</v>
      </c>
      <c r="AL5" s="846" t="s">
        <v>194</v>
      </c>
      <c r="AM5" s="846" t="s">
        <v>194</v>
      </c>
      <c r="AN5" s="846" t="s">
        <v>194</v>
      </c>
    </row>
    <row r="6">
      <c r="A6" s="849" t="s">
        <v>194</v>
      </c>
      <c r="B6" s="15"/>
      <c r="C6" s="859" t="s">
        <v>221</v>
      </c>
      <c r="D6" s="860"/>
      <c r="E6" s="860"/>
      <c r="F6" s="860"/>
      <c r="G6" s="860"/>
      <c r="H6" s="860"/>
      <c r="I6" s="860"/>
      <c r="J6" s="860"/>
      <c r="K6" s="860"/>
      <c r="L6" s="15"/>
      <c r="M6" s="896"/>
      <c r="N6" s="896"/>
      <c r="O6" s="896"/>
      <c r="P6" s="896"/>
      <c r="Q6" s="896"/>
      <c r="R6" s="15"/>
      <c r="S6" s="851" t="s">
        <v>194</v>
      </c>
      <c r="T6" s="846" t="s">
        <v>194</v>
      </c>
      <c r="U6" s="846" t="s">
        <v>194</v>
      </c>
      <c r="V6" s="846" t="s">
        <v>194</v>
      </c>
      <c r="W6" s="846" t="s">
        <v>194</v>
      </c>
      <c r="X6" s="846" t="s">
        <v>194</v>
      </c>
      <c r="Y6" s="846" t="s">
        <v>194</v>
      </c>
      <c r="Z6" s="846" t="s">
        <v>194</v>
      </c>
      <c r="AA6" s="846" t="s">
        <v>194</v>
      </c>
      <c r="AB6" s="846" t="s">
        <v>194</v>
      </c>
      <c r="AC6" s="846" t="s">
        <v>194</v>
      </c>
      <c r="AD6" s="846" t="s">
        <v>194</v>
      </c>
      <c r="AE6" s="846" t="s">
        <v>194</v>
      </c>
      <c r="AF6" s="846" t="s">
        <v>194</v>
      </c>
      <c r="AG6" s="846" t="s">
        <v>194</v>
      </c>
      <c r="AH6" s="846" t="s">
        <v>194</v>
      </c>
      <c r="AI6" s="846" t="s">
        <v>194</v>
      </c>
      <c r="AJ6" s="846" t="s">
        <v>194</v>
      </c>
      <c r="AK6" s="846" t="s">
        <v>194</v>
      </c>
      <c r="AL6" s="846" t="s">
        <v>194</v>
      </c>
      <c r="AM6" s="846" t="s">
        <v>194</v>
      </c>
      <c r="AN6" s="846" t="s">
        <v>194</v>
      </c>
    </row>
    <row r="7">
      <c r="A7" s="849" t="s">
        <v>194</v>
      </c>
      <c r="B7" s="15"/>
      <c r="C7" s="15"/>
      <c r="D7" s="855" t="s">
        <v>194</v>
      </c>
      <c r="E7" s="855" t="s">
        <v>194</v>
      </c>
      <c r="F7" s="855" t="s">
        <v>194</v>
      </c>
      <c r="G7" s="855" t="s">
        <v>194</v>
      </c>
      <c r="H7" s="855" t="s">
        <v>194</v>
      </c>
      <c r="I7" s="855" t="s">
        <v>194</v>
      </c>
      <c r="J7" s="855" t="s">
        <v>194</v>
      </c>
      <c r="K7" s="855" t="s">
        <v>194</v>
      </c>
      <c r="L7" s="15"/>
      <c r="M7" s="896"/>
      <c r="N7" s="896"/>
      <c r="O7" s="896"/>
      <c r="P7" s="896"/>
      <c r="Q7" s="896"/>
      <c r="R7" s="15"/>
      <c r="S7" s="851" t="s">
        <v>194</v>
      </c>
      <c r="T7" s="846" t="s">
        <v>194</v>
      </c>
      <c r="U7" s="846" t="s">
        <v>194</v>
      </c>
      <c r="V7" s="846" t="s">
        <v>194</v>
      </c>
      <c r="W7" s="846" t="s">
        <v>194</v>
      </c>
      <c r="X7" s="846" t="s">
        <v>194</v>
      </c>
      <c r="Y7" s="846" t="s">
        <v>194</v>
      </c>
      <c r="Z7" s="846" t="s">
        <v>194</v>
      </c>
      <c r="AA7" s="846" t="s">
        <v>194</v>
      </c>
      <c r="AB7" s="846" t="s">
        <v>194</v>
      </c>
      <c r="AC7" s="846" t="s">
        <v>194</v>
      </c>
      <c r="AD7" s="846" t="s">
        <v>194</v>
      </c>
      <c r="AE7" s="846" t="s">
        <v>194</v>
      </c>
      <c r="AF7" s="846" t="s">
        <v>194</v>
      </c>
      <c r="AG7" s="846" t="s">
        <v>194</v>
      </c>
      <c r="AH7" s="846" t="s">
        <v>194</v>
      </c>
      <c r="AI7" s="846" t="s">
        <v>194</v>
      </c>
      <c r="AJ7" s="846" t="s">
        <v>194</v>
      </c>
      <c r="AK7" s="846" t="s">
        <v>194</v>
      </c>
      <c r="AL7" s="846" t="s">
        <v>194</v>
      </c>
      <c r="AM7" s="846" t="s">
        <v>194</v>
      </c>
      <c r="AN7" s="846" t="s">
        <v>194</v>
      </c>
    </row>
    <row r="8">
      <c r="A8" s="849" t="s">
        <v>194</v>
      </c>
      <c r="B8" s="15"/>
      <c r="C8" s="15"/>
      <c r="D8" s="855" t="s">
        <v>194</v>
      </c>
      <c r="E8" s="855" t="s">
        <v>194</v>
      </c>
      <c r="F8" s="855" t="s">
        <v>194</v>
      </c>
      <c r="G8" s="855" t="s">
        <v>194</v>
      </c>
      <c r="H8" s="855" t="s">
        <v>194</v>
      </c>
      <c r="I8" s="855" t="s">
        <v>194</v>
      </c>
      <c r="J8" s="855" t="s">
        <v>194</v>
      </c>
      <c r="K8" s="855" t="s">
        <v>194</v>
      </c>
      <c r="L8" s="15"/>
      <c r="M8" s="898" t="s">
        <v>360</v>
      </c>
      <c r="N8" s="898" t="s">
        <v>361</v>
      </c>
      <c r="O8" s="898" t="s">
        <v>362</v>
      </c>
      <c r="P8" s="898" t="s">
        <v>362</v>
      </c>
      <c r="Q8" s="898" t="s">
        <v>362</v>
      </c>
      <c r="R8" s="15"/>
      <c r="S8" s="851" t="s">
        <v>194</v>
      </c>
      <c r="T8" s="846" t="s">
        <v>194</v>
      </c>
      <c r="U8" s="846" t="s">
        <v>194</v>
      </c>
      <c r="V8" s="846" t="s">
        <v>194</v>
      </c>
      <c r="W8" s="846" t="s">
        <v>194</v>
      </c>
      <c r="X8" s="846" t="s">
        <v>194</v>
      </c>
      <c r="Y8" s="846" t="s">
        <v>194</v>
      </c>
      <c r="Z8" s="846" t="s">
        <v>194</v>
      </c>
      <c r="AA8" s="846" t="s">
        <v>194</v>
      </c>
      <c r="AB8" s="846" t="s">
        <v>194</v>
      </c>
      <c r="AC8" s="846" t="s">
        <v>194</v>
      </c>
      <c r="AD8" s="846" t="s">
        <v>194</v>
      </c>
      <c r="AE8" s="846" t="s">
        <v>194</v>
      </c>
      <c r="AF8" s="846" t="s">
        <v>194</v>
      </c>
      <c r="AG8" s="846" t="s">
        <v>194</v>
      </c>
      <c r="AH8" s="846" t="s">
        <v>194</v>
      </c>
      <c r="AI8" s="846" t="s">
        <v>194</v>
      </c>
      <c r="AJ8" s="846" t="s">
        <v>194</v>
      </c>
      <c r="AK8" s="846" t="s">
        <v>194</v>
      </c>
      <c r="AL8" s="846" t="s">
        <v>194</v>
      </c>
      <c r="AM8" s="846" t="s">
        <v>194</v>
      </c>
      <c r="AN8" s="846" t="s">
        <v>194</v>
      </c>
    </row>
    <row r="9">
      <c r="A9" s="849" t="s">
        <v>194</v>
      </c>
      <c r="B9" s="15"/>
      <c r="C9" s="15"/>
      <c r="D9" s="855" t="s">
        <v>194</v>
      </c>
      <c r="E9" s="855" t="s">
        <v>194</v>
      </c>
      <c r="F9" s="855" t="s">
        <v>194</v>
      </c>
      <c r="G9" s="855" t="s">
        <v>194</v>
      </c>
      <c r="H9" s="855" t="s">
        <v>194</v>
      </c>
      <c r="I9" s="855" t="s">
        <v>194</v>
      </c>
      <c r="J9" s="855" t="s">
        <v>194</v>
      </c>
      <c r="K9" s="855" t="s">
        <v>194</v>
      </c>
      <c r="L9" s="15"/>
      <c r="M9" s="992" t="str">
        <f>HYPERLINK("https://my.pitchbook.com/profile/52157-62/company/financials?reportId=31304162465&amp;financialGroup=KEY_METRICS&amp;period=ANN&amp;exchangeId=NAS&amp;exchangeSymbol=IRTC", "View 10-K")</f>
        <v>View 10-K</v>
      </c>
      <c r="N9" s="992" t="str">
        <f>HYPERLINK("https://my.pitchbook.com/profile/52157-62/company/financials?reportId=31304162529&amp;financialGroup=KEY_METRICS&amp;period=ANN&amp;exchangeId=NAS&amp;exchangeSymbol=IRTC", "View IPO-A")</f>
        <v>View IPO-A</v>
      </c>
      <c r="O9" s="992" t="str">
        <f>HYPERLINK("https://my.pitchbook.com/profile/52157-62/company/financials?reportId=31304162593&amp;financialGroup=KEY_METRICS&amp;period=ANN&amp;exchangeId=NAS&amp;exchangeSymbol=IRTC", "View 10-K")</f>
        <v>View 10-K</v>
      </c>
      <c r="P9" s="992" t="str">
        <f>HYPERLINK("https://my.pitchbook.com/profile/52157-62/company/financials?reportId=31304162657&amp;financialGroup=KEY_METRICS&amp;period=ANN&amp;exchangeId=NAS&amp;exchangeSymbol=IRTC", "View 10-K")</f>
        <v>View 10-K</v>
      </c>
      <c r="Q9" s="992" t="str">
        <f>HYPERLINK("https://my.pitchbook.com/profile/52157-62/company/financials?reportId=31304162721&amp;financialGroup=KEY_METRICS&amp;period=ANN&amp;exchangeId=NAS&amp;exchangeSymbol=IRTC", "View 10-K")</f>
        <v>View 10-K</v>
      </c>
      <c r="R9" s="15"/>
      <c r="S9" s="851" t="s">
        <v>194</v>
      </c>
      <c r="T9" s="846" t="s">
        <v>194</v>
      </c>
      <c r="U9" s="846" t="s">
        <v>194</v>
      </c>
      <c r="V9" s="846" t="s">
        <v>194</v>
      </c>
      <c r="W9" s="846" t="s">
        <v>194</v>
      </c>
      <c r="X9" s="846" t="s">
        <v>194</v>
      </c>
      <c r="Y9" s="846" t="s">
        <v>194</v>
      </c>
      <c r="Z9" s="846" t="s">
        <v>194</v>
      </c>
      <c r="AA9" s="846" t="s">
        <v>194</v>
      </c>
      <c r="AB9" s="846" t="s">
        <v>194</v>
      </c>
      <c r="AC9" s="846" t="s">
        <v>194</v>
      </c>
      <c r="AD9" s="846" t="s">
        <v>194</v>
      </c>
      <c r="AE9" s="846" t="s">
        <v>194</v>
      </c>
      <c r="AF9" s="846" t="s">
        <v>194</v>
      </c>
      <c r="AG9" s="846" t="s">
        <v>194</v>
      </c>
      <c r="AH9" s="846" t="s">
        <v>194</v>
      </c>
      <c r="AI9" s="846" t="s">
        <v>194</v>
      </c>
      <c r="AJ9" s="846" t="s">
        <v>194</v>
      </c>
      <c r="AK9" s="846" t="s">
        <v>194</v>
      </c>
      <c r="AL9" s="846" t="s">
        <v>194</v>
      </c>
      <c r="AM9" s="846" t="s">
        <v>194</v>
      </c>
      <c r="AN9" s="846" t="s">
        <v>194</v>
      </c>
    </row>
    <row r="10">
      <c r="A10" s="849">
        <v>1.0</v>
      </c>
      <c r="B10" s="15"/>
      <c r="C10" s="855" t="str">
        <f>"Income Statement"</f>
        <v>Income Statement</v>
      </c>
      <c r="D10" s="867" t="s">
        <v>194</v>
      </c>
      <c r="E10" s="867" t="s">
        <v>194</v>
      </c>
      <c r="F10" s="867" t="s">
        <v>194</v>
      </c>
      <c r="G10" s="867" t="s">
        <v>194</v>
      </c>
      <c r="H10" s="867" t="s">
        <v>194</v>
      </c>
      <c r="I10" s="867" t="s">
        <v>194</v>
      </c>
      <c r="J10" s="867" t="s">
        <v>194</v>
      </c>
      <c r="K10" s="867" t="s">
        <v>194</v>
      </c>
      <c r="L10" s="867" t="s">
        <v>194</v>
      </c>
      <c r="M10" s="927">
        <v>2014.0</v>
      </c>
      <c r="N10" s="927">
        <v>2015.0</v>
      </c>
      <c r="O10" s="927">
        <v>2016.0</v>
      </c>
      <c r="P10" s="927">
        <v>2017.0</v>
      </c>
      <c r="Q10" s="927">
        <v>2018.0</v>
      </c>
      <c r="R10" s="15"/>
      <c r="S10" s="851" t="s">
        <v>194</v>
      </c>
      <c r="T10" s="846" t="s">
        <v>194</v>
      </c>
      <c r="U10" s="846" t="s">
        <v>194</v>
      </c>
      <c r="V10" s="846" t="s">
        <v>194</v>
      </c>
      <c r="W10" s="846" t="s">
        <v>194</v>
      </c>
      <c r="X10" s="846" t="s">
        <v>194</v>
      </c>
      <c r="Y10" s="846" t="s">
        <v>194</v>
      </c>
      <c r="Z10" s="846" t="s">
        <v>194</v>
      </c>
      <c r="AA10" s="846" t="s">
        <v>194</v>
      </c>
      <c r="AB10" s="846" t="s">
        <v>194</v>
      </c>
      <c r="AC10" s="846" t="s">
        <v>194</v>
      </c>
      <c r="AD10" s="846" t="s">
        <v>194</v>
      </c>
      <c r="AE10" s="846" t="s">
        <v>194</v>
      </c>
      <c r="AF10" s="846" t="s">
        <v>194</v>
      </c>
      <c r="AG10" s="846" t="s">
        <v>194</v>
      </c>
      <c r="AH10" s="846" t="s">
        <v>194</v>
      </c>
      <c r="AI10" s="846" t="s">
        <v>194</v>
      </c>
      <c r="AJ10" s="846" t="s">
        <v>194</v>
      </c>
      <c r="AK10" s="846" t="s">
        <v>194</v>
      </c>
      <c r="AL10" s="846" t="s">
        <v>194</v>
      </c>
      <c r="AM10" s="846" t="s">
        <v>194</v>
      </c>
      <c r="AN10" s="846" t="s">
        <v>194</v>
      </c>
    </row>
    <row r="11">
      <c r="A11" s="905">
        <v>1.0</v>
      </c>
      <c r="B11" s="906"/>
      <c r="C11" s="912" t="str">
        <f>"    Total Revenue"</f>
        <v>    Total Revenue</v>
      </c>
      <c r="D11" s="913">
        <f t="shared" ref="D11:D21" si="1">IF(COUNT(M11:Q11)&gt;0,MEDIAN(M11:Q11),"")</f>
        <v>64072</v>
      </c>
      <c r="E11" s="913">
        <f t="shared" ref="E11:E21" si="2">IF(COUNT(M11:Q11)&gt;0,AVERAGE(M11:Q11),"")</f>
        <v>73552.6</v>
      </c>
      <c r="F11" s="913">
        <f t="shared" ref="F11:F21" si="3">IF(COUNT(M11:Q11)&gt;0,MIN(M11:Q11),"")</f>
        <v>21749</v>
      </c>
      <c r="G11" s="913">
        <f t="shared" ref="G11:G21" si="4">IF(COUNT(M11:Q11)&gt;0,MAX(M11:Q11),"")</f>
        <v>147293</v>
      </c>
      <c r="H11" s="913">
        <f t="shared" ref="H11:H21" si="5">IF(COUNT(M11:Q11)&gt;0,QUARTILE(M11:Q11,1),"")</f>
        <v>36140</v>
      </c>
      <c r="I11" s="913">
        <f t="shared" ref="I11:I21" si="6">IF(COUNT(M11:Q11)&gt;0,QUARTILE(M11:Q11,3),"")</f>
        <v>98509</v>
      </c>
      <c r="J11" s="913">
        <f t="shared" ref="J11:J21" si="7">IF(COUNT(M11:Q11)&gt;1,STDEV(M11:Q11),"")</f>
        <v>50580.79152</v>
      </c>
      <c r="K11" s="914">
        <f t="shared" ref="K11:K21" si="8">IF(COUNT(M11:Q11)&gt;1,STDEV(M11:Q11)/AVERAGE(M11:Q11),"")</f>
        <v>0.6876818972</v>
      </c>
      <c r="L11" s="913" t="s">
        <v>194</v>
      </c>
      <c r="M11" s="913">
        <v>21749.0</v>
      </c>
      <c r="N11" s="913">
        <v>36140.0</v>
      </c>
      <c r="O11" s="913">
        <v>64072.0</v>
      </c>
      <c r="P11" s="913">
        <v>98509.0</v>
      </c>
      <c r="Q11" s="913">
        <v>147293.0</v>
      </c>
      <c r="R11" s="906"/>
      <c r="S11" s="911" t="s">
        <v>194</v>
      </c>
      <c r="T11" s="906" t="s">
        <v>194</v>
      </c>
      <c r="U11" s="906" t="s">
        <v>194</v>
      </c>
      <c r="V11" s="906" t="s">
        <v>194</v>
      </c>
      <c r="W11" s="906" t="s">
        <v>194</v>
      </c>
      <c r="X11" s="906" t="s">
        <v>194</v>
      </c>
      <c r="Y11" s="906" t="s">
        <v>194</v>
      </c>
      <c r="Z11" s="906" t="s">
        <v>194</v>
      </c>
      <c r="AA11" s="906" t="s">
        <v>194</v>
      </c>
      <c r="AB11" s="906" t="s">
        <v>194</v>
      </c>
      <c r="AC11" s="906" t="s">
        <v>194</v>
      </c>
      <c r="AD11" s="906" t="s">
        <v>194</v>
      </c>
      <c r="AE11" s="906" t="s">
        <v>194</v>
      </c>
      <c r="AF11" s="906" t="s">
        <v>194</v>
      </c>
      <c r="AG11" s="906" t="s">
        <v>194</v>
      </c>
      <c r="AH11" s="906" t="s">
        <v>194</v>
      </c>
      <c r="AI11" s="906" t="s">
        <v>194</v>
      </c>
      <c r="AJ11" s="906" t="s">
        <v>194</v>
      </c>
      <c r="AK11" s="906" t="s">
        <v>194</v>
      </c>
      <c r="AL11" s="906" t="s">
        <v>194</v>
      </c>
      <c r="AM11" s="906" t="s">
        <v>194</v>
      </c>
      <c r="AN11" s="906" t="s">
        <v>194</v>
      </c>
    </row>
    <row r="12">
      <c r="A12" s="905">
        <v>1.0</v>
      </c>
      <c r="B12" s="906"/>
      <c r="C12" s="912" t="str">
        <f>"    Gross Profit"</f>
        <v>    Gross Profit</v>
      </c>
      <c r="D12" s="913">
        <f t="shared" si="1"/>
        <v>43189</v>
      </c>
      <c r="E12" s="913">
        <f t="shared" si="2"/>
        <v>51060.4</v>
      </c>
      <c r="F12" s="913">
        <f t="shared" si="3"/>
        <v>11158</v>
      </c>
      <c r="G12" s="913">
        <f t="shared" si="4"/>
        <v>108714</v>
      </c>
      <c r="H12" s="913">
        <f t="shared" si="5"/>
        <v>21440</v>
      </c>
      <c r="I12" s="913">
        <f t="shared" si="6"/>
        <v>70801</v>
      </c>
      <c r="J12" s="913">
        <f t="shared" si="7"/>
        <v>39513.15427</v>
      </c>
      <c r="K12" s="914">
        <f t="shared" si="8"/>
        <v>0.7738512481</v>
      </c>
      <c r="L12" s="913" t="s">
        <v>194</v>
      </c>
      <c r="M12" s="913">
        <v>11158.0</v>
      </c>
      <c r="N12" s="913">
        <v>21440.0</v>
      </c>
      <c r="O12" s="913">
        <v>43189.0</v>
      </c>
      <c r="P12" s="913">
        <v>70801.0</v>
      </c>
      <c r="Q12" s="913">
        <v>108714.0</v>
      </c>
      <c r="R12" s="906"/>
      <c r="S12" s="911" t="s">
        <v>194</v>
      </c>
      <c r="T12" s="906" t="s">
        <v>194</v>
      </c>
      <c r="U12" s="906" t="s">
        <v>194</v>
      </c>
      <c r="V12" s="906" t="s">
        <v>194</v>
      </c>
      <c r="W12" s="906" t="s">
        <v>194</v>
      </c>
      <c r="X12" s="906" t="s">
        <v>194</v>
      </c>
      <c r="Y12" s="906" t="s">
        <v>194</v>
      </c>
      <c r="Z12" s="906" t="s">
        <v>194</v>
      </c>
      <c r="AA12" s="906" t="s">
        <v>194</v>
      </c>
      <c r="AB12" s="906" t="s">
        <v>194</v>
      </c>
      <c r="AC12" s="906" t="s">
        <v>194</v>
      </c>
      <c r="AD12" s="906" t="s">
        <v>194</v>
      </c>
      <c r="AE12" s="906" t="s">
        <v>194</v>
      </c>
      <c r="AF12" s="906" t="s">
        <v>194</v>
      </c>
      <c r="AG12" s="906" t="s">
        <v>194</v>
      </c>
      <c r="AH12" s="906" t="s">
        <v>194</v>
      </c>
      <c r="AI12" s="906" t="s">
        <v>194</v>
      </c>
      <c r="AJ12" s="906" t="s">
        <v>194</v>
      </c>
      <c r="AK12" s="906" t="s">
        <v>194</v>
      </c>
      <c r="AL12" s="906" t="s">
        <v>194</v>
      </c>
      <c r="AM12" s="906" t="s">
        <v>194</v>
      </c>
      <c r="AN12" s="906" t="s">
        <v>194</v>
      </c>
    </row>
    <row r="13">
      <c r="A13" s="849">
        <v>1.0</v>
      </c>
      <c r="B13" s="15"/>
      <c r="C13" s="869" t="str">
        <f>"    Total Operating Profit/(Loss)"</f>
        <v>    Total Operating Profit/(Loss)</v>
      </c>
      <c r="D13" s="870">
        <f t="shared" si="1"/>
        <v>-21631</v>
      </c>
      <c r="E13" s="870">
        <f t="shared" si="2"/>
        <v>-24573.4</v>
      </c>
      <c r="F13" s="870">
        <f t="shared" si="3"/>
        <v>-43618</v>
      </c>
      <c r="G13" s="870">
        <f t="shared" si="4"/>
        <v>-14765</v>
      </c>
      <c r="H13" s="870">
        <f t="shared" si="5"/>
        <v>-27271</v>
      </c>
      <c r="I13" s="870">
        <f t="shared" si="6"/>
        <v>-15582</v>
      </c>
      <c r="J13" s="870">
        <f t="shared" si="7"/>
        <v>11786.44918</v>
      </c>
      <c r="K13" s="871">
        <f t="shared" si="8"/>
        <v>-0.4796425884</v>
      </c>
      <c r="L13" s="872" t="s">
        <v>194</v>
      </c>
      <c r="M13" s="904">
        <v>-14765.0</v>
      </c>
      <c r="N13" s="904">
        <v>-21631.0</v>
      </c>
      <c r="O13" s="904">
        <v>-15582.0</v>
      </c>
      <c r="P13" s="904">
        <v>-27271.0</v>
      </c>
      <c r="Q13" s="904">
        <v>-43618.0</v>
      </c>
      <c r="R13" s="15"/>
      <c r="S13" s="851" t="s">
        <v>194</v>
      </c>
      <c r="T13" s="846" t="s">
        <v>194</v>
      </c>
      <c r="U13" s="846" t="s">
        <v>194</v>
      </c>
      <c r="V13" s="846" t="s">
        <v>194</v>
      </c>
      <c r="W13" s="846" t="s">
        <v>194</v>
      </c>
      <c r="X13" s="846" t="s">
        <v>194</v>
      </c>
      <c r="Y13" s="846" t="s">
        <v>194</v>
      </c>
      <c r="Z13" s="846" t="s">
        <v>194</v>
      </c>
      <c r="AA13" s="846" t="s">
        <v>194</v>
      </c>
      <c r="AB13" s="846" t="s">
        <v>194</v>
      </c>
      <c r="AC13" s="846" t="s">
        <v>194</v>
      </c>
      <c r="AD13" s="846" t="s">
        <v>194</v>
      </c>
      <c r="AE13" s="846" t="s">
        <v>194</v>
      </c>
      <c r="AF13" s="846" t="s">
        <v>194</v>
      </c>
      <c r="AG13" s="846" t="s">
        <v>194</v>
      </c>
      <c r="AH13" s="846" t="s">
        <v>194</v>
      </c>
      <c r="AI13" s="846" t="s">
        <v>194</v>
      </c>
      <c r="AJ13" s="846" t="s">
        <v>194</v>
      </c>
      <c r="AK13" s="846" t="s">
        <v>194</v>
      </c>
      <c r="AL13" s="846" t="s">
        <v>194</v>
      </c>
      <c r="AM13" s="846" t="s">
        <v>194</v>
      </c>
      <c r="AN13" s="846" t="s">
        <v>194</v>
      </c>
    </row>
    <row r="14">
      <c r="A14" s="905">
        <v>1.0</v>
      </c>
      <c r="B14" s="906"/>
      <c r="C14" s="912" t="str">
        <f>"    Earnings Before Interest, Tax, Depreciation, &amp; Amortization (EBITDA)"</f>
        <v>    Earnings Before Interest, Tax, Depreciation, &amp; Amortization (EBITDA)</v>
      </c>
      <c r="D14" s="913">
        <f t="shared" si="1"/>
        <v>-21248</v>
      </c>
      <c r="E14" s="913">
        <f t="shared" si="2"/>
        <v>-24088</v>
      </c>
      <c r="F14" s="913">
        <f t="shared" si="3"/>
        <v>-42852</v>
      </c>
      <c r="G14" s="913">
        <f t="shared" si="4"/>
        <v>-14816</v>
      </c>
      <c r="H14" s="913">
        <f t="shared" si="5"/>
        <v>-24437</v>
      </c>
      <c r="I14" s="913">
        <f t="shared" si="6"/>
        <v>-17087</v>
      </c>
      <c r="J14" s="913">
        <f t="shared" si="7"/>
        <v>11127.20857</v>
      </c>
      <c r="K14" s="914">
        <f t="shared" si="8"/>
        <v>-0.4619399106</v>
      </c>
      <c r="L14" s="913" t="s">
        <v>194</v>
      </c>
      <c r="M14" s="913">
        <v>-14816.0</v>
      </c>
      <c r="N14" s="913">
        <v>-21248.0</v>
      </c>
      <c r="O14" s="913">
        <v>-17087.0</v>
      </c>
      <c r="P14" s="913">
        <v>-24437.0</v>
      </c>
      <c r="Q14" s="913">
        <v>-42852.0</v>
      </c>
      <c r="R14" s="906"/>
      <c r="S14" s="911" t="s">
        <v>194</v>
      </c>
      <c r="T14" s="906" t="s">
        <v>194</v>
      </c>
      <c r="U14" s="906" t="s">
        <v>194</v>
      </c>
      <c r="V14" s="906" t="s">
        <v>194</v>
      </c>
      <c r="W14" s="906" t="s">
        <v>194</v>
      </c>
      <c r="X14" s="906" t="s">
        <v>194</v>
      </c>
      <c r="Y14" s="906" t="s">
        <v>194</v>
      </c>
      <c r="Z14" s="906" t="s">
        <v>194</v>
      </c>
      <c r="AA14" s="906" t="s">
        <v>194</v>
      </c>
      <c r="AB14" s="906" t="s">
        <v>194</v>
      </c>
      <c r="AC14" s="906" t="s">
        <v>194</v>
      </c>
      <c r="AD14" s="906" t="s">
        <v>194</v>
      </c>
      <c r="AE14" s="906" t="s">
        <v>194</v>
      </c>
      <c r="AF14" s="906" t="s">
        <v>194</v>
      </c>
      <c r="AG14" s="906" t="s">
        <v>194</v>
      </c>
      <c r="AH14" s="906" t="s">
        <v>194</v>
      </c>
      <c r="AI14" s="906" t="s">
        <v>194</v>
      </c>
      <c r="AJ14" s="906" t="s">
        <v>194</v>
      </c>
      <c r="AK14" s="906" t="s">
        <v>194</v>
      </c>
      <c r="AL14" s="906" t="s">
        <v>194</v>
      </c>
      <c r="AM14" s="906" t="s">
        <v>194</v>
      </c>
      <c r="AN14" s="906" t="s">
        <v>194</v>
      </c>
    </row>
    <row r="15">
      <c r="A15" s="905">
        <v>1.0</v>
      </c>
      <c r="B15" s="906"/>
      <c r="C15" s="912" t="str">
        <f>"    Earnings Before Interest and Tax (EBIT)"</f>
        <v>    Earnings Before Interest and Tax (EBIT)</v>
      </c>
      <c r="D15" s="913">
        <f t="shared" si="1"/>
        <v>-21740</v>
      </c>
      <c r="E15" s="913">
        <f t="shared" si="2"/>
        <v>-25121.6</v>
      </c>
      <c r="F15" s="913">
        <f t="shared" si="3"/>
        <v>-45121</v>
      </c>
      <c r="G15" s="913">
        <f t="shared" si="4"/>
        <v>-15058</v>
      </c>
      <c r="H15" s="913">
        <f t="shared" si="5"/>
        <v>-26034</v>
      </c>
      <c r="I15" s="913">
        <f t="shared" si="6"/>
        <v>-17655</v>
      </c>
      <c r="J15" s="913">
        <f t="shared" si="7"/>
        <v>11929.68832</v>
      </c>
      <c r="K15" s="914">
        <f t="shared" si="8"/>
        <v>-0.4748777273</v>
      </c>
      <c r="L15" s="913" t="s">
        <v>194</v>
      </c>
      <c r="M15" s="913">
        <v>-15058.0</v>
      </c>
      <c r="N15" s="913">
        <v>-21740.0</v>
      </c>
      <c r="O15" s="913">
        <v>-17655.0</v>
      </c>
      <c r="P15" s="913">
        <v>-26034.0</v>
      </c>
      <c r="Q15" s="913">
        <v>-45121.0</v>
      </c>
      <c r="R15" s="906"/>
      <c r="S15" s="911" t="s">
        <v>194</v>
      </c>
      <c r="T15" s="906" t="s">
        <v>194</v>
      </c>
      <c r="U15" s="906" t="s">
        <v>194</v>
      </c>
      <c r="V15" s="906" t="s">
        <v>194</v>
      </c>
      <c r="W15" s="906" t="s">
        <v>194</v>
      </c>
      <c r="X15" s="906" t="s">
        <v>194</v>
      </c>
      <c r="Y15" s="906" t="s">
        <v>194</v>
      </c>
      <c r="Z15" s="906" t="s">
        <v>194</v>
      </c>
      <c r="AA15" s="906" t="s">
        <v>194</v>
      </c>
      <c r="AB15" s="906" t="s">
        <v>194</v>
      </c>
      <c r="AC15" s="906" t="s">
        <v>194</v>
      </c>
      <c r="AD15" s="906" t="s">
        <v>194</v>
      </c>
      <c r="AE15" s="906" t="s">
        <v>194</v>
      </c>
      <c r="AF15" s="906" t="s">
        <v>194</v>
      </c>
      <c r="AG15" s="906" t="s">
        <v>194</v>
      </c>
      <c r="AH15" s="906" t="s">
        <v>194</v>
      </c>
      <c r="AI15" s="906" t="s">
        <v>194</v>
      </c>
      <c r="AJ15" s="906" t="s">
        <v>194</v>
      </c>
      <c r="AK15" s="906" t="s">
        <v>194</v>
      </c>
      <c r="AL15" s="906" t="s">
        <v>194</v>
      </c>
      <c r="AM15" s="906" t="s">
        <v>194</v>
      </c>
      <c r="AN15" s="906" t="s">
        <v>194</v>
      </c>
    </row>
    <row r="16">
      <c r="A16" s="849">
        <v>1.0</v>
      </c>
      <c r="B16" s="15"/>
      <c r="C16" s="869" t="str">
        <f>"    Net Income from Continuing Operations"</f>
        <v>    Net Income from Continuing Operations</v>
      </c>
      <c r="D16" s="870">
        <f t="shared" si="1"/>
        <v>-22799</v>
      </c>
      <c r="E16" s="870">
        <f t="shared" si="2"/>
        <v>-27446.8</v>
      </c>
      <c r="F16" s="870">
        <f t="shared" si="3"/>
        <v>-48280</v>
      </c>
      <c r="G16" s="870">
        <f t="shared" si="4"/>
        <v>-15832</v>
      </c>
      <c r="H16" s="870">
        <f t="shared" si="5"/>
        <v>-29420</v>
      </c>
      <c r="I16" s="870">
        <f t="shared" si="6"/>
        <v>-20903</v>
      </c>
      <c r="J16" s="870">
        <f t="shared" si="7"/>
        <v>12621.8331</v>
      </c>
      <c r="K16" s="871">
        <f t="shared" si="8"/>
        <v>-0.4598653794</v>
      </c>
      <c r="L16" s="872" t="s">
        <v>194</v>
      </c>
      <c r="M16" s="904">
        <v>-15832.0</v>
      </c>
      <c r="N16" s="904">
        <v>-22799.0</v>
      </c>
      <c r="O16" s="904">
        <v>-20903.0</v>
      </c>
      <c r="P16" s="904">
        <v>-29420.0</v>
      </c>
      <c r="Q16" s="904">
        <v>-48280.0</v>
      </c>
      <c r="R16" s="15"/>
      <c r="S16" s="851" t="s">
        <v>194</v>
      </c>
      <c r="T16" s="846" t="s">
        <v>194</v>
      </c>
      <c r="U16" s="846" t="s">
        <v>194</v>
      </c>
      <c r="V16" s="846" t="s">
        <v>194</v>
      </c>
      <c r="W16" s="846" t="s">
        <v>194</v>
      </c>
      <c r="X16" s="846" t="s">
        <v>194</v>
      </c>
      <c r="Y16" s="846" t="s">
        <v>194</v>
      </c>
      <c r="Z16" s="846" t="s">
        <v>194</v>
      </c>
      <c r="AA16" s="846" t="s">
        <v>194</v>
      </c>
      <c r="AB16" s="846" t="s">
        <v>194</v>
      </c>
      <c r="AC16" s="846" t="s">
        <v>194</v>
      </c>
      <c r="AD16" s="846" t="s">
        <v>194</v>
      </c>
      <c r="AE16" s="846" t="s">
        <v>194</v>
      </c>
      <c r="AF16" s="846" t="s">
        <v>194</v>
      </c>
      <c r="AG16" s="846" t="s">
        <v>194</v>
      </c>
      <c r="AH16" s="846" t="s">
        <v>194</v>
      </c>
      <c r="AI16" s="846" t="s">
        <v>194</v>
      </c>
      <c r="AJ16" s="846" t="s">
        <v>194</v>
      </c>
      <c r="AK16" s="846" t="s">
        <v>194</v>
      </c>
      <c r="AL16" s="846" t="s">
        <v>194</v>
      </c>
      <c r="AM16" s="846" t="s">
        <v>194</v>
      </c>
      <c r="AN16" s="846" t="s">
        <v>194</v>
      </c>
    </row>
    <row r="17">
      <c r="A17" s="849">
        <v>1.0</v>
      </c>
      <c r="B17" s="15"/>
      <c r="C17" s="869" t="str">
        <f>"    Net Income Available to Common Stockholders"</f>
        <v>    Net Income Available to Common Stockholders</v>
      </c>
      <c r="D17" s="870">
        <f t="shared" si="1"/>
        <v>-22799</v>
      </c>
      <c r="E17" s="870">
        <f t="shared" si="2"/>
        <v>-27446.8</v>
      </c>
      <c r="F17" s="870">
        <f t="shared" si="3"/>
        <v>-48280</v>
      </c>
      <c r="G17" s="870">
        <f t="shared" si="4"/>
        <v>-15832</v>
      </c>
      <c r="H17" s="870">
        <f t="shared" si="5"/>
        <v>-29420</v>
      </c>
      <c r="I17" s="870">
        <f t="shared" si="6"/>
        <v>-20903</v>
      </c>
      <c r="J17" s="870">
        <f t="shared" si="7"/>
        <v>12621.8331</v>
      </c>
      <c r="K17" s="871">
        <f t="shared" si="8"/>
        <v>-0.4598653794</v>
      </c>
      <c r="L17" s="872" t="s">
        <v>194</v>
      </c>
      <c r="M17" s="904">
        <v>-15832.0</v>
      </c>
      <c r="N17" s="904">
        <v>-22799.0</v>
      </c>
      <c r="O17" s="904">
        <v>-20903.0</v>
      </c>
      <c r="P17" s="904">
        <v>-29420.0</v>
      </c>
      <c r="Q17" s="904">
        <v>-48280.0</v>
      </c>
      <c r="R17" s="15"/>
      <c r="S17" s="851" t="s">
        <v>194</v>
      </c>
      <c r="T17" s="846" t="s">
        <v>194</v>
      </c>
      <c r="U17" s="846" t="s">
        <v>194</v>
      </c>
      <c r="V17" s="846" t="s">
        <v>194</v>
      </c>
      <c r="W17" s="846" t="s">
        <v>194</v>
      </c>
      <c r="X17" s="846" t="s">
        <v>194</v>
      </c>
      <c r="Y17" s="846" t="s">
        <v>194</v>
      </c>
      <c r="Z17" s="846" t="s">
        <v>194</v>
      </c>
      <c r="AA17" s="846" t="s">
        <v>194</v>
      </c>
      <c r="AB17" s="846" t="s">
        <v>194</v>
      </c>
      <c r="AC17" s="846" t="s">
        <v>194</v>
      </c>
      <c r="AD17" s="846" t="s">
        <v>194</v>
      </c>
      <c r="AE17" s="846" t="s">
        <v>194</v>
      </c>
      <c r="AF17" s="846" t="s">
        <v>194</v>
      </c>
      <c r="AG17" s="846" t="s">
        <v>194</v>
      </c>
      <c r="AH17" s="846" t="s">
        <v>194</v>
      </c>
      <c r="AI17" s="846" t="s">
        <v>194</v>
      </c>
      <c r="AJ17" s="846" t="s">
        <v>194</v>
      </c>
      <c r="AK17" s="846" t="s">
        <v>194</v>
      </c>
      <c r="AL17" s="846" t="s">
        <v>194</v>
      </c>
      <c r="AM17" s="846" t="s">
        <v>194</v>
      </c>
      <c r="AN17" s="846" t="s">
        <v>194</v>
      </c>
    </row>
    <row r="18">
      <c r="A18" s="849">
        <v>1.0</v>
      </c>
      <c r="B18" s="15"/>
      <c r="C18" s="869" t="str">
        <f>"    Normalized Income"</f>
        <v>    Normalized Income</v>
      </c>
      <c r="D18" s="870">
        <f t="shared" si="1"/>
        <v>-22789</v>
      </c>
      <c r="E18" s="870">
        <f t="shared" si="2"/>
        <v>-26988.416</v>
      </c>
      <c r="F18" s="870">
        <f t="shared" si="3"/>
        <v>-46014.08</v>
      </c>
      <c r="G18" s="870">
        <f t="shared" si="4"/>
        <v>-15825</v>
      </c>
      <c r="H18" s="870">
        <f t="shared" si="5"/>
        <v>-29411</v>
      </c>
      <c r="I18" s="870">
        <f t="shared" si="6"/>
        <v>-20903</v>
      </c>
      <c r="J18" s="870">
        <f t="shared" si="7"/>
        <v>11695.4483</v>
      </c>
      <c r="K18" s="871">
        <f t="shared" si="8"/>
        <v>-0.4333506752</v>
      </c>
      <c r="L18" s="872" t="s">
        <v>194</v>
      </c>
      <c r="M18" s="904">
        <v>-15825.0</v>
      </c>
      <c r="N18" s="904">
        <v>-22789.0</v>
      </c>
      <c r="O18" s="904">
        <v>-20903.0</v>
      </c>
      <c r="P18" s="904">
        <v>-29411.0</v>
      </c>
      <c r="Q18" s="904">
        <v>-46014.08</v>
      </c>
      <c r="R18" s="15"/>
      <c r="S18" s="851" t="s">
        <v>194</v>
      </c>
      <c r="T18" s="846" t="s">
        <v>194</v>
      </c>
      <c r="U18" s="846" t="s">
        <v>194</v>
      </c>
      <c r="V18" s="846" t="s">
        <v>194</v>
      </c>
      <c r="W18" s="846" t="s">
        <v>194</v>
      </c>
      <c r="X18" s="846" t="s">
        <v>194</v>
      </c>
      <c r="Y18" s="846" t="s">
        <v>194</v>
      </c>
      <c r="Z18" s="846" t="s">
        <v>194</v>
      </c>
      <c r="AA18" s="846" t="s">
        <v>194</v>
      </c>
      <c r="AB18" s="846" t="s">
        <v>194</v>
      </c>
      <c r="AC18" s="846" t="s">
        <v>194</v>
      </c>
      <c r="AD18" s="846" t="s">
        <v>194</v>
      </c>
      <c r="AE18" s="846" t="s">
        <v>194</v>
      </c>
      <c r="AF18" s="846" t="s">
        <v>194</v>
      </c>
      <c r="AG18" s="846" t="s">
        <v>194</v>
      </c>
      <c r="AH18" s="846" t="s">
        <v>194</v>
      </c>
      <c r="AI18" s="846" t="s">
        <v>194</v>
      </c>
      <c r="AJ18" s="846" t="s">
        <v>194</v>
      </c>
      <c r="AK18" s="846" t="s">
        <v>194</v>
      </c>
      <c r="AL18" s="846" t="s">
        <v>194</v>
      </c>
      <c r="AM18" s="846" t="s">
        <v>194</v>
      </c>
      <c r="AN18" s="846" t="s">
        <v>194</v>
      </c>
    </row>
    <row r="19">
      <c r="A19" s="849">
        <v>1.0</v>
      </c>
      <c r="B19" s="15"/>
      <c r="C19" s="869" t="str">
        <f>"    Diluted EPS from Continuing Operations"</f>
        <v>    Diluted EPS from Continuing Operations</v>
      </c>
      <c r="D19" s="871">
        <f t="shared" si="1"/>
        <v>-1.795</v>
      </c>
      <c r="E19" s="871">
        <f t="shared" si="2"/>
        <v>-2.21</v>
      </c>
      <c r="F19" s="871">
        <f t="shared" si="3"/>
        <v>-3.95</v>
      </c>
      <c r="G19" s="871">
        <f t="shared" si="4"/>
        <v>-1.3</v>
      </c>
      <c r="H19" s="871">
        <f t="shared" si="5"/>
        <v>-2.5025</v>
      </c>
      <c r="I19" s="871">
        <f t="shared" si="6"/>
        <v>-1.5025</v>
      </c>
      <c r="J19" s="871">
        <f t="shared" si="7"/>
        <v>1.19741388</v>
      </c>
      <c r="K19" s="871">
        <f t="shared" si="8"/>
        <v>-0.5418162353</v>
      </c>
      <c r="L19" s="928" t="s">
        <v>194</v>
      </c>
      <c r="M19" s="929" t="s">
        <v>194</v>
      </c>
      <c r="N19" s="929">
        <v>-1.57</v>
      </c>
      <c r="O19" s="929">
        <v>-3.95</v>
      </c>
      <c r="P19" s="929">
        <v>-1.3</v>
      </c>
      <c r="Q19" s="929">
        <v>-2.02</v>
      </c>
      <c r="R19" s="15"/>
      <c r="S19" s="851" t="s">
        <v>194</v>
      </c>
      <c r="T19" s="846" t="s">
        <v>194</v>
      </c>
      <c r="U19" s="846" t="s">
        <v>194</v>
      </c>
      <c r="V19" s="846" t="s">
        <v>194</v>
      </c>
      <c r="W19" s="846" t="s">
        <v>194</v>
      </c>
      <c r="X19" s="846" t="s">
        <v>194</v>
      </c>
      <c r="Y19" s="846" t="s">
        <v>194</v>
      </c>
      <c r="Z19" s="846" t="s">
        <v>194</v>
      </c>
      <c r="AA19" s="846" t="s">
        <v>194</v>
      </c>
      <c r="AB19" s="846" t="s">
        <v>194</v>
      </c>
      <c r="AC19" s="846" t="s">
        <v>194</v>
      </c>
      <c r="AD19" s="846" t="s">
        <v>194</v>
      </c>
      <c r="AE19" s="846" t="s">
        <v>194</v>
      </c>
      <c r="AF19" s="846" t="s">
        <v>194</v>
      </c>
      <c r="AG19" s="846" t="s">
        <v>194</v>
      </c>
      <c r="AH19" s="846" t="s">
        <v>194</v>
      </c>
      <c r="AI19" s="846" t="s">
        <v>194</v>
      </c>
      <c r="AJ19" s="846" t="s">
        <v>194</v>
      </c>
      <c r="AK19" s="846" t="s">
        <v>194</v>
      </c>
      <c r="AL19" s="846" t="s">
        <v>194</v>
      </c>
      <c r="AM19" s="846" t="s">
        <v>194</v>
      </c>
      <c r="AN19" s="846" t="s">
        <v>194</v>
      </c>
    </row>
    <row r="20">
      <c r="A20" s="849">
        <v>1.0</v>
      </c>
      <c r="B20" s="15"/>
      <c r="C20" s="869" t="str">
        <f>"    Normalized Diluted EPS"</f>
        <v>    Normalized Diluted EPS</v>
      </c>
      <c r="D20" s="871">
        <f t="shared" si="1"/>
        <v>-1.747221188</v>
      </c>
      <c r="E20" s="871">
        <f t="shared" si="2"/>
        <v>-2.186011157</v>
      </c>
      <c r="F20" s="871">
        <f t="shared" si="3"/>
        <v>-3.95</v>
      </c>
      <c r="G20" s="871">
        <f t="shared" si="4"/>
        <v>-1.299602251</v>
      </c>
      <c r="H20" s="871">
        <f t="shared" si="5"/>
        <v>-2.431351624</v>
      </c>
      <c r="I20" s="871">
        <f t="shared" si="6"/>
        <v>-1.50188072</v>
      </c>
      <c r="J20" s="871">
        <f t="shared" si="7"/>
        <v>1.203572137</v>
      </c>
      <c r="K20" s="871">
        <f t="shared" si="8"/>
        <v>-0.5505791373</v>
      </c>
      <c r="L20" s="928" t="s">
        <v>194</v>
      </c>
      <c r="M20" s="929" t="s">
        <v>194</v>
      </c>
      <c r="N20" s="929">
        <v>-1.5693068766774885</v>
      </c>
      <c r="O20" s="929">
        <v>-3.95</v>
      </c>
      <c r="P20" s="929">
        <v>-1.2996022508535807</v>
      </c>
      <c r="Q20" s="929">
        <v>-1.9251354990053111</v>
      </c>
      <c r="R20" s="15"/>
      <c r="S20" s="851" t="s">
        <v>194</v>
      </c>
      <c r="T20" s="846" t="s">
        <v>194</v>
      </c>
      <c r="U20" s="846" t="s">
        <v>194</v>
      </c>
      <c r="V20" s="846" t="s">
        <v>194</v>
      </c>
      <c r="W20" s="846" t="s">
        <v>194</v>
      </c>
      <c r="X20" s="846" t="s">
        <v>194</v>
      </c>
      <c r="Y20" s="846" t="s">
        <v>194</v>
      </c>
      <c r="Z20" s="846" t="s">
        <v>194</v>
      </c>
      <c r="AA20" s="846" t="s">
        <v>194</v>
      </c>
      <c r="AB20" s="846" t="s">
        <v>194</v>
      </c>
      <c r="AC20" s="846" t="s">
        <v>194</v>
      </c>
      <c r="AD20" s="846" t="s">
        <v>194</v>
      </c>
      <c r="AE20" s="846" t="s">
        <v>194</v>
      </c>
      <c r="AF20" s="846" t="s">
        <v>194</v>
      </c>
      <c r="AG20" s="846" t="s">
        <v>194</v>
      </c>
      <c r="AH20" s="846" t="s">
        <v>194</v>
      </c>
      <c r="AI20" s="846" t="s">
        <v>194</v>
      </c>
      <c r="AJ20" s="846" t="s">
        <v>194</v>
      </c>
      <c r="AK20" s="846" t="s">
        <v>194</v>
      </c>
      <c r="AL20" s="846" t="s">
        <v>194</v>
      </c>
      <c r="AM20" s="846" t="s">
        <v>194</v>
      </c>
      <c r="AN20" s="846" t="s">
        <v>194</v>
      </c>
    </row>
    <row r="21" ht="15.75" customHeight="1">
      <c r="A21" s="849">
        <v>1.0</v>
      </c>
      <c r="B21" s="15"/>
      <c r="C21" s="869" t="str">
        <f>"    Diluted Weighted Average Shares Outstanding"</f>
        <v>    Diluted Weighted Average Shares Outstanding</v>
      </c>
      <c r="D21" s="870">
        <f t="shared" si="1"/>
        <v>18527387</v>
      </c>
      <c r="E21" s="870">
        <f t="shared" si="2"/>
        <v>16556619.75</v>
      </c>
      <c r="F21" s="870">
        <f t="shared" si="3"/>
        <v>5285847</v>
      </c>
      <c r="G21" s="870">
        <f t="shared" si="4"/>
        <v>23885858</v>
      </c>
      <c r="H21" s="870">
        <f t="shared" si="5"/>
        <v>12142047</v>
      </c>
      <c r="I21" s="870">
        <f t="shared" si="6"/>
        <v>22941959.75</v>
      </c>
      <c r="J21" s="870">
        <f t="shared" si="7"/>
        <v>8604938.792</v>
      </c>
      <c r="K21" s="871">
        <f t="shared" si="8"/>
        <v>0.5197279953</v>
      </c>
      <c r="L21" s="872" t="s">
        <v>194</v>
      </c>
      <c r="M21" s="904" t="s">
        <v>194</v>
      </c>
      <c r="N21" s="904">
        <v>1.4427447E7</v>
      </c>
      <c r="O21" s="904">
        <v>5285847.0</v>
      </c>
      <c r="P21" s="904">
        <v>2.2627327E7</v>
      </c>
      <c r="Q21" s="904">
        <v>2.3885858E7</v>
      </c>
      <c r="R21" s="15"/>
      <c r="S21" s="851" t="s">
        <v>194</v>
      </c>
      <c r="T21" s="846" t="s">
        <v>194</v>
      </c>
      <c r="U21" s="846" t="s">
        <v>194</v>
      </c>
      <c r="V21" s="846" t="s">
        <v>194</v>
      </c>
      <c r="W21" s="846" t="s">
        <v>194</v>
      </c>
      <c r="X21" s="846" t="s">
        <v>194</v>
      </c>
      <c r="Y21" s="846" t="s">
        <v>194</v>
      </c>
      <c r="Z21" s="846" t="s">
        <v>194</v>
      </c>
      <c r="AA21" s="846" t="s">
        <v>194</v>
      </c>
      <c r="AB21" s="846" t="s">
        <v>194</v>
      </c>
      <c r="AC21" s="846" t="s">
        <v>194</v>
      </c>
      <c r="AD21" s="846" t="s">
        <v>194</v>
      </c>
      <c r="AE21" s="846" t="s">
        <v>194</v>
      </c>
      <c r="AF21" s="846" t="s">
        <v>194</v>
      </c>
      <c r="AG21" s="846" t="s">
        <v>194</v>
      </c>
      <c r="AH21" s="846" t="s">
        <v>194</v>
      </c>
      <c r="AI21" s="846" t="s">
        <v>194</v>
      </c>
      <c r="AJ21" s="846" t="s">
        <v>194</v>
      </c>
      <c r="AK21" s="846" t="s">
        <v>194</v>
      </c>
      <c r="AL21" s="846" t="s">
        <v>194</v>
      </c>
      <c r="AM21" s="846" t="s">
        <v>194</v>
      </c>
      <c r="AN21" s="846" t="s">
        <v>194</v>
      </c>
    </row>
    <row r="22" ht="15.75" customHeight="1">
      <c r="A22" s="849">
        <v>1.0</v>
      </c>
      <c r="B22" s="15"/>
      <c r="C22" s="855" t="str">
        <f>"Balance Sheet"</f>
        <v>Balance Sheet</v>
      </c>
      <c r="D22" s="867" t="s">
        <v>194</v>
      </c>
      <c r="E22" s="867" t="s">
        <v>194</v>
      </c>
      <c r="F22" s="867" t="s">
        <v>194</v>
      </c>
      <c r="G22" s="867" t="s">
        <v>194</v>
      </c>
      <c r="H22" s="867" t="s">
        <v>194</v>
      </c>
      <c r="I22" s="867" t="s">
        <v>194</v>
      </c>
      <c r="J22" s="867" t="s">
        <v>194</v>
      </c>
      <c r="K22" s="867" t="s">
        <v>194</v>
      </c>
      <c r="L22" s="867" t="s">
        <v>194</v>
      </c>
      <c r="M22" s="927" t="s">
        <v>194</v>
      </c>
      <c r="N22" s="927" t="s">
        <v>194</v>
      </c>
      <c r="O22" s="927" t="s">
        <v>194</v>
      </c>
      <c r="P22" s="927" t="s">
        <v>194</v>
      </c>
      <c r="Q22" s="927" t="s">
        <v>194</v>
      </c>
      <c r="R22" s="15"/>
      <c r="S22" s="851" t="s">
        <v>194</v>
      </c>
      <c r="T22" s="846" t="s">
        <v>194</v>
      </c>
      <c r="U22" s="846" t="s">
        <v>194</v>
      </c>
      <c r="V22" s="846" t="s">
        <v>194</v>
      </c>
      <c r="W22" s="846" t="s">
        <v>194</v>
      </c>
      <c r="X22" s="846" t="s">
        <v>194</v>
      </c>
      <c r="Y22" s="846" t="s">
        <v>194</v>
      </c>
      <c r="Z22" s="846" t="s">
        <v>194</v>
      </c>
      <c r="AA22" s="846" t="s">
        <v>194</v>
      </c>
      <c r="AB22" s="846" t="s">
        <v>194</v>
      </c>
      <c r="AC22" s="846" t="s">
        <v>194</v>
      </c>
      <c r="AD22" s="846" t="s">
        <v>194</v>
      </c>
      <c r="AE22" s="846" t="s">
        <v>194</v>
      </c>
      <c r="AF22" s="846" t="s">
        <v>194</v>
      </c>
      <c r="AG22" s="846" t="s">
        <v>194</v>
      </c>
      <c r="AH22" s="846" t="s">
        <v>194</v>
      </c>
      <c r="AI22" s="846" t="s">
        <v>194</v>
      </c>
      <c r="AJ22" s="846" t="s">
        <v>194</v>
      </c>
      <c r="AK22" s="846" t="s">
        <v>194</v>
      </c>
      <c r="AL22" s="846" t="s">
        <v>194</v>
      </c>
      <c r="AM22" s="846" t="s">
        <v>194</v>
      </c>
      <c r="AN22" s="846" t="s">
        <v>194</v>
      </c>
    </row>
    <row r="23" ht="15.75" customHeight="1">
      <c r="A23" s="849">
        <v>1.0</v>
      </c>
      <c r="B23" s="15"/>
      <c r="C23" s="869" t="str">
        <f>"    Total Current Assets"</f>
        <v>    Total Current Assets</v>
      </c>
      <c r="D23" s="870">
        <f t="shared" ref="D23:D34" si="9">IF(COUNT(M23:Q23)&gt;0,MEDIAN(M23:Q23),"")</f>
        <v>106482</v>
      </c>
      <c r="E23" s="870">
        <f t="shared" ref="E23:E34" si="10">IF(COUNT(M23:Q23)&gt;0,AVERAGE(M23:Q23),"")</f>
        <v>78606.4</v>
      </c>
      <c r="F23" s="870">
        <f t="shared" ref="F23:F34" si="11">IF(COUNT(M23:Q23)&gt;0,MIN(M23:Q23),"")</f>
        <v>15532</v>
      </c>
      <c r="G23" s="870">
        <f t="shared" ref="G23:G34" si="12">IF(COUNT(M23:Q23)&gt;0,MAX(M23:Q23),"")</f>
        <v>119581</v>
      </c>
      <c r="H23" s="870">
        <f t="shared" ref="H23:H34" si="13">IF(COUNT(M23:Q23)&gt;0,QUARTILE(M23:Q23,1),"")</f>
        <v>32829</v>
      </c>
      <c r="I23" s="870">
        <f t="shared" ref="I23:I34" si="14">IF(COUNT(M23:Q23)&gt;0,QUARTILE(M23:Q23,3),"")</f>
        <v>118608</v>
      </c>
      <c r="J23" s="870">
        <f t="shared" ref="J23:J34" si="15">IF(COUNT(M23:Q23)&gt;1,STDEV(M23:Q23),"")</f>
        <v>50324.06286</v>
      </c>
      <c r="K23" s="871">
        <f t="shared" ref="K23:K34" si="16">IF(COUNT(M23:Q23)&gt;1,STDEV(M23:Q23)/AVERAGE(M23:Q23),"")</f>
        <v>0.6402031241</v>
      </c>
      <c r="L23" s="872" t="s">
        <v>194</v>
      </c>
      <c r="M23" s="904">
        <v>15532.0</v>
      </c>
      <c r="N23" s="904">
        <v>32829.0</v>
      </c>
      <c r="O23" s="904">
        <v>118608.0</v>
      </c>
      <c r="P23" s="904">
        <v>119581.0</v>
      </c>
      <c r="Q23" s="904">
        <v>106482.0</v>
      </c>
      <c r="R23" s="15"/>
      <c r="S23" s="851" t="s">
        <v>194</v>
      </c>
      <c r="T23" s="846" t="s">
        <v>194</v>
      </c>
      <c r="U23" s="846" t="s">
        <v>194</v>
      </c>
      <c r="V23" s="846" t="s">
        <v>194</v>
      </c>
      <c r="W23" s="846" t="s">
        <v>194</v>
      </c>
      <c r="X23" s="846" t="s">
        <v>194</v>
      </c>
      <c r="Y23" s="846" t="s">
        <v>194</v>
      </c>
      <c r="Z23" s="846" t="s">
        <v>194</v>
      </c>
      <c r="AA23" s="846" t="s">
        <v>194</v>
      </c>
      <c r="AB23" s="846" t="s">
        <v>194</v>
      </c>
      <c r="AC23" s="846" t="s">
        <v>194</v>
      </c>
      <c r="AD23" s="846" t="s">
        <v>194</v>
      </c>
      <c r="AE23" s="846" t="s">
        <v>194</v>
      </c>
      <c r="AF23" s="846" t="s">
        <v>194</v>
      </c>
      <c r="AG23" s="846" t="s">
        <v>194</v>
      </c>
      <c r="AH23" s="846" t="s">
        <v>194</v>
      </c>
      <c r="AI23" s="846" t="s">
        <v>194</v>
      </c>
      <c r="AJ23" s="846" t="s">
        <v>194</v>
      </c>
      <c r="AK23" s="846" t="s">
        <v>194</v>
      </c>
      <c r="AL23" s="846" t="s">
        <v>194</v>
      </c>
      <c r="AM23" s="846" t="s">
        <v>194</v>
      </c>
      <c r="AN23" s="846" t="s">
        <v>194</v>
      </c>
    </row>
    <row r="24" ht="15.75" customHeight="1">
      <c r="A24" s="849">
        <v>1.0</v>
      </c>
      <c r="B24" s="15"/>
      <c r="C24" s="869" t="str">
        <f>"    Net Property, Plant and Equipment"</f>
        <v>    Net Property, Plant and Equipment</v>
      </c>
      <c r="D24" s="870">
        <f t="shared" si="9"/>
        <v>4653</v>
      </c>
      <c r="E24" s="870">
        <f t="shared" si="10"/>
        <v>4563.8</v>
      </c>
      <c r="F24" s="870">
        <f t="shared" si="11"/>
        <v>751</v>
      </c>
      <c r="G24" s="870">
        <f t="shared" si="12"/>
        <v>9158</v>
      </c>
      <c r="H24" s="870">
        <f t="shared" si="13"/>
        <v>2036</v>
      </c>
      <c r="I24" s="870">
        <f t="shared" si="14"/>
        <v>6221</v>
      </c>
      <c r="J24" s="870">
        <f t="shared" si="15"/>
        <v>3346.197798</v>
      </c>
      <c r="K24" s="871">
        <f t="shared" si="16"/>
        <v>0.7332043029</v>
      </c>
      <c r="L24" s="872" t="s">
        <v>194</v>
      </c>
      <c r="M24" s="904">
        <v>751.0</v>
      </c>
      <c r="N24" s="904">
        <v>2036.0</v>
      </c>
      <c r="O24" s="904">
        <v>4653.0</v>
      </c>
      <c r="P24" s="904">
        <v>6221.0</v>
      </c>
      <c r="Q24" s="904">
        <v>9158.0</v>
      </c>
      <c r="R24" s="15"/>
      <c r="S24" s="851" t="s">
        <v>194</v>
      </c>
      <c r="T24" s="846" t="s">
        <v>194</v>
      </c>
      <c r="U24" s="846" t="s">
        <v>194</v>
      </c>
      <c r="V24" s="846" t="s">
        <v>194</v>
      </c>
      <c r="W24" s="846" t="s">
        <v>194</v>
      </c>
      <c r="X24" s="846" t="s">
        <v>194</v>
      </c>
      <c r="Y24" s="846" t="s">
        <v>194</v>
      </c>
      <c r="Z24" s="846" t="s">
        <v>194</v>
      </c>
      <c r="AA24" s="846" t="s">
        <v>194</v>
      </c>
      <c r="AB24" s="846" t="s">
        <v>194</v>
      </c>
      <c r="AC24" s="846" t="s">
        <v>194</v>
      </c>
      <c r="AD24" s="846" t="s">
        <v>194</v>
      </c>
      <c r="AE24" s="846" t="s">
        <v>194</v>
      </c>
      <c r="AF24" s="846" t="s">
        <v>194</v>
      </c>
      <c r="AG24" s="846" t="s">
        <v>194</v>
      </c>
      <c r="AH24" s="846" t="s">
        <v>194</v>
      </c>
      <c r="AI24" s="846" t="s">
        <v>194</v>
      </c>
      <c r="AJ24" s="846" t="s">
        <v>194</v>
      </c>
      <c r="AK24" s="846" t="s">
        <v>194</v>
      </c>
      <c r="AL24" s="846" t="s">
        <v>194</v>
      </c>
      <c r="AM24" s="846" t="s">
        <v>194</v>
      </c>
      <c r="AN24" s="846" t="s">
        <v>194</v>
      </c>
    </row>
    <row r="25" ht="15.75" customHeight="1">
      <c r="A25" s="849">
        <v>1.0</v>
      </c>
      <c r="B25" s="15"/>
      <c r="C25" s="869" t="str">
        <f>"    Total Non-Current Assets"</f>
        <v>    Total Non-Current Assets</v>
      </c>
      <c r="D25" s="870">
        <f t="shared" si="9"/>
        <v>13228</v>
      </c>
      <c r="E25" s="870">
        <f t="shared" si="10"/>
        <v>10867.6</v>
      </c>
      <c r="F25" s="870">
        <f t="shared" si="11"/>
        <v>2977</v>
      </c>
      <c r="G25" s="870">
        <f t="shared" si="12"/>
        <v>19548</v>
      </c>
      <c r="H25" s="870">
        <f t="shared" si="13"/>
        <v>5043</v>
      </c>
      <c r="I25" s="870">
        <f t="shared" si="14"/>
        <v>13542</v>
      </c>
      <c r="J25" s="870">
        <f t="shared" si="15"/>
        <v>6787.134543</v>
      </c>
      <c r="K25" s="871">
        <f t="shared" si="16"/>
        <v>0.6245292928</v>
      </c>
      <c r="L25" s="872" t="s">
        <v>194</v>
      </c>
      <c r="M25" s="904">
        <v>2977.0</v>
      </c>
      <c r="N25" s="904">
        <v>5043.0</v>
      </c>
      <c r="O25" s="904">
        <v>19548.0</v>
      </c>
      <c r="P25" s="904">
        <v>13542.0</v>
      </c>
      <c r="Q25" s="904">
        <v>13228.0</v>
      </c>
      <c r="R25" s="15"/>
      <c r="S25" s="851" t="s">
        <v>194</v>
      </c>
      <c r="T25" s="846" t="s">
        <v>194</v>
      </c>
      <c r="U25" s="846" t="s">
        <v>194</v>
      </c>
      <c r="V25" s="846" t="s">
        <v>194</v>
      </c>
      <c r="W25" s="846" t="s">
        <v>194</v>
      </c>
      <c r="X25" s="846" t="s">
        <v>194</v>
      </c>
      <c r="Y25" s="846" t="s">
        <v>194</v>
      </c>
      <c r="Z25" s="846" t="s">
        <v>194</v>
      </c>
      <c r="AA25" s="846" t="s">
        <v>194</v>
      </c>
      <c r="AB25" s="846" t="s">
        <v>194</v>
      </c>
      <c r="AC25" s="846" t="s">
        <v>194</v>
      </c>
      <c r="AD25" s="846" t="s">
        <v>194</v>
      </c>
      <c r="AE25" s="846" t="s">
        <v>194</v>
      </c>
      <c r="AF25" s="846" t="s">
        <v>194</v>
      </c>
      <c r="AG25" s="846" t="s">
        <v>194</v>
      </c>
      <c r="AH25" s="846" t="s">
        <v>194</v>
      </c>
      <c r="AI25" s="846" t="s">
        <v>194</v>
      </c>
      <c r="AJ25" s="846" t="s">
        <v>194</v>
      </c>
      <c r="AK25" s="846" t="s">
        <v>194</v>
      </c>
      <c r="AL25" s="846" t="s">
        <v>194</v>
      </c>
      <c r="AM25" s="846" t="s">
        <v>194</v>
      </c>
      <c r="AN25" s="846" t="s">
        <v>194</v>
      </c>
    </row>
    <row r="26" ht="15.75" customHeight="1">
      <c r="A26" s="849">
        <v>1.0</v>
      </c>
      <c r="B26" s="15"/>
      <c r="C26" s="869" t="str">
        <f>"    Total Assets"</f>
        <v>    Total Assets</v>
      </c>
      <c r="D26" s="870">
        <f t="shared" si="9"/>
        <v>119710</v>
      </c>
      <c r="E26" s="870">
        <f t="shared" si="10"/>
        <v>89474</v>
      </c>
      <c r="F26" s="870">
        <f t="shared" si="11"/>
        <v>18509</v>
      </c>
      <c r="G26" s="870">
        <f t="shared" si="12"/>
        <v>138156</v>
      </c>
      <c r="H26" s="870">
        <f t="shared" si="13"/>
        <v>37872</v>
      </c>
      <c r="I26" s="870">
        <f t="shared" si="14"/>
        <v>133123</v>
      </c>
      <c r="J26" s="870">
        <f t="shared" si="15"/>
        <v>56763.07261</v>
      </c>
      <c r="K26" s="871">
        <f t="shared" si="16"/>
        <v>0.6344085725</v>
      </c>
      <c r="L26" s="872" t="s">
        <v>194</v>
      </c>
      <c r="M26" s="904">
        <v>18509.0</v>
      </c>
      <c r="N26" s="904">
        <v>37872.0</v>
      </c>
      <c r="O26" s="904">
        <v>138156.0</v>
      </c>
      <c r="P26" s="904">
        <v>133123.0</v>
      </c>
      <c r="Q26" s="904">
        <v>119710.0</v>
      </c>
      <c r="R26" s="15"/>
      <c r="S26" s="851" t="s">
        <v>194</v>
      </c>
      <c r="T26" s="846" t="s">
        <v>194</v>
      </c>
      <c r="U26" s="846" t="s">
        <v>194</v>
      </c>
      <c r="V26" s="846" t="s">
        <v>194</v>
      </c>
      <c r="W26" s="846" t="s">
        <v>194</v>
      </c>
      <c r="X26" s="846" t="s">
        <v>194</v>
      </c>
      <c r="Y26" s="846" t="s">
        <v>194</v>
      </c>
      <c r="Z26" s="846" t="s">
        <v>194</v>
      </c>
      <c r="AA26" s="846" t="s">
        <v>194</v>
      </c>
      <c r="AB26" s="846" t="s">
        <v>194</v>
      </c>
      <c r="AC26" s="846" t="s">
        <v>194</v>
      </c>
      <c r="AD26" s="846" t="s">
        <v>194</v>
      </c>
      <c r="AE26" s="846" t="s">
        <v>194</v>
      </c>
      <c r="AF26" s="846" t="s">
        <v>194</v>
      </c>
      <c r="AG26" s="846" t="s">
        <v>194</v>
      </c>
      <c r="AH26" s="846" t="s">
        <v>194</v>
      </c>
      <c r="AI26" s="846" t="s">
        <v>194</v>
      </c>
      <c r="AJ26" s="846" t="s">
        <v>194</v>
      </c>
      <c r="AK26" s="846" t="s">
        <v>194</v>
      </c>
      <c r="AL26" s="846" t="s">
        <v>194</v>
      </c>
      <c r="AM26" s="846" t="s">
        <v>194</v>
      </c>
      <c r="AN26" s="846" t="s">
        <v>194</v>
      </c>
    </row>
    <row r="27" ht="15.75" customHeight="1">
      <c r="A27" s="849">
        <v>1.0</v>
      </c>
      <c r="B27" s="15"/>
      <c r="C27" s="869" t="str">
        <f>"    Total Current Liabilities"</f>
        <v>    Total Current Liabilities</v>
      </c>
      <c r="D27" s="870">
        <f t="shared" si="9"/>
        <v>13215</v>
      </c>
      <c r="E27" s="870">
        <f t="shared" si="10"/>
        <v>15600.8</v>
      </c>
      <c r="F27" s="870">
        <f t="shared" si="11"/>
        <v>4860</v>
      </c>
      <c r="G27" s="870">
        <f t="shared" si="12"/>
        <v>30236</v>
      </c>
      <c r="H27" s="870">
        <f t="shared" si="13"/>
        <v>8775</v>
      </c>
      <c r="I27" s="870">
        <f t="shared" si="14"/>
        <v>20918</v>
      </c>
      <c r="J27" s="870">
        <f t="shared" si="15"/>
        <v>10125.58723</v>
      </c>
      <c r="K27" s="871">
        <f t="shared" si="16"/>
        <v>0.6490428201</v>
      </c>
      <c r="L27" s="872" t="s">
        <v>194</v>
      </c>
      <c r="M27" s="904">
        <v>4860.0</v>
      </c>
      <c r="N27" s="904">
        <v>8775.0</v>
      </c>
      <c r="O27" s="904">
        <v>13215.0</v>
      </c>
      <c r="P27" s="904">
        <v>20918.0</v>
      </c>
      <c r="Q27" s="904">
        <v>30236.0</v>
      </c>
      <c r="R27" s="15"/>
      <c r="S27" s="851" t="s">
        <v>194</v>
      </c>
      <c r="T27" s="846" t="s">
        <v>194</v>
      </c>
      <c r="U27" s="846" t="s">
        <v>194</v>
      </c>
      <c r="V27" s="846" t="s">
        <v>194</v>
      </c>
      <c r="W27" s="846" t="s">
        <v>194</v>
      </c>
      <c r="X27" s="846" t="s">
        <v>194</v>
      </c>
      <c r="Y27" s="846" t="s">
        <v>194</v>
      </c>
      <c r="Z27" s="846" t="s">
        <v>194</v>
      </c>
      <c r="AA27" s="846" t="s">
        <v>194</v>
      </c>
      <c r="AB27" s="846" t="s">
        <v>194</v>
      </c>
      <c r="AC27" s="846" t="s">
        <v>194</v>
      </c>
      <c r="AD27" s="846" t="s">
        <v>194</v>
      </c>
      <c r="AE27" s="846" t="s">
        <v>194</v>
      </c>
      <c r="AF27" s="846" t="s">
        <v>194</v>
      </c>
      <c r="AG27" s="846" t="s">
        <v>194</v>
      </c>
      <c r="AH27" s="846" t="s">
        <v>194</v>
      </c>
      <c r="AI27" s="846" t="s">
        <v>194</v>
      </c>
      <c r="AJ27" s="846" t="s">
        <v>194</v>
      </c>
      <c r="AK27" s="846" t="s">
        <v>194</v>
      </c>
      <c r="AL27" s="846" t="s">
        <v>194</v>
      </c>
      <c r="AM27" s="846" t="s">
        <v>194</v>
      </c>
      <c r="AN27" s="846" t="s">
        <v>194</v>
      </c>
    </row>
    <row r="28" ht="15.75" customHeight="1">
      <c r="A28" s="849">
        <v>1.0</v>
      </c>
      <c r="B28" s="15"/>
      <c r="C28" s="869" t="str">
        <f>"    Total Non-Current Liabilities"</f>
        <v>    Total Non-Current Liabilities</v>
      </c>
      <c r="D28" s="870">
        <f t="shared" si="9"/>
        <v>35052</v>
      </c>
      <c r="E28" s="870">
        <f t="shared" si="10"/>
        <v>64999.4</v>
      </c>
      <c r="F28" s="870">
        <f t="shared" si="11"/>
        <v>32379</v>
      </c>
      <c r="G28" s="870">
        <f t="shared" si="12"/>
        <v>130721</v>
      </c>
      <c r="H28" s="870">
        <f t="shared" si="13"/>
        <v>32652</v>
      </c>
      <c r="I28" s="870">
        <f t="shared" si="14"/>
        <v>94193</v>
      </c>
      <c r="J28" s="870">
        <f t="shared" si="15"/>
        <v>45218.59832</v>
      </c>
      <c r="K28" s="871">
        <f t="shared" si="16"/>
        <v>0.6956771651</v>
      </c>
      <c r="L28" s="872" t="s">
        <v>194</v>
      </c>
      <c r="M28" s="904">
        <v>94193.0</v>
      </c>
      <c r="N28" s="904">
        <v>130721.0</v>
      </c>
      <c r="O28" s="904">
        <v>32379.0</v>
      </c>
      <c r="P28" s="904">
        <v>32652.0</v>
      </c>
      <c r="Q28" s="904">
        <v>35052.0</v>
      </c>
      <c r="R28" s="15"/>
      <c r="S28" s="851" t="s">
        <v>194</v>
      </c>
      <c r="T28" s="846" t="s">
        <v>194</v>
      </c>
      <c r="U28" s="846" t="s">
        <v>194</v>
      </c>
      <c r="V28" s="846" t="s">
        <v>194</v>
      </c>
      <c r="W28" s="846" t="s">
        <v>194</v>
      </c>
      <c r="X28" s="846" t="s">
        <v>194</v>
      </c>
      <c r="Y28" s="846" t="s">
        <v>194</v>
      </c>
      <c r="Z28" s="846" t="s">
        <v>194</v>
      </c>
      <c r="AA28" s="846" t="s">
        <v>194</v>
      </c>
      <c r="AB28" s="846" t="s">
        <v>194</v>
      </c>
      <c r="AC28" s="846" t="s">
        <v>194</v>
      </c>
      <c r="AD28" s="846" t="s">
        <v>194</v>
      </c>
      <c r="AE28" s="846" t="s">
        <v>194</v>
      </c>
      <c r="AF28" s="846" t="s">
        <v>194</v>
      </c>
      <c r="AG28" s="846" t="s">
        <v>194</v>
      </c>
      <c r="AH28" s="846" t="s">
        <v>194</v>
      </c>
      <c r="AI28" s="846" t="s">
        <v>194</v>
      </c>
      <c r="AJ28" s="846" t="s">
        <v>194</v>
      </c>
      <c r="AK28" s="846" t="s">
        <v>194</v>
      </c>
      <c r="AL28" s="846" t="s">
        <v>194</v>
      </c>
      <c r="AM28" s="846" t="s">
        <v>194</v>
      </c>
      <c r="AN28" s="846" t="s">
        <v>194</v>
      </c>
    </row>
    <row r="29" ht="15.75" customHeight="1">
      <c r="A29" s="849">
        <v>1.0</v>
      </c>
      <c r="B29" s="15"/>
      <c r="C29" s="869" t="str">
        <f>"    Total Liabilities"</f>
        <v>    Total Liabilities</v>
      </c>
      <c r="D29" s="870">
        <f t="shared" si="9"/>
        <v>65288</v>
      </c>
      <c r="E29" s="870">
        <f t="shared" si="10"/>
        <v>80600.2</v>
      </c>
      <c r="F29" s="870">
        <f t="shared" si="11"/>
        <v>45594</v>
      </c>
      <c r="G29" s="870">
        <f t="shared" si="12"/>
        <v>139496</v>
      </c>
      <c r="H29" s="870">
        <f t="shared" si="13"/>
        <v>53570</v>
      </c>
      <c r="I29" s="870">
        <f t="shared" si="14"/>
        <v>99053</v>
      </c>
      <c r="J29" s="870">
        <f t="shared" si="15"/>
        <v>38729.02757</v>
      </c>
      <c r="K29" s="871">
        <f t="shared" si="16"/>
        <v>0.4805078345</v>
      </c>
      <c r="L29" s="872" t="s">
        <v>194</v>
      </c>
      <c r="M29" s="904">
        <v>99053.0</v>
      </c>
      <c r="N29" s="904">
        <v>139496.0</v>
      </c>
      <c r="O29" s="904">
        <v>45594.0</v>
      </c>
      <c r="P29" s="904">
        <v>53570.0</v>
      </c>
      <c r="Q29" s="904">
        <v>65288.0</v>
      </c>
      <c r="R29" s="15"/>
      <c r="S29" s="851" t="s">
        <v>194</v>
      </c>
      <c r="T29" s="846" t="s">
        <v>194</v>
      </c>
      <c r="U29" s="846" t="s">
        <v>194</v>
      </c>
      <c r="V29" s="846" t="s">
        <v>194</v>
      </c>
      <c r="W29" s="846" t="s">
        <v>194</v>
      </c>
      <c r="X29" s="846" t="s">
        <v>194</v>
      </c>
      <c r="Y29" s="846" t="s">
        <v>194</v>
      </c>
      <c r="Z29" s="846" t="s">
        <v>194</v>
      </c>
      <c r="AA29" s="846" t="s">
        <v>194</v>
      </c>
      <c r="AB29" s="846" t="s">
        <v>194</v>
      </c>
      <c r="AC29" s="846" t="s">
        <v>194</v>
      </c>
      <c r="AD29" s="846" t="s">
        <v>194</v>
      </c>
      <c r="AE29" s="846" t="s">
        <v>194</v>
      </c>
      <c r="AF29" s="846" t="s">
        <v>194</v>
      </c>
      <c r="AG29" s="846" t="s">
        <v>194</v>
      </c>
      <c r="AH29" s="846" t="s">
        <v>194</v>
      </c>
      <c r="AI29" s="846" t="s">
        <v>194</v>
      </c>
      <c r="AJ29" s="846" t="s">
        <v>194</v>
      </c>
      <c r="AK29" s="846" t="s">
        <v>194</v>
      </c>
      <c r="AL29" s="846" t="s">
        <v>194</v>
      </c>
      <c r="AM29" s="846" t="s">
        <v>194</v>
      </c>
      <c r="AN29" s="846" t="s">
        <v>194</v>
      </c>
    </row>
    <row r="30" ht="15.75" customHeight="1">
      <c r="A30" s="849">
        <v>1.0</v>
      </c>
      <c r="B30" s="15"/>
      <c r="C30" s="869" t="str">
        <f>"    Total Equity"</f>
        <v>    Total Equity</v>
      </c>
      <c r="D30" s="870">
        <f t="shared" si="9"/>
        <v>54422</v>
      </c>
      <c r="E30" s="870">
        <f t="shared" si="10"/>
        <v>8873.8</v>
      </c>
      <c r="F30" s="870">
        <f t="shared" si="11"/>
        <v>-101624</v>
      </c>
      <c r="G30" s="870">
        <f t="shared" si="12"/>
        <v>92562</v>
      </c>
      <c r="H30" s="870">
        <f t="shared" si="13"/>
        <v>-80544</v>
      </c>
      <c r="I30" s="870">
        <f t="shared" si="14"/>
        <v>79553</v>
      </c>
      <c r="J30" s="870">
        <f t="shared" si="15"/>
        <v>92573.22698</v>
      </c>
      <c r="K30" s="871">
        <f t="shared" si="16"/>
        <v>10.43219669</v>
      </c>
      <c r="L30" s="872" t="s">
        <v>194</v>
      </c>
      <c r="M30" s="904">
        <v>-80544.0</v>
      </c>
      <c r="N30" s="904">
        <v>-101624.0</v>
      </c>
      <c r="O30" s="904">
        <v>92562.0</v>
      </c>
      <c r="P30" s="904">
        <v>79553.0</v>
      </c>
      <c r="Q30" s="904">
        <v>54422.0</v>
      </c>
      <c r="R30" s="15"/>
      <c r="S30" s="851" t="s">
        <v>194</v>
      </c>
      <c r="T30" s="846" t="s">
        <v>194</v>
      </c>
      <c r="U30" s="846" t="s">
        <v>194</v>
      </c>
      <c r="V30" s="846" t="s">
        <v>194</v>
      </c>
      <c r="W30" s="846" t="s">
        <v>194</v>
      </c>
      <c r="X30" s="846" t="s">
        <v>194</v>
      </c>
      <c r="Y30" s="846" t="s">
        <v>194</v>
      </c>
      <c r="Z30" s="846" t="s">
        <v>194</v>
      </c>
      <c r="AA30" s="846" t="s">
        <v>194</v>
      </c>
      <c r="AB30" s="846" t="s">
        <v>194</v>
      </c>
      <c r="AC30" s="846" t="s">
        <v>194</v>
      </c>
      <c r="AD30" s="846" t="s">
        <v>194</v>
      </c>
      <c r="AE30" s="846" t="s">
        <v>194</v>
      </c>
      <c r="AF30" s="846" t="s">
        <v>194</v>
      </c>
      <c r="AG30" s="846" t="s">
        <v>194</v>
      </c>
      <c r="AH30" s="846" t="s">
        <v>194</v>
      </c>
      <c r="AI30" s="846" t="s">
        <v>194</v>
      </c>
      <c r="AJ30" s="846" t="s">
        <v>194</v>
      </c>
      <c r="AK30" s="846" t="s">
        <v>194</v>
      </c>
      <c r="AL30" s="846" t="s">
        <v>194</v>
      </c>
      <c r="AM30" s="846" t="s">
        <v>194</v>
      </c>
      <c r="AN30" s="846" t="s">
        <v>194</v>
      </c>
    </row>
    <row r="31" ht="15.75" customHeight="1">
      <c r="A31" s="849">
        <v>1.0</v>
      </c>
      <c r="B31" s="15"/>
      <c r="C31" s="869" t="str">
        <f>"    Equity Attributable to Parent Stockholders"</f>
        <v>    Equity Attributable to Parent Stockholders</v>
      </c>
      <c r="D31" s="870">
        <f t="shared" si="9"/>
        <v>54422</v>
      </c>
      <c r="E31" s="870">
        <f t="shared" si="10"/>
        <v>8873.8</v>
      </c>
      <c r="F31" s="870">
        <f t="shared" si="11"/>
        <v>-101624</v>
      </c>
      <c r="G31" s="870">
        <f t="shared" si="12"/>
        <v>92562</v>
      </c>
      <c r="H31" s="870">
        <f t="shared" si="13"/>
        <v>-80544</v>
      </c>
      <c r="I31" s="870">
        <f t="shared" si="14"/>
        <v>79553</v>
      </c>
      <c r="J31" s="870">
        <f t="shared" si="15"/>
        <v>92573.22698</v>
      </c>
      <c r="K31" s="871">
        <f t="shared" si="16"/>
        <v>10.43219669</v>
      </c>
      <c r="L31" s="872" t="s">
        <v>194</v>
      </c>
      <c r="M31" s="904">
        <v>-80544.0</v>
      </c>
      <c r="N31" s="904">
        <v>-101624.0</v>
      </c>
      <c r="O31" s="904">
        <v>92562.0</v>
      </c>
      <c r="P31" s="904">
        <v>79553.0</v>
      </c>
      <c r="Q31" s="904">
        <v>54422.0</v>
      </c>
      <c r="R31" s="15"/>
      <c r="S31" s="851" t="s">
        <v>194</v>
      </c>
      <c r="T31" s="846" t="s">
        <v>194</v>
      </c>
      <c r="U31" s="846" t="s">
        <v>194</v>
      </c>
      <c r="V31" s="846" t="s">
        <v>194</v>
      </c>
      <c r="W31" s="846" t="s">
        <v>194</v>
      </c>
      <c r="X31" s="846" t="s">
        <v>194</v>
      </c>
      <c r="Y31" s="846" t="s">
        <v>194</v>
      </c>
      <c r="Z31" s="846" t="s">
        <v>194</v>
      </c>
      <c r="AA31" s="846" t="s">
        <v>194</v>
      </c>
      <c r="AB31" s="846" t="s">
        <v>194</v>
      </c>
      <c r="AC31" s="846" t="s">
        <v>194</v>
      </c>
      <c r="AD31" s="846" t="s">
        <v>194</v>
      </c>
      <c r="AE31" s="846" t="s">
        <v>194</v>
      </c>
      <c r="AF31" s="846" t="s">
        <v>194</v>
      </c>
      <c r="AG31" s="846" t="s">
        <v>194</v>
      </c>
      <c r="AH31" s="846" t="s">
        <v>194</v>
      </c>
      <c r="AI31" s="846" t="s">
        <v>194</v>
      </c>
      <c r="AJ31" s="846" t="s">
        <v>194</v>
      </c>
      <c r="AK31" s="846" t="s">
        <v>194</v>
      </c>
      <c r="AL31" s="846" t="s">
        <v>194</v>
      </c>
      <c r="AM31" s="846" t="s">
        <v>194</v>
      </c>
      <c r="AN31" s="846" t="s">
        <v>194</v>
      </c>
    </row>
    <row r="32" ht="15.75" customHeight="1">
      <c r="A32" s="849">
        <v>1.0</v>
      </c>
      <c r="B32" s="15"/>
      <c r="C32" s="869" t="str">
        <f>"    Total Debt"</f>
        <v>    Total Debt</v>
      </c>
      <c r="D32" s="870">
        <f t="shared" si="9"/>
        <v>32227</v>
      </c>
      <c r="E32" s="870">
        <f t="shared" si="10"/>
        <v>27582.2</v>
      </c>
      <c r="F32" s="870">
        <f t="shared" si="11"/>
        <v>6255</v>
      </c>
      <c r="G32" s="870">
        <f t="shared" si="12"/>
        <v>34899</v>
      </c>
      <c r="H32" s="870">
        <f t="shared" si="13"/>
        <v>30552</v>
      </c>
      <c r="I32" s="870">
        <f t="shared" si="14"/>
        <v>33978</v>
      </c>
      <c r="J32" s="870">
        <f t="shared" si="15"/>
        <v>12038.32587</v>
      </c>
      <c r="K32" s="871">
        <f t="shared" si="16"/>
        <v>0.4364527075</v>
      </c>
      <c r="L32" s="872" t="s">
        <v>194</v>
      </c>
      <c r="M32" s="904">
        <v>6255.0</v>
      </c>
      <c r="N32" s="904">
        <v>30552.0</v>
      </c>
      <c r="O32" s="904">
        <v>32227.0</v>
      </c>
      <c r="P32" s="904">
        <v>33978.0</v>
      </c>
      <c r="Q32" s="904">
        <v>34899.0</v>
      </c>
      <c r="R32" s="15"/>
      <c r="S32" s="851" t="s">
        <v>194</v>
      </c>
      <c r="T32" s="846" t="s">
        <v>194</v>
      </c>
      <c r="U32" s="846" t="s">
        <v>194</v>
      </c>
      <c r="V32" s="846" t="s">
        <v>194</v>
      </c>
      <c r="W32" s="846" t="s">
        <v>194</v>
      </c>
      <c r="X32" s="846" t="s">
        <v>194</v>
      </c>
      <c r="Y32" s="846" t="s">
        <v>194</v>
      </c>
      <c r="Z32" s="846" t="s">
        <v>194</v>
      </c>
      <c r="AA32" s="846" t="s">
        <v>194</v>
      </c>
      <c r="AB32" s="846" t="s">
        <v>194</v>
      </c>
      <c r="AC32" s="846" t="s">
        <v>194</v>
      </c>
      <c r="AD32" s="846" t="s">
        <v>194</v>
      </c>
      <c r="AE32" s="846" t="s">
        <v>194</v>
      </c>
      <c r="AF32" s="846" t="s">
        <v>194</v>
      </c>
      <c r="AG32" s="846" t="s">
        <v>194</v>
      </c>
      <c r="AH32" s="846" t="s">
        <v>194</v>
      </c>
      <c r="AI32" s="846" t="s">
        <v>194</v>
      </c>
      <c r="AJ32" s="846" t="s">
        <v>194</v>
      </c>
      <c r="AK32" s="846" t="s">
        <v>194</v>
      </c>
      <c r="AL32" s="846" t="s">
        <v>194</v>
      </c>
      <c r="AM32" s="846" t="s">
        <v>194</v>
      </c>
      <c r="AN32" s="846" t="s">
        <v>194</v>
      </c>
    </row>
    <row r="33" ht="15.75" customHeight="1">
      <c r="A33" s="849">
        <v>1.0</v>
      </c>
      <c r="B33" s="15"/>
      <c r="C33" s="869" t="str">
        <f>"    Total Shares Outstanding (TSO)"</f>
        <v>    Total Shares Outstanding (TSO)</v>
      </c>
      <c r="D33" s="870">
        <f t="shared" si="9"/>
        <v>23377315</v>
      </c>
      <c r="E33" s="870">
        <f t="shared" si="10"/>
        <v>23294911.33</v>
      </c>
      <c r="F33" s="870">
        <f t="shared" si="11"/>
        <v>22139346</v>
      </c>
      <c r="G33" s="870">
        <f t="shared" si="12"/>
        <v>24368073</v>
      </c>
      <c r="H33" s="870">
        <f t="shared" si="13"/>
        <v>22758330.5</v>
      </c>
      <c r="I33" s="870">
        <f t="shared" si="14"/>
        <v>23872694</v>
      </c>
      <c r="J33" s="870">
        <f t="shared" si="15"/>
        <v>1116646.221</v>
      </c>
      <c r="K33" s="871">
        <f t="shared" si="16"/>
        <v>0.04793519946</v>
      </c>
      <c r="L33" s="872" t="s">
        <v>194</v>
      </c>
      <c r="M33" s="904" t="s">
        <v>194</v>
      </c>
      <c r="N33" s="904" t="s">
        <v>194</v>
      </c>
      <c r="O33" s="904">
        <v>2.2139346E7</v>
      </c>
      <c r="P33" s="904">
        <v>2.3377315E7</v>
      </c>
      <c r="Q33" s="904">
        <v>2.4368073E7</v>
      </c>
      <c r="R33" s="15"/>
      <c r="S33" s="851" t="s">
        <v>194</v>
      </c>
      <c r="T33" s="846" t="s">
        <v>194</v>
      </c>
      <c r="U33" s="846" t="s">
        <v>194</v>
      </c>
      <c r="V33" s="846" t="s">
        <v>194</v>
      </c>
      <c r="W33" s="846" t="s">
        <v>194</v>
      </c>
      <c r="X33" s="846" t="s">
        <v>194</v>
      </c>
      <c r="Y33" s="846" t="s">
        <v>194</v>
      </c>
      <c r="Z33" s="846" t="s">
        <v>194</v>
      </c>
      <c r="AA33" s="846" t="s">
        <v>194</v>
      </c>
      <c r="AB33" s="846" t="s">
        <v>194</v>
      </c>
      <c r="AC33" s="846" t="s">
        <v>194</v>
      </c>
      <c r="AD33" s="846" t="s">
        <v>194</v>
      </c>
      <c r="AE33" s="846" t="s">
        <v>194</v>
      </c>
      <c r="AF33" s="846" t="s">
        <v>194</v>
      </c>
      <c r="AG33" s="846" t="s">
        <v>194</v>
      </c>
      <c r="AH33" s="846" t="s">
        <v>194</v>
      </c>
      <c r="AI33" s="846" t="s">
        <v>194</v>
      </c>
      <c r="AJ33" s="846" t="s">
        <v>194</v>
      </c>
      <c r="AK33" s="846" t="s">
        <v>194</v>
      </c>
      <c r="AL33" s="846" t="s">
        <v>194</v>
      </c>
      <c r="AM33" s="846" t="s">
        <v>194</v>
      </c>
      <c r="AN33" s="846" t="s">
        <v>194</v>
      </c>
    </row>
    <row r="34" ht="15.75" customHeight="1">
      <c r="A34" s="905">
        <v>1.0</v>
      </c>
      <c r="B34" s="906"/>
      <c r="C34" s="912" t="str">
        <f>"    Working Capital"</f>
        <v>    Working Capital</v>
      </c>
      <c r="D34" s="913">
        <f t="shared" si="9"/>
        <v>76246</v>
      </c>
      <c r="E34" s="913">
        <f t="shared" si="10"/>
        <v>63005.6</v>
      </c>
      <c r="F34" s="913">
        <f t="shared" si="11"/>
        <v>10672</v>
      </c>
      <c r="G34" s="913">
        <f t="shared" si="12"/>
        <v>105393</v>
      </c>
      <c r="H34" s="913">
        <f t="shared" si="13"/>
        <v>24054</v>
      </c>
      <c r="I34" s="913">
        <f t="shared" si="14"/>
        <v>98663</v>
      </c>
      <c r="J34" s="913">
        <f t="shared" si="15"/>
        <v>43299.77736</v>
      </c>
      <c r="K34" s="914">
        <f t="shared" si="16"/>
        <v>0.6872369656</v>
      </c>
      <c r="L34" s="913" t="s">
        <v>194</v>
      </c>
      <c r="M34" s="913">
        <v>10672.0</v>
      </c>
      <c r="N34" s="913">
        <v>24054.0</v>
      </c>
      <c r="O34" s="913">
        <v>105393.0</v>
      </c>
      <c r="P34" s="913">
        <v>98663.0</v>
      </c>
      <c r="Q34" s="913">
        <v>76246.0</v>
      </c>
      <c r="R34" s="906"/>
      <c r="S34" s="911" t="s">
        <v>194</v>
      </c>
      <c r="T34" s="906" t="s">
        <v>194</v>
      </c>
      <c r="U34" s="906" t="s">
        <v>194</v>
      </c>
      <c r="V34" s="906" t="s">
        <v>194</v>
      </c>
      <c r="W34" s="906" t="s">
        <v>194</v>
      </c>
      <c r="X34" s="906" t="s">
        <v>194</v>
      </c>
      <c r="Y34" s="906" t="s">
        <v>194</v>
      </c>
      <c r="Z34" s="906" t="s">
        <v>194</v>
      </c>
      <c r="AA34" s="906" t="s">
        <v>194</v>
      </c>
      <c r="AB34" s="906" t="s">
        <v>194</v>
      </c>
      <c r="AC34" s="906" t="s">
        <v>194</v>
      </c>
      <c r="AD34" s="906" t="s">
        <v>194</v>
      </c>
      <c r="AE34" s="906" t="s">
        <v>194</v>
      </c>
      <c r="AF34" s="906" t="s">
        <v>194</v>
      </c>
      <c r="AG34" s="906" t="s">
        <v>194</v>
      </c>
      <c r="AH34" s="906" t="s">
        <v>194</v>
      </c>
      <c r="AI34" s="906" t="s">
        <v>194</v>
      </c>
      <c r="AJ34" s="906" t="s">
        <v>194</v>
      </c>
      <c r="AK34" s="906" t="s">
        <v>194</v>
      </c>
      <c r="AL34" s="906" t="s">
        <v>194</v>
      </c>
      <c r="AM34" s="906" t="s">
        <v>194</v>
      </c>
      <c r="AN34" s="906" t="s">
        <v>194</v>
      </c>
    </row>
    <row r="35" ht="15.75" customHeight="1">
      <c r="A35" s="849">
        <v>1.0</v>
      </c>
      <c r="B35" s="15"/>
      <c r="C35" s="855" t="str">
        <f>"Cash Flow"</f>
        <v>Cash Flow</v>
      </c>
      <c r="D35" s="867" t="s">
        <v>194</v>
      </c>
      <c r="E35" s="867" t="s">
        <v>194</v>
      </c>
      <c r="F35" s="867" t="s">
        <v>194</v>
      </c>
      <c r="G35" s="867" t="s">
        <v>194</v>
      </c>
      <c r="H35" s="867" t="s">
        <v>194</v>
      </c>
      <c r="I35" s="867" t="s">
        <v>194</v>
      </c>
      <c r="J35" s="867" t="s">
        <v>194</v>
      </c>
      <c r="K35" s="867" t="s">
        <v>194</v>
      </c>
      <c r="L35" s="867" t="s">
        <v>194</v>
      </c>
      <c r="M35" s="927" t="s">
        <v>194</v>
      </c>
      <c r="N35" s="927" t="s">
        <v>194</v>
      </c>
      <c r="O35" s="927" t="s">
        <v>194</v>
      </c>
      <c r="P35" s="927" t="s">
        <v>194</v>
      </c>
      <c r="Q35" s="927" t="s">
        <v>194</v>
      </c>
      <c r="R35" s="15"/>
      <c r="S35" s="851" t="s">
        <v>194</v>
      </c>
      <c r="T35" s="846" t="s">
        <v>194</v>
      </c>
      <c r="U35" s="846" t="s">
        <v>194</v>
      </c>
      <c r="V35" s="846" t="s">
        <v>194</v>
      </c>
      <c r="W35" s="846" t="s">
        <v>194</v>
      </c>
      <c r="X35" s="846" t="s">
        <v>194</v>
      </c>
      <c r="Y35" s="846" t="s">
        <v>194</v>
      </c>
      <c r="Z35" s="846" t="s">
        <v>194</v>
      </c>
      <c r="AA35" s="846" t="s">
        <v>194</v>
      </c>
      <c r="AB35" s="846" t="s">
        <v>194</v>
      </c>
      <c r="AC35" s="846" t="s">
        <v>194</v>
      </c>
      <c r="AD35" s="846" t="s">
        <v>194</v>
      </c>
      <c r="AE35" s="846" t="s">
        <v>194</v>
      </c>
      <c r="AF35" s="846" t="s">
        <v>194</v>
      </c>
      <c r="AG35" s="846" t="s">
        <v>194</v>
      </c>
      <c r="AH35" s="846" t="s">
        <v>194</v>
      </c>
      <c r="AI35" s="846" t="s">
        <v>194</v>
      </c>
      <c r="AJ35" s="846" t="s">
        <v>194</v>
      </c>
      <c r="AK35" s="846" t="s">
        <v>194</v>
      </c>
      <c r="AL35" s="846" t="s">
        <v>194</v>
      </c>
      <c r="AM35" s="846" t="s">
        <v>194</v>
      </c>
      <c r="AN35" s="846" t="s">
        <v>194</v>
      </c>
    </row>
    <row r="36" ht="15.75" customHeight="1">
      <c r="A36" s="849">
        <v>1.0</v>
      </c>
      <c r="B36" s="15"/>
      <c r="C36" s="869" t="str">
        <f>"    Cash Flow from Operating Activities, Indirect"</f>
        <v>    Cash Flow from Operating Activities, Indirect</v>
      </c>
      <c r="D36" s="870">
        <f t="shared" ref="D36:D43" si="17">IF(COUNT(M36:Q36)&gt;0,MEDIAN(M36:Q36),"")</f>
        <v>-16651</v>
      </c>
      <c r="E36" s="870">
        <f t="shared" ref="E36:E43" si="18">IF(COUNT(M36:Q36)&gt;0,AVERAGE(M36:Q36),"")</f>
        <v>-18852.2</v>
      </c>
      <c r="F36" s="870">
        <f t="shared" ref="F36:F43" si="19">IF(COUNT(M36:Q36)&gt;0,MIN(M36:Q36),"")</f>
        <v>-29068</v>
      </c>
      <c r="G36" s="870">
        <f t="shared" ref="G36:G43" si="20">IF(COUNT(M36:Q36)&gt;0,MAX(M36:Q36),"")</f>
        <v>-14911</v>
      </c>
      <c r="H36" s="870">
        <f t="shared" ref="H36:H43" si="21">IF(COUNT(M36:Q36)&gt;0,QUARTILE(M36:Q36,1),"")</f>
        <v>-18005</v>
      </c>
      <c r="I36" s="870">
        <f t="shared" ref="I36:I43" si="22">IF(COUNT(M36:Q36)&gt;0,QUARTILE(M36:Q36,3),"")</f>
        <v>-15626</v>
      </c>
      <c r="J36" s="870">
        <f t="shared" ref="J36:J43" si="23">IF(COUNT(M36:Q36)&gt;1,STDEV(M36:Q36),"")</f>
        <v>5828.100522</v>
      </c>
      <c r="K36" s="871">
        <f t="shared" ref="K36:K43" si="24">IF(COUNT(M36:Q36)&gt;1,STDEV(M36:Q36)/AVERAGE(M36:Q36),"")</f>
        <v>-0.3091469708</v>
      </c>
      <c r="L36" s="872" t="s">
        <v>194</v>
      </c>
      <c r="M36" s="904">
        <v>-15626.0</v>
      </c>
      <c r="N36" s="904">
        <v>-18005.0</v>
      </c>
      <c r="O36" s="904">
        <v>-16651.0</v>
      </c>
      <c r="P36" s="904">
        <v>-14911.0</v>
      </c>
      <c r="Q36" s="904">
        <v>-29068.0</v>
      </c>
      <c r="R36" s="15"/>
      <c r="S36" s="851" t="s">
        <v>194</v>
      </c>
      <c r="T36" s="846" t="s">
        <v>194</v>
      </c>
      <c r="U36" s="846" t="s">
        <v>194</v>
      </c>
      <c r="V36" s="846" t="s">
        <v>194</v>
      </c>
      <c r="W36" s="846" t="s">
        <v>194</v>
      </c>
      <c r="X36" s="846" t="s">
        <v>194</v>
      </c>
      <c r="Y36" s="846" t="s">
        <v>194</v>
      </c>
      <c r="Z36" s="846" t="s">
        <v>194</v>
      </c>
      <c r="AA36" s="846" t="s">
        <v>194</v>
      </c>
      <c r="AB36" s="846" t="s">
        <v>194</v>
      </c>
      <c r="AC36" s="846" t="s">
        <v>194</v>
      </c>
      <c r="AD36" s="846" t="s">
        <v>194</v>
      </c>
      <c r="AE36" s="846" t="s">
        <v>194</v>
      </c>
      <c r="AF36" s="846" t="s">
        <v>194</v>
      </c>
      <c r="AG36" s="846" t="s">
        <v>194</v>
      </c>
      <c r="AH36" s="846" t="s">
        <v>194</v>
      </c>
      <c r="AI36" s="846" t="s">
        <v>194</v>
      </c>
      <c r="AJ36" s="846" t="s">
        <v>194</v>
      </c>
      <c r="AK36" s="846" t="s">
        <v>194</v>
      </c>
      <c r="AL36" s="846" t="s">
        <v>194</v>
      </c>
      <c r="AM36" s="846" t="s">
        <v>194</v>
      </c>
      <c r="AN36" s="846" t="s">
        <v>194</v>
      </c>
    </row>
    <row r="37" ht="15.75" customHeight="1">
      <c r="A37" s="849">
        <v>1.0</v>
      </c>
      <c r="B37" s="15"/>
      <c r="C37" s="869" t="str">
        <f>"    Cash Flow from Investing Activities"</f>
        <v>    Cash Flow from Investing Activities</v>
      </c>
      <c r="D37" s="870">
        <f t="shared" si="17"/>
        <v>-1787</v>
      </c>
      <c r="E37" s="870">
        <f t="shared" si="18"/>
        <v>-14211.8</v>
      </c>
      <c r="F37" s="870">
        <f t="shared" si="19"/>
        <v>-68166</v>
      </c>
      <c r="G37" s="870">
        <f t="shared" si="20"/>
        <v>34117</v>
      </c>
      <c r="H37" s="870">
        <f t="shared" si="21"/>
        <v>-34684</v>
      </c>
      <c r="I37" s="870">
        <f t="shared" si="22"/>
        <v>-539</v>
      </c>
      <c r="J37" s="870">
        <f t="shared" si="23"/>
        <v>38752.93761</v>
      </c>
      <c r="K37" s="871">
        <f t="shared" si="24"/>
        <v>-2.726814169</v>
      </c>
      <c r="L37" s="872" t="s">
        <v>194</v>
      </c>
      <c r="M37" s="904">
        <v>-539.0</v>
      </c>
      <c r="N37" s="904">
        <v>-1787.0</v>
      </c>
      <c r="O37" s="904">
        <v>-68166.0</v>
      </c>
      <c r="P37" s="904">
        <v>-34684.0</v>
      </c>
      <c r="Q37" s="904">
        <v>34117.0</v>
      </c>
      <c r="R37" s="15"/>
      <c r="S37" s="851" t="s">
        <v>194</v>
      </c>
      <c r="T37" s="846" t="s">
        <v>194</v>
      </c>
      <c r="U37" s="846" t="s">
        <v>194</v>
      </c>
      <c r="V37" s="846" t="s">
        <v>194</v>
      </c>
      <c r="W37" s="846" t="s">
        <v>194</v>
      </c>
      <c r="X37" s="846" t="s">
        <v>194</v>
      </c>
      <c r="Y37" s="846" t="s">
        <v>194</v>
      </c>
      <c r="Z37" s="846" t="s">
        <v>194</v>
      </c>
      <c r="AA37" s="846" t="s">
        <v>194</v>
      </c>
      <c r="AB37" s="846" t="s">
        <v>194</v>
      </c>
      <c r="AC37" s="846" t="s">
        <v>194</v>
      </c>
      <c r="AD37" s="846" t="s">
        <v>194</v>
      </c>
      <c r="AE37" s="846" t="s">
        <v>194</v>
      </c>
      <c r="AF37" s="846" t="s">
        <v>194</v>
      </c>
      <c r="AG37" s="846" t="s">
        <v>194</v>
      </c>
      <c r="AH37" s="846" t="s">
        <v>194</v>
      </c>
      <c r="AI37" s="846" t="s">
        <v>194</v>
      </c>
      <c r="AJ37" s="846" t="s">
        <v>194</v>
      </c>
      <c r="AK37" s="846" t="s">
        <v>194</v>
      </c>
      <c r="AL37" s="846" t="s">
        <v>194</v>
      </c>
      <c r="AM37" s="846" t="s">
        <v>194</v>
      </c>
      <c r="AN37" s="846" t="s">
        <v>194</v>
      </c>
    </row>
    <row r="38" ht="15.75" customHeight="1">
      <c r="A38" s="849">
        <v>1.0</v>
      </c>
      <c r="B38" s="15"/>
      <c r="C38" s="869" t="str">
        <f>"    Cash Flow from Financing Activities"</f>
        <v>    Cash Flow from Financing Activities</v>
      </c>
      <c r="D38" s="870">
        <f t="shared" si="17"/>
        <v>17684</v>
      </c>
      <c r="E38" s="870">
        <f t="shared" si="18"/>
        <v>35630.6</v>
      </c>
      <c r="F38" s="870">
        <f t="shared" si="19"/>
        <v>6303</v>
      </c>
      <c r="G38" s="870">
        <f t="shared" si="20"/>
        <v>111252</v>
      </c>
      <c r="H38" s="870">
        <f t="shared" si="21"/>
        <v>6532</v>
      </c>
      <c r="I38" s="870">
        <f t="shared" si="22"/>
        <v>36382</v>
      </c>
      <c r="J38" s="870">
        <f t="shared" si="23"/>
        <v>44011.58323</v>
      </c>
      <c r="K38" s="871">
        <f t="shared" si="24"/>
        <v>1.235218695</v>
      </c>
      <c r="L38" s="872" t="s">
        <v>194</v>
      </c>
      <c r="M38" s="904">
        <v>17684.0</v>
      </c>
      <c r="N38" s="904">
        <v>36382.0</v>
      </c>
      <c r="O38" s="904">
        <v>111252.0</v>
      </c>
      <c r="P38" s="904">
        <v>6532.0</v>
      </c>
      <c r="Q38" s="904">
        <v>6303.0</v>
      </c>
      <c r="R38" s="15"/>
      <c r="S38" s="851" t="s">
        <v>194</v>
      </c>
      <c r="T38" s="846" t="s">
        <v>194</v>
      </c>
      <c r="U38" s="846" t="s">
        <v>194</v>
      </c>
      <c r="V38" s="846" t="s">
        <v>194</v>
      </c>
      <c r="W38" s="846" t="s">
        <v>194</v>
      </c>
      <c r="X38" s="846" t="s">
        <v>194</v>
      </c>
      <c r="Y38" s="846" t="s">
        <v>194</v>
      </c>
      <c r="Z38" s="846" t="s">
        <v>194</v>
      </c>
      <c r="AA38" s="846" t="s">
        <v>194</v>
      </c>
      <c r="AB38" s="846" t="s">
        <v>194</v>
      </c>
      <c r="AC38" s="846" t="s">
        <v>194</v>
      </c>
      <c r="AD38" s="846" t="s">
        <v>194</v>
      </c>
      <c r="AE38" s="846" t="s">
        <v>194</v>
      </c>
      <c r="AF38" s="846" t="s">
        <v>194</v>
      </c>
      <c r="AG38" s="846" t="s">
        <v>194</v>
      </c>
      <c r="AH38" s="846" t="s">
        <v>194</v>
      </c>
      <c r="AI38" s="846" t="s">
        <v>194</v>
      </c>
      <c r="AJ38" s="846" t="s">
        <v>194</v>
      </c>
      <c r="AK38" s="846" t="s">
        <v>194</v>
      </c>
      <c r="AL38" s="846" t="s">
        <v>194</v>
      </c>
      <c r="AM38" s="846" t="s">
        <v>194</v>
      </c>
      <c r="AN38" s="846" t="s">
        <v>194</v>
      </c>
    </row>
    <row r="39" ht="15.75" customHeight="1">
      <c r="A39" s="849">
        <v>1.0</v>
      </c>
      <c r="B39" s="15"/>
      <c r="C39" s="869" t="str">
        <f>"    Change in Cash"</f>
        <v>    Change in Cash</v>
      </c>
      <c r="D39" s="870">
        <f t="shared" si="17"/>
        <v>11352</v>
      </c>
      <c r="E39" s="870">
        <f t="shared" si="18"/>
        <v>2566.6</v>
      </c>
      <c r="F39" s="870">
        <f t="shared" si="19"/>
        <v>-43063</v>
      </c>
      <c r="G39" s="870">
        <f t="shared" si="20"/>
        <v>26435</v>
      </c>
      <c r="H39" s="870">
        <f t="shared" si="21"/>
        <v>1519</v>
      </c>
      <c r="I39" s="870">
        <f t="shared" si="22"/>
        <v>16590</v>
      </c>
      <c r="J39" s="870">
        <f t="shared" si="23"/>
        <v>27049.47958</v>
      </c>
      <c r="K39" s="871">
        <f t="shared" si="24"/>
        <v>10.53903202</v>
      </c>
      <c r="L39" s="872" t="s">
        <v>194</v>
      </c>
      <c r="M39" s="904">
        <v>1519.0</v>
      </c>
      <c r="N39" s="904">
        <v>16590.0</v>
      </c>
      <c r="O39" s="904">
        <v>26435.0</v>
      </c>
      <c r="P39" s="904">
        <v>-43063.0</v>
      </c>
      <c r="Q39" s="904">
        <v>11352.0</v>
      </c>
      <c r="R39" s="15"/>
      <c r="S39" s="851" t="s">
        <v>194</v>
      </c>
      <c r="T39" s="846" t="s">
        <v>194</v>
      </c>
      <c r="U39" s="846" t="s">
        <v>194</v>
      </c>
      <c r="V39" s="846" t="s">
        <v>194</v>
      </c>
      <c r="W39" s="846" t="s">
        <v>194</v>
      </c>
      <c r="X39" s="846" t="s">
        <v>194</v>
      </c>
      <c r="Y39" s="846" t="s">
        <v>194</v>
      </c>
      <c r="Z39" s="846" t="s">
        <v>194</v>
      </c>
      <c r="AA39" s="846" t="s">
        <v>194</v>
      </c>
      <c r="AB39" s="846" t="s">
        <v>194</v>
      </c>
      <c r="AC39" s="846" t="s">
        <v>194</v>
      </c>
      <c r="AD39" s="846" t="s">
        <v>194</v>
      </c>
      <c r="AE39" s="846" t="s">
        <v>194</v>
      </c>
      <c r="AF39" s="846" t="s">
        <v>194</v>
      </c>
      <c r="AG39" s="846" t="s">
        <v>194</v>
      </c>
      <c r="AH39" s="846" t="s">
        <v>194</v>
      </c>
      <c r="AI39" s="846" t="s">
        <v>194</v>
      </c>
      <c r="AJ39" s="846" t="s">
        <v>194</v>
      </c>
      <c r="AK39" s="846" t="s">
        <v>194</v>
      </c>
      <c r="AL39" s="846" t="s">
        <v>194</v>
      </c>
      <c r="AM39" s="846" t="s">
        <v>194</v>
      </c>
      <c r="AN39" s="846" t="s">
        <v>194</v>
      </c>
    </row>
    <row r="40" ht="15.75" customHeight="1">
      <c r="A40" s="905">
        <v>1.0</v>
      </c>
      <c r="B40" s="906"/>
      <c r="C40" s="912" t="str">
        <f>"    Capital Expenditure (Calc)"</f>
        <v>    Capital Expenditure (Calc)</v>
      </c>
      <c r="D40" s="913">
        <f t="shared" si="17"/>
        <v>2763</v>
      </c>
      <c r="E40" s="913">
        <f t="shared" si="18"/>
        <v>2766.2</v>
      </c>
      <c r="F40" s="913">
        <f t="shared" si="19"/>
        <v>539</v>
      </c>
      <c r="G40" s="913">
        <f t="shared" si="20"/>
        <v>5180</v>
      </c>
      <c r="H40" s="913">
        <f t="shared" si="21"/>
        <v>1787</v>
      </c>
      <c r="I40" s="913">
        <f t="shared" si="22"/>
        <v>3562</v>
      </c>
      <c r="J40" s="913">
        <f t="shared" si="23"/>
        <v>1759.189501</v>
      </c>
      <c r="K40" s="914">
        <f t="shared" si="24"/>
        <v>0.635958897</v>
      </c>
      <c r="L40" s="913" t="s">
        <v>194</v>
      </c>
      <c r="M40" s="913">
        <v>539.0</v>
      </c>
      <c r="N40" s="913">
        <v>1787.0</v>
      </c>
      <c r="O40" s="913">
        <v>2763.0</v>
      </c>
      <c r="P40" s="913">
        <v>3562.0</v>
      </c>
      <c r="Q40" s="913">
        <v>5180.0</v>
      </c>
      <c r="R40" s="906"/>
      <c r="S40" s="911" t="s">
        <v>194</v>
      </c>
      <c r="T40" s="906" t="s">
        <v>194</v>
      </c>
      <c r="U40" s="906" t="s">
        <v>194</v>
      </c>
      <c r="V40" s="906" t="s">
        <v>194</v>
      </c>
      <c r="W40" s="906" t="s">
        <v>194</v>
      </c>
      <c r="X40" s="906" t="s">
        <v>194</v>
      </c>
      <c r="Y40" s="906" t="s">
        <v>194</v>
      </c>
      <c r="Z40" s="906" t="s">
        <v>194</v>
      </c>
      <c r="AA40" s="906" t="s">
        <v>194</v>
      </c>
      <c r="AB40" s="906" t="s">
        <v>194</v>
      </c>
      <c r="AC40" s="906" t="s">
        <v>194</v>
      </c>
      <c r="AD40" s="906" t="s">
        <v>194</v>
      </c>
      <c r="AE40" s="906" t="s">
        <v>194</v>
      </c>
      <c r="AF40" s="906" t="s">
        <v>194</v>
      </c>
      <c r="AG40" s="906" t="s">
        <v>194</v>
      </c>
      <c r="AH40" s="906" t="s">
        <v>194</v>
      </c>
      <c r="AI40" s="906" t="s">
        <v>194</v>
      </c>
      <c r="AJ40" s="906" t="s">
        <v>194</v>
      </c>
      <c r="AK40" s="906" t="s">
        <v>194</v>
      </c>
      <c r="AL40" s="906" t="s">
        <v>194</v>
      </c>
      <c r="AM40" s="906" t="s">
        <v>194</v>
      </c>
      <c r="AN40" s="906" t="s">
        <v>194</v>
      </c>
    </row>
    <row r="41" ht="15.75" customHeight="1">
      <c r="A41" s="849">
        <v>1.0</v>
      </c>
      <c r="B41" s="15"/>
      <c r="C41" s="869" t="str">
        <f>"    Issuance of/(Payments for) Common Stock, Net"</f>
        <v>    Issuance of/(Payments for) Common Stock, Net</v>
      </c>
      <c r="D41" s="870">
        <f t="shared" si="17"/>
        <v>25</v>
      </c>
      <c r="E41" s="870">
        <f t="shared" si="18"/>
        <v>28621.5</v>
      </c>
      <c r="F41" s="870">
        <f t="shared" si="19"/>
        <v>0</v>
      </c>
      <c r="G41" s="870">
        <f t="shared" si="20"/>
        <v>114436</v>
      </c>
      <c r="H41" s="870">
        <f t="shared" si="21"/>
        <v>0</v>
      </c>
      <c r="I41" s="870">
        <f t="shared" si="22"/>
        <v>28646.5</v>
      </c>
      <c r="J41" s="870">
        <f t="shared" si="23"/>
        <v>57209.67152</v>
      </c>
      <c r="K41" s="871">
        <f t="shared" si="24"/>
        <v>1.998835544</v>
      </c>
      <c r="L41" s="872" t="s">
        <v>194</v>
      </c>
      <c r="M41" s="904">
        <v>50.0</v>
      </c>
      <c r="N41" s="904" t="s">
        <v>194</v>
      </c>
      <c r="O41" s="904">
        <v>114436.0</v>
      </c>
      <c r="P41" s="904">
        <v>0.0</v>
      </c>
      <c r="Q41" s="904">
        <v>0.0</v>
      </c>
      <c r="R41" s="15"/>
      <c r="S41" s="851" t="s">
        <v>194</v>
      </c>
      <c r="T41" s="846" t="s">
        <v>194</v>
      </c>
      <c r="U41" s="846" t="s">
        <v>194</v>
      </c>
      <c r="V41" s="846" t="s">
        <v>194</v>
      </c>
      <c r="W41" s="846" t="s">
        <v>194</v>
      </c>
      <c r="X41" s="846" t="s">
        <v>194</v>
      </c>
      <c r="Y41" s="846" t="s">
        <v>194</v>
      </c>
      <c r="Z41" s="846" t="s">
        <v>194</v>
      </c>
      <c r="AA41" s="846" t="s">
        <v>194</v>
      </c>
      <c r="AB41" s="846" t="s">
        <v>194</v>
      </c>
      <c r="AC41" s="846" t="s">
        <v>194</v>
      </c>
      <c r="AD41" s="846" t="s">
        <v>194</v>
      </c>
      <c r="AE41" s="846" t="s">
        <v>194</v>
      </c>
      <c r="AF41" s="846" t="s">
        <v>194</v>
      </c>
      <c r="AG41" s="846" t="s">
        <v>194</v>
      </c>
      <c r="AH41" s="846" t="s">
        <v>194</v>
      </c>
      <c r="AI41" s="846" t="s">
        <v>194</v>
      </c>
      <c r="AJ41" s="846" t="s">
        <v>194</v>
      </c>
      <c r="AK41" s="846" t="s">
        <v>194</v>
      </c>
      <c r="AL41" s="846" t="s">
        <v>194</v>
      </c>
      <c r="AM41" s="846" t="s">
        <v>194</v>
      </c>
      <c r="AN41" s="846" t="s">
        <v>194</v>
      </c>
    </row>
    <row r="42" ht="15.75" customHeight="1">
      <c r="A42" s="849">
        <v>1.0</v>
      </c>
      <c r="B42" s="15"/>
      <c r="C42" s="869" t="str">
        <f>"    Cash and Cash Equivalents, Beginning of Period"</f>
        <v>    Cash and Cash Equivalents, Beginning of Period</v>
      </c>
      <c r="D42" s="870">
        <f t="shared" si="17"/>
        <v>8671</v>
      </c>
      <c r="E42" s="870">
        <f t="shared" si="18"/>
        <v>20284.2</v>
      </c>
      <c r="F42" s="870">
        <f t="shared" si="19"/>
        <v>7099</v>
      </c>
      <c r="G42" s="870">
        <f t="shared" si="20"/>
        <v>51734</v>
      </c>
      <c r="H42" s="870">
        <f t="shared" si="21"/>
        <v>8618</v>
      </c>
      <c r="I42" s="870">
        <f t="shared" si="22"/>
        <v>25299</v>
      </c>
      <c r="J42" s="870">
        <f t="shared" si="23"/>
        <v>19098.78448</v>
      </c>
      <c r="K42" s="871">
        <f t="shared" si="24"/>
        <v>0.9415596613</v>
      </c>
      <c r="L42" s="872" t="s">
        <v>194</v>
      </c>
      <c r="M42" s="904">
        <v>7099.0</v>
      </c>
      <c r="N42" s="904">
        <v>8618.0</v>
      </c>
      <c r="O42" s="904">
        <v>25299.0</v>
      </c>
      <c r="P42" s="904">
        <v>51734.0</v>
      </c>
      <c r="Q42" s="904">
        <v>8671.0</v>
      </c>
      <c r="R42" s="15"/>
      <c r="S42" s="851" t="s">
        <v>194</v>
      </c>
      <c r="T42" s="846" t="s">
        <v>194</v>
      </c>
      <c r="U42" s="846" t="s">
        <v>194</v>
      </c>
      <c r="V42" s="846" t="s">
        <v>194</v>
      </c>
      <c r="W42" s="846" t="s">
        <v>194</v>
      </c>
      <c r="X42" s="846" t="s">
        <v>194</v>
      </c>
      <c r="Y42" s="846" t="s">
        <v>194</v>
      </c>
      <c r="Z42" s="846" t="s">
        <v>194</v>
      </c>
      <c r="AA42" s="846" t="s">
        <v>194</v>
      </c>
      <c r="AB42" s="846" t="s">
        <v>194</v>
      </c>
      <c r="AC42" s="846" t="s">
        <v>194</v>
      </c>
      <c r="AD42" s="846" t="s">
        <v>194</v>
      </c>
      <c r="AE42" s="846" t="s">
        <v>194</v>
      </c>
      <c r="AF42" s="846" t="s">
        <v>194</v>
      </c>
      <c r="AG42" s="846" t="s">
        <v>194</v>
      </c>
      <c r="AH42" s="846" t="s">
        <v>194</v>
      </c>
      <c r="AI42" s="846" t="s">
        <v>194</v>
      </c>
      <c r="AJ42" s="846" t="s">
        <v>194</v>
      </c>
      <c r="AK42" s="846" t="s">
        <v>194</v>
      </c>
      <c r="AL42" s="846" t="s">
        <v>194</v>
      </c>
      <c r="AM42" s="846" t="s">
        <v>194</v>
      </c>
      <c r="AN42" s="846" t="s">
        <v>194</v>
      </c>
    </row>
    <row r="43" ht="15.75" customHeight="1">
      <c r="A43" s="849">
        <v>1.0</v>
      </c>
      <c r="B43" s="15"/>
      <c r="C43" s="869" t="str">
        <f>"    Cash and Cash Equivalents, End of Period"</f>
        <v>    Cash and Cash Equivalents, End of Period</v>
      </c>
      <c r="D43" s="870">
        <f t="shared" si="17"/>
        <v>20023</v>
      </c>
      <c r="E43" s="870">
        <f t="shared" si="18"/>
        <v>22850.8</v>
      </c>
      <c r="F43" s="870">
        <f t="shared" si="19"/>
        <v>8618</v>
      </c>
      <c r="G43" s="870">
        <f t="shared" si="20"/>
        <v>51734</v>
      </c>
      <c r="H43" s="870">
        <f t="shared" si="21"/>
        <v>8671</v>
      </c>
      <c r="I43" s="870">
        <f t="shared" si="22"/>
        <v>25208</v>
      </c>
      <c r="J43" s="870">
        <f t="shared" si="23"/>
        <v>17687.78824</v>
      </c>
      <c r="K43" s="871">
        <f t="shared" si="24"/>
        <v>0.7740555358</v>
      </c>
      <c r="L43" s="872" t="s">
        <v>194</v>
      </c>
      <c r="M43" s="904">
        <v>8618.0</v>
      </c>
      <c r="N43" s="904">
        <v>25208.0</v>
      </c>
      <c r="O43" s="904">
        <v>51734.0</v>
      </c>
      <c r="P43" s="904">
        <v>8671.0</v>
      </c>
      <c r="Q43" s="904">
        <v>20023.0</v>
      </c>
      <c r="R43" s="15"/>
      <c r="S43" s="851" t="s">
        <v>194</v>
      </c>
      <c r="T43" s="846" t="s">
        <v>194</v>
      </c>
      <c r="U43" s="846" t="s">
        <v>194</v>
      </c>
      <c r="V43" s="846" t="s">
        <v>194</v>
      </c>
      <c r="W43" s="846" t="s">
        <v>194</v>
      </c>
      <c r="X43" s="846" t="s">
        <v>194</v>
      </c>
      <c r="Y43" s="846" t="s">
        <v>194</v>
      </c>
      <c r="Z43" s="846" t="s">
        <v>194</v>
      </c>
      <c r="AA43" s="846" t="s">
        <v>194</v>
      </c>
      <c r="AB43" s="846" t="s">
        <v>194</v>
      </c>
      <c r="AC43" s="846" t="s">
        <v>194</v>
      </c>
      <c r="AD43" s="846" t="s">
        <v>194</v>
      </c>
      <c r="AE43" s="846" t="s">
        <v>194</v>
      </c>
      <c r="AF43" s="846" t="s">
        <v>194</v>
      </c>
      <c r="AG43" s="846" t="s">
        <v>194</v>
      </c>
      <c r="AH43" s="846" t="s">
        <v>194</v>
      </c>
      <c r="AI43" s="846" t="s">
        <v>194</v>
      </c>
      <c r="AJ43" s="846" t="s">
        <v>194</v>
      </c>
      <c r="AK43" s="846" t="s">
        <v>194</v>
      </c>
      <c r="AL43" s="846" t="s">
        <v>194</v>
      </c>
      <c r="AM43" s="846" t="s">
        <v>194</v>
      </c>
      <c r="AN43" s="846" t="s">
        <v>194</v>
      </c>
    </row>
    <row r="44" ht="15.75" customHeight="1">
      <c r="A44" s="849">
        <v>1.0</v>
      </c>
      <c r="B44" s="15"/>
      <c r="C44" s="855" t="str">
        <f>"Ratios"</f>
        <v>Ratios</v>
      </c>
      <c r="D44" s="867" t="s">
        <v>194</v>
      </c>
      <c r="E44" s="867" t="s">
        <v>194</v>
      </c>
      <c r="F44" s="867" t="s">
        <v>194</v>
      </c>
      <c r="G44" s="867" t="s">
        <v>194</v>
      </c>
      <c r="H44" s="867" t="s">
        <v>194</v>
      </c>
      <c r="I44" s="867" t="s">
        <v>194</v>
      </c>
      <c r="J44" s="867" t="s">
        <v>194</v>
      </c>
      <c r="K44" s="867" t="s">
        <v>194</v>
      </c>
      <c r="L44" s="867" t="s">
        <v>194</v>
      </c>
      <c r="M44" s="927" t="s">
        <v>194</v>
      </c>
      <c r="N44" s="927" t="s">
        <v>194</v>
      </c>
      <c r="O44" s="927" t="s">
        <v>194</v>
      </c>
      <c r="P44" s="927" t="s">
        <v>194</v>
      </c>
      <c r="Q44" s="927" t="s">
        <v>194</v>
      </c>
      <c r="R44" s="15"/>
      <c r="S44" s="851" t="s">
        <v>194</v>
      </c>
      <c r="T44" s="846" t="s">
        <v>194</v>
      </c>
      <c r="U44" s="846" t="s">
        <v>194</v>
      </c>
      <c r="V44" s="846" t="s">
        <v>194</v>
      </c>
      <c r="W44" s="846" t="s">
        <v>194</v>
      </c>
      <c r="X44" s="846" t="s">
        <v>194</v>
      </c>
      <c r="Y44" s="846" t="s">
        <v>194</v>
      </c>
      <c r="Z44" s="846" t="s">
        <v>194</v>
      </c>
      <c r="AA44" s="846" t="s">
        <v>194</v>
      </c>
      <c r="AB44" s="846" t="s">
        <v>194</v>
      </c>
      <c r="AC44" s="846" t="s">
        <v>194</v>
      </c>
      <c r="AD44" s="846" t="s">
        <v>194</v>
      </c>
      <c r="AE44" s="846" t="s">
        <v>194</v>
      </c>
      <c r="AF44" s="846" t="s">
        <v>194</v>
      </c>
      <c r="AG44" s="846" t="s">
        <v>194</v>
      </c>
      <c r="AH44" s="846" t="s">
        <v>194</v>
      </c>
      <c r="AI44" s="846" t="s">
        <v>194</v>
      </c>
      <c r="AJ44" s="846" t="s">
        <v>194</v>
      </c>
      <c r="AK44" s="846" t="s">
        <v>194</v>
      </c>
      <c r="AL44" s="846" t="s">
        <v>194</v>
      </c>
      <c r="AM44" s="846" t="s">
        <v>194</v>
      </c>
      <c r="AN44" s="846" t="s">
        <v>194</v>
      </c>
    </row>
    <row r="45" ht="15.75" customHeight="1">
      <c r="A45" s="849">
        <v>1.0</v>
      </c>
      <c r="B45" s="15"/>
      <c r="C45" s="869" t="str">
        <f>"    EBITDA Margin"</f>
        <v>    EBITDA Margin</v>
      </c>
      <c r="D45" s="938">
        <f t="shared" ref="D45:D54" si="25">IF(COUNT(M45:Q45)&gt;0,MEDIAN(M45:Q45),"")</f>
        <v>-0.2909303226</v>
      </c>
      <c r="E45" s="938">
        <f t="shared" ref="E45:E54" si="26">IF(COUNT(M45:Q45)&gt;0,AVERAGE(M45:Q45),"")</f>
        <v>-0.4149691821</v>
      </c>
      <c r="F45" s="938">
        <f t="shared" ref="F45:F54" si="27">IF(COUNT(M45:Q45)&gt;0,MIN(M45:Q45),"")</f>
        <v>-0.6812267231</v>
      </c>
      <c r="G45" s="938">
        <f t="shared" ref="G45:G54" si="28">IF(COUNT(M45:Q45)&gt;0,MAX(M45:Q45),"")</f>
        <v>-0.2480687044</v>
      </c>
      <c r="H45" s="938">
        <f t="shared" ref="H45:H54" si="29">IF(COUNT(M45:Q45)&gt;0,QUARTILE(M45:Q45,1),"")</f>
        <v>-0.5879358052</v>
      </c>
      <c r="I45" s="938">
        <f t="shared" ref="I45:I54" si="30">IF(COUNT(M45:Q45)&gt;0,QUARTILE(M45:Q45,3),"")</f>
        <v>-0.2666843551</v>
      </c>
      <c r="J45" s="938">
        <f t="shared" ref="J45:J54" si="31">IF(COUNT(M45:Q45)&gt;1,STDEV(M45:Q45),"")</f>
        <v>0.2037402322</v>
      </c>
      <c r="K45" s="871">
        <f t="shared" ref="K45:K54" si="32">IF(COUNT(M45:Q45)&gt;1,STDEV(M45:Q45)/AVERAGE(M45:Q45),"")</f>
        <v>-0.4909767786</v>
      </c>
      <c r="L45" s="939" t="s">
        <v>194</v>
      </c>
      <c r="M45" s="940">
        <v>-0.6812267230677272</v>
      </c>
      <c r="N45" s="940">
        <v>-0.5879358052019923</v>
      </c>
      <c r="O45" s="940">
        <v>-0.2666843551005119</v>
      </c>
      <c r="P45" s="940">
        <v>-0.2480687043823407</v>
      </c>
      <c r="Q45" s="940">
        <v>-0.2909303225543644</v>
      </c>
      <c r="R45" s="15"/>
      <c r="S45" s="851" t="s">
        <v>194</v>
      </c>
      <c r="T45" s="846" t="s">
        <v>194</v>
      </c>
      <c r="U45" s="846" t="s">
        <v>194</v>
      </c>
      <c r="V45" s="846" t="s">
        <v>194</v>
      </c>
      <c r="W45" s="846" t="s">
        <v>194</v>
      </c>
      <c r="X45" s="846" t="s">
        <v>194</v>
      </c>
      <c r="Y45" s="846" t="s">
        <v>194</v>
      </c>
      <c r="Z45" s="846" t="s">
        <v>194</v>
      </c>
      <c r="AA45" s="846" t="s">
        <v>194</v>
      </c>
      <c r="AB45" s="846" t="s">
        <v>194</v>
      </c>
      <c r="AC45" s="846" t="s">
        <v>194</v>
      </c>
      <c r="AD45" s="846" t="s">
        <v>194</v>
      </c>
      <c r="AE45" s="846" t="s">
        <v>194</v>
      </c>
      <c r="AF45" s="846" t="s">
        <v>194</v>
      </c>
      <c r="AG45" s="846" t="s">
        <v>194</v>
      </c>
      <c r="AH45" s="846" t="s">
        <v>194</v>
      </c>
      <c r="AI45" s="846" t="s">
        <v>194</v>
      </c>
      <c r="AJ45" s="846" t="s">
        <v>194</v>
      </c>
      <c r="AK45" s="846" t="s">
        <v>194</v>
      </c>
      <c r="AL45" s="846" t="s">
        <v>194</v>
      </c>
      <c r="AM45" s="846" t="s">
        <v>194</v>
      </c>
      <c r="AN45" s="846" t="s">
        <v>194</v>
      </c>
    </row>
    <row r="46" ht="15.75" customHeight="1">
      <c r="A46" s="849">
        <v>1.0</v>
      </c>
      <c r="B46" s="15"/>
      <c r="C46" s="869" t="str">
        <f>"    Revenue % Growth"</f>
        <v>    Revenue % Growth</v>
      </c>
      <c r="D46" s="938">
        <f t="shared" si="25"/>
        <v>0.599579531</v>
      </c>
      <c r="E46" s="938">
        <f t="shared" si="26"/>
        <v>0.6168165202</v>
      </c>
      <c r="F46" s="938">
        <f t="shared" si="27"/>
        <v>0.4952237867</v>
      </c>
      <c r="G46" s="938">
        <f t="shared" si="28"/>
        <v>0.7728832319</v>
      </c>
      <c r="H46" s="938">
        <f t="shared" si="29"/>
        <v>0.5269110472</v>
      </c>
      <c r="I46" s="938">
        <f t="shared" si="30"/>
        <v>0.689485004</v>
      </c>
      <c r="J46" s="938">
        <f t="shared" si="31"/>
        <v>0.1257645488</v>
      </c>
      <c r="K46" s="871">
        <f t="shared" si="32"/>
        <v>0.2038929645</v>
      </c>
      <c r="L46" s="939" t="s">
        <v>194</v>
      </c>
      <c r="M46" s="940" t="s">
        <v>194</v>
      </c>
      <c r="N46" s="940">
        <v>0.661685594739988</v>
      </c>
      <c r="O46" s="940">
        <v>0.7728832318760377</v>
      </c>
      <c r="P46" s="940">
        <v>0.5374734673492321</v>
      </c>
      <c r="Q46" s="940">
        <v>0.49522378665908695</v>
      </c>
      <c r="R46" s="15"/>
      <c r="S46" s="851" t="s">
        <v>194</v>
      </c>
      <c r="T46" s="846" t="s">
        <v>194</v>
      </c>
      <c r="U46" s="846" t="s">
        <v>194</v>
      </c>
      <c r="V46" s="846" t="s">
        <v>194</v>
      </c>
      <c r="W46" s="846" t="s">
        <v>194</v>
      </c>
      <c r="X46" s="846" t="s">
        <v>194</v>
      </c>
      <c r="Y46" s="846" t="s">
        <v>194</v>
      </c>
      <c r="Z46" s="846" t="s">
        <v>194</v>
      </c>
      <c r="AA46" s="846" t="s">
        <v>194</v>
      </c>
      <c r="AB46" s="846" t="s">
        <v>194</v>
      </c>
      <c r="AC46" s="846" t="s">
        <v>194</v>
      </c>
      <c r="AD46" s="846" t="s">
        <v>194</v>
      </c>
      <c r="AE46" s="846" t="s">
        <v>194</v>
      </c>
      <c r="AF46" s="846" t="s">
        <v>194</v>
      </c>
      <c r="AG46" s="846" t="s">
        <v>194</v>
      </c>
      <c r="AH46" s="846" t="s">
        <v>194</v>
      </c>
      <c r="AI46" s="846" t="s">
        <v>194</v>
      </c>
      <c r="AJ46" s="846" t="s">
        <v>194</v>
      </c>
      <c r="AK46" s="846" t="s">
        <v>194</v>
      </c>
      <c r="AL46" s="846" t="s">
        <v>194</v>
      </c>
      <c r="AM46" s="846" t="s">
        <v>194</v>
      </c>
      <c r="AN46" s="846" t="s">
        <v>194</v>
      </c>
    </row>
    <row r="47" ht="15.75" customHeight="1">
      <c r="A47" s="849">
        <v>1.0</v>
      </c>
      <c r="B47" s="15"/>
      <c r="C47" s="869" t="str">
        <f>"    Current Ratio"</f>
        <v>    Current Ratio</v>
      </c>
      <c r="D47" s="886">
        <f t="shared" si="25"/>
        <v>3.741196581</v>
      </c>
      <c r="E47" s="886">
        <f t="shared" si="26"/>
        <v>5.03013765</v>
      </c>
      <c r="F47" s="886">
        <f t="shared" si="27"/>
        <v>3.195884774</v>
      </c>
      <c r="G47" s="886">
        <f t="shared" si="28"/>
        <v>8.975255392</v>
      </c>
      <c r="H47" s="886">
        <f t="shared" si="29"/>
        <v>3.521695992</v>
      </c>
      <c r="I47" s="886">
        <f t="shared" si="30"/>
        <v>5.716655512</v>
      </c>
      <c r="J47" s="886">
        <f t="shared" si="31"/>
        <v>2.415393845</v>
      </c>
      <c r="K47" s="871">
        <f t="shared" si="32"/>
        <v>0.4801844428</v>
      </c>
      <c r="L47" s="887" t="s">
        <v>194</v>
      </c>
      <c r="M47" s="984">
        <v>3.1958847736625513</v>
      </c>
      <c r="N47" s="984">
        <v>3.741196581196581</v>
      </c>
      <c r="O47" s="984">
        <v>8.975255391600454</v>
      </c>
      <c r="P47" s="984">
        <v>5.716655511999235</v>
      </c>
      <c r="Q47" s="984">
        <v>3.5216959915332717</v>
      </c>
      <c r="R47" s="15"/>
      <c r="S47" s="851" t="s">
        <v>194</v>
      </c>
      <c r="T47" s="846" t="s">
        <v>194</v>
      </c>
      <c r="U47" s="846" t="s">
        <v>194</v>
      </c>
      <c r="V47" s="846" t="s">
        <v>194</v>
      </c>
      <c r="W47" s="846" t="s">
        <v>194</v>
      </c>
      <c r="X47" s="846" t="s">
        <v>194</v>
      </c>
      <c r="Y47" s="846" t="s">
        <v>194</v>
      </c>
      <c r="Z47" s="846" t="s">
        <v>194</v>
      </c>
      <c r="AA47" s="846" t="s">
        <v>194</v>
      </c>
      <c r="AB47" s="846" t="s">
        <v>194</v>
      </c>
      <c r="AC47" s="846" t="s">
        <v>194</v>
      </c>
      <c r="AD47" s="846" t="s">
        <v>194</v>
      </c>
      <c r="AE47" s="846" t="s">
        <v>194</v>
      </c>
      <c r="AF47" s="846" t="s">
        <v>194</v>
      </c>
      <c r="AG47" s="846" t="s">
        <v>194</v>
      </c>
      <c r="AH47" s="846" t="s">
        <v>194</v>
      </c>
      <c r="AI47" s="846" t="s">
        <v>194</v>
      </c>
      <c r="AJ47" s="846" t="s">
        <v>194</v>
      </c>
      <c r="AK47" s="846" t="s">
        <v>194</v>
      </c>
      <c r="AL47" s="846" t="s">
        <v>194</v>
      </c>
      <c r="AM47" s="846" t="s">
        <v>194</v>
      </c>
      <c r="AN47" s="846" t="s">
        <v>194</v>
      </c>
    </row>
    <row r="48" ht="15.75" customHeight="1">
      <c r="A48" s="849">
        <v>1.0</v>
      </c>
      <c r="B48" s="15"/>
      <c r="C48" s="869" t="str">
        <f>"    Quick Ratio"</f>
        <v>    Quick Ratio</v>
      </c>
      <c r="D48" s="886">
        <f t="shared" si="25"/>
        <v>3.508262108</v>
      </c>
      <c r="E48" s="886">
        <f t="shared" si="26"/>
        <v>4.8106472</v>
      </c>
      <c r="F48" s="886">
        <f t="shared" si="27"/>
        <v>2.977572016</v>
      </c>
      <c r="G48" s="886">
        <f t="shared" si="28"/>
        <v>8.736738555</v>
      </c>
      <c r="H48" s="886">
        <f t="shared" si="29"/>
        <v>3.317899193</v>
      </c>
      <c r="I48" s="886">
        <f t="shared" si="30"/>
        <v>5.512764127</v>
      </c>
      <c r="J48" s="886">
        <f t="shared" si="31"/>
        <v>2.40789481</v>
      </c>
      <c r="K48" s="871">
        <f t="shared" si="32"/>
        <v>0.5005344833</v>
      </c>
      <c r="L48" s="887" t="s">
        <v>194</v>
      </c>
      <c r="M48" s="984">
        <v>2.9775720164609054</v>
      </c>
      <c r="N48" s="984">
        <v>3.5082621082621084</v>
      </c>
      <c r="O48" s="984">
        <v>8.736738554672721</v>
      </c>
      <c r="P48" s="984">
        <v>5.51276412658954</v>
      </c>
      <c r="Q48" s="984">
        <v>3.317899193014949</v>
      </c>
      <c r="R48" s="15"/>
      <c r="S48" s="851" t="s">
        <v>194</v>
      </c>
      <c r="T48" s="846" t="s">
        <v>194</v>
      </c>
      <c r="U48" s="846" t="s">
        <v>194</v>
      </c>
      <c r="V48" s="846" t="s">
        <v>194</v>
      </c>
      <c r="W48" s="846" t="s">
        <v>194</v>
      </c>
      <c r="X48" s="846" t="s">
        <v>194</v>
      </c>
      <c r="Y48" s="846" t="s">
        <v>194</v>
      </c>
      <c r="Z48" s="846" t="s">
        <v>194</v>
      </c>
      <c r="AA48" s="846" t="s">
        <v>194</v>
      </c>
      <c r="AB48" s="846" t="s">
        <v>194</v>
      </c>
      <c r="AC48" s="846" t="s">
        <v>194</v>
      </c>
      <c r="AD48" s="846" t="s">
        <v>194</v>
      </c>
      <c r="AE48" s="846" t="s">
        <v>194</v>
      </c>
      <c r="AF48" s="846" t="s">
        <v>194</v>
      </c>
      <c r="AG48" s="846" t="s">
        <v>194</v>
      </c>
      <c r="AH48" s="846" t="s">
        <v>194</v>
      </c>
      <c r="AI48" s="846" t="s">
        <v>194</v>
      </c>
      <c r="AJ48" s="846" t="s">
        <v>194</v>
      </c>
      <c r="AK48" s="846" t="s">
        <v>194</v>
      </c>
      <c r="AL48" s="846" t="s">
        <v>194</v>
      </c>
      <c r="AM48" s="846" t="s">
        <v>194</v>
      </c>
      <c r="AN48" s="846" t="s">
        <v>194</v>
      </c>
    </row>
    <row r="49" ht="15.75" customHeight="1">
      <c r="A49" s="849">
        <v>1.0</v>
      </c>
      <c r="B49" s="15"/>
      <c r="C49" s="869" t="str">
        <f>"    Debt to Equity"</f>
        <v>    Debt to Equity</v>
      </c>
      <c r="D49" s="886">
        <f t="shared" si="25"/>
        <v>0.4084195442</v>
      </c>
      <c r="E49" s="886">
        <f t="shared" si="26"/>
        <v>0.4659508594</v>
      </c>
      <c r="F49" s="886">
        <f t="shared" si="27"/>
        <v>0.3481666343</v>
      </c>
      <c r="G49" s="886">
        <f t="shared" si="28"/>
        <v>0.6412663996</v>
      </c>
      <c r="H49" s="886">
        <f t="shared" si="29"/>
        <v>0.3782930892</v>
      </c>
      <c r="I49" s="886">
        <f t="shared" si="30"/>
        <v>0.5248429719</v>
      </c>
      <c r="J49" s="886">
        <f t="shared" si="31"/>
        <v>0.1547877814</v>
      </c>
      <c r="K49" s="871">
        <f t="shared" si="32"/>
        <v>0.332197652</v>
      </c>
      <c r="L49" s="887" t="s">
        <v>194</v>
      </c>
      <c r="M49" s="984" t="s">
        <v>194</v>
      </c>
      <c r="N49" s="984" t="s">
        <v>194</v>
      </c>
      <c r="O49" s="984">
        <v>0.3481666342559582</v>
      </c>
      <c r="P49" s="984">
        <v>0.40841954420323556</v>
      </c>
      <c r="Q49" s="984">
        <v>0.6412663996178016</v>
      </c>
      <c r="R49" s="15"/>
      <c r="S49" s="851" t="s">
        <v>194</v>
      </c>
      <c r="T49" s="846" t="s">
        <v>194</v>
      </c>
      <c r="U49" s="846" t="s">
        <v>194</v>
      </c>
      <c r="V49" s="846" t="s">
        <v>194</v>
      </c>
      <c r="W49" s="846" t="s">
        <v>194</v>
      </c>
      <c r="X49" s="846" t="s">
        <v>194</v>
      </c>
      <c r="Y49" s="846" t="s">
        <v>194</v>
      </c>
      <c r="Z49" s="846" t="s">
        <v>194</v>
      </c>
      <c r="AA49" s="846" t="s">
        <v>194</v>
      </c>
      <c r="AB49" s="846" t="s">
        <v>194</v>
      </c>
      <c r="AC49" s="846" t="s">
        <v>194</v>
      </c>
      <c r="AD49" s="846" t="s">
        <v>194</v>
      </c>
      <c r="AE49" s="846" t="s">
        <v>194</v>
      </c>
      <c r="AF49" s="846" t="s">
        <v>194</v>
      </c>
      <c r="AG49" s="846" t="s">
        <v>194</v>
      </c>
      <c r="AH49" s="846" t="s">
        <v>194</v>
      </c>
      <c r="AI49" s="846" t="s">
        <v>194</v>
      </c>
      <c r="AJ49" s="846" t="s">
        <v>194</v>
      </c>
      <c r="AK49" s="846" t="s">
        <v>194</v>
      </c>
      <c r="AL49" s="846" t="s">
        <v>194</v>
      </c>
      <c r="AM49" s="846" t="s">
        <v>194</v>
      </c>
      <c r="AN49" s="846" t="s">
        <v>194</v>
      </c>
    </row>
    <row r="50" ht="15.75" customHeight="1">
      <c r="A50" s="849">
        <v>1.0</v>
      </c>
      <c r="B50" s="15"/>
      <c r="C50" s="869" t="str">
        <f>"    Total Debt to Equity"</f>
        <v>    Total Debt to Equity</v>
      </c>
      <c r="D50" s="886">
        <f t="shared" si="25"/>
        <v>0.4271114854</v>
      </c>
      <c r="E50" s="886">
        <f t="shared" si="26"/>
        <v>0.4721815064</v>
      </c>
      <c r="F50" s="886">
        <f t="shared" si="27"/>
        <v>0.3481666343</v>
      </c>
      <c r="G50" s="886">
        <f t="shared" si="28"/>
        <v>0.6412663996</v>
      </c>
      <c r="H50" s="886">
        <f t="shared" si="29"/>
        <v>0.3876390598</v>
      </c>
      <c r="I50" s="886">
        <f t="shared" si="30"/>
        <v>0.5341889425</v>
      </c>
      <c r="J50" s="886">
        <f t="shared" si="31"/>
        <v>0.1516586569</v>
      </c>
      <c r="K50" s="871">
        <f t="shared" si="32"/>
        <v>0.321187202</v>
      </c>
      <c r="L50" s="887" t="s">
        <v>194</v>
      </c>
      <c r="M50" s="984" t="s">
        <v>194</v>
      </c>
      <c r="N50" s="984" t="s">
        <v>194</v>
      </c>
      <c r="O50" s="984">
        <v>0.3481666342559582</v>
      </c>
      <c r="P50" s="984">
        <v>0.42711148542481114</v>
      </c>
      <c r="Q50" s="984">
        <v>0.6412663996178016</v>
      </c>
      <c r="R50" s="15"/>
      <c r="S50" s="851" t="s">
        <v>194</v>
      </c>
      <c r="T50" s="846" t="s">
        <v>194</v>
      </c>
      <c r="U50" s="846" t="s">
        <v>194</v>
      </c>
      <c r="V50" s="846" t="s">
        <v>194</v>
      </c>
      <c r="W50" s="846" t="s">
        <v>194</v>
      </c>
      <c r="X50" s="846" t="s">
        <v>194</v>
      </c>
      <c r="Y50" s="846" t="s">
        <v>194</v>
      </c>
      <c r="Z50" s="846" t="s">
        <v>194</v>
      </c>
      <c r="AA50" s="846" t="s">
        <v>194</v>
      </c>
      <c r="AB50" s="846" t="s">
        <v>194</v>
      </c>
      <c r="AC50" s="846" t="s">
        <v>194</v>
      </c>
      <c r="AD50" s="846" t="s">
        <v>194</v>
      </c>
      <c r="AE50" s="846" t="s">
        <v>194</v>
      </c>
      <c r="AF50" s="846" t="s">
        <v>194</v>
      </c>
      <c r="AG50" s="846" t="s">
        <v>194</v>
      </c>
      <c r="AH50" s="846" t="s">
        <v>194</v>
      </c>
      <c r="AI50" s="846" t="s">
        <v>194</v>
      </c>
      <c r="AJ50" s="846" t="s">
        <v>194</v>
      </c>
      <c r="AK50" s="846" t="s">
        <v>194</v>
      </c>
      <c r="AL50" s="846" t="s">
        <v>194</v>
      </c>
      <c r="AM50" s="846" t="s">
        <v>194</v>
      </c>
      <c r="AN50" s="846" t="s">
        <v>194</v>
      </c>
    </row>
    <row r="51" ht="15.75" customHeight="1">
      <c r="A51" s="849">
        <v>1.0</v>
      </c>
      <c r="B51" s="15"/>
      <c r="C51" s="869" t="str">
        <f>"    Total Asset Turnover"</f>
        <v>    Total Asset Turnover</v>
      </c>
      <c r="D51" s="886">
        <f t="shared" si="25"/>
        <v>1.165140626</v>
      </c>
      <c r="E51" s="886">
        <f t="shared" si="26"/>
        <v>1.01528277</v>
      </c>
      <c r="F51" s="886">
        <f t="shared" si="27"/>
        <v>0.7262559948</v>
      </c>
      <c r="G51" s="886">
        <f t="shared" si="28"/>
        <v>1.28199216</v>
      </c>
      <c r="H51" s="886">
        <f t="shared" si="29"/>
        <v>0.7279750949</v>
      </c>
      <c r="I51" s="886">
        <f t="shared" si="30"/>
        <v>1.175049976</v>
      </c>
      <c r="J51" s="886">
        <f t="shared" si="31"/>
        <v>0.2670201365</v>
      </c>
      <c r="K51" s="871">
        <f t="shared" si="32"/>
        <v>0.2630007563</v>
      </c>
      <c r="L51" s="887" t="s">
        <v>194</v>
      </c>
      <c r="M51" s="984">
        <v>1.1750499756875035</v>
      </c>
      <c r="N51" s="984">
        <v>1.2819921604795943</v>
      </c>
      <c r="O51" s="984">
        <v>0.7279750948712704</v>
      </c>
      <c r="P51" s="984">
        <v>0.7262559947507916</v>
      </c>
      <c r="Q51" s="984">
        <v>1.1651406264213928</v>
      </c>
      <c r="R51" s="15"/>
      <c r="S51" s="851" t="s">
        <v>194</v>
      </c>
      <c r="T51" s="846" t="s">
        <v>194</v>
      </c>
      <c r="U51" s="846" t="s">
        <v>194</v>
      </c>
      <c r="V51" s="846" t="s">
        <v>194</v>
      </c>
      <c r="W51" s="846" t="s">
        <v>194</v>
      </c>
      <c r="X51" s="846" t="s">
        <v>194</v>
      </c>
      <c r="Y51" s="846" t="s">
        <v>194</v>
      </c>
      <c r="Z51" s="846" t="s">
        <v>194</v>
      </c>
      <c r="AA51" s="846" t="s">
        <v>194</v>
      </c>
      <c r="AB51" s="846" t="s">
        <v>194</v>
      </c>
      <c r="AC51" s="846" t="s">
        <v>194</v>
      </c>
      <c r="AD51" s="846" t="s">
        <v>194</v>
      </c>
      <c r="AE51" s="846" t="s">
        <v>194</v>
      </c>
      <c r="AF51" s="846" t="s">
        <v>194</v>
      </c>
      <c r="AG51" s="846" t="s">
        <v>194</v>
      </c>
      <c r="AH51" s="846" t="s">
        <v>194</v>
      </c>
      <c r="AI51" s="846" t="s">
        <v>194</v>
      </c>
      <c r="AJ51" s="846" t="s">
        <v>194</v>
      </c>
      <c r="AK51" s="846" t="s">
        <v>194</v>
      </c>
      <c r="AL51" s="846" t="s">
        <v>194</v>
      </c>
      <c r="AM51" s="846" t="s">
        <v>194</v>
      </c>
      <c r="AN51" s="846" t="s">
        <v>194</v>
      </c>
    </row>
    <row r="52" ht="15.75" customHeight="1">
      <c r="A52" s="849">
        <v>1.0</v>
      </c>
      <c r="B52" s="15"/>
      <c r="C52" s="869" t="str">
        <f>"    Normalized Return on Equity"</f>
        <v>    Normalized Return on Equity</v>
      </c>
      <c r="D52" s="938">
        <f t="shared" si="25"/>
        <v>-0.5143326686</v>
      </c>
      <c r="E52" s="938">
        <f t="shared" si="26"/>
        <v>-0.5143326686</v>
      </c>
      <c r="F52" s="938">
        <f t="shared" si="27"/>
        <v>-0.6869054674</v>
      </c>
      <c r="G52" s="938">
        <f t="shared" si="28"/>
        <v>-0.3417598699</v>
      </c>
      <c r="H52" s="938">
        <f t="shared" si="29"/>
        <v>-0.600619068</v>
      </c>
      <c r="I52" s="938">
        <f t="shared" si="30"/>
        <v>-0.4280462693</v>
      </c>
      <c r="J52" s="938">
        <f t="shared" si="31"/>
        <v>0.2440547925</v>
      </c>
      <c r="K52" s="871">
        <f t="shared" si="32"/>
        <v>-0.4745076629</v>
      </c>
      <c r="L52" s="939" t="s">
        <v>194</v>
      </c>
      <c r="M52" s="940" t="s">
        <v>194</v>
      </c>
      <c r="N52" s="940" t="s">
        <v>194</v>
      </c>
      <c r="O52" s="940" t="s">
        <v>194</v>
      </c>
      <c r="P52" s="940">
        <v>-0.3417598698544578</v>
      </c>
      <c r="Q52" s="940">
        <v>-0.6869054674379549</v>
      </c>
      <c r="R52" s="15"/>
      <c r="S52" s="851" t="s">
        <v>194</v>
      </c>
      <c r="T52" s="846" t="s">
        <v>194</v>
      </c>
      <c r="U52" s="846" t="s">
        <v>194</v>
      </c>
      <c r="V52" s="846" t="s">
        <v>194</v>
      </c>
      <c r="W52" s="846" t="s">
        <v>194</v>
      </c>
      <c r="X52" s="846" t="s">
        <v>194</v>
      </c>
      <c r="Y52" s="846" t="s">
        <v>194</v>
      </c>
      <c r="Z52" s="846" t="s">
        <v>194</v>
      </c>
      <c r="AA52" s="846" t="s">
        <v>194</v>
      </c>
      <c r="AB52" s="846" t="s">
        <v>194</v>
      </c>
      <c r="AC52" s="846" t="s">
        <v>194</v>
      </c>
      <c r="AD52" s="846" t="s">
        <v>194</v>
      </c>
      <c r="AE52" s="846" t="s">
        <v>194</v>
      </c>
      <c r="AF52" s="846" t="s">
        <v>194</v>
      </c>
      <c r="AG52" s="846" t="s">
        <v>194</v>
      </c>
      <c r="AH52" s="846" t="s">
        <v>194</v>
      </c>
      <c r="AI52" s="846" t="s">
        <v>194</v>
      </c>
      <c r="AJ52" s="846" t="s">
        <v>194</v>
      </c>
      <c r="AK52" s="846" t="s">
        <v>194</v>
      </c>
      <c r="AL52" s="846" t="s">
        <v>194</v>
      </c>
      <c r="AM52" s="846" t="s">
        <v>194</v>
      </c>
      <c r="AN52" s="846" t="s">
        <v>194</v>
      </c>
    </row>
    <row r="53" ht="15.75" customHeight="1">
      <c r="A53" s="849">
        <v>1.0</v>
      </c>
      <c r="B53" s="15"/>
      <c r="C53" s="869" t="str">
        <f>"    Normalized Return on Assets"</f>
        <v>    Normalized Return on Assets</v>
      </c>
      <c r="D53" s="938">
        <f t="shared" si="25"/>
        <v>-0.3639879288</v>
      </c>
      <c r="E53" s="938">
        <f t="shared" si="26"/>
        <v>-0.4963397433</v>
      </c>
      <c r="F53" s="938">
        <f t="shared" si="27"/>
        <v>-0.8549894646</v>
      </c>
      <c r="G53" s="938">
        <f t="shared" si="28"/>
        <v>-0.2168321175</v>
      </c>
      <c r="H53" s="938">
        <f t="shared" si="29"/>
        <v>-0.8083928983</v>
      </c>
      <c r="I53" s="938">
        <f t="shared" si="30"/>
        <v>-0.2374963074</v>
      </c>
      <c r="J53" s="938">
        <f t="shared" si="31"/>
        <v>0.3117082908</v>
      </c>
      <c r="K53" s="871">
        <f t="shared" si="32"/>
        <v>-0.6280139662</v>
      </c>
      <c r="L53" s="939" t="s">
        <v>194</v>
      </c>
      <c r="M53" s="940">
        <v>-0.8549894645847966</v>
      </c>
      <c r="N53" s="940">
        <v>-0.8083928983168088</v>
      </c>
      <c r="O53" s="940">
        <v>-0.23749630740564</v>
      </c>
      <c r="P53" s="940">
        <v>-0.2168321174878999</v>
      </c>
      <c r="Q53" s="940">
        <v>-0.36398792879094105</v>
      </c>
      <c r="R53" s="15"/>
      <c r="S53" s="851" t="s">
        <v>194</v>
      </c>
      <c r="T53" s="846" t="s">
        <v>194</v>
      </c>
      <c r="U53" s="846" t="s">
        <v>194</v>
      </c>
      <c r="V53" s="846" t="s">
        <v>194</v>
      </c>
      <c r="W53" s="846" t="s">
        <v>194</v>
      </c>
      <c r="X53" s="846" t="s">
        <v>194</v>
      </c>
      <c r="Y53" s="846" t="s">
        <v>194</v>
      </c>
      <c r="Z53" s="846" t="s">
        <v>194</v>
      </c>
      <c r="AA53" s="846" t="s">
        <v>194</v>
      </c>
      <c r="AB53" s="846" t="s">
        <v>194</v>
      </c>
      <c r="AC53" s="846" t="s">
        <v>194</v>
      </c>
      <c r="AD53" s="846" t="s">
        <v>194</v>
      </c>
      <c r="AE53" s="846" t="s">
        <v>194</v>
      </c>
      <c r="AF53" s="846" t="s">
        <v>194</v>
      </c>
      <c r="AG53" s="846" t="s">
        <v>194</v>
      </c>
      <c r="AH53" s="846" t="s">
        <v>194</v>
      </c>
      <c r="AI53" s="846" t="s">
        <v>194</v>
      </c>
      <c r="AJ53" s="846" t="s">
        <v>194</v>
      </c>
      <c r="AK53" s="846" t="s">
        <v>194</v>
      </c>
      <c r="AL53" s="846" t="s">
        <v>194</v>
      </c>
      <c r="AM53" s="846" t="s">
        <v>194</v>
      </c>
      <c r="AN53" s="846" t="s">
        <v>194</v>
      </c>
    </row>
    <row r="54" ht="15.75" customHeight="1">
      <c r="A54" s="849">
        <v>1.0</v>
      </c>
      <c r="B54" s="15"/>
      <c r="C54" s="869" t="str">
        <f>"    Normalized Return on Invested Capital"</f>
        <v>    Normalized Return on Invested Capital</v>
      </c>
      <c r="D54" s="938">
        <f t="shared" si="25"/>
        <v>-0.3248277391</v>
      </c>
      <c r="E54" s="938">
        <f t="shared" si="26"/>
        <v>-0.3248277391</v>
      </c>
      <c r="F54" s="938">
        <f t="shared" si="27"/>
        <v>-0.4312516515</v>
      </c>
      <c r="G54" s="938">
        <f t="shared" si="28"/>
        <v>-0.2184038268</v>
      </c>
      <c r="H54" s="938">
        <f t="shared" si="29"/>
        <v>-0.3780396953</v>
      </c>
      <c r="I54" s="938">
        <f t="shared" si="30"/>
        <v>-0.271615783</v>
      </c>
      <c r="J54" s="938">
        <f t="shared" si="31"/>
        <v>0.1505061402</v>
      </c>
      <c r="K54" s="871">
        <f t="shared" si="32"/>
        <v>-0.4633414024</v>
      </c>
      <c r="L54" s="939" t="s">
        <v>194</v>
      </c>
      <c r="M54" s="940" t="s">
        <v>194</v>
      </c>
      <c r="N54" s="940" t="s">
        <v>194</v>
      </c>
      <c r="O54" s="940" t="s">
        <v>194</v>
      </c>
      <c r="P54" s="940">
        <v>-0.21840382678751258</v>
      </c>
      <c r="Q54" s="940">
        <v>-0.43125165145031846</v>
      </c>
      <c r="R54" s="15"/>
      <c r="S54" s="851" t="s">
        <v>194</v>
      </c>
      <c r="T54" s="846" t="s">
        <v>194</v>
      </c>
      <c r="U54" s="846" t="s">
        <v>194</v>
      </c>
      <c r="V54" s="846" t="s">
        <v>194</v>
      </c>
      <c r="W54" s="846" t="s">
        <v>194</v>
      </c>
      <c r="X54" s="846" t="s">
        <v>194</v>
      </c>
      <c r="Y54" s="846" t="s">
        <v>194</v>
      </c>
      <c r="Z54" s="846" t="s">
        <v>194</v>
      </c>
      <c r="AA54" s="846" t="s">
        <v>194</v>
      </c>
      <c r="AB54" s="846" t="s">
        <v>194</v>
      </c>
      <c r="AC54" s="846" t="s">
        <v>194</v>
      </c>
      <c r="AD54" s="846" t="s">
        <v>194</v>
      </c>
      <c r="AE54" s="846" t="s">
        <v>194</v>
      </c>
      <c r="AF54" s="846" t="s">
        <v>194</v>
      </c>
      <c r="AG54" s="846" t="s">
        <v>194</v>
      </c>
      <c r="AH54" s="846" t="s">
        <v>194</v>
      </c>
      <c r="AI54" s="846" t="s">
        <v>194</v>
      </c>
      <c r="AJ54" s="846" t="s">
        <v>194</v>
      </c>
      <c r="AK54" s="846" t="s">
        <v>194</v>
      </c>
      <c r="AL54" s="846" t="s">
        <v>194</v>
      </c>
      <c r="AM54" s="846" t="s">
        <v>194</v>
      </c>
      <c r="AN54" s="846" t="s">
        <v>194</v>
      </c>
    </row>
    <row r="55" ht="15.75" customHeight="1">
      <c r="A55" s="849">
        <v>1.0</v>
      </c>
      <c r="B55" s="15"/>
      <c r="C55" s="855" t="str">
        <f>"Multiples*"</f>
        <v>Multiples*</v>
      </c>
      <c r="D55" s="867" t="s">
        <v>194</v>
      </c>
      <c r="E55" s="867" t="s">
        <v>194</v>
      </c>
      <c r="F55" s="867" t="s">
        <v>194</v>
      </c>
      <c r="G55" s="867" t="s">
        <v>194</v>
      </c>
      <c r="H55" s="867" t="s">
        <v>194</v>
      </c>
      <c r="I55" s="867" t="s">
        <v>194</v>
      </c>
      <c r="J55" s="867" t="s">
        <v>194</v>
      </c>
      <c r="K55" s="867" t="s">
        <v>194</v>
      </c>
      <c r="L55" s="867" t="s">
        <v>194</v>
      </c>
      <c r="M55" s="927" t="s">
        <v>194</v>
      </c>
      <c r="N55" s="927" t="s">
        <v>194</v>
      </c>
      <c r="O55" s="927" t="s">
        <v>194</v>
      </c>
      <c r="P55" s="927" t="s">
        <v>194</v>
      </c>
      <c r="Q55" s="927" t="s">
        <v>194</v>
      </c>
      <c r="R55" s="15"/>
      <c r="S55" s="851" t="s">
        <v>194</v>
      </c>
      <c r="T55" s="846" t="s">
        <v>194</v>
      </c>
      <c r="U55" s="846" t="s">
        <v>194</v>
      </c>
      <c r="V55" s="846" t="s">
        <v>194</v>
      </c>
      <c r="W55" s="846" t="s">
        <v>194</v>
      </c>
      <c r="X55" s="846" t="s">
        <v>194</v>
      </c>
      <c r="Y55" s="846" t="s">
        <v>194</v>
      </c>
      <c r="Z55" s="846" t="s">
        <v>194</v>
      </c>
      <c r="AA55" s="846" t="s">
        <v>194</v>
      </c>
      <c r="AB55" s="846" t="s">
        <v>194</v>
      </c>
      <c r="AC55" s="846" t="s">
        <v>194</v>
      </c>
      <c r="AD55" s="846" t="s">
        <v>194</v>
      </c>
      <c r="AE55" s="846" t="s">
        <v>194</v>
      </c>
      <c r="AF55" s="846" t="s">
        <v>194</v>
      </c>
      <c r="AG55" s="846" t="s">
        <v>194</v>
      </c>
      <c r="AH55" s="846" t="s">
        <v>194</v>
      </c>
      <c r="AI55" s="846" t="s">
        <v>194</v>
      </c>
      <c r="AJ55" s="846" t="s">
        <v>194</v>
      </c>
      <c r="AK55" s="846" t="s">
        <v>194</v>
      </c>
      <c r="AL55" s="846" t="s">
        <v>194</v>
      </c>
      <c r="AM55" s="846" t="s">
        <v>194</v>
      </c>
      <c r="AN55" s="846" t="s">
        <v>194</v>
      </c>
    </row>
    <row r="56" ht="15.75" customHeight="1">
      <c r="A56" s="849">
        <v>1.0</v>
      </c>
      <c r="B56" s="15"/>
      <c r="C56" s="869" t="str">
        <f>"    Stock Price"</f>
        <v>    Stock Price</v>
      </c>
      <c r="D56" s="871">
        <f t="shared" ref="D56:D61" si="33">IF(COUNT(M56:Q56)&gt;0,MEDIAN(M56:Q56),"")</f>
        <v>56.05</v>
      </c>
      <c r="E56" s="871">
        <f t="shared" ref="E56:E61" si="34">IF(COUNT(M56:Q56)&gt;0,AVERAGE(M56:Q56),"")</f>
        <v>51.84333333</v>
      </c>
      <c r="F56" s="871">
        <f t="shared" ref="F56:F61" si="35">IF(COUNT(M56:Q56)&gt;0,MIN(M56:Q56),"")</f>
        <v>30</v>
      </c>
      <c r="G56" s="871">
        <f t="shared" ref="G56:G61" si="36">IF(COUNT(M56:Q56)&gt;0,MAX(M56:Q56),"")</f>
        <v>69.48</v>
      </c>
      <c r="H56" s="871">
        <f t="shared" ref="H56:H61" si="37">IF(COUNT(M56:Q56)&gt;0,QUARTILE(M56:Q56,1),"")</f>
        <v>43.025</v>
      </c>
      <c r="I56" s="871">
        <f t="shared" ref="I56:I61" si="38">IF(COUNT(M56:Q56)&gt;0,QUARTILE(M56:Q56,3),"")</f>
        <v>62.765</v>
      </c>
      <c r="J56" s="871">
        <f t="shared" ref="J56:J61" si="39">IF(COUNT(M56:Q56)&gt;1,STDEV(M56:Q56),"")</f>
        <v>20.0733563</v>
      </c>
      <c r="K56" s="871">
        <f t="shared" ref="K56:K61" si="40">IF(COUNT(M56:Q56)&gt;1,STDEV(M56:Q56)/AVERAGE(M56:Q56),"")</f>
        <v>0.3871926247</v>
      </c>
      <c r="L56" s="928" t="s">
        <v>194</v>
      </c>
      <c r="M56" s="929" t="s">
        <v>194</v>
      </c>
      <c r="N56" s="929" t="s">
        <v>194</v>
      </c>
      <c r="O56" s="929">
        <v>30.0</v>
      </c>
      <c r="P56" s="929">
        <v>56.05</v>
      </c>
      <c r="Q56" s="929">
        <v>69.48</v>
      </c>
      <c r="R56" s="15"/>
      <c r="S56" s="851" t="s">
        <v>194</v>
      </c>
      <c r="T56" s="846" t="s">
        <v>194</v>
      </c>
      <c r="U56" s="846" t="s">
        <v>194</v>
      </c>
      <c r="V56" s="846" t="s">
        <v>194</v>
      </c>
      <c r="W56" s="846" t="s">
        <v>194</v>
      </c>
      <c r="X56" s="846" t="s">
        <v>194</v>
      </c>
      <c r="Y56" s="846" t="s">
        <v>194</v>
      </c>
      <c r="Z56" s="846" t="s">
        <v>194</v>
      </c>
      <c r="AA56" s="846" t="s">
        <v>194</v>
      </c>
      <c r="AB56" s="846" t="s">
        <v>194</v>
      </c>
      <c r="AC56" s="846" t="s">
        <v>194</v>
      </c>
      <c r="AD56" s="846" t="s">
        <v>194</v>
      </c>
      <c r="AE56" s="846" t="s">
        <v>194</v>
      </c>
      <c r="AF56" s="846" t="s">
        <v>194</v>
      </c>
      <c r="AG56" s="846" t="s">
        <v>194</v>
      </c>
      <c r="AH56" s="846" t="s">
        <v>194</v>
      </c>
      <c r="AI56" s="846" t="s">
        <v>194</v>
      </c>
      <c r="AJ56" s="846" t="s">
        <v>194</v>
      </c>
      <c r="AK56" s="846" t="s">
        <v>194</v>
      </c>
      <c r="AL56" s="846" t="s">
        <v>194</v>
      </c>
      <c r="AM56" s="846" t="s">
        <v>194</v>
      </c>
      <c r="AN56" s="846" t="s">
        <v>194</v>
      </c>
    </row>
    <row r="57" ht="15.75" customHeight="1">
      <c r="A57" s="849">
        <v>1.0</v>
      </c>
      <c r="B57" s="15"/>
      <c r="C57" s="869" t="str">
        <f>"    Market Cap"</f>
        <v>    Market Cap</v>
      </c>
      <c r="D57" s="870">
        <f t="shared" si="33"/>
        <v>1288111.225</v>
      </c>
      <c r="E57" s="870">
        <f t="shared" si="34"/>
        <v>1210693.138</v>
      </c>
      <c r="F57" s="870">
        <f t="shared" si="35"/>
        <v>663809.43</v>
      </c>
      <c r="G57" s="870">
        <f t="shared" si="36"/>
        <v>1680158.759</v>
      </c>
      <c r="H57" s="870">
        <f t="shared" si="37"/>
        <v>975960.3275</v>
      </c>
      <c r="I57" s="870">
        <f t="shared" si="38"/>
        <v>1484134.992</v>
      </c>
      <c r="J57" s="870">
        <f t="shared" si="39"/>
        <v>512578.4426</v>
      </c>
      <c r="K57" s="871">
        <f t="shared" si="40"/>
        <v>0.4233760203</v>
      </c>
      <c r="L57" s="872" t="s">
        <v>194</v>
      </c>
      <c r="M57" s="904" t="s">
        <v>194</v>
      </c>
      <c r="N57" s="904" t="s">
        <v>194</v>
      </c>
      <c r="O57" s="904">
        <v>663809.43</v>
      </c>
      <c r="P57" s="904">
        <v>1288111.225</v>
      </c>
      <c r="Q57" s="904">
        <v>1680158.759</v>
      </c>
      <c r="R57" s="15"/>
      <c r="S57" s="851" t="s">
        <v>194</v>
      </c>
      <c r="T57" s="846" t="s">
        <v>194</v>
      </c>
      <c r="U57" s="846" t="s">
        <v>194</v>
      </c>
      <c r="V57" s="846" t="s">
        <v>194</v>
      </c>
      <c r="W57" s="846" t="s">
        <v>194</v>
      </c>
      <c r="X57" s="846" t="s">
        <v>194</v>
      </c>
      <c r="Y57" s="846" t="s">
        <v>194</v>
      </c>
      <c r="Z57" s="846" t="s">
        <v>194</v>
      </c>
      <c r="AA57" s="846" t="s">
        <v>194</v>
      </c>
      <c r="AB57" s="846" t="s">
        <v>194</v>
      </c>
      <c r="AC57" s="846" t="s">
        <v>194</v>
      </c>
      <c r="AD57" s="846" t="s">
        <v>194</v>
      </c>
      <c r="AE57" s="846" t="s">
        <v>194</v>
      </c>
      <c r="AF57" s="846" t="s">
        <v>194</v>
      </c>
      <c r="AG57" s="846" t="s">
        <v>194</v>
      </c>
      <c r="AH57" s="846" t="s">
        <v>194</v>
      </c>
      <c r="AI57" s="846" t="s">
        <v>194</v>
      </c>
      <c r="AJ57" s="846" t="s">
        <v>194</v>
      </c>
      <c r="AK57" s="846" t="s">
        <v>194</v>
      </c>
      <c r="AL57" s="846" t="s">
        <v>194</v>
      </c>
      <c r="AM57" s="846" t="s">
        <v>194</v>
      </c>
      <c r="AN57" s="846" t="s">
        <v>194</v>
      </c>
    </row>
    <row r="58" ht="15.75" customHeight="1">
      <c r="A58" s="849">
        <v>1.0</v>
      </c>
      <c r="B58" s="15"/>
      <c r="C58" s="869" t="str">
        <f>"    Enterprise Value"</f>
        <v>    Enterprise Value</v>
      </c>
      <c r="D58" s="870">
        <f t="shared" si="33"/>
        <v>1214197.225</v>
      </c>
      <c r="E58" s="870">
        <f t="shared" si="34"/>
        <v>1210891.138</v>
      </c>
      <c r="F58" s="870">
        <f t="shared" si="35"/>
        <v>786940.43</v>
      </c>
      <c r="G58" s="870">
        <f t="shared" si="36"/>
        <v>1631535.759</v>
      </c>
      <c r="H58" s="870">
        <f t="shared" si="37"/>
        <v>1000568.828</v>
      </c>
      <c r="I58" s="870">
        <f t="shared" si="38"/>
        <v>1422866.492</v>
      </c>
      <c r="J58" s="870">
        <f t="shared" si="39"/>
        <v>422307.3704</v>
      </c>
      <c r="K58" s="871">
        <f t="shared" si="40"/>
        <v>0.3487575036</v>
      </c>
      <c r="L58" s="872" t="s">
        <v>194</v>
      </c>
      <c r="M58" s="904" t="s">
        <v>194</v>
      </c>
      <c r="N58" s="904" t="s">
        <v>194</v>
      </c>
      <c r="O58" s="904">
        <v>786940.43</v>
      </c>
      <c r="P58" s="904">
        <v>1214197.225</v>
      </c>
      <c r="Q58" s="904">
        <v>1631535.759</v>
      </c>
      <c r="R58" s="15"/>
      <c r="S58" s="851" t="s">
        <v>194</v>
      </c>
      <c r="T58" s="846" t="s">
        <v>194</v>
      </c>
      <c r="U58" s="846" t="s">
        <v>194</v>
      </c>
      <c r="V58" s="846" t="s">
        <v>194</v>
      </c>
      <c r="W58" s="846" t="s">
        <v>194</v>
      </c>
      <c r="X58" s="846" t="s">
        <v>194</v>
      </c>
      <c r="Y58" s="846" t="s">
        <v>194</v>
      </c>
      <c r="Z58" s="846" t="s">
        <v>194</v>
      </c>
      <c r="AA58" s="846" t="s">
        <v>194</v>
      </c>
      <c r="AB58" s="846" t="s">
        <v>194</v>
      </c>
      <c r="AC58" s="846" t="s">
        <v>194</v>
      </c>
      <c r="AD58" s="846" t="s">
        <v>194</v>
      </c>
      <c r="AE58" s="846" t="s">
        <v>194</v>
      </c>
      <c r="AF58" s="846" t="s">
        <v>194</v>
      </c>
      <c r="AG58" s="846" t="s">
        <v>194</v>
      </c>
      <c r="AH58" s="846" t="s">
        <v>194</v>
      </c>
      <c r="AI58" s="846" t="s">
        <v>194</v>
      </c>
      <c r="AJ58" s="846" t="s">
        <v>194</v>
      </c>
      <c r="AK58" s="846" t="s">
        <v>194</v>
      </c>
      <c r="AL58" s="846" t="s">
        <v>194</v>
      </c>
      <c r="AM58" s="846" t="s">
        <v>194</v>
      </c>
      <c r="AN58" s="846" t="s">
        <v>194</v>
      </c>
    </row>
    <row r="59" ht="15.75" customHeight="1">
      <c r="A59" s="905">
        <v>1.0</v>
      </c>
      <c r="B59" s="906"/>
      <c r="C59" s="912" t="str">
        <f>"    Enterprise Value to Revenue"</f>
        <v>    Enterprise Value to Revenue</v>
      </c>
      <c r="D59" s="993">
        <f t="shared" si="33"/>
        <v>18.95051231</v>
      </c>
      <c r="E59" s="993">
        <f t="shared" si="34"/>
        <v>19.09586351</v>
      </c>
      <c r="F59" s="993">
        <f t="shared" si="35"/>
        <v>16.56230151</v>
      </c>
      <c r="G59" s="993">
        <f t="shared" si="36"/>
        <v>21.7747767</v>
      </c>
      <c r="H59" s="993">
        <f t="shared" si="37"/>
        <v>17.75640691</v>
      </c>
      <c r="I59" s="993">
        <f t="shared" si="38"/>
        <v>20.36264451</v>
      </c>
      <c r="J59" s="993">
        <f t="shared" si="39"/>
        <v>2.609275694</v>
      </c>
      <c r="K59" s="914">
        <f t="shared" si="40"/>
        <v>0.1366408852</v>
      </c>
      <c r="L59" s="993" t="s">
        <v>194</v>
      </c>
      <c r="M59" s="993" t="s">
        <v>194</v>
      </c>
      <c r="N59" s="993" t="s">
        <v>194</v>
      </c>
      <c r="O59" s="993">
        <v>21.77477670171555</v>
      </c>
      <c r="P59" s="993">
        <v>18.950512314271446</v>
      </c>
      <c r="Q59" s="993">
        <v>16.562301505446204</v>
      </c>
      <c r="R59" s="906"/>
      <c r="S59" s="911" t="s">
        <v>194</v>
      </c>
      <c r="T59" s="906" t="s">
        <v>194</v>
      </c>
      <c r="U59" s="906" t="s">
        <v>194</v>
      </c>
      <c r="V59" s="906" t="s">
        <v>194</v>
      </c>
      <c r="W59" s="906" t="s">
        <v>194</v>
      </c>
      <c r="X59" s="906" t="s">
        <v>194</v>
      </c>
      <c r="Y59" s="906" t="s">
        <v>194</v>
      </c>
      <c r="Z59" s="906" t="s">
        <v>194</v>
      </c>
      <c r="AA59" s="906" t="s">
        <v>194</v>
      </c>
      <c r="AB59" s="906" t="s">
        <v>194</v>
      </c>
      <c r="AC59" s="906" t="s">
        <v>194</v>
      </c>
      <c r="AD59" s="906" t="s">
        <v>194</v>
      </c>
      <c r="AE59" s="906" t="s">
        <v>194</v>
      </c>
      <c r="AF59" s="906" t="s">
        <v>194</v>
      </c>
      <c r="AG59" s="906" t="s">
        <v>194</v>
      </c>
      <c r="AH59" s="906" t="s">
        <v>194</v>
      </c>
      <c r="AI59" s="906" t="s">
        <v>194</v>
      </c>
      <c r="AJ59" s="906" t="s">
        <v>194</v>
      </c>
      <c r="AK59" s="906" t="s">
        <v>194</v>
      </c>
      <c r="AL59" s="906" t="s">
        <v>194</v>
      </c>
      <c r="AM59" s="906" t="s">
        <v>194</v>
      </c>
      <c r="AN59" s="906" t="s">
        <v>194</v>
      </c>
    </row>
    <row r="60" ht="15.75" customHeight="1">
      <c r="A60" s="849">
        <v>1.0</v>
      </c>
      <c r="B60" s="15"/>
      <c r="C60" s="869" t="str">
        <f>"    Price to Book (PB)"</f>
        <v>    Price to Book (PB)</v>
      </c>
      <c r="D60" s="886">
        <f t="shared" si="33"/>
        <v>20.90850592</v>
      </c>
      <c r="E60" s="886">
        <f t="shared" si="34"/>
        <v>20.90850592</v>
      </c>
      <c r="F60" s="886">
        <f t="shared" si="35"/>
        <v>15.34505037</v>
      </c>
      <c r="G60" s="886">
        <f t="shared" si="36"/>
        <v>26.47196148</v>
      </c>
      <c r="H60" s="886">
        <f t="shared" si="37"/>
        <v>18.12677814</v>
      </c>
      <c r="I60" s="886">
        <f t="shared" si="38"/>
        <v>23.6902337</v>
      </c>
      <c r="J60" s="886">
        <f t="shared" si="39"/>
        <v>7.867914299</v>
      </c>
      <c r="K60" s="871">
        <f t="shared" si="40"/>
        <v>0.3763020815</v>
      </c>
      <c r="L60" s="887" t="s">
        <v>194</v>
      </c>
      <c r="M60" s="984" t="s">
        <v>194</v>
      </c>
      <c r="N60" s="984" t="s">
        <v>194</v>
      </c>
      <c r="O60" s="984" t="s">
        <v>194</v>
      </c>
      <c r="P60" s="984">
        <v>15.345050366557754</v>
      </c>
      <c r="Q60" s="984">
        <v>26.471961475343193</v>
      </c>
      <c r="R60" s="15"/>
      <c r="S60" s="851" t="s">
        <v>194</v>
      </c>
      <c r="T60" s="846" t="s">
        <v>194</v>
      </c>
      <c r="U60" s="846" t="s">
        <v>194</v>
      </c>
      <c r="V60" s="846" t="s">
        <v>194</v>
      </c>
      <c r="W60" s="846" t="s">
        <v>194</v>
      </c>
      <c r="X60" s="846" t="s">
        <v>194</v>
      </c>
      <c r="Y60" s="846" t="s">
        <v>194</v>
      </c>
      <c r="Z60" s="846" t="s">
        <v>194</v>
      </c>
      <c r="AA60" s="846" t="s">
        <v>194</v>
      </c>
      <c r="AB60" s="846" t="s">
        <v>194</v>
      </c>
      <c r="AC60" s="846" t="s">
        <v>194</v>
      </c>
      <c r="AD60" s="846" t="s">
        <v>194</v>
      </c>
      <c r="AE60" s="846" t="s">
        <v>194</v>
      </c>
      <c r="AF60" s="846" t="s">
        <v>194</v>
      </c>
      <c r="AG60" s="846" t="s">
        <v>194</v>
      </c>
      <c r="AH60" s="846" t="s">
        <v>194</v>
      </c>
      <c r="AI60" s="846" t="s">
        <v>194</v>
      </c>
      <c r="AJ60" s="846" t="s">
        <v>194</v>
      </c>
      <c r="AK60" s="846" t="s">
        <v>194</v>
      </c>
      <c r="AL60" s="846" t="s">
        <v>194</v>
      </c>
      <c r="AM60" s="846" t="s">
        <v>194</v>
      </c>
      <c r="AN60" s="846" t="s">
        <v>194</v>
      </c>
    </row>
    <row r="61" ht="15.75" customHeight="1">
      <c r="A61" s="849">
        <v>1.0</v>
      </c>
      <c r="B61" s="15"/>
      <c r="C61" s="869" t="str">
        <f>"    Price to Tangible Book Value"</f>
        <v>    Price to Tangible Book Value</v>
      </c>
      <c r="D61" s="886">
        <f t="shared" si="33"/>
        <v>21.16757604</v>
      </c>
      <c r="E61" s="886">
        <f t="shared" si="34"/>
        <v>21.16757604</v>
      </c>
      <c r="F61" s="886">
        <f t="shared" si="35"/>
        <v>15.50153804</v>
      </c>
      <c r="G61" s="886">
        <f t="shared" si="36"/>
        <v>26.83361405</v>
      </c>
      <c r="H61" s="886">
        <f t="shared" si="37"/>
        <v>18.33455704</v>
      </c>
      <c r="I61" s="886">
        <f t="shared" si="38"/>
        <v>24.00059505</v>
      </c>
      <c r="J61" s="886">
        <f t="shared" si="39"/>
        <v>8.012987792</v>
      </c>
      <c r="K61" s="871">
        <f t="shared" si="40"/>
        <v>0.3785500889</v>
      </c>
      <c r="L61" s="887" t="s">
        <v>194</v>
      </c>
      <c r="M61" s="984" t="s">
        <v>194</v>
      </c>
      <c r="N61" s="984" t="s">
        <v>194</v>
      </c>
      <c r="O61" s="984" t="s">
        <v>194</v>
      </c>
      <c r="P61" s="984">
        <v>15.501538038141659</v>
      </c>
      <c r="Q61" s="984">
        <v>26.833614049068085</v>
      </c>
      <c r="R61" s="15"/>
      <c r="S61" s="851" t="s">
        <v>194</v>
      </c>
      <c r="T61" s="846" t="s">
        <v>194</v>
      </c>
      <c r="U61" s="846" t="s">
        <v>194</v>
      </c>
      <c r="V61" s="846" t="s">
        <v>194</v>
      </c>
      <c r="W61" s="846" t="s">
        <v>194</v>
      </c>
      <c r="X61" s="846" t="s">
        <v>194</v>
      </c>
      <c r="Y61" s="846" t="s">
        <v>194</v>
      </c>
      <c r="Z61" s="846" t="s">
        <v>194</v>
      </c>
      <c r="AA61" s="846" t="s">
        <v>194</v>
      </c>
      <c r="AB61" s="846" t="s">
        <v>194</v>
      </c>
      <c r="AC61" s="846" t="s">
        <v>194</v>
      </c>
      <c r="AD61" s="846" t="s">
        <v>194</v>
      </c>
      <c r="AE61" s="846" t="s">
        <v>194</v>
      </c>
      <c r="AF61" s="846" t="s">
        <v>194</v>
      </c>
      <c r="AG61" s="846" t="s">
        <v>194</v>
      </c>
      <c r="AH61" s="846" t="s">
        <v>194</v>
      </c>
      <c r="AI61" s="846" t="s">
        <v>194</v>
      </c>
      <c r="AJ61" s="846" t="s">
        <v>194</v>
      </c>
      <c r="AK61" s="846" t="s">
        <v>194</v>
      </c>
      <c r="AL61" s="846" t="s">
        <v>194</v>
      </c>
      <c r="AM61" s="846" t="s">
        <v>194</v>
      </c>
      <c r="AN61" s="846" t="s">
        <v>194</v>
      </c>
    </row>
    <row r="62" ht="15.75" customHeight="1">
      <c r="A62" s="849">
        <v>1.0</v>
      </c>
      <c r="B62" s="15"/>
      <c r="C62" s="855" t="str">
        <f>"Data Origination"</f>
        <v>Data Origination</v>
      </c>
      <c r="D62" s="867" t="s">
        <v>194</v>
      </c>
      <c r="E62" s="867" t="s">
        <v>194</v>
      </c>
      <c r="F62" s="867" t="s">
        <v>194</v>
      </c>
      <c r="G62" s="867" t="s">
        <v>194</v>
      </c>
      <c r="H62" s="867" t="s">
        <v>194</v>
      </c>
      <c r="I62" s="867" t="s">
        <v>194</v>
      </c>
      <c r="J62" s="867" t="s">
        <v>194</v>
      </c>
      <c r="K62" s="867" t="s">
        <v>194</v>
      </c>
      <c r="L62" s="867" t="s">
        <v>194</v>
      </c>
      <c r="M62" s="927" t="s">
        <v>194</v>
      </c>
      <c r="N62" s="927" t="s">
        <v>194</v>
      </c>
      <c r="O62" s="927" t="s">
        <v>194</v>
      </c>
      <c r="P62" s="927" t="s">
        <v>194</v>
      </c>
      <c r="Q62" s="927" t="s">
        <v>194</v>
      </c>
      <c r="R62" s="15"/>
      <c r="S62" s="851" t="s">
        <v>194</v>
      </c>
      <c r="T62" s="846" t="s">
        <v>194</v>
      </c>
      <c r="U62" s="846" t="s">
        <v>194</v>
      </c>
      <c r="V62" s="846" t="s">
        <v>194</v>
      </c>
      <c r="W62" s="846" t="s">
        <v>194</v>
      </c>
      <c r="X62" s="846" t="s">
        <v>194</v>
      </c>
      <c r="Y62" s="846" t="s">
        <v>194</v>
      </c>
      <c r="Z62" s="846" t="s">
        <v>194</v>
      </c>
      <c r="AA62" s="846" t="s">
        <v>194</v>
      </c>
      <c r="AB62" s="846" t="s">
        <v>194</v>
      </c>
      <c r="AC62" s="846" t="s">
        <v>194</v>
      </c>
      <c r="AD62" s="846" t="s">
        <v>194</v>
      </c>
      <c r="AE62" s="846" t="s">
        <v>194</v>
      </c>
      <c r="AF62" s="846" t="s">
        <v>194</v>
      </c>
      <c r="AG62" s="846" t="s">
        <v>194</v>
      </c>
      <c r="AH62" s="846" t="s">
        <v>194</v>
      </c>
      <c r="AI62" s="846" t="s">
        <v>194</v>
      </c>
      <c r="AJ62" s="846" t="s">
        <v>194</v>
      </c>
      <c r="AK62" s="846" t="s">
        <v>194</v>
      </c>
      <c r="AL62" s="846" t="s">
        <v>194</v>
      </c>
      <c r="AM62" s="846" t="s">
        <v>194</v>
      </c>
      <c r="AN62" s="846" t="s">
        <v>194</v>
      </c>
    </row>
    <row r="63" ht="15.75" customHeight="1">
      <c r="A63" s="849">
        <v>1.0</v>
      </c>
      <c r="B63" s="15"/>
      <c r="C63" s="869" t="str">
        <f>"    Preliminary"</f>
        <v>    Preliminary</v>
      </c>
      <c r="D63" s="889" t="s">
        <v>194</v>
      </c>
      <c r="E63" s="889" t="s">
        <v>194</v>
      </c>
      <c r="F63" s="889" t="s">
        <v>194</v>
      </c>
      <c r="G63" s="889" t="s">
        <v>194</v>
      </c>
      <c r="H63" s="889" t="s">
        <v>194</v>
      </c>
      <c r="I63" s="889" t="s">
        <v>194</v>
      </c>
      <c r="J63" s="889" t="s">
        <v>194</v>
      </c>
      <c r="K63" s="889" t="s">
        <v>194</v>
      </c>
      <c r="L63" s="890" t="s">
        <v>194</v>
      </c>
      <c r="M63" s="931" t="s">
        <v>340</v>
      </c>
      <c r="N63" s="931" t="s">
        <v>340</v>
      </c>
      <c r="O63" s="931" t="s">
        <v>340</v>
      </c>
      <c r="P63" s="931" t="s">
        <v>340</v>
      </c>
      <c r="Q63" s="931" t="s">
        <v>340</v>
      </c>
      <c r="R63" s="15"/>
      <c r="S63" s="851" t="s">
        <v>194</v>
      </c>
      <c r="T63" s="846" t="s">
        <v>194</v>
      </c>
      <c r="U63" s="846" t="s">
        <v>194</v>
      </c>
      <c r="V63" s="846" t="s">
        <v>194</v>
      </c>
      <c r="W63" s="846" t="s">
        <v>194</v>
      </c>
      <c r="X63" s="846" t="s">
        <v>194</v>
      </c>
      <c r="Y63" s="846" t="s">
        <v>194</v>
      </c>
      <c r="Z63" s="846" t="s">
        <v>194</v>
      </c>
      <c r="AA63" s="846" t="s">
        <v>194</v>
      </c>
      <c r="AB63" s="846" t="s">
        <v>194</v>
      </c>
      <c r="AC63" s="846" t="s">
        <v>194</v>
      </c>
      <c r="AD63" s="846" t="s">
        <v>194</v>
      </c>
      <c r="AE63" s="846" t="s">
        <v>194</v>
      </c>
      <c r="AF63" s="846" t="s">
        <v>194</v>
      </c>
      <c r="AG63" s="846" t="s">
        <v>194</v>
      </c>
      <c r="AH63" s="846" t="s">
        <v>194</v>
      </c>
      <c r="AI63" s="846" t="s">
        <v>194</v>
      </c>
      <c r="AJ63" s="846" t="s">
        <v>194</v>
      </c>
      <c r="AK63" s="846" t="s">
        <v>194</v>
      </c>
      <c r="AL63" s="846" t="s">
        <v>194</v>
      </c>
      <c r="AM63" s="846" t="s">
        <v>194</v>
      </c>
      <c r="AN63" s="846" t="s">
        <v>194</v>
      </c>
    </row>
    <row r="64" ht="15.75" customHeight="1">
      <c r="A64" s="849">
        <v>1.0</v>
      </c>
      <c r="B64" s="15"/>
      <c r="C64" s="869" t="str">
        <f>"    Original"</f>
        <v>    Original</v>
      </c>
      <c r="D64" s="889" t="s">
        <v>194</v>
      </c>
      <c r="E64" s="889" t="s">
        <v>194</v>
      </c>
      <c r="F64" s="889" t="s">
        <v>194</v>
      </c>
      <c r="G64" s="889" t="s">
        <v>194</v>
      </c>
      <c r="H64" s="889" t="s">
        <v>194</v>
      </c>
      <c r="I64" s="889" t="s">
        <v>194</v>
      </c>
      <c r="J64" s="889" t="s">
        <v>194</v>
      </c>
      <c r="K64" s="889" t="s">
        <v>194</v>
      </c>
      <c r="L64" s="890" t="s">
        <v>194</v>
      </c>
      <c r="M64" s="931" t="s">
        <v>340</v>
      </c>
      <c r="N64" s="931" t="s">
        <v>340</v>
      </c>
      <c r="O64" s="931" t="s">
        <v>340</v>
      </c>
      <c r="P64" s="931" t="s">
        <v>340</v>
      </c>
      <c r="Q64" s="931" t="s">
        <v>340</v>
      </c>
      <c r="R64" s="15"/>
      <c r="S64" s="851" t="s">
        <v>194</v>
      </c>
      <c r="T64" s="846" t="s">
        <v>194</v>
      </c>
      <c r="U64" s="846" t="s">
        <v>194</v>
      </c>
      <c r="V64" s="846" t="s">
        <v>194</v>
      </c>
      <c r="W64" s="846" t="s">
        <v>194</v>
      </c>
      <c r="X64" s="846" t="s">
        <v>194</v>
      </c>
      <c r="Y64" s="846" t="s">
        <v>194</v>
      </c>
      <c r="Z64" s="846" t="s">
        <v>194</v>
      </c>
      <c r="AA64" s="846" t="s">
        <v>194</v>
      </c>
      <c r="AB64" s="846" t="s">
        <v>194</v>
      </c>
      <c r="AC64" s="846" t="s">
        <v>194</v>
      </c>
      <c r="AD64" s="846" t="s">
        <v>194</v>
      </c>
      <c r="AE64" s="846" t="s">
        <v>194</v>
      </c>
      <c r="AF64" s="846" t="s">
        <v>194</v>
      </c>
      <c r="AG64" s="846" t="s">
        <v>194</v>
      </c>
      <c r="AH64" s="846" t="s">
        <v>194</v>
      </c>
      <c r="AI64" s="846" t="s">
        <v>194</v>
      </c>
      <c r="AJ64" s="846" t="s">
        <v>194</v>
      </c>
      <c r="AK64" s="846" t="s">
        <v>194</v>
      </c>
      <c r="AL64" s="846" t="s">
        <v>194</v>
      </c>
      <c r="AM64" s="846" t="s">
        <v>194</v>
      </c>
      <c r="AN64" s="846" t="s">
        <v>194</v>
      </c>
    </row>
    <row r="65" ht="15.75" customHeight="1">
      <c r="A65" s="849">
        <v>1.0</v>
      </c>
      <c r="B65" s="15"/>
      <c r="C65" s="869" t="str">
        <f>"    Restated"</f>
        <v>    Restated</v>
      </c>
      <c r="D65" s="889" t="s">
        <v>194</v>
      </c>
      <c r="E65" s="889" t="s">
        <v>194</v>
      </c>
      <c r="F65" s="889" t="s">
        <v>194</v>
      </c>
      <c r="G65" s="889" t="s">
        <v>194</v>
      </c>
      <c r="H65" s="889" t="s">
        <v>194</v>
      </c>
      <c r="I65" s="889" t="s">
        <v>194</v>
      </c>
      <c r="J65" s="889" t="s">
        <v>194</v>
      </c>
      <c r="K65" s="889" t="s">
        <v>194</v>
      </c>
      <c r="L65" s="890" t="s">
        <v>194</v>
      </c>
      <c r="M65" s="931" t="s">
        <v>340</v>
      </c>
      <c r="N65" s="931" t="s">
        <v>340</v>
      </c>
      <c r="O65" s="931" t="s">
        <v>340</v>
      </c>
      <c r="P65" s="931" t="s">
        <v>340</v>
      </c>
      <c r="Q65" s="931" t="s">
        <v>340</v>
      </c>
      <c r="R65" s="15"/>
      <c r="S65" s="851" t="s">
        <v>194</v>
      </c>
      <c r="T65" s="846" t="s">
        <v>194</v>
      </c>
      <c r="U65" s="846" t="s">
        <v>194</v>
      </c>
      <c r="V65" s="846" t="s">
        <v>194</v>
      </c>
      <c r="W65" s="846" t="s">
        <v>194</v>
      </c>
      <c r="X65" s="846" t="s">
        <v>194</v>
      </c>
      <c r="Y65" s="846" t="s">
        <v>194</v>
      </c>
      <c r="Z65" s="846" t="s">
        <v>194</v>
      </c>
      <c r="AA65" s="846" t="s">
        <v>194</v>
      </c>
      <c r="AB65" s="846" t="s">
        <v>194</v>
      </c>
      <c r="AC65" s="846" t="s">
        <v>194</v>
      </c>
      <c r="AD65" s="846" t="s">
        <v>194</v>
      </c>
      <c r="AE65" s="846" t="s">
        <v>194</v>
      </c>
      <c r="AF65" s="846" t="s">
        <v>194</v>
      </c>
      <c r="AG65" s="846" t="s">
        <v>194</v>
      </c>
      <c r="AH65" s="846" t="s">
        <v>194</v>
      </c>
      <c r="AI65" s="846" t="s">
        <v>194</v>
      </c>
      <c r="AJ65" s="846" t="s">
        <v>194</v>
      </c>
      <c r="AK65" s="846" t="s">
        <v>194</v>
      </c>
      <c r="AL65" s="846" t="s">
        <v>194</v>
      </c>
      <c r="AM65" s="846" t="s">
        <v>194</v>
      </c>
      <c r="AN65" s="846" t="s">
        <v>194</v>
      </c>
    </row>
    <row r="66" ht="15.75" customHeight="1">
      <c r="A66" s="849">
        <v>1.0</v>
      </c>
      <c r="B66" s="15"/>
      <c r="C66" s="869" t="str">
        <f>"    Calculated"</f>
        <v>    Calculated</v>
      </c>
      <c r="D66" s="889" t="s">
        <v>194</v>
      </c>
      <c r="E66" s="889" t="s">
        <v>194</v>
      </c>
      <c r="F66" s="889" t="s">
        <v>194</v>
      </c>
      <c r="G66" s="889" t="s">
        <v>194</v>
      </c>
      <c r="H66" s="889" t="s">
        <v>194</v>
      </c>
      <c r="I66" s="889" t="s">
        <v>194</v>
      </c>
      <c r="J66" s="889" t="s">
        <v>194</v>
      </c>
      <c r="K66" s="889" t="s">
        <v>194</v>
      </c>
      <c r="L66" s="890" t="s">
        <v>194</v>
      </c>
      <c r="M66" s="931" t="s">
        <v>340</v>
      </c>
      <c r="N66" s="931" t="s">
        <v>340</v>
      </c>
      <c r="O66" s="931" t="s">
        <v>340</v>
      </c>
      <c r="P66" s="931" t="s">
        <v>340</v>
      </c>
      <c r="Q66" s="931" t="s">
        <v>340</v>
      </c>
      <c r="R66" s="15"/>
      <c r="S66" s="851" t="s">
        <v>194</v>
      </c>
      <c r="T66" s="846" t="s">
        <v>194</v>
      </c>
      <c r="U66" s="846" t="s">
        <v>194</v>
      </c>
      <c r="V66" s="846" t="s">
        <v>194</v>
      </c>
      <c r="W66" s="846" t="s">
        <v>194</v>
      </c>
      <c r="X66" s="846" t="s">
        <v>194</v>
      </c>
      <c r="Y66" s="846" t="s">
        <v>194</v>
      </c>
      <c r="Z66" s="846" t="s">
        <v>194</v>
      </c>
      <c r="AA66" s="846" t="s">
        <v>194</v>
      </c>
      <c r="AB66" s="846" t="s">
        <v>194</v>
      </c>
      <c r="AC66" s="846" t="s">
        <v>194</v>
      </c>
      <c r="AD66" s="846" t="s">
        <v>194</v>
      </c>
      <c r="AE66" s="846" t="s">
        <v>194</v>
      </c>
      <c r="AF66" s="846" t="s">
        <v>194</v>
      </c>
      <c r="AG66" s="846" t="s">
        <v>194</v>
      </c>
      <c r="AH66" s="846" t="s">
        <v>194</v>
      </c>
      <c r="AI66" s="846" t="s">
        <v>194</v>
      </c>
      <c r="AJ66" s="846" t="s">
        <v>194</v>
      </c>
      <c r="AK66" s="846" t="s">
        <v>194</v>
      </c>
      <c r="AL66" s="846" t="s">
        <v>194</v>
      </c>
      <c r="AM66" s="846" t="s">
        <v>194</v>
      </c>
      <c r="AN66" s="846" t="s">
        <v>194</v>
      </c>
    </row>
    <row r="67" ht="15.75" customHeight="1">
      <c r="A67" s="849" t="s">
        <v>194</v>
      </c>
      <c r="B67" s="15"/>
      <c r="C67" s="15"/>
      <c r="D67" s="15"/>
      <c r="E67" s="15"/>
      <c r="F67" s="15"/>
      <c r="G67" s="15"/>
      <c r="H67" s="15"/>
      <c r="I67" s="15"/>
      <c r="J67" s="15"/>
      <c r="K67" s="15"/>
      <c r="L67" s="15"/>
      <c r="M67" s="896"/>
      <c r="N67" s="896"/>
      <c r="O67" s="896"/>
      <c r="P67" s="896"/>
      <c r="Q67" s="896"/>
      <c r="R67" s="15"/>
      <c r="S67" s="851" t="s">
        <v>194</v>
      </c>
      <c r="T67" s="846" t="s">
        <v>194</v>
      </c>
      <c r="U67" s="846" t="s">
        <v>194</v>
      </c>
      <c r="V67" s="846" t="s">
        <v>194</v>
      </c>
      <c r="W67" s="846" t="s">
        <v>194</v>
      </c>
      <c r="X67" s="846" t="s">
        <v>194</v>
      </c>
      <c r="Y67" s="846" t="s">
        <v>194</v>
      </c>
      <c r="Z67" s="846" t="s">
        <v>194</v>
      </c>
      <c r="AA67" s="846" t="s">
        <v>194</v>
      </c>
      <c r="AB67" s="846" t="s">
        <v>194</v>
      </c>
      <c r="AC67" s="846" t="s">
        <v>194</v>
      </c>
      <c r="AD67" s="846" t="s">
        <v>194</v>
      </c>
      <c r="AE67" s="846" t="s">
        <v>194</v>
      </c>
      <c r="AF67" s="846" t="s">
        <v>194</v>
      </c>
      <c r="AG67" s="846" t="s">
        <v>194</v>
      </c>
      <c r="AH67" s="846" t="s">
        <v>194</v>
      </c>
      <c r="AI67" s="846" t="s">
        <v>194</v>
      </c>
      <c r="AJ67" s="846" t="s">
        <v>194</v>
      </c>
      <c r="AK67" s="846" t="s">
        <v>194</v>
      </c>
      <c r="AL67" s="846" t="s">
        <v>194</v>
      </c>
      <c r="AM67" s="846" t="s">
        <v>194</v>
      </c>
      <c r="AN67" s="846" t="s">
        <v>194</v>
      </c>
    </row>
    <row r="68" ht="15.75" customHeight="1">
      <c r="A68" s="849" t="s">
        <v>194</v>
      </c>
      <c r="B68" s="15"/>
      <c r="C68" s="15"/>
      <c r="D68" s="15"/>
      <c r="E68" s="15"/>
      <c r="F68" s="15"/>
      <c r="G68" s="15"/>
      <c r="H68" s="15"/>
      <c r="I68" s="15"/>
      <c r="J68" s="15"/>
      <c r="K68" s="15"/>
      <c r="L68" s="15"/>
      <c r="M68" s="896"/>
      <c r="N68" s="896"/>
      <c r="O68" s="896"/>
      <c r="P68" s="896"/>
      <c r="Q68" s="896"/>
      <c r="R68" s="15"/>
      <c r="S68" s="851" t="s">
        <v>194</v>
      </c>
      <c r="T68" s="846" t="s">
        <v>194</v>
      </c>
      <c r="U68" s="846" t="s">
        <v>194</v>
      </c>
      <c r="V68" s="846" t="s">
        <v>194</v>
      </c>
      <c r="W68" s="846" t="s">
        <v>194</v>
      </c>
      <c r="X68" s="846" t="s">
        <v>194</v>
      </c>
      <c r="Y68" s="846" t="s">
        <v>194</v>
      </c>
      <c r="Z68" s="846" t="s">
        <v>194</v>
      </c>
      <c r="AA68" s="846" t="s">
        <v>194</v>
      </c>
      <c r="AB68" s="846" t="s">
        <v>194</v>
      </c>
      <c r="AC68" s="846" t="s">
        <v>194</v>
      </c>
      <c r="AD68" s="846" t="s">
        <v>194</v>
      </c>
      <c r="AE68" s="846" t="s">
        <v>194</v>
      </c>
      <c r="AF68" s="846" t="s">
        <v>194</v>
      </c>
      <c r="AG68" s="846" t="s">
        <v>194</v>
      </c>
      <c r="AH68" s="846" t="s">
        <v>194</v>
      </c>
      <c r="AI68" s="846" t="s">
        <v>194</v>
      </c>
      <c r="AJ68" s="846" t="s">
        <v>194</v>
      </c>
      <c r="AK68" s="846" t="s">
        <v>194</v>
      </c>
      <c r="AL68" s="846" t="s">
        <v>194</v>
      </c>
      <c r="AM68" s="846" t="s">
        <v>194</v>
      </c>
      <c r="AN68" s="846" t="s">
        <v>194</v>
      </c>
    </row>
    <row r="69" ht="15.75" customHeight="1">
      <c r="A69" s="849" t="s">
        <v>194</v>
      </c>
      <c r="B69" s="15"/>
      <c r="C69" s="892" t="s">
        <v>344</v>
      </c>
      <c r="D69" s="15"/>
      <c r="E69" s="15"/>
      <c r="F69" s="15"/>
      <c r="G69" s="15"/>
      <c r="H69" s="15"/>
      <c r="I69" s="15"/>
      <c r="J69" s="15"/>
      <c r="K69" s="15"/>
      <c r="L69" s="15"/>
      <c r="M69" s="896"/>
      <c r="N69" s="896"/>
      <c r="O69" s="896"/>
      <c r="P69" s="896"/>
      <c r="Q69" s="896"/>
      <c r="R69" s="15"/>
      <c r="S69" s="851" t="s">
        <v>194</v>
      </c>
      <c r="T69" s="846" t="s">
        <v>194</v>
      </c>
      <c r="U69" s="846" t="s">
        <v>194</v>
      </c>
      <c r="V69" s="846" t="s">
        <v>194</v>
      </c>
      <c r="W69" s="846" t="s">
        <v>194</v>
      </c>
      <c r="X69" s="846" t="s">
        <v>194</v>
      </c>
      <c r="Y69" s="846" t="s">
        <v>194</v>
      </c>
      <c r="Z69" s="846" t="s">
        <v>194</v>
      </c>
      <c r="AA69" s="846" t="s">
        <v>194</v>
      </c>
      <c r="AB69" s="846" t="s">
        <v>194</v>
      </c>
      <c r="AC69" s="846" t="s">
        <v>194</v>
      </c>
      <c r="AD69" s="846" t="s">
        <v>194</v>
      </c>
      <c r="AE69" s="846" t="s">
        <v>194</v>
      </c>
      <c r="AF69" s="846" t="s">
        <v>194</v>
      </c>
      <c r="AG69" s="846" t="s">
        <v>194</v>
      </c>
      <c r="AH69" s="846" t="s">
        <v>194</v>
      </c>
      <c r="AI69" s="846" t="s">
        <v>194</v>
      </c>
      <c r="AJ69" s="846" t="s">
        <v>194</v>
      </c>
      <c r="AK69" s="846" t="s">
        <v>194</v>
      </c>
      <c r="AL69" s="846" t="s">
        <v>194</v>
      </c>
      <c r="AM69" s="846" t="s">
        <v>194</v>
      </c>
      <c r="AN69" s="846" t="s">
        <v>194</v>
      </c>
    </row>
    <row r="70" ht="15.75" customHeight="1">
      <c r="A70" s="849" t="s">
        <v>194</v>
      </c>
      <c r="B70" s="15"/>
      <c r="C70" s="892" t="s">
        <v>345</v>
      </c>
      <c r="D70" s="15"/>
      <c r="E70" s="15"/>
      <c r="F70" s="15"/>
      <c r="G70" s="15"/>
      <c r="H70" s="15"/>
      <c r="I70" s="15"/>
      <c r="J70" s="15"/>
      <c r="K70" s="15"/>
      <c r="L70" s="15"/>
      <c r="M70" s="896"/>
      <c r="N70" s="896"/>
      <c r="O70" s="896"/>
      <c r="P70" s="896"/>
      <c r="Q70" s="896"/>
      <c r="R70" s="15"/>
      <c r="S70" s="851" t="s">
        <v>194</v>
      </c>
      <c r="T70" s="846" t="s">
        <v>194</v>
      </c>
      <c r="U70" s="846" t="s">
        <v>194</v>
      </c>
      <c r="V70" s="846" t="s">
        <v>194</v>
      </c>
      <c r="W70" s="846" t="s">
        <v>194</v>
      </c>
      <c r="X70" s="846" t="s">
        <v>194</v>
      </c>
      <c r="Y70" s="846" t="s">
        <v>194</v>
      </c>
      <c r="Z70" s="846" t="s">
        <v>194</v>
      </c>
      <c r="AA70" s="846" t="s">
        <v>194</v>
      </c>
      <c r="AB70" s="846" t="s">
        <v>194</v>
      </c>
      <c r="AC70" s="846" t="s">
        <v>194</v>
      </c>
      <c r="AD70" s="846" t="s">
        <v>194</v>
      </c>
      <c r="AE70" s="846" t="s">
        <v>194</v>
      </c>
      <c r="AF70" s="846" t="s">
        <v>194</v>
      </c>
      <c r="AG70" s="846" t="s">
        <v>194</v>
      </c>
      <c r="AH70" s="846" t="s">
        <v>194</v>
      </c>
      <c r="AI70" s="846" t="s">
        <v>194</v>
      </c>
      <c r="AJ70" s="846" t="s">
        <v>194</v>
      </c>
      <c r="AK70" s="846" t="s">
        <v>194</v>
      </c>
      <c r="AL70" s="846" t="s">
        <v>194</v>
      </c>
      <c r="AM70" s="846" t="s">
        <v>194</v>
      </c>
      <c r="AN70" s="846" t="s">
        <v>194</v>
      </c>
    </row>
    <row r="71" ht="15.75" customHeight="1">
      <c r="A71" s="849" t="s">
        <v>194</v>
      </c>
      <c r="B71" s="15"/>
      <c r="C71" s="15"/>
      <c r="D71" s="15"/>
      <c r="E71" s="15"/>
      <c r="F71" s="15"/>
      <c r="G71" s="15"/>
      <c r="H71" s="15"/>
      <c r="I71" s="15"/>
      <c r="J71" s="15"/>
      <c r="K71" s="15"/>
      <c r="L71" s="15"/>
      <c r="M71" s="896"/>
      <c r="N71" s="896"/>
      <c r="O71" s="896"/>
      <c r="P71" s="896"/>
      <c r="Q71" s="896"/>
      <c r="R71" s="15"/>
      <c r="S71" s="851" t="s">
        <v>194</v>
      </c>
      <c r="T71" s="846" t="s">
        <v>194</v>
      </c>
      <c r="U71" s="846" t="s">
        <v>194</v>
      </c>
      <c r="V71" s="846" t="s">
        <v>194</v>
      </c>
      <c r="W71" s="846" t="s">
        <v>194</v>
      </c>
      <c r="X71" s="846" t="s">
        <v>194</v>
      </c>
      <c r="Y71" s="846" t="s">
        <v>194</v>
      </c>
      <c r="Z71" s="846" t="s">
        <v>194</v>
      </c>
      <c r="AA71" s="846" t="s">
        <v>194</v>
      </c>
      <c r="AB71" s="846" t="s">
        <v>194</v>
      </c>
      <c r="AC71" s="846" t="s">
        <v>194</v>
      </c>
      <c r="AD71" s="846" t="s">
        <v>194</v>
      </c>
      <c r="AE71" s="846" t="s">
        <v>194</v>
      </c>
      <c r="AF71" s="846" t="s">
        <v>194</v>
      </c>
      <c r="AG71" s="846" t="s">
        <v>194</v>
      </c>
      <c r="AH71" s="846" t="s">
        <v>194</v>
      </c>
      <c r="AI71" s="846" t="s">
        <v>194</v>
      </c>
      <c r="AJ71" s="846" t="s">
        <v>194</v>
      </c>
      <c r="AK71" s="846" t="s">
        <v>194</v>
      </c>
      <c r="AL71" s="846" t="s">
        <v>194</v>
      </c>
      <c r="AM71" s="846" t="s">
        <v>194</v>
      </c>
      <c r="AN71" s="846" t="s">
        <v>194</v>
      </c>
    </row>
    <row r="72" ht="15.75" customHeight="1">
      <c r="A72" s="846" t="s">
        <v>194</v>
      </c>
      <c r="B72" s="893" t="s">
        <v>194</v>
      </c>
      <c r="C72" s="893" t="s">
        <v>194</v>
      </c>
      <c r="D72" s="893" t="s">
        <v>194</v>
      </c>
      <c r="E72" s="893" t="s">
        <v>194</v>
      </c>
      <c r="F72" s="893" t="s">
        <v>194</v>
      </c>
      <c r="G72" s="893" t="s">
        <v>194</v>
      </c>
      <c r="H72" s="893" t="s">
        <v>194</v>
      </c>
      <c r="I72" s="893" t="s">
        <v>194</v>
      </c>
      <c r="J72" s="893" t="s">
        <v>194</v>
      </c>
      <c r="K72" s="893" t="s">
        <v>194</v>
      </c>
      <c r="L72" s="893" t="s">
        <v>194</v>
      </c>
      <c r="M72" s="973" t="s">
        <v>194</v>
      </c>
      <c r="N72" s="973" t="s">
        <v>194</v>
      </c>
      <c r="O72" s="973" t="s">
        <v>194</v>
      </c>
      <c r="P72" s="973" t="s">
        <v>194</v>
      </c>
      <c r="Q72" s="973" t="s">
        <v>194</v>
      </c>
      <c r="R72" s="893" t="s">
        <v>194</v>
      </c>
      <c r="S72" s="846" t="s">
        <v>194</v>
      </c>
      <c r="T72" s="846" t="s">
        <v>194</v>
      </c>
      <c r="U72" s="846" t="s">
        <v>194</v>
      </c>
      <c r="V72" s="846" t="s">
        <v>194</v>
      </c>
      <c r="W72" s="846" t="s">
        <v>194</v>
      </c>
      <c r="X72" s="846" t="s">
        <v>194</v>
      </c>
      <c r="Y72" s="846" t="s">
        <v>194</v>
      </c>
      <c r="Z72" s="846" t="s">
        <v>194</v>
      </c>
      <c r="AA72" s="846" t="s">
        <v>194</v>
      </c>
      <c r="AB72" s="846" t="s">
        <v>194</v>
      </c>
      <c r="AC72" s="846" t="s">
        <v>194</v>
      </c>
      <c r="AD72" s="846" t="s">
        <v>194</v>
      </c>
      <c r="AE72" s="846" t="s">
        <v>194</v>
      </c>
      <c r="AF72" s="846" t="s">
        <v>194</v>
      </c>
      <c r="AG72" s="846" t="s">
        <v>194</v>
      </c>
      <c r="AH72" s="846" t="s">
        <v>194</v>
      </c>
      <c r="AI72" s="846" t="s">
        <v>194</v>
      </c>
      <c r="AJ72" s="846" t="s">
        <v>194</v>
      </c>
      <c r="AK72" s="846" t="s">
        <v>194</v>
      </c>
      <c r="AL72" s="846" t="s">
        <v>194</v>
      </c>
      <c r="AM72" s="846" t="s">
        <v>194</v>
      </c>
      <c r="AN72" s="846" t="s">
        <v>194</v>
      </c>
    </row>
    <row r="73" ht="15.75" customHeight="1">
      <c r="A73" s="846" t="s">
        <v>194</v>
      </c>
      <c r="B73" s="846" t="s">
        <v>194</v>
      </c>
      <c r="C73" s="846" t="s">
        <v>194</v>
      </c>
      <c r="D73" s="846" t="s">
        <v>194</v>
      </c>
      <c r="E73" s="846" t="s">
        <v>194</v>
      </c>
      <c r="F73" s="846" t="s">
        <v>194</v>
      </c>
      <c r="G73" s="846" t="s">
        <v>194</v>
      </c>
      <c r="H73" s="846" t="s">
        <v>194</v>
      </c>
      <c r="I73" s="846" t="s">
        <v>194</v>
      </c>
      <c r="J73" s="846" t="s">
        <v>194</v>
      </c>
      <c r="K73" s="846" t="s">
        <v>194</v>
      </c>
      <c r="L73" s="846" t="s">
        <v>194</v>
      </c>
      <c r="M73" s="896" t="s">
        <v>194</v>
      </c>
      <c r="N73" s="896" t="s">
        <v>194</v>
      </c>
      <c r="O73" s="896" t="s">
        <v>194</v>
      </c>
      <c r="P73" s="896" t="s">
        <v>194</v>
      </c>
      <c r="Q73" s="896" t="s">
        <v>194</v>
      </c>
      <c r="R73" s="846" t="s">
        <v>194</v>
      </c>
      <c r="S73" s="846" t="s">
        <v>194</v>
      </c>
      <c r="T73" s="846" t="s">
        <v>194</v>
      </c>
      <c r="U73" s="846" t="s">
        <v>194</v>
      </c>
      <c r="V73" s="846" t="s">
        <v>194</v>
      </c>
      <c r="W73" s="846" t="s">
        <v>194</v>
      </c>
      <c r="X73" s="846" t="s">
        <v>194</v>
      </c>
      <c r="Y73" s="846" t="s">
        <v>194</v>
      </c>
      <c r="Z73" s="846" t="s">
        <v>194</v>
      </c>
      <c r="AA73" s="846" t="s">
        <v>194</v>
      </c>
      <c r="AB73" s="846" t="s">
        <v>194</v>
      </c>
      <c r="AC73" s="846" t="s">
        <v>194</v>
      </c>
      <c r="AD73" s="846" t="s">
        <v>194</v>
      </c>
      <c r="AE73" s="846" t="s">
        <v>194</v>
      </c>
      <c r="AF73" s="846" t="s">
        <v>194</v>
      </c>
      <c r="AG73" s="846" t="s">
        <v>194</v>
      </c>
      <c r="AH73" s="846" t="s">
        <v>194</v>
      </c>
      <c r="AI73" s="846" t="s">
        <v>194</v>
      </c>
      <c r="AJ73" s="846" t="s">
        <v>194</v>
      </c>
      <c r="AK73" s="846" t="s">
        <v>194</v>
      </c>
      <c r="AL73" s="846" t="s">
        <v>194</v>
      </c>
      <c r="AM73" s="846" t="s">
        <v>194</v>
      </c>
      <c r="AN73" s="846" t="s">
        <v>194</v>
      </c>
    </row>
    <row r="74" ht="15.75" customHeight="1">
      <c r="A74" s="846" t="s">
        <v>194</v>
      </c>
      <c r="B74" s="846" t="s">
        <v>194</v>
      </c>
      <c r="C74" s="846" t="s">
        <v>194</v>
      </c>
      <c r="D74" s="846" t="s">
        <v>194</v>
      </c>
      <c r="E74" s="846" t="s">
        <v>194</v>
      </c>
      <c r="F74" s="846" t="s">
        <v>194</v>
      </c>
      <c r="G74" s="846" t="s">
        <v>194</v>
      </c>
      <c r="H74" s="846" t="s">
        <v>194</v>
      </c>
      <c r="I74" s="846" t="s">
        <v>194</v>
      </c>
      <c r="J74" s="846" t="s">
        <v>194</v>
      </c>
      <c r="K74" s="846" t="s">
        <v>194</v>
      </c>
      <c r="L74" s="846" t="s">
        <v>194</v>
      </c>
      <c r="M74" s="896" t="s">
        <v>194</v>
      </c>
      <c r="N74" s="896" t="s">
        <v>194</v>
      </c>
      <c r="O74" s="896" t="s">
        <v>194</v>
      </c>
      <c r="P74" s="896" t="s">
        <v>194</v>
      </c>
      <c r="Q74" s="896" t="s">
        <v>194</v>
      </c>
      <c r="R74" s="846" t="s">
        <v>194</v>
      </c>
      <c r="S74" s="846" t="s">
        <v>194</v>
      </c>
      <c r="T74" s="846" t="s">
        <v>194</v>
      </c>
      <c r="U74" s="846" t="s">
        <v>194</v>
      </c>
      <c r="V74" s="846" t="s">
        <v>194</v>
      </c>
      <c r="W74" s="846" t="s">
        <v>194</v>
      </c>
      <c r="X74" s="846" t="s">
        <v>194</v>
      </c>
      <c r="Y74" s="846" t="s">
        <v>194</v>
      </c>
      <c r="Z74" s="846" t="s">
        <v>194</v>
      </c>
      <c r="AA74" s="846" t="s">
        <v>194</v>
      </c>
      <c r="AB74" s="846" t="s">
        <v>194</v>
      </c>
      <c r="AC74" s="846" t="s">
        <v>194</v>
      </c>
      <c r="AD74" s="846" t="s">
        <v>194</v>
      </c>
      <c r="AE74" s="846" t="s">
        <v>194</v>
      </c>
      <c r="AF74" s="846" t="s">
        <v>194</v>
      </c>
      <c r="AG74" s="846" t="s">
        <v>194</v>
      </c>
      <c r="AH74" s="846" t="s">
        <v>194</v>
      </c>
      <c r="AI74" s="846" t="s">
        <v>194</v>
      </c>
      <c r="AJ74" s="846" t="s">
        <v>194</v>
      </c>
      <c r="AK74" s="846" t="s">
        <v>194</v>
      </c>
      <c r="AL74" s="846" t="s">
        <v>194</v>
      </c>
      <c r="AM74" s="846" t="s">
        <v>194</v>
      </c>
      <c r="AN74" s="846" t="s">
        <v>194</v>
      </c>
    </row>
    <row r="75" ht="15.75" customHeight="1">
      <c r="A75" s="846" t="s">
        <v>194</v>
      </c>
      <c r="B75" s="846" t="s">
        <v>194</v>
      </c>
      <c r="C75" s="846" t="s">
        <v>194</v>
      </c>
      <c r="D75" s="846" t="s">
        <v>194</v>
      </c>
      <c r="E75" s="846" t="s">
        <v>194</v>
      </c>
      <c r="F75" s="846" t="s">
        <v>194</v>
      </c>
      <c r="G75" s="846" t="s">
        <v>194</v>
      </c>
      <c r="H75" s="846" t="s">
        <v>194</v>
      </c>
      <c r="I75" s="846" t="s">
        <v>194</v>
      </c>
      <c r="J75" s="846" t="s">
        <v>194</v>
      </c>
      <c r="K75" s="846" t="s">
        <v>194</v>
      </c>
      <c r="L75" s="846" t="s">
        <v>194</v>
      </c>
      <c r="M75" s="896" t="s">
        <v>194</v>
      </c>
      <c r="N75" s="896" t="s">
        <v>194</v>
      </c>
      <c r="O75" s="896" t="s">
        <v>194</v>
      </c>
      <c r="P75" s="896" t="s">
        <v>194</v>
      </c>
      <c r="Q75" s="896" t="s">
        <v>194</v>
      </c>
      <c r="R75" s="846" t="s">
        <v>194</v>
      </c>
      <c r="S75" s="846" t="s">
        <v>194</v>
      </c>
      <c r="T75" s="846" t="s">
        <v>194</v>
      </c>
      <c r="U75" s="846" t="s">
        <v>194</v>
      </c>
      <c r="V75" s="846" t="s">
        <v>194</v>
      </c>
      <c r="W75" s="846" t="s">
        <v>194</v>
      </c>
      <c r="X75" s="846" t="s">
        <v>194</v>
      </c>
      <c r="Y75" s="846" t="s">
        <v>194</v>
      </c>
      <c r="Z75" s="846" t="s">
        <v>194</v>
      </c>
      <c r="AA75" s="846" t="s">
        <v>194</v>
      </c>
      <c r="AB75" s="846" t="s">
        <v>194</v>
      </c>
      <c r="AC75" s="846" t="s">
        <v>194</v>
      </c>
      <c r="AD75" s="846" t="s">
        <v>194</v>
      </c>
      <c r="AE75" s="846" t="s">
        <v>194</v>
      </c>
      <c r="AF75" s="846" t="s">
        <v>194</v>
      </c>
      <c r="AG75" s="846" t="s">
        <v>194</v>
      </c>
      <c r="AH75" s="846" t="s">
        <v>194</v>
      </c>
      <c r="AI75" s="846" t="s">
        <v>194</v>
      </c>
      <c r="AJ75" s="846" t="s">
        <v>194</v>
      </c>
      <c r="AK75" s="846" t="s">
        <v>194</v>
      </c>
      <c r="AL75" s="846" t="s">
        <v>194</v>
      </c>
      <c r="AM75" s="846" t="s">
        <v>194</v>
      </c>
      <c r="AN75" s="846" t="s">
        <v>194</v>
      </c>
    </row>
    <row r="76" ht="15.75" customHeight="1">
      <c r="A76" s="846" t="s">
        <v>194</v>
      </c>
      <c r="B76" s="846" t="s">
        <v>194</v>
      </c>
      <c r="C76" s="846" t="s">
        <v>194</v>
      </c>
      <c r="D76" s="846" t="s">
        <v>194</v>
      </c>
      <c r="E76" s="846" t="s">
        <v>194</v>
      </c>
      <c r="F76" s="846" t="s">
        <v>194</v>
      </c>
      <c r="G76" s="846" t="s">
        <v>194</v>
      </c>
      <c r="H76" s="846" t="s">
        <v>194</v>
      </c>
      <c r="I76" s="846" t="s">
        <v>194</v>
      </c>
      <c r="J76" s="846" t="s">
        <v>194</v>
      </c>
      <c r="K76" s="846" t="s">
        <v>194</v>
      </c>
      <c r="L76" s="846" t="s">
        <v>194</v>
      </c>
      <c r="M76" s="896" t="s">
        <v>194</v>
      </c>
      <c r="N76" s="896" t="s">
        <v>194</v>
      </c>
      <c r="O76" s="896" t="s">
        <v>194</v>
      </c>
      <c r="P76" s="896" t="s">
        <v>194</v>
      </c>
      <c r="Q76" s="896" t="s">
        <v>194</v>
      </c>
      <c r="R76" s="846" t="s">
        <v>194</v>
      </c>
      <c r="S76" s="846" t="s">
        <v>194</v>
      </c>
      <c r="T76" s="846" t="s">
        <v>194</v>
      </c>
      <c r="U76" s="846" t="s">
        <v>194</v>
      </c>
      <c r="V76" s="846" t="s">
        <v>194</v>
      </c>
      <c r="W76" s="846" t="s">
        <v>194</v>
      </c>
      <c r="X76" s="846" t="s">
        <v>194</v>
      </c>
      <c r="Y76" s="846" t="s">
        <v>194</v>
      </c>
      <c r="Z76" s="846" t="s">
        <v>194</v>
      </c>
      <c r="AA76" s="846" t="s">
        <v>194</v>
      </c>
      <c r="AB76" s="846" t="s">
        <v>194</v>
      </c>
      <c r="AC76" s="846" t="s">
        <v>194</v>
      </c>
      <c r="AD76" s="846" t="s">
        <v>194</v>
      </c>
      <c r="AE76" s="846" t="s">
        <v>194</v>
      </c>
      <c r="AF76" s="846" t="s">
        <v>194</v>
      </c>
      <c r="AG76" s="846" t="s">
        <v>194</v>
      </c>
      <c r="AH76" s="846" t="s">
        <v>194</v>
      </c>
      <c r="AI76" s="846" t="s">
        <v>194</v>
      </c>
      <c r="AJ76" s="846" t="s">
        <v>194</v>
      </c>
      <c r="AK76" s="846" t="s">
        <v>194</v>
      </c>
      <c r="AL76" s="846" t="s">
        <v>194</v>
      </c>
      <c r="AM76" s="846" t="s">
        <v>194</v>
      </c>
      <c r="AN76" s="846" t="s">
        <v>194</v>
      </c>
    </row>
    <row r="77" ht="15.75" customHeight="1">
      <c r="A77" s="846" t="s">
        <v>194</v>
      </c>
      <c r="B77" s="846" t="s">
        <v>194</v>
      </c>
      <c r="C77" s="846" t="s">
        <v>194</v>
      </c>
      <c r="D77" s="846" t="s">
        <v>194</v>
      </c>
      <c r="E77" s="846" t="s">
        <v>194</v>
      </c>
      <c r="F77" s="846" t="s">
        <v>194</v>
      </c>
      <c r="G77" s="846" t="s">
        <v>194</v>
      </c>
      <c r="H77" s="846" t="s">
        <v>194</v>
      </c>
      <c r="I77" s="846" t="s">
        <v>194</v>
      </c>
      <c r="J77" s="846" t="s">
        <v>194</v>
      </c>
      <c r="K77" s="846" t="s">
        <v>194</v>
      </c>
      <c r="L77" s="846" t="s">
        <v>194</v>
      </c>
      <c r="M77" s="896" t="s">
        <v>194</v>
      </c>
      <c r="N77" s="896" t="s">
        <v>194</v>
      </c>
      <c r="O77" s="896" t="s">
        <v>194</v>
      </c>
      <c r="P77" s="896" t="s">
        <v>194</v>
      </c>
      <c r="Q77" s="896" t="s">
        <v>194</v>
      </c>
      <c r="R77" s="846" t="s">
        <v>194</v>
      </c>
      <c r="S77" s="846" t="s">
        <v>194</v>
      </c>
      <c r="T77" s="846" t="s">
        <v>194</v>
      </c>
      <c r="U77" s="846" t="s">
        <v>194</v>
      </c>
      <c r="V77" s="846" t="s">
        <v>194</v>
      </c>
      <c r="W77" s="846" t="s">
        <v>194</v>
      </c>
      <c r="X77" s="846" t="s">
        <v>194</v>
      </c>
      <c r="Y77" s="846" t="s">
        <v>194</v>
      </c>
      <c r="Z77" s="846" t="s">
        <v>194</v>
      </c>
      <c r="AA77" s="846" t="s">
        <v>194</v>
      </c>
      <c r="AB77" s="846" t="s">
        <v>194</v>
      </c>
      <c r="AC77" s="846" t="s">
        <v>194</v>
      </c>
      <c r="AD77" s="846" t="s">
        <v>194</v>
      </c>
      <c r="AE77" s="846" t="s">
        <v>194</v>
      </c>
      <c r="AF77" s="846" t="s">
        <v>194</v>
      </c>
      <c r="AG77" s="846" t="s">
        <v>194</v>
      </c>
      <c r="AH77" s="846" t="s">
        <v>194</v>
      </c>
      <c r="AI77" s="846" t="s">
        <v>194</v>
      </c>
      <c r="AJ77" s="846" t="s">
        <v>194</v>
      </c>
      <c r="AK77" s="846" t="s">
        <v>194</v>
      </c>
      <c r="AL77" s="846" t="s">
        <v>194</v>
      </c>
      <c r="AM77" s="846" t="s">
        <v>194</v>
      </c>
      <c r="AN77" s="846" t="s">
        <v>194</v>
      </c>
    </row>
    <row r="78" ht="15.75" customHeight="1">
      <c r="A78" s="846" t="s">
        <v>194</v>
      </c>
      <c r="B78" s="846" t="s">
        <v>194</v>
      </c>
      <c r="C78" s="846" t="s">
        <v>194</v>
      </c>
      <c r="D78" s="846" t="s">
        <v>194</v>
      </c>
      <c r="E78" s="846" t="s">
        <v>194</v>
      </c>
      <c r="F78" s="846" t="s">
        <v>194</v>
      </c>
      <c r="G78" s="846" t="s">
        <v>194</v>
      </c>
      <c r="H78" s="846" t="s">
        <v>194</v>
      </c>
      <c r="I78" s="846" t="s">
        <v>194</v>
      </c>
      <c r="J78" s="846" t="s">
        <v>194</v>
      </c>
      <c r="K78" s="846" t="s">
        <v>194</v>
      </c>
      <c r="L78" s="846" t="s">
        <v>194</v>
      </c>
      <c r="M78" s="896" t="s">
        <v>194</v>
      </c>
      <c r="N78" s="896" t="s">
        <v>194</v>
      </c>
      <c r="O78" s="896" t="s">
        <v>194</v>
      </c>
      <c r="P78" s="896" t="s">
        <v>194</v>
      </c>
      <c r="Q78" s="896" t="s">
        <v>194</v>
      </c>
      <c r="R78" s="846" t="s">
        <v>194</v>
      </c>
      <c r="S78" s="846" t="s">
        <v>194</v>
      </c>
      <c r="T78" s="846" t="s">
        <v>194</v>
      </c>
      <c r="U78" s="846" t="s">
        <v>194</v>
      </c>
      <c r="V78" s="846" t="s">
        <v>194</v>
      </c>
      <c r="W78" s="846" t="s">
        <v>194</v>
      </c>
      <c r="X78" s="846" t="s">
        <v>194</v>
      </c>
      <c r="Y78" s="846" t="s">
        <v>194</v>
      </c>
      <c r="Z78" s="846" t="s">
        <v>194</v>
      </c>
      <c r="AA78" s="846" t="s">
        <v>194</v>
      </c>
      <c r="AB78" s="846" t="s">
        <v>194</v>
      </c>
      <c r="AC78" s="846" t="s">
        <v>194</v>
      </c>
      <c r="AD78" s="846" t="s">
        <v>194</v>
      </c>
      <c r="AE78" s="846" t="s">
        <v>194</v>
      </c>
      <c r="AF78" s="846" t="s">
        <v>194</v>
      </c>
      <c r="AG78" s="846" t="s">
        <v>194</v>
      </c>
      <c r="AH78" s="846" t="s">
        <v>194</v>
      </c>
      <c r="AI78" s="846" t="s">
        <v>194</v>
      </c>
      <c r="AJ78" s="846" t="s">
        <v>194</v>
      </c>
      <c r="AK78" s="846" t="s">
        <v>194</v>
      </c>
      <c r="AL78" s="846" t="s">
        <v>194</v>
      </c>
      <c r="AM78" s="846" t="s">
        <v>194</v>
      </c>
      <c r="AN78" s="846" t="s">
        <v>194</v>
      </c>
    </row>
    <row r="79" ht="15.75" customHeight="1">
      <c r="A79" s="846" t="s">
        <v>194</v>
      </c>
      <c r="B79" s="846" t="s">
        <v>194</v>
      </c>
      <c r="C79" s="846" t="s">
        <v>194</v>
      </c>
      <c r="D79" s="846" t="s">
        <v>194</v>
      </c>
      <c r="E79" s="846" t="s">
        <v>194</v>
      </c>
      <c r="F79" s="846" t="s">
        <v>194</v>
      </c>
      <c r="G79" s="846" t="s">
        <v>194</v>
      </c>
      <c r="H79" s="846" t="s">
        <v>194</v>
      </c>
      <c r="I79" s="846" t="s">
        <v>194</v>
      </c>
      <c r="J79" s="846" t="s">
        <v>194</v>
      </c>
      <c r="K79" s="846" t="s">
        <v>194</v>
      </c>
      <c r="L79" s="846" t="s">
        <v>194</v>
      </c>
      <c r="M79" s="896" t="s">
        <v>194</v>
      </c>
      <c r="N79" s="896" t="s">
        <v>194</v>
      </c>
      <c r="O79" s="896" t="s">
        <v>194</v>
      </c>
      <c r="P79" s="896" t="s">
        <v>194</v>
      </c>
      <c r="Q79" s="896" t="s">
        <v>194</v>
      </c>
      <c r="R79" s="846" t="s">
        <v>194</v>
      </c>
      <c r="S79" s="846" t="s">
        <v>194</v>
      </c>
      <c r="T79" s="846" t="s">
        <v>194</v>
      </c>
      <c r="U79" s="846" t="s">
        <v>194</v>
      </c>
      <c r="V79" s="846" t="s">
        <v>194</v>
      </c>
      <c r="W79" s="846" t="s">
        <v>194</v>
      </c>
      <c r="X79" s="846" t="s">
        <v>194</v>
      </c>
      <c r="Y79" s="846" t="s">
        <v>194</v>
      </c>
      <c r="Z79" s="846" t="s">
        <v>194</v>
      </c>
      <c r="AA79" s="846" t="s">
        <v>194</v>
      </c>
      <c r="AB79" s="846" t="s">
        <v>194</v>
      </c>
      <c r="AC79" s="846" t="s">
        <v>194</v>
      </c>
      <c r="AD79" s="846" t="s">
        <v>194</v>
      </c>
      <c r="AE79" s="846" t="s">
        <v>194</v>
      </c>
      <c r="AF79" s="846" t="s">
        <v>194</v>
      </c>
      <c r="AG79" s="846" t="s">
        <v>194</v>
      </c>
      <c r="AH79" s="846" t="s">
        <v>194</v>
      </c>
      <c r="AI79" s="846" t="s">
        <v>194</v>
      </c>
      <c r="AJ79" s="846" t="s">
        <v>194</v>
      </c>
      <c r="AK79" s="846" t="s">
        <v>194</v>
      </c>
      <c r="AL79" s="846" t="s">
        <v>194</v>
      </c>
      <c r="AM79" s="846" t="s">
        <v>194</v>
      </c>
      <c r="AN79" s="846" t="s">
        <v>194</v>
      </c>
    </row>
    <row r="80" ht="15.75" customHeight="1">
      <c r="A80" s="846" t="s">
        <v>194</v>
      </c>
      <c r="B80" s="846" t="s">
        <v>194</v>
      </c>
      <c r="C80" s="846" t="s">
        <v>194</v>
      </c>
      <c r="D80" s="846" t="s">
        <v>194</v>
      </c>
      <c r="E80" s="846" t="s">
        <v>194</v>
      </c>
      <c r="F80" s="846" t="s">
        <v>194</v>
      </c>
      <c r="G80" s="846" t="s">
        <v>194</v>
      </c>
      <c r="H80" s="846" t="s">
        <v>194</v>
      </c>
      <c r="I80" s="846" t="s">
        <v>194</v>
      </c>
      <c r="J80" s="846" t="s">
        <v>194</v>
      </c>
      <c r="K80" s="846" t="s">
        <v>194</v>
      </c>
      <c r="L80" s="846" t="s">
        <v>194</v>
      </c>
      <c r="M80" s="896" t="s">
        <v>194</v>
      </c>
      <c r="N80" s="896" t="s">
        <v>194</v>
      </c>
      <c r="O80" s="896" t="s">
        <v>194</v>
      </c>
      <c r="P80" s="896" t="s">
        <v>194</v>
      </c>
      <c r="Q80" s="896" t="s">
        <v>194</v>
      </c>
      <c r="R80" s="846" t="s">
        <v>194</v>
      </c>
      <c r="S80" s="846" t="s">
        <v>194</v>
      </c>
      <c r="T80" s="846" t="s">
        <v>194</v>
      </c>
      <c r="U80" s="846" t="s">
        <v>194</v>
      </c>
      <c r="V80" s="846" t="s">
        <v>194</v>
      </c>
      <c r="W80" s="846" t="s">
        <v>194</v>
      </c>
      <c r="X80" s="846" t="s">
        <v>194</v>
      </c>
      <c r="Y80" s="846" t="s">
        <v>194</v>
      </c>
      <c r="Z80" s="846" t="s">
        <v>194</v>
      </c>
      <c r="AA80" s="846" t="s">
        <v>194</v>
      </c>
      <c r="AB80" s="846" t="s">
        <v>194</v>
      </c>
      <c r="AC80" s="846" t="s">
        <v>194</v>
      </c>
      <c r="AD80" s="846" t="s">
        <v>194</v>
      </c>
      <c r="AE80" s="846" t="s">
        <v>194</v>
      </c>
      <c r="AF80" s="846" t="s">
        <v>194</v>
      </c>
      <c r="AG80" s="846" t="s">
        <v>194</v>
      </c>
      <c r="AH80" s="846" t="s">
        <v>194</v>
      </c>
      <c r="AI80" s="846" t="s">
        <v>194</v>
      </c>
      <c r="AJ80" s="846" t="s">
        <v>194</v>
      </c>
      <c r="AK80" s="846" t="s">
        <v>194</v>
      </c>
      <c r="AL80" s="846" t="s">
        <v>194</v>
      </c>
      <c r="AM80" s="846" t="s">
        <v>194</v>
      </c>
      <c r="AN80" s="846" t="s">
        <v>194</v>
      </c>
    </row>
    <row r="81" ht="15.75" customHeight="1">
      <c r="A81" s="846" t="s">
        <v>194</v>
      </c>
      <c r="B81" s="846" t="s">
        <v>194</v>
      </c>
      <c r="C81" s="846" t="s">
        <v>194</v>
      </c>
      <c r="D81" s="846" t="s">
        <v>194</v>
      </c>
      <c r="E81" s="846" t="s">
        <v>194</v>
      </c>
      <c r="F81" s="846" t="s">
        <v>194</v>
      </c>
      <c r="G81" s="846" t="s">
        <v>194</v>
      </c>
      <c r="H81" s="846" t="s">
        <v>194</v>
      </c>
      <c r="I81" s="846" t="s">
        <v>194</v>
      </c>
      <c r="J81" s="846" t="s">
        <v>194</v>
      </c>
      <c r="K81" s="846" t="s">
        <v>194</v>
      </c>
      <c r="L81" s="846" t="s">
        <v>194</v>
      </c>
      <c r="M81" s="896" t="s">
        <v>194</v>
      </c>
      <c r="N81" s="896" t="s">
        <v>194</v>
      </c>
      <c r="O81" s="896" t="s">
        <v>194</v>
      </c>
      <c r="P81" s="896" t="s">
        <v>194</v>
      </c>
      <c r="Q81" s="896" t="s">
        <v>194</v>
      </c>
      <c r="R81" s="846" t="s">
        <v>194</v>
      </c>
      <c r="S81" s="846" t="s">
        <v>194</v>
      </c>
      <c r="T81" s="846" t="s">
        <v>194</v>
      </c>
      <c r="U81" s="846" t="s">
        <v>194</v>
      </c>
      <c r="V81" s="846" t="s">
        <v>194</v>
      </c>
      <c r="W81" s="846" t="s">
        <v>194</v>
      </c>
      <c r="X81" s="846" t="s">
        <v>194</v>
      </c>
      <c r="Y81" s="846" t="s">
        <v>194</v>
      </c>
      <c r="Z81" s="846" t="s">
        <v>194</v>
      </c>
      <c r="AA81" s="846" t="s">
        <v>194</v>
      </c>
      <c r="AB81" s="846" t="s">
        <v>194</v>
      </c>
      <c r="AC81" s="846" t="s">
        <v>194</v>
      </c>
      <c r="AD81" s="846" t="s">
        <v>194</v>
      </c>
      <c r="AE81" s="846" t="s">
        <v>194</v>
      </c>
      <c r="AF81" s="846" t="s">
        <v>194</v>
      </c>
      <c r="AG81" s="846" t="s">
        <v>194</v>
      </c>
      <c r="AH81" s="846" t="s">
        <v>194</v>
      </c>
      <c r="AI81" s="846" t="s">
        <v>194</v>
      </c>
      <c r="AJ81" s="846" t="s">
        <v>194</v>
      </c>
      <c r="AK81" s="846" t="s">
        <v>194</v>
      </c>
      <c r="AL81" s="846" t="s">
        <v>194</v>
      </c>
      <c r="AM81" s="846" t="s">
        <v>194</v>
      </c>
      <c r="AN81" s="846" t="s">
        <v>194</v>
      </c>
    </row>
    <row r="82" ht="15.75" customHeight="1">
      <c r="A82" s="846" t="s">
        <v>194</v>
      </c>
      <c r="B82" s="846" t="s">
        <v>194</v>
      </c>
      <c r="C82" s="846" t="s">
        <v>194</v>
      </c>
      <c r="D82" s="846" t="s">
        <v>194</v>
      </c>
      <c r="E82" s="846" t="s">
        <v>194</v>
      </c>
      <c r="F82" s="846" t="s">
        <v>194</v>
      </c>
      <c r="G82" s="846" t="s">
        <v>194</v>
      </c>
      <c r="H82" s="846" t="s">
        <v>194</v>
      </c>
      <c r="I82" s="846" t="s">
        <v>194</v>
      </c>
      <c r="J82" s="846" t="s">
        <v>194</v>
      </c>
      <c r="K82" s="846" t="s">
        <v>194</v>
      </c>
      <c r="L82" s="846" t="s">
        <v>194</v>
      </c>
      <c r="M82" s="896" t="s">
        <v>194</v>
      </c>
      <c r="N82" s="896" t="s">
        <v>194</v>
      </c>
      <c r="O82" s="896" t="s">
        <v>194</v>
      </c>
      <c r="P82" s="896" t="s">
        <v>194</v>
      </c>
      <c r="Q82" s="896" t="s">
        <v>194</v>
      </c>
      <c r="R82" s="846" t="s">
        <v>194</v>
      </c>
      <c r="S82" s="846" t="s">
        <v>194</v>
      </c>
      <c r="T82" s="846" t="s">
        <v>194</v>
      </c>
      <c r="U82" s="846" t="s">
        <v>194</v>
      </c>
      <c r="V82" s="846" t="s">
        <v>194</v>
      </c>
      <c r="W82" s="846" t="s">
        <v>194</v>
      </c>
      <c r="X82" s="846" t="s">
        <v>194</v>
      </c>
      <c r="Y82" s="846" t="s">
        <v>194</v>
      </c>
      <c r="Z82" s="846" t="s">
        <v>194</v>
      </c>
      <c r="AA82" s="846" t="s">
        <v>194</v>
      </c>
      <c r="AB82" s="846" t="s">
        <v>194</v>
      </c>
      <c r="AC82" s="846" t="s">
        <v>194</v>
      </c>
      <c r="AD82" s="846" t="s">
        <v>194</v>
      </c>
      <c r="AE82" s="846" t="s">
        <v>194</v>
      </c>
      <c r="AF82" s="846" t="s">
        <v>194</v>
      </c>
      <c r="AG82" s="846" t="s">
        <v>194</v>
      </c>
      <c r="AH82" s="846" t="s">
        <v>194</v>
      </c>
      <c r="AI82" s="846" t="s">
        <v>194</v>
      </c>
      <c r="AJ82" s="846" t="s">
        <v>194</v>
      </c>
      <c r="AK82" s="846" t="s">
        <v>194</v>
      </c>
      <c r="AL82" s="846" t="s">
        <v>194</v>
      </c>
      <c r="AM82" s="846" t="s">
        <v>194</v>
      </c>
      <c r="AN82" s="846" t="s">
        <v>194</v>
      </c>
    </row>
    <row r="83" ht="15.75" customHeight="1">
      <c r="A83" s="846" t="s">
        <v>194</v>
      </c>
      <c r="B83" s="846" t="s">
        <v>194</v>
      </c>
      <c r="C83" s="846" t="s">
        <v>194</v>
      </c>
      <c r="D83" s="846" t="s">
        <v>194</v>
      </c>
      <c r="E83" s="846" t="s">
        <v>194</v>
      </c>
      <c r="F83" s="846" t="s">
        <v>194</v>
      </c>
      <c r="G83" s="846" t="s">
        <v>194</v>
      </c>
      <c r="H83" s="846" t="s">
        <v>194</v>
      </c>
      <c r="I83" s="846" t="s">
        <v>194</v>
      </c>
      <c r="J83" s="846" t="s">
        <v>194</v>
      </c>
      <c r="K83" s="846" t="s">
        <v>194</v>
      </c>
      <c r="L83" s="846" t="s">
        <v>194</v>
      </c>
      <c r="M83" s="896" t="s">
        <v>194</v>
      </c>
      <c r="N83" s="896" t="s">
        <v>194</v>
      </c>
      <c r="O83" s="896" t="s">
        <v>194</v>
      </c>
      <c r="P83" s="896" t="s">
        <v>194</v>
      </c>
      <c r="Q83" s="896" t="s">
        <v>194</v>
      </c>
      <c r="R83" s="846" t="s">
        <v>194</v>
      </c>
      <c r="S83" s="846" t="s">
        <v>194</v>
      </c>
      <c r="T83" s="846" t="s">
        <v>194</v>
      </c>
      <c r="U83" s="846" t="s">
        <v>194</v>
      </c>
      <c r="V83" s="846" t="s">
        <v>194</v>
      </c>
      <c r="W83" s="846" t="s">
        <v>194</v>
      </c>
      <c r="X83" s="846" t="s">
        <v>194</v>
      </c>
      <c r="Y83" s="846" t="s">
        <v>194</v>
      </c>
      <c r="Z83" s="846" t="s">
        <v>194</v>
      </c>
      <c r="AA83" s="846" t="s">
        <v>194</v>
      </c>
      <c r="AB83" s="846" t="s">
        <v>194</v>
      </c>
      <c r="AC83" s="846" t="s">
        <v>194</v>
      </c>
      <c r="AD83" s="846" t="s">
        <v>194</v>
      </c>
      <c r="AE83" s="846" t="s">
        <v>194</v>
      </c>
      <c r="AF83" s="846" t="s">
        <v>194</v>
      </c>
      <c r="AG83" s="846" t="s">
        <v>194</v>
      </c>
      <c r="AH83" s="846" t="s">
        <v>194</v>
      </c>
      <c r="AI83" s="846" t="s">
        <v>194</v>
      </c>
      <c r="AJ83" s="846" t="s">
        <v>194</v>
      </c>
      <c r="AK83" s="846" t="s">
        <v>194</v>
      </c>
      <c r="AL83" s="846" t="s">
        <v>194</v>
      </c>
      <c r="AM83" s="846" t="s">
        <v>194</v>
      </c>
      <c r="AN83" s="846" t="s">
        <v>194</v>
      </c>
    </row>
    <row r="84" ht="15.75" customHeight="1">
      <c r="A84" s="846" t="s">
        <v>194</v>
      </c>
      <c r="B84" s="846" t="s">
        <v>194</v>
      </c>
      <c r="C84" s="846" t="s">
        <v>194</v>
      </c>
      <c r="D84" s="846" t="s">
        <v>194</v>
      </c>
      <c r="E84" s="846" t="s">
        <v>194</v>
      </c>
      <c r="F84" s="846" t="s">
        <v>194</v>
      </c>
      <c r="G84" s="846" t="s">
        <v>194</v>
      </c>
      <c r="H84" s="846" t="s">
        <v>194</v>
      </c>
      <c r="I84" s="846" t="s">
        <v>194</v>
      </c>
      <c r="J84" s="846" t="s">
        <v>194</v>
      </c>
      <c r="K84" s="846" t="s">
        <v>194</v>
      </c>
      <c r="L84" s="846" t="s">
        <v>194</v>
      </c>
      <c r="M84" s="896" t="s">
        <v>194</v>
      </c>
      <c r="N84" s="896" t="s">
        <v>194</v>
      </c>
      <c r="O84" s="896" t="s">
        <v>194</v>
      </c>
      <c r="P84" s="896" t="s">
        <v>194</v>
      </c>
      <c r="Q84" s="896" t="s">
        <v>194</v>
      </c>
      <c r="R84" s="846" t="s">
        <v>194</v>
      </c>
      <c r="S84" s="846" t="s">
        <v>194</v>
      </c>
      <c r="T84" s="846" t="s">
        <v>194</v>
      </c>
      <c r="U84" s="846" t="s">
        <v>194</v>
      </c>
      <c r="V84" s="846" t="s">
        <v>194</v>
      </c>
      <c r="W84" s="846" t="s">
        <v>194</v>
      </c>
      <c r="X84" s="846" t="s">
        <v>194</v>
      </c>
      <c r="Y84" s="846" t="s">
        <v>194</v>
      </c>
      <c r="Z84" s="846" t="s">
        <v>194</v>
      </c>
      <c r="AA84" s="846" t="s">
        <v>194</v>
      </c>
      <c r="AB84" s="846" t="s">
        <v>194</v>
      </c>
      <c r="AC84" s="846" t="s">
        <v>194</v>
      </c>
      <c r="AD84" s="846" t="s">
        <v>194</v>
      </c>
      <c r="AE84" s="846" t="s">
        <v>194</v>
      </c>
      <c r="AF84" s="846" t="s">
        <v>194</v>
      </c>
      <c r="AG84" s="846" t="s">
        <v>194</v>
      </c>
      <c r="AH84" s="846" t="s">
        <v>194</v>
      </c>
      <c r="AI84" s="846" t="s">
        <v>194</v>
      </c>
      <c r="AJ84" s="846" t="s">
        <v>194</v>
      </c>
      <c r="AK84" s="846" t="s">
        <v>194</v>
      </c>
      <c r="AL84" s="846" t="s">
        <v>194</v>
      </c>
      <c r="AM84" s="846" t="s">
        <v>194</v>
      </c>
      <c r="AN84" s="846" t="s">
        <v>194</v>
      </c>
    </row>
    <row r="85" ht="15.75" customHeight="1">
      <c r="A85" s="846" t="s">
        <v>194</v>
      </c>
      <c r="B85" s="846" t="s">
        <v>194</v>
      </c>
      <c r="C85" s="846" t="s">
        <v>194</v>
      </c>
      <c r="D85" s="846" t="s">
        <v>194</v>
      </c>
      <c r="E85" s="846" t="s">
        <v>194</v>
      </c>
      <c r="F85" s="846" t="s">
        <v>194</v>
      </c>
      <c r="G85" s="846" t="s">
        <v>194</v>
      </c>
      <c r="H85" s="846" t="s">
        <v>194</v>
      </c>
      <c r="I85" s="846" t="s">
        <v>194</v>
      </c>
      <c r="J85" s="846" t="s">
        <v>194</v>
      </c>
      <c r="K85" s="846" t="s">
        <v>194</v>
      </c>
      <c r="L85" s="846" t="s">
        <v>194</v>
      </c>
      <c r="M85" s="896" t="s">
        <v>194</v>
      </c>
      <c r="N85" s="896" t="s">
        <v>194</v>
      </c>
      <c r="O85" s="896" t="s">
        <v>194</v>
      </c>
      <c r="P85" s="896" t="s">
        <v>194</v>
      </c>
      <c r="Q85" s="896" t="s">
        <v>194</v>
      </c>
      <c r="R85" s="846" t="s">
        <v>194</v>
      </c>
      <c r="S85" s="846" t="s">
        <v>194</v>
      </c>
      <c r="T85" s="846" t="s">
        <v>194</v>
      </c>
      <c r="U85" s="846" t="s">
        <v>194</v>
      </c>
      <c r="V85" s="846" t="s">
        <v>194</v>
      </c>
      <c r="W85" s="846" t="s">
        <v>194</v>
      </c>
      <c r="X85" s="846" t="s">
        <v>194</v>
      </c>
      <c r="Y85" s="846" t="s">
        <v>194</v>
      </c>
      <c r="Z85" s="846" t="s">
        <v>194</v>
      </c>
      <c r="AA85" s="846" t="s">
        <v>194</v>
      </c>
      <c r="AB85" s="846" t="s">
        <v>194</v>
      </c>
      <c r="AC85" s="846" t="s">
        <v>194</v>
      </c>
      <c r="AD85" s="846" t="s">
        <v>194</v>
      </c>
      <c r="AE85" s="846" t="s">
        <v>194</v>
      </c>
      <c r="AF85" s="846" t="s">
        <v>194</v>
      </c>
      <c r="AG85" s="846" t="s">
        <v>194</v>
      </c>
      <c r="AH85" s="846" t="s">
        <v>194</v>
      </c>
      <c r="AI85" s="846" t="s">
        <v>194</v>
      </c>
      <c r="AJ85" s="846" t="s">
        <v>194</v>
      </c>
      <c r="AK85" s="846" t="s">
        <v>194</v>
      </c>
      <c r="AL85" s="846" t="s">
        <v>194</v>
      </c>
      <c r="AM85" s="846" t="s">
        <v>194</v>
      </c>
      <c r="AN85" s="846" t="s">
        <v>194</v>
      </c>
    </row>
    <row r="86" ht="15.75" customHeight="1">
      <c r="A86" s="846" t="s">
        <v>194</v>
      </c>
      <c r="B86" s="846" t="s">
        <v>194</v>
      </c>
      <c r="C86" s="846" t="s">
        <v>194</v>
      </c>
      <c r="D86" s="846" t="s">
        <v>194</v>
      </c>
      <c r="E86" s="846" t="s">
        <v>194</v>
      </c>
      <c r="F86" s="846" t="s">
        <v>194</v>
      </c>
      <c r="G86" s="846" t="s">
        <v>194</v>
      </c>
      <c r="H86" s="846" t="s">
        <v>194</v>
      </c>
      <c r="I86" s="846" t="s">
        <v>194</v>
      </c>
      <c r="J86" s="846" t="s">
        <v>194</v>
      </c>
      <c r="K86" s="846" t="s">
        <v>194</v>
      </c>
      <c r="L86" s="846" t="s">
        <v>194</v>
      </c>
      <c r="M86" s="896" t="s">
        <v>194</v>
      </c>
      <c r="N86" s="896" t="s">
        <v>194</v>
      </c>
      <c r="O86" s="896" t="s">
        <v>194</v>
      </c>
      <c r="P86" s="896" t="s">
        <v>194</v>
      </c>
      <c r="Q86" s="896" t="s">
        <v>194</v>
      </c>
      <c r="R86" s="846" t="s">
        <v>194</v>
      </c>
      <c r="S86" s="846" t="s">
        <v>194</v>
      </c>
      <c r="T86" s="846" t="s">
        <v>194</v>
      </c>
      <c r="U86" s="846" t="s">
        <v>194</v>
      </c>
      <c r="V86" s="846" t="s">
        <v>194</v>
      </c>
      <c r="W86" s="846" t="s">
        <v>194</v>
      </c>
      <c r="X86" s="846" t="s">
        <v>194</v>
      </c>
      <c r="Y86" s="846" t="s">
        <v>194</v>
      </c>
      <c r="Z86" s="846" t="s">
        <v>194</v>
      </c>
      <c r="AA86" s="846" t="s">
        <v>194</v>
      </c>
      <c r="AB86" s="846" t="s">
        <v>194</v>
      </c>
      <c r="AC86" s="846" t="s">
        <v>194</v>
      </c>
      <c r="AD86" s="846" t="s">
        <v>194</v>
      </c>
      <c r="AE86" s="846" t="s">
        <v>194</v>
      </c>
      <c r="AF86" s="846" t="s">
        <v>194</v>
      </c>
      <c r="AG86" s="846" t="s">
        <v>194</v>
      </c>
      <c r="AH86" s="846" t="s">
        <v>194</v>
      </c>
      <c r="AI86" s="846" t="s">
        <v>194</v>
      </c>
      <c r="AJ86" s="846" t="s">
        <v>194</v>
      </c>
      <c r="AK86" s="846" t="s">
        <v>194</v>
      </c>
      <c r="AL86" s="846" t="s">
        <v>194</v>
      </c>
      <c r="AM86" s="846" t="s">
        <v>194</v>
      </c>
      <c r="AN86" s="846" t="s">
        <v>194</v>
      </c>
    </row>
    <row r="87" ht="15.75" customHeight="1">
      <c r="A87" s="846" t="s">
        <v>194</v>
      </c>
      <c r="B87" s="846" t="s">
        <v>194</v>
      </c>
      <c r="C87" s="846" t="s">
        <v>194</v>
      </c>
      <c r="D87" s="846" t="s">
        <v>194</v>
      </c>
      <c r="E87" s="846" t="s">
        <v>194</v>
      </c>
      <c r="F87" s="846" t="s">
        <v>194</v>
      </c>
      <c r="G87" s="846" t="s">
        <v>194</v>
      </c>
      <c r="H87" s="846" t="s">
        <v>194</v>
      </c>
      <c r="I87" s="846" t="s">
        <v>194</v>
      </c>
      <c r="J87" s="846" t="s">
        <v>194</v>
      </c>
      <c r="K87" s="846" t="s">
        <v>194</v>
      </c>
      <c r="L87" s="846" t="s">
        <v>194</v>
      </c>
      <c r="M87" s="896" t="s">
        <v>194</v>
      </c>
      <c r="N87" s="896" t="s">
        <v>194</v>
      </c>
      <c r="O87" s="896" t="s">
        <v>194</v>
      </c>
      <c r="P87" s="896" t="s">
        <v>194</v>
      </c>
      <c r="Q87" s="896" t="s">
        <v>194</v>
      </c>
      <c r="R87" s="846" t="s">
        <v>194</v>
      </c>
      <c r="S87" s="846" t="s">
        <v>194</v>
      </c>
      <c r="T87" s="846" t="s">
        <v>194</v>
      </c>
      <c r="U87" s="846" t="s">
        <v>194</v>
      </c>
      <c r="V87" s="846" t="s">
        <v>194</v>
      </c>
      <c r="W87" s="846" t="s">
        <v>194</v>
      </c>
      <c r="X87" s="846" t="s">
        <v>194</v>
      </c>
      <c r="Y87" s="846" t="s">
        <v>194</v>
      </c>
      <c r="Z87" s="846" t="s">
        <v>194</v>
      </c>
      <c r="AA87" s="846" t="s">
        <v>194</v>
      </c>
      <c r="AB87" s="846" t="s">
        <v>194</v>
      </c>
      <c r="AC87" s="846" t="s">
        <v>194</v>
      </c>
      <c r="AD87" s="846" t="s">
        <v>194</v>
      </c>
      <c r="AE87" s="846" t="s">
        <v>194</v>
      </c>
      <c r="AF87" s="846" t="s">
        <v>194</v>
      </c>
      <c r="AG87" s="846" t="s">
        <v>194</v>
      </c>
      <c r="AH87" s="846" t="s">
        <v>194</v>
      </c>
      <c r="AI87" s="846" t="s">
        <v>194</v>
      </c>
      <c r="AJ87" s="846" t="s">
        <v>194</v>
      </c>
      <c r="AK87" s="846" t="s">
        <v>194</v>
      </c>
      <c r="AL87" s="846" t="s">
        <v>194</v>
      </c>
      <c r="AM87" s="846" t="s">
        <v>194</v>
      </c>
      <c r="AN87" s="846" t="s">
        <v>194</v>
      </c>
    </row>
    <row r="88" ht="15.75" customHeight="1">
      <c r="A88" s="846" t="s">
        <v>194</v>
      </c>
      <c r="B88" s="846" t="s">
        <v>194</v>
      </c>
      <c r="C88" s="846" t="s">
        <v>194</v>
      </c>
      <c r="D88" s="846" t="s">
        <v>194</v>
      </c>
      <c r="E88" s="846" t="s">
        <v>194</v>
      </c>
      <c r="F88" s="846" t="s">
        <v>194</v>
      </c>
      <c r="G88" s="846" t="s">
        <v>194</v>
      </c>
      <c r="H88" s="846" t="s">
        <v>194</v>
      </c>
      <c r="I88" s="846" t="s">
        <v>194</v>
      </c>
      <c r="J88" s="846" t="s">
        <v>194</v>
      </c>
      <c r="K88" s="846" t="s">
        <v>194</v>
      </c>
      <c r="L88" s="846" t="s">
        <v>194</v>
      </c>
      <c r="M88" s="896" t="s">
        <v>194</v>
      </c>
      <c r="N88" s="896" t="s">
        <v>194</v>
      </c>
      <c r="O88" s="896" t="s">
        <v>194</v>
      </c>
      <c r="P88" s="896" t="s">
        <v>194</v>
      </c>
      <c r="Q88" s="896" t="s">
        <v>194</v>
      </c>
      <c r="R88" s="846" t="s">
        <v>194</v>
      </c>
      <c r="S88" s="846" t="s">
        <v>194</v>
      </c>
      <c r="T88" s="846" t="s">
        <v>194</v>
      </c>
      <c r="U88" s="846" t="s">
        <v>194</v>
      </c>
      <c r="V88" s="846" t="s">
        <v>194</v>
      </c>
      <c r="W88" s="846" t="s">
        <v>194</v>
      </c>
      <c r="X88" s="846" t="s">
        <v>194</v>
      </c>
      <c r="Y88" s="846" t="s">
        <v>194</v>
      </c>
      <c r="Z88" s="846" t="s">
        <v>194</v>
      </c>
      <c r="AA88" s="846" t="s">
        <v>194</v>
      </c>
      <c r="AB88" s="846" t="s">
        <v>194</v>
      </c>
      <c r="AC88" s="846" t="s">
        <v>194</v>
      </c>
      <c r="AD88" s="846" t="s">
        <v>194</v>
      </c>
      <c r="AE88" s="846" t="s">
        <v>194</v>
      </c>
      <c r="AF88" s="846" t="s">
        <v>194</v>
      </c>
      <c r="AG88" s="846" t="s">
        <v>194</v>
      </c>
      <c r="AH88" s="846" t="s">
        <v>194</v>
      </c>
      <c r="AI88" s="846" t="s">
        <v>194</v>
      </c>
      <c r="AJ88" s="846" t="s">
        <v>194</v>
      </c>
      <c r="AK88" s="846" t="s">
        <v>194</v>
      </c>
      <c r="AL88" s="846" t="s">
        <v>194</v>
      </c>
      <c r="AM88" s="846" t="s">
        <v>194</v>
      </c>
      <c r="AN88" s="846" t="s">
        <v>194</v>
      </c>
    </row>
    <row r="89" ht="15.75" customHeight="1">
      <c r="A89" s="846" t="s">
        <v>194</v>
      </c>
      <c r="B89" s="846" t="s">
        <v>194</v>
      </c>
      <c r="C89" s="846" t="s">
        <v>194</v>
      </c>
      <c r="D89" s="846" t="s">
        <v>194</v>
      </c>
      <c r="E89" s="846" t="s">
        <v>194</v>
      </c>
      <c r="F89" s="846" t="s">
        <v>194</v>
      </c>
      <c r="G89" s="846" t="s">
        <v>194</v>
      </c>
      <c r="H89" s="846" t="s">
        <v>194</v>
      </c>
      <c r="I89" s="846" t="s">
        <v>194</v>
      </c>
      <c r="J89" s="846" t="s">
        <v>194</v>
      </c>
      <c r="K89" s="846" t="s">
        <v>194</v>
      </c>
      <c r="L89" s="846" t="s">
        <v>194</v>
      </c>
      <c r="M89" s="896" t="s">
        <v>194</v>
      </c>
      <c r="N89" s="896" t="s">
        <v>194</v>
      </c>
      <c r="O89" s="896" t="s">
        <v>194</v>
      </c>
      <c r="P89" s="896" t="s">
        <v>194</v>
      </c>
      <c r="Q89" s="896" t="s">
        <v>194</v>
      </c>
      <c r="R89" s="846" t="s">
        <v>194</v>
      </c>
      <c r="S89" s="846" t="s">
        <v>194</v>
      </c>
      <c r="T89" s="846" t="s">
        <v>194</v>
      </c>
      <c r="U89" s="846" t="s">
        <v>194</v>
      </c>
      <c r="V89" s="846" t="s">
        <v>194</v>
      </c>
      <c r="W89" s="846" t="s">
        <v>194</v>
      </c>
      <c r="X89" s="846" t="s">
        <v>194</v>
      </c>
      <c r="Y89" s="846" t="s">
        <v>194</v>
      </c>
      <c r="Z89" s="846" t="s">
        <v>194</v>
      </c>
      <c r="AA89" s="846" t="s">
        <v>194</v>
      </c>
      <c r="AB89" s="846" t="s">
        <v>194</v>
      </c>
      <c r="AC89" s="846" t="s">
        <v>194</v>
      </c>
      <c r="AD89" s="846" t="s">
        <v>194</v>
      </c>
      <c r="AE89" s="846" t="s">
        <v>194</v>
      </c>
      <c r="AF89" s="846" t="s">
        <v>194</v>
      </c>
      <c r="AG89" s="846" t="s">
        <v>194</v>
      </c>
      <c r="AH89" s="846" t="s">
        <v>194</v>
      </c>
      <c r="AI89" s="846" t="s">
        <v>194</v>
      </c>
      <c r="AJ89" s="846" t="s">
        <v>194</v>
      </c>
      <c r="AK89" s="846" t="s">
        <v>194</v>
      </c>
      <c r="AL89" s="846" t="s">
        <v>194</v>
      </c>
      <c r="AM89" s="846" t="s">
        <v>194</v>
      </c>
      <c r="AN89" s="846" t="s">
        <v>194</v>
      </c>
    </row>
    <row r="90" ht="15.75" customHeight="1">
      <c r="A90" s="846" t="s">
        <v>194</v>
      </c>
      <c r="B90" s="846" t="s">
        <v>194</v>
      </c>
      <c r="C90" s="846" t="s">
        <v>194</v>
      </c>
      <c r="D90" s="846" t="s">
        <v>194</v>
      </c>
      <c r="E90" s="846" t="s">
        <v>194</v>
      </c>
      <c r="F90" s="846" t="s">
        <v>194</v>
      </c>
      <c r="G90" s="846" t="s">
        <v>194</v>
      </c>
      <c r="H90" s="846" t="s">
        <v>194</v>
      </c>
      <c r="I90" s="846" t="s">
        <v>194</v>
      </c>
      <c r="J90" s="846" t="s">
        <v>194</v>
      </c>
      <c r="K90" s="846" t="s">
        <v>194</v>
      </c>
      <c r="L90" s="846" t="s">
        <v>194</v>
      </c>
      <c r="M90" s="896" t="s">
        <v>194</v>
      </c>
      <c r="N90" s="896" t="s">
        <v>194</v>
      </c>
      <c r="O90" s="896" t="s">
        <v>194</v>
      </c>
      <c r="P90" s="896" t="s">
        <v>194</v>
      </c>
      <c r="Q90" s="896" t="s">
        <v>194</v>
      </c>
      <c r="R90" s="846" t="s">
        <v>194</v>
      </c>
      <c r="S90" s="846" t="s">
        <v>194</v>
      </c>
      <c r="T90" s="846" t="s">
        <v>194</v>
      </c>
      <c r="U90" s="846" t="s">
        <v>194</v>
      </c>
      <c r="V90" s="846" t="s">
        <v>194</v>
      </c>
      <c r="W90" s="846" t="s">
        <v>194</v>
      </c>
      <c r="X90" s="846" t="s">
        <v>194</v>
      </c>
      <c r="Y90" s="846" t="s">
        <v>194</v>
      </c>
      <c r="Z90" s="846" t="s">
        <v>194</v>
      </c>
      <c r="AA90" s="846" t="s">
        <v>194</v>
      </c>
      <c r="AB90" s="846" t="s">
        <v>194</v>
      </c>
      <c r="AC90" s="846" t="s">
        <v>194</v>
      </c>
      <c r="AD90" s="846" t="s">
        <v>194</v>
      </c>
      <c r="AE90" s="846" t="s">
        <v>194</v>
      </c>
      <c r="AF90" s="846" t="s">
        <v>194</v>
      </c>
      <c r="AG90" s="846" t="s">
        <v>194</v>
      </c>
      <c r="AH90" s="846" t="s">
        <v>194</v>
      </c>
      <c r="AI90" s="846" t="s">
        <v>194</v>
      </c>
      <c r="AJ90" s="846" t="s">
        <v>194</v>
      </c>
      <c r="AK90" s="846" t="s">
        <v>194</v>
      </c>
      <c r="AL90" s="846" t="s">
        <v>194</v>
      </c>
      <c r="AM90" s="846" t="s">
        <v>194</v>
      </c>
      <c r="AN90" s="846" t="s">
        <v>194</v>
      </c>
    </row>
    <row r="91" ht="15.75" customHeight="1">
      <c r="A91" s="846" t="s">
        <v>194</v>
      </c>
      <c r="B91" s="846" t="s">
        <v>194</v>
      </c>
      <c r="C91" s="846" t="s">
        <v>194</v>
      </c>
      <c r="D91" s="846" t="s">
        <v>194</v>
      </c>
      <c r="E91" s="846" t="s">
        <v>194</v>
      </c>
      <c r="F91" s="846" t="s">
        <v>194</v>
      </c>
      <c r="G91" s="846" t="s">
        <v>194</v>
      </c>
      <c r="H91" s="846" t="s">
        <v>194</v>
      </c>
      <c r="I91" s="846" t="s">
        <v>194</v>
      </c>
      <c r="J91" s="846" t="s">
        <v>194</v>
      </c>
      <c r="K91" s="846" t="s">
        <v>194</v>
      </c>
      <c r="L91" s="846" t="s">
        <v>194</v>
      </c>
      <c r="M91" s="896" t="s">
        <v>194</v>
      </c>
      <c r="N91" s="896" t="s">
        <v>194</v>
      </c>
      <c r="O91" s="896" t="s">
        <v>194</v>
      </c>
      <c r="P91" s="896" t="s">
        <v>194</v>
      </c>
      <c r="Q91" s="896" t="s">
        <v>194</v>
      </c>
      <c r="R91" s="846" t="s">
        <v>194</v>
      </c>
      <c r="S91" s="846" t="s">
        <v>194</v>
      </c>
      <c r="T91" s="846" t="s">
        <v>194</v>
      </c>
      <c r="U91" s="846" t="s">
        <v>194</v>
      </c>
      <c r="V91" s="846" t="s">
        <v>194</v>
      </c>
      <c r="W91" s="846" t="s">
        <v>194</v>
      </c>
      <c r="X91" s="846" t="s">
        <v>194</v>
      </c>
      <c r="Y91" s="846" t="s">
        <v>194</v>
      </c>
      <c r="Z91" s="846" t="s">
        <v>194</v>
      </c>
      <c r="AA91" s="846" t="s">
        <v>194</v>
      </c>
      <c r="AB91" s="846" t="s">
        <v>194</v>
      </c>
      <c r="AC91" s="846" t="s">
        <v>194</v>
      </c>
      <c r="AD91" s="846" t="s">
        <v>194</v>
      </c>
      <c r="AE91" s="846" t="s">
        <v>194</v>
      </c>
      <c r="AF91" s="846" t="s">
        <v>194</v>
      </c>
      <c r="AG91" s="846" t="s">
        <v>194</v>
      </c>
      <c r="AH91" s="846" t="s">
        <v>194</v>
      </c>
      <c r="AI91" s="846" t="s">
        <v>194</v>
      </c>
      <c r="AJ91" s="846" t="s">
        <v>194</v>
      </c>
      <c r="AK91" s="846" t="s">
        <v>194</v>
      </c>
      <c r="AL91" s="846" t="s">
        <v>194</v>
      </c>
      <c r="AM91" s="846" t="s">
        <v>194</v>
      </c>
      <c r="AN91" s="846" t="s">
        <v>194</v>
      </c>
    </row>
    <row r="92" ht="15.75" customHeight="1">
      <c r="A92" s="846" t="s">
        <v>194</v>
      </c>
      <c r="B92" s="846" t="s">
        <v>194</v>
      </c>
      <c r="C92" s="846" t="s">
        <v>194</v>
      </c>
      <c r="D92" s="846" t="s">
        <v>194</v>
      </c>
      <c r="E92" s="846" t="s">
        <v>194</v>
      </c>
      <c r="F92" s="846" t="s">
        <v>194</v>
      </c>
      <c r="G92" s="846" t="s">
        <v>194</v>
      </c>
      <c r="H92" s="846" t="s">
        <v>194</v>
      </c>
      <c r="I92" s="846" t="s">
        <v>194</v>
      </c>
      <c r="J92" s="846" t="s">
        <v>194</v>
      </c>
      <c r="K92" s="846" t="s">
        <v>194</v>
      </c>
      <c r="L92" s="846" t="s">
        <v>194</v>
      </c>
      <c r="M92" s="896" t="s">
        <v>194</v>
      </c>
      <c r="N92" s="896" t="s">
        <v>194</v>
      </c>
      <c r="O92" s="896" t="s">
        <v>194</v>
      </c>
      <c r="P92" s="896" t="s">
        <v>194</v>
      </c>
      <c r="Q92" s="896" t="s">
        <v>194</v>
      </c>
      <c r="R92" s="846" t="s">
        <v>194</v>
      </c>
      <c r="S92" s="846" t="s">
        <v>194</v>
      </c>
      <c r="T92" s="846" t="s">
        <v>194</v>
      </c>
      <c r="U92" s="846" t="s">
        <v>194</v>
      </c>
      <c r="V92" s="846" t="s">
        <v>194</v>
      </c>
      <c r="W92" s="846" t="s">
        <v>194</v>
      </c>
      <c r="X92" s="846" t="s">
        <v>194</v>
      </c>
      <c r="Y92" s="846" t="s">
        <v>194</v>
      </c>
      <c r="Z92" s="846" t="s">
        <v>194</v>
      </c>
      <c r="AA92" s="846" t="s">
        <v>194</v>
      </c>
      <c r="AB92" s="846" t="s">
        <v>194</v>
      </c>
      <c r="AC92" s="846" t="s">
        <v>194</v>
      </c>
      <c r="AD92" s="846" t="s">
        <v>194</v>
      </c>
      <c r="AE92" s="846" t="s">
        <v>194</v>
      </c>
      <c r="AF92" s="846" t="s">
        <v>194</v>
      </c>
      <c r="AG92" s="846" t="s">
        <v>194</v>
      </c>
      <c r="AH92" s="846" t="s">
        <v>194</v>
      </c>
      <c r="AI92" s="846" t="s">
        <v>194</v>
      </c>
      <c r="AJ92" s="846" t="s">
        <v>194</v>
      </c>
      <c r="AK92" s="846" t="s">
        <v>194</v>
      </c>
      <c r="AL92" s="846" t="s">
        <v>194</v>
      </c>
      <c r="AM92" s="846" t="s">
        <v>194</v>
      </c>
      <c r="AN92" s="846" t="s">
        <v>194</v>
      </c>
    </row>
    <row r="93" ht="15.75" customHeight="1">
      <c r="A93" s="846" t="s">
        <v>194</v>
      </c>
      <c r="B93" s="846" t="s">
        <v>194</v>
      </c>
      <c r="C93" s="846" t="s">
        <v>194</v>
      </c>
      <c r="D93" s="846" t="s">
        <v>194</v>
      </c>
      <c r="E93" s="846" t="s">
        <v>194</v>
      </c>
      <c r="F93" s="846" t="s">
        <v>194</v>
      </c>
      <c r="G93" s="846" t="s">
        <v>194</v>
      </c>
      <c r="H93" s="846" t="s">
        <v>194</v>
      </c>
      <c r="I93" s="846" t="s">
        <v>194</v>
      </c>
      <c r="J93" s="846" t="s">
        <v>194</v>
      </c>
      <c r="K93" s="846" t="s">
        <v>194</v>
      </c>
      <c r="L93" s="846" t="s">
        <v>194</v>
      </c>
      <c r="M93" s="896" t="s">
        <v>194</v>
      </c>
      <c r="N93" s="896" t="s">
        <v>194</v>
      </c>
      <c r="O93" s="896" t="s">
        <v>194</v>
      </c>
      <c r="P93" s="896" t="s">
        <v>194</v>
      </c>
      <c r="Q93" s="896" t="s">
        <v>194</v>
      </c>
      <c r="R93" s="846" t="s">
        <v>194</v>
      </c>
      <c r="S93" s="846" t="s">
        <v>194</v>
      </c>
      <c r="T93" s="846" t="s">
        <v>194</v>
      </c>
      <c r="U93" s="846" t="s">
        <v>194</v>
      </c>
      <c r="V93" s="846" t="s">
        <v>194</v>
      </c>
      <c r="W93" s="846" t="s">
        <v>194</v>
      </c>
      <c r="X93" s="846" t="s">
        <v>194</v>
      </c>
      <c r="Y93" s="846" t="s">
        <v>194</v>
      </c>
      <c r="Z93" s="846" t="s">
        <v>194</v>
      </c>
      <c r="AA93" s="846" t="s">
        <v>194</v>
      </c>
      <c r="AB93" s="846" t="s">
        <v>194</v>
      </c>
      <c r="AC93" s="846" t="s">
        <v>194</v>
      </c>
      <c r="AD93" s="846" t="s">
        <v>194</v>
      </c>
      <c r="AE93" s="846" t="s">
        <v>194</v>
      </c>
      <c r="AF93" s="846" t="s">
        <v>194</v>
      </c>
      <c r="AG93" s="846" t="s">
        <v>194</v>
      </c>
      <c r="AH93" s="846" t="s">
        <v>194</v>
      </c>
      <c r="AI93" s="846" t="s">
        <v>194</v>
      </c>
      <c r="AJ93" s="846" t="s">
        <v>194</v>
      </c>
      <c r="AK93" s="846" t="s">
        <v>194</v>
      </c>
      <c r="AL93" s="846" t="s">
        <v>194</v>
      </c>
      <c r="AM93" s="846" t="s">
        <v>194</v>
      </c>
      <c r="AN93" s="846" t="s">
        <v>194</v>
      </c>
    </row>
    <row r="94" ht="15.75" customHeight="1">
      <c r="A94" s="846" t="s">
        <v>194</v>
      </c>
      <c r="B94" s="846" t="s">
        <v>194</v>
      </c>
      <c r="C94" s="846" t="s">
        <v>194</v>
      </c>
      <c r="D94" s="846" t="s">
        <v>194</v>
      </c>
      <c r="E94" s="846" t="s">
        <v>194</v>
      </c>
      <c r="F94" s="846" t="s">
        <v>194</v>
      </c>
      <c r="G94" s="846" t="s">
        <v>194</v>
      </c>
      <c r="H94" s="846" t="s">
        <v>194</v>
      </c>
      <c r="I94" s="846" t="s">
        <v>194</v>
      </c>
      <c r="J94" s="846" t="s">
        <v>194</v>
      </c>
      <c r="K94" s="846" t="s">
        <v>194</v>
      </c>
      <c r="L94" s="846" t="s">
        <v>194</v>
      </c>
      <c r="M94" s="896" t="s">
        <v>194</v>
      </c>
      <c r="N94" s="896" t="s">
        <v>194</v>
      </c>
      <c r="O94" s="896" t="s">
        <v>194</v>
      </c>
      <c r="P94" s="896" t="s">
        <v>194</v>
      </c>
      <c r="Q94" s="896" t="s">
        <v>194</v>
      </c>
      <c r="R94" s="846" t="s">
        <v>194</v>
      </c>
      <c r="S94" s="846" t="s">
        <v>194</v>
      </c>
      <c r="T94" s="846" t="s">
        <v>194</v>
      </c>
      <c r="U94" s="846" t="s">
        <v>194</v>
      </c>
      <c r="V94" s="846" t="s">
        <v>194</v>
      </c>
      <c r="W94" s="846" t="s">
        <v>194</v>
      </c>
      <c r="X94" s="846" t="s">
        <v>194</v>
      </c>
      <c r="Y94" s="846" t="s">
        <v>194</v>
      </c>
      <c r="Z94" s="846" t="s">
        <v>194</v>
      </c>
      <c r="AA94" s="846" t="s">
        <v>194</v>
      </c>
      <c r="AB94" s="846" t="s">
        <v>194</v>
      </c>
      <c r="AC94" s="846" t="s">
        <v>194</v>
      </c>
      <c r="AD94" s="846" t="s">
        <v>194</v>
      </c>
      <c r="AE94" s="846" t="s">
        <v>194</v>
      </c>
      <c r="AF94" s="846" t="s">
        <v>194</v>
      </c>
      <c r="AG94" s="846" t="s">
        <v>194</v>
      </c>
      <c r="AH94" s="846" t="s">
        <v>194</v>
      </c>
      <c r="AI94" s="846" t="s">
        <v>194</v>
      </c>
      <c r="AJ94" s="846" t="s">
        <v>194</v>
      </c>
      <c r="AK94" s="846" t="s">
        <v>194</v>
      </c>
      <c r="AL94" s="846" t="s">
        <v>194</v>
      </c>
      <c r="AM94" s="846" t="s">
        <v>194</v>
      </c>
      <c r="AN94" s="846" t="s">
        <v>194</v>
      </c>
    </row>
    <row r="95" ht="15.75" customHeight="1">
      <c r="A95" s="846" t="s">
        <v>194</v>
      </c>
      <c r="B95" s="846" t="s">
        <v>194</v>
      </c>
      <c r="C95" s="846" t="s">
        <v>194</v>
      </c>
      <c r="D95" s="846" t="s">
        <v>194</v>
      </c>
      <c r="E95" s="846" t="s">
        <v>194</v>
      </c>
      <c r="F95" s="846" t="s">
        <v>194</v>
      </c>
      <c r="G95" s="846" t="s">
        <v>194</v>
      </c>
      <c r="H95" s="846" t="s">
        <v>194</v>
      </c>
      <c r="I95" s="846" t="s">
        <v>194</v>
      </c>
      <c r="J95" s="846" t="s">
        <v>194</v>
      </c>
      <c r="K95" s="846" t="s">
        <v>194</v>
      </c>
      <c r="L95" s="846" t="s">
        <v>194</v>
      </c>
      <c r="M95" s="896" t="s">
        <v>194</v>
      </c>
      <c r="N95" s="896" t="s">
        <v>194</v>
      </c>
      <c r="O95" s="896" t="s">
        <v>194</v>
      </c>
      <c r="P95" s="896" t="s">
        <v>194</v>
      </c>
      <c r="Q95" s="896" t="s">
        <v>194</v>
      </c>
      <c r="R95" s="846" t="s">
        <v>194</v>
      </c>
      <c r="S95" s="846" t="s">
        <v>194</v>
      </c>
      <c r="T95" s="846" t="s">
        <v>194</v>
      </c>
      <c r="U95" s="846" t="s">
        <v>194</v>
      </c>
      <c r="V95" s="846" t="s">
        <v>194</v>
      </c>
      <c r="W95" s="846" t="s">
        <v>194</v>
      </c>
      <c r="X95" s="846" t="s">
        <v>194</v>
      </c>
      <c r="Y95" s="846" t="s">
        <v>194</v>
      </c>
      <c r="Z95" s="846" t="s">
        <v>194</v>
      </c>
      <c r="AA95" s="846" t="s">
        <v>194</v>
      </c>
      <c r="AB95" s="846" t="s">
        <v>194</v>
      </c>
      <c r="AC95" s="846" t="s">
        <v>194</v>
      </c>
      <c r="AD95" s="846" t="s">
        <v>194</v>
      </c>
      <c r="AE95" s="846" t="s">
        <v>194</v>
      </c>
      <c r="AF95" s="846" t="s">
        <v>194</v>
      </c>
      <c r="AG95" s="846" t="s">
        <v>194</v>
      </c>
      <c r="AH95" s="846" t="s">
        <v>194</v>
      </c>
      <c r="AI95" s="846" t="s">
        <v>194</v>
      </c>
      <c r="AJ95" s="846" t="s">
        <v>194</v>
      </c>
      <c r="AK95" s="846" t="s">
        <v>194</v>
      </c>
      <c r="AL95" s="846" t="s">
        <v>194</v>
      </c>
      <c r="AM95" s="846" t="s">
        <v>194</v>
      </c>
      <c r="AN95" s="846" t="s">
        <v>194</v>
      </c>
    </row>
    <row r="96" ht="15.75" customHeight="1">
      <c r="A96" s="846" t="s">
        <v>194</v>
      </c>
      <c r="B96" s="846" t="s">
        <v>194</v>
      </c>
      <c r="C96" s="846" t="s">
        <v>194</v>
      </c>
      <c r="D96" s="846" t="s">
        <v>194</v>
      </c>
      <c r="E96" s="846" t="s">
        <v>194</v>
      </c>
      <c r="F96" s="846" t="s">
        <v>194</v>
      </c>
      <c r="G96" s="846" t="s">
        <v>194</v>
      </c>
      <c r="H96" s="846" t="s">
        <v>194</v>
      </c>
      <c r="I96" s="846" t="s">
        <v>194</v>
      </c>
      <c r="J96" s="846" t="s">
        <v>194</v>
      </c>
      <c r="K96" s="846" t="s">
        <v>194</v>
      </c>
      <c r="L96" s="846" t="s">
        <v>194</v>
      </c>
      <c r="M96" s="896" t="s">
        <v>194</v>
      </c>
      <c r="N96" s="896" t="s">
        <v>194</v>
      </c>
      <c r="O96" s="896" t="s">
        <v>194</v>
      </c>
      <c r="P96" s="896" t="s">
        <v>194</v>
      </c>
      <c r="Q96" s="896" t="s">
        <v>194</v>
      </c>
      <c r="R96" s="846" t="s">
        <v>194</v>
      </c>
      <c r="S96" s="846" t="s">
        <v>194</v>
      </c>
      <c r="T96" s="846" t="s">
        <v>194</v>
      </c>
      <c r="U96" s="846" t="s">
        <v>194</v>
      </c>
      <c r="V96" s="846" t="s">
        <v>194</v>
      </c>
      <c r="W96" s="846" t="s">
        <v>194</v>
      </c>
      <c r="X96" s="846" t="s">
        <v>194</v>
      </c>
      <c r="Y96" s="846" t="s">
        <v>194</v>
      </c>
      <c r="Z96" s="846" t="s">
        <v>194</v>
      </c>
      <c r="AA96" s="846" t="s">
        <v>194</v>
      </c>
      <c r="AB96" s="846" t="s">
        <v>194</v>
      </c>
      <c r="AC96" s="846" t="s">
        <v>194</v>
      </c>
      <c r="AD96" s="846" t="s">
        <v>194</v>
      </c>
      <c r="AE96" s="846" t="s">
        <v>194</v>
      </c>
      <c r="AF96" s="846" t="s">
        <v>194</v>
      </c>
      <c r="AG96" s="846" t="s">
        <v>194</v>
      </c>
      <c r="AH96" s="846" t="s">
        <v>194</v>
      </c>
      <c r="AI96" s="846" t="s">
        <v>194</v>
      </c>
      <c r="AJ96" s="846" t="s">
        <v>194</v>
      </c>
      <c r="AK96" s="846" t="s">
        <v>194</v>
      </c>
      <c r="AL96" s="846" t="s">
        <v>194</v>
      </c>
      <c r="AM96" s="846" t="s">
        <v>194</v>
      </c>
      <c r="AN96" s="846" t="s">
        <v>194</v>
      </c>
    </row>
    <row r="97" ht="15.75" customHeight="1">
      <c r="A97" s="846" t="s">
        <v>194</v>
      </c>
      <c r="B97" s="846" t="s">
        <v>194</v>
      </c>
      <c r="C97" s="846" t="s">
        <v>194</v>
      </c>
      <c r="D97" s="846" t="s">
        <v>194</v>
      </c>
      <c r="E97" s="846" t="s">
        <v>194</v>
      </c>
      <c r="F97" s="846" t="s">
        <v>194</v>
      </c>
      <c r="G97" s="846" t="s">
        <v>194</v>
      </c>
      <c r="H97" s="846" t="s">
        <v>194</v>
      </c>
      <c r="I97" s="846" t="s">
        <v>194</v>
      </c>
      <c r="J97" s="846" t="s">
        <v>194</v>
      </c>
      <c r="K97" s="846" t="s">
        <v>194</v>
      </c>
      <c r="L97" s="846" t="s">
        <v>194</v>
      </c>
      <c r="M97" s="896" t="s">
        <v>194</v>
      </c>
      <c r="N97" s="896" t="s">
        <v>194</v>
      </c>
      <c r="O97" s="896" t="s">
        <v>194</v>
      </c>
      <c r="P97" s="896" t="s">
        <v>194</v>
      </c>
      <c r="Q97" s="896" t="s">
        <v>194</v>
      </c>
      <c r="R97" s="846" t="s">
        <v>194</v>
      </c>
      <c r="S97" s="846" t="s">
        <v>194</v>
      </c>
      <c r="T97" s="846" t="s">
        <v>194</v>
      </c>
      <c r="U97" s="846" t="s">
        <v>194</v>
      </c>
      <c r="V97" s="846" t="s">
        <v>194</v>
      </c>
      <c r="W97" s="846" t="s">
        <v>194</v>
      </c>
      <c r="X97" s="846" t="s">
        <v>194</v>
      </c>
      <c r="Y97" s="846" t="s">
        <v>194</v>
      </c>
      <c r="Z97" s="846" t="s">
        <v>194</v>
      </c>
      <c r="AA97" s="846" t="s">
        <v>194</v>
      </c>
      <c r="AB97" s="846" t="s">
        <v>194</v>
      </c>
      <c r="AC97" s="846" t="s">
        <v>194</v>
      </c>
      <c r="AD97" s="846" t="s">
        <v>194</v>
      </c>
      <c r="AE97" s="846" t="s">
        <v>194</v>
      </c>
      <c r="AF97" s="846" t="s">
        <v>194</v>
      </c>
      <c r="AG97" s="846" t="s">
        <v>194</v>
      </c>
      <c r="AH97" s="846" t="s">
        <v>194</v>
      </c>
      <c r="AI97" s="846" t="s">
        <v>194</v>
      </c>
      <c r="AJ97" s="846" t="s">
        <v>194</v>
      </c>
      <c r="AK97" s="846" t="s">
        <v>194</v>
      </c>
      <c r="AL97" s="846" t="s">
        <v>194</v>
      </c>
      <c r="AM97" s="846" t="s">
        <v>194</v>
      </c>
      <c r="AN97" s="846" t="s">
        <v>194</v>
      </c>
    </row>
    <row r="98" ht="15.75" customHeight="1">
      <c r="A98" s="846" t="s">
        <v>194</v>
      </c>
      <c r="B98" s="846" t="s">
        <v>194</v>
      </c>
      <c r="C98" s="846" t="s">
        <v>194</v>
      </c>
      <c r="D98" s="846" t="s">
        <v>194</v>
      </c>
      <c r="E98" s="846" t="s">
        <v>194</v>
      </c>
      <c r="F98" s="846" t="s">
        <v>194</v>
      </c>
      <c r="G98" s="846" t="s">
        <v>194</v>
      </c>
      <c r="H98" s="846" t="s">
        <v>194</v>
      </c>
      <c r="I98" s="846" t="s">
        <v>194</v>
      </c>
      <c r="J98" s="846" t="s">
        <v>194</v>
      </c>
      <c r="K98" s="846" t="s">
        <v>194</v>
      </c>
      <c r="L98" s="846" t="s">
        <v>194</v>
      </c>
      <c r="M98" s="896" t="s">
        <v>194</v>
      </c>
      <c r="N98" s="896" t="s">
        <v>194</v>
      </c>
      <c r="O98" s="896" t="s">
        <v>194</v>
      </c>
      <c r="P98" s="896" t="s">
        <v>194</v>
      </c>
      <c r="Q98" s="896" t="s">
        <v>194</v>
      </c>
      <c r="R98" s="846" t="s">
        <v>194</v>
      </c>
      <c r="S98" s="846" t="s">
        <v>194</v>
      </c>
      <c r="T98" s="846" t="s">
        <v>194</v>
      </c>
      <c r="U98" s="846" t="s">
        <v>194</v>
      </c>
      <c r="V98" s="846" t="s">
        <v>194</v>
      </c>
      <c r="W98" s="846" t="s">
        <v>194</v>
      </c>
      <c r="X98" s="846" t="s">
        <v>194</v>
      </c>
      <c r="Y98" s="846" t="s">
        <v>194</v>
      </c>
      <c r="Z98" s="846" t="s">
        <v>194</v>
      </c>
      <c r="AA98" s="846" t="s">
        <v>194</v>
      </c>
      <c r="AB98" s="846" t="s">
        <v>194</v>
      </c>
      <c r="AC98" s="846" t="s">
        <v>194</v>
      </c>
      <c r="AD98" s="846" t="s">
        <v>194</v>
      </c>
      <c r="AE98" s="846" t="s">
        <v>194</v>
      </c>
      <c r="AF98" s="846" t="s">
        <v>194</v>
      </c>
      <c r="AG98" s="846" t="s">
        <v>194</v>
      </c>
      <c r="AH98" s="846" t="s">
        <v>194</v>
      </c>
      <c r="AI98" s="846" t="s">
        <v>194</v>
      </c>
      <c r="AJ98" s="846" t="s">
        <v>194</v>
      </c>
      <c r="AK98" s="846" t="s">
        <v>194</v>
      </c>
      <c r="AL98" s="846" t="s">
        <v>194</v>
      </c>
      <c r="AM98" s="846" t="s">
        <v>194</v>
      </c>
      <c r="AN98" s="846" t="s">
        <v>194</v>
      </c>
    </row>
    <row r="99" ht="15.75" customHeight="1">
      <c r="A99" s="846" t="s">
        <v>194</v>
      </c>
      <c r="B99" s="846" t="s">
        <v>194</v>
      </c>
      <c r="C99" s="846" t="s">
        <v>194</v>
      </c>
      <c r="D99" s="846" t="s">
        <v>194</v>
      </c>
      <c r="E99" s="846" t="s">
        <v>194</v>
      </c>
      <c r="F99" s="846" t="s">
        <v>194</v>
      </c>
      <c r="G99" s="846" t="s">
        <v>194</v>
      </c>
      <c r="H99" s="846" t="s">
        <v>194</v>
      </c>
      <c r="I99" s="846" t="s">
        <v>194</v>
      </c>
      <c r="J99" s="846" t="s">
        <v>194</v>
      </c>
      <c r="K99" s="846" t="s">
        <v>194</v>
      </c>
      <c r="L99" s="846" t="s">
        <v>194</v>
      </c>
      <c r="M99" s="896" t="s">
        <v>194</v>
      </c>
      <c r="N99" s="896" t="s">
        <v>194</v>
      </c>
      <c r="O99" s="896" t="s">
        <v>194</v>
      </c>
      <c r="P99" s="896" t="s">
        <v>194</v>
      </c>
      <c r="Q99" s="896" t="s">
        <v>194</v>
      </c>
      <c r="R99" s="846" t="s">
        <v>194</v>
      </c>
      <c r="S99" s="846" t="s">
        <v>194</v>
      </c>
      <c r="T99" s="846" t="s">
        <v>194</v>
      </c>
      <c r="U99" s="846" t="s">
        <v>194</v>
      </c>
      <c r="V99" s="846" t="s">
        <v>194</v>
      </c>
      <c r="W99" s="846" t="s">
        <v>194</v>
      </c>
      <c r="X99" s="846" t="s">
        <v>194</v>
      </c>
      <c r="Y99" s="846" t="s">
        <v>194</v>
      </c>
      <c r="Z99" s="846" t="s">
        <v>194</v>
      </c>
      <c r="AA99" s="846" t="s">
        <v>194</v>
      </c>
      <c r="AB99" s="846" t="s">
        <v>194</v>
      </c>
      <c r="AC99" s="846" t="s">
        <v>194</v>
      </c>
      <c r="AD99" s="846" t="s">
        <v>194</v>
      </c>
      <c r="AE99" s="846" t="s">
        <v>194</v>
      </c>
      <c r="AF99" s="846" t="s">
        <v>194</v>
      </c>
      <c r="AG99" s="846" t="s">
        <v>194</v>
      </c>
      <c r="AH99" s="846" t="s">
        <v>194</v>
      </c>
      <c r="AI99" s="846" t="s">
        <v>194</v>
      </c>
      <c r="AJ99" s="846" t="s">
        <v>194</v>
      </c>
      <c r="AK99" s="846" t="s">
        <v>194</v>
      </c>
      <c r="AL99" s="846" t="s">
        <v>194</v>
      </c>
      <c r="AM99" s="846" t="s">
        <v>194</v>
      </c>
      <c r="AN99" s="846" t="s">
        <v>194</v>
      </c>
    </row>
    <row r="100" ht="15.75" customHeight="1">
      <c r="A100" s="846" t="s">
        <v>194</v>
      </c>
      <c r="B100" s="846" t="s">
        <v>194</v>
      </c>
      <c r="C100" s="846" t="s">
        <v>194</v>
      </c>
      <c r="D100" s="846" t="s">
        <v>194</v>
      </c>
      <c r="E100" s="846" t="s">
        <v>194</v>
      </c>
      <c r="F100" s="846" t="s">
        <v>194</v>
      </c>
      <c r="G100" s="846" t="s">
        <v>194</v>
      </c>
      <c r="H100" s="846" t="s">
        <v>194</v>
      </c>
      <c r="I100" s="846" t="s">
        <v>194</v>
      </c>
      <c r="J100" s="846" t="s">
        <v>194</v>
      </c>
      <c r="K100" s="846" t="s">
        <v>194</v>
      </c>
      <c r="L100" s="846" t="s">
        <v>194</v>
      </c>
      <c r="M100" s="896" t="s">
        <v>194</v>
      </c>
      <c r="N100" s="896" t="s">
        <v>194</v>
      </c>
      <c r="O100" s="896" t="s">
        <v>194</v>
      </c>
      <c r="P100" s="896" t="s">
        <v>194</v>
      </c>
      <c r="Q100" s="896" t="s">
        <v>194</v>
      </c>
      <c r="R100" s="846" t="s">
        <v>194</v>
      </c>
      <c r="S100" s="846" t="s">
        <v>194</v>
      </c>
      <c r="T100" s="846" t="s">
        <v>194</v>
      </c>
      <c r="U100" s="846" t="s">
        <v>194</v>
      </c>
      <c r="V100" s="846" t="s">
        <v>194</v>
      </c>
      <c r="W100" s="846" t="s">
        <v>194</v>
      </c>
      <c r="X100" s="846" t="s">
        <v>194</v>
      </c>
      <c r="Y100" s="846" t="s">
        <v>194</v>
      </c>
      <c r="Z100" s="846" t="s">
        <v>194</v>
      </c>
      <c r="AA100" s="846" t="s">
        <v>194</v>
      </c>
      <c r="AB100" s="846" t="s">
        <v>194</v>
      </c>
      <c r="AC100" s="846" t="s">
        <v>194</v>
      </c>
      <c r="AD100" s="846" t="s">
        <v>194</v>
      </c>
      <c r="AE100" s="846" t="s">
        <v>194</v>
      </c>
      <c r="AF100" s="846" t="s">
        <v>194</v>
      </c>
      <c r="AG100" s="846" t="s">
        <v>194</v>
      </c>
      <c r="AH100" s="846" t="s">
        <v>194</v>
      </c>
      <c r="AI100" s="846" t="s">
        <v>194</v>
      </c>
      <c r="AJ100" s="846" t="s">
        <v>194</v>
      </c>
      <c r="AK100" s="846" t="s">
        <v>194</v>
      </c>
      <c r="AL100" s="846" t="s">
        <v>194</v>
      </c>
      <c r="AM100" s="846" t="s">
        <v>194</v>
      </c>
      <c r="AN100" s="846" t="s">
        <v>194</v>
      </c>
    </row>
    <row r="101" ht="15.75" customHeight="1">
      <c r="A101" s="846" t="s">
        <v>194</v>
      </c>
      <c r="B101" s="846" t="s">
        <v>194</v>
      </c>
      <c r="C101" s="846" t="s">
        <v>194</v>
      </c>
      <c r="D101" s="846" t="s">
        <v>194</v>
      </c>
      <c r="E101" s="846" t="s">
        <v>194</v>
      </c>
      <c r="F101" s="846" t="s">
        <v>194</v>
      </c>
      <c r="G101" s="846" t="s">
        <v>194</v>
      </c>
      <c r="H101" s="846" t="s">
        <v>194</v>
      </c>
      <c r="I101" s="846" t="s">
        <v>194</v>
      </c>
      <c r="J101" s="846" t="s">
        <v>194</v>
      </c>
      <c r="K101" s="846" t="s">
        <v>194</v>
      </c>
      <c r="L101" s="846" t="s">
        <v>194</v>
      </c>
      <c r="M101" s="896" t="s">
        <v>194</v>
      </c>
      <c r="N101" s="896" t="s">
        <v>194</v>
      </c>
      <c r="O101" s="896" t="s">
        <v>194</v>
      </c>
      <c r="P101" s="896" t="s">
        <v>194</v>
      </c>
      <c r="Q101" s="896" t="s">
        <v>194</v>
      </c>
      <c r="R101" s="846" t="s">
        <v>194</v>
      </c>
      <c r="S101" s="846" t="s">
        <v>194</v>
      </c>
      <c r="T101" s="846" t="s">
        <v>194</v>
      </c>
      <c r="U101" s="846" t="s">
        <v>194</v>
      </c>
      <c r="V101" s="846" t="s">
        <v>194</v>
      </c>
      <c r="W101" s="846" t="s">
        <v>194</v>
      </c>
      <c r="X101" s="846" t="s">
        <v>194</v>
      </c>
      <c r="Y101" s="846" t="s">
        <v>194</v>
      </c>
      <c r="Z101" s="846" t="s">
        <v>194</v>
      </c>
      <c r="AA101" s="846" t="s">
        <v>194</v>
      </c>
      <c r="AB101" s="846" t="s">
        <v>194</v>
      </c>
      <c r="AC101" s="846" t="s">
        <v>194</v>
      </c>
      <c r="AD101" s="846" t="s">
        <v>194</v>
      </c>
      <c r="AE101" s="846" t="s">
        <v>194</v>
      </c>
      <c r="AF101" s="846" t="s">
        <v>194</v>
      </c>
      <c r="AG101" s="846" t="s">
        <v>194</v>
      </c>
      <c r="AH101" s="846" t="s">
        <v>194</v>
      </c>
      <c r="AI101" s="846" t="s">
        <v>194</v>
      </c>
      <c r="AJ101" s="846" t="s">
        <v>194</v>
      </c>
      <c r="AK101" s="846" t="s">
        <v>194</v>
      </c>
      <c r="AL101" s="846" t="s">
        <v>194</v>
      </c>
      <c r="AM101" s="846" t="s">
        <v>194</v>
      </c>
      <c r="AN101" s="846" t="s">
        <v>194</v>
      </c>
    </row>
    <row r="102" ht="15.75" customHeight="1">
      <c r="A102" s="846" t="s">
        <v>194</v>
      </c>
      <c r="B102" s="846" t="s">
        <v>194</v>
      </c>
      <c r="C102" s="846" t="s">
        <v>194</v>
      </c>
      <c r="D102" s="846" t="s">
        <v>194</v>
      </c>
      <c r="E102" s="846" t="s">
        <v>194</v>
      </c>
      <c r="F102" s="846" t="s">
        <v>194</v>
      </c>
      <c r="G102" s="846" t="s">
        <v>194</v>
      </c>
      <c r="H102" s="846" t="s">
        <v>194</v>
      </c>
      <c r="I102" s="846" t="s">
        <v>194</v>
      </c>
      <c r="J102" s="846" t="s">
        <v>194</v>
      </c>
      <c r="K102" s="846" t="s">
        <v>194</v>
      </c>
      <c r="L102" s="846" t="s">
        <v>194</v>
      </c>
      <c r="M102" s="896" t="s">
        <v>194</v>
      </c>
      <c r="N102" s="896" t="s">
        <v>194</v>
      </c>
      <c r="O102" s="896" t="s">
        <v>194</v>
      </c>
      <c r="P102" s="896" t="s">
        <v>194</v>
      </c>
      <c r="Q102" s="896" t="s">
        <v>194</v>
      </c>
      <c r="R102" s="846" t="s">
        <v>194</v>
      </c>
      <c r="S102" s="846" t="s">
        <v>194</v>
      </c>
      <c r="T102" s="846" t="s">
        <v>194</v>
      </c>
      <c r="U102" s="846" t="s">
        <v>194</v>
      </c>
      <c r="V102" s="846" t="s">
        <v>194</v>
      </c>
      <c r="W102" s="846" t="s">
        <v>194</v>
      </c>
      <c r="X102" s="846" t="s">
        <v>194</v>
      </c>
      <c r="Y102" s="846" t="s">
        <v>194</v>
      </c>
      <c r="Z102" s="846" t="s">
        <v>194</v>
      </c>
      <c r="AA102" s="846" t="s">
        <v>194</v>
      </c>
      <c r="AB102" s="846" t="s">
        <v>194</v>
      </c>
      <c r="AC102" s="846" t="s">
        <v>194</v>
      </c>
      <c r="AD102" s="846" t="s">
        <v>194</v>
      </c>
      <c r="AE102" s="846" t="s">
        <v>194</v>
      </c>
      <c r="AF102" s="846" t="s">
        <v>194</v>
      </c>
      <c r="AG102" s="846" t="s">
        <v>194</v>
      </c>
      <c r="AH102" s="846" t="s">
        <v>194</v>
      </c>
      <c r="AI102" s="846" t="s">
        <v>194</v>
      </c>
      <c r="AJ102" s="846" t="s">
        <v>194</v>
      </c>
      <c r="AK102" s="846" t="s">
        <v>194</v>
      </c>
      <c r="AL102" s="846" t="s">
        <v>194</v>
      </c>
      <c r="AM102" s="846" t="s">
        <v>194</v>
      </c>
      <c r="AN102" s="846" t="s">
        <v>194</v>
      </c>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5:D6"/>
    <mergeCell ref="E5:E6"/>
    <mergeCell ref="F5:F6"/>
    <mergeCell ref="G5:G6"/>
    <mergeCell ref="H5:H6"/>
    <mergeCell ref="I5:I6"/>
    <mergeCell ref="J5:J6"/>
    <mergeCell ref="K5:K6"/>
  </mergeCells>
  <conditionalFormatting sqref="D10:Q10 D22:Q22 D35:Q35 D44:Q44 D55:Q55 D62:Q62">
    <cfRule type="expression" dxfId="1" priority="1">
      <formula>NOT(SUBTOTAL(109,$A11)=$A11)</formula>
    </cfRule>
  </conditionalFormatting>
  <printOptions/>
  <pageMargins bottom="0.75" footer="0.0" header="0.0" left="0.7" right="0.7" top="0.75"/>
  <pageSetup paperSize="9"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99"/>
    <outlinePr summaryBelow="0"/>
    <pageSetUpPr/>
  </sheetPr>
  <sheetViews>
    <sheetView showGridLines="0"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4.43" defaultRowHeight="15.0" outlineLevelCol="1" outlineLevelRow="4"/>
  <cols>
    <col customWidth="1" min="1" max="1" width="1.0"/>
    <col customWidth="1" min="2" max="2" width="2.0"/>
    <col customWidth="1" min="3" max="3" width="50.57"/>
    <col customWidth="1" hidden="1" min="4" max="6" width="12.57" outlineLevel="1"/>
    <col customWidth="1" min="7" max="10" width="12.57" outlineLevel="1"/>
    <col customWidth="1" min="11" max="11" width="10.57" outlineLevel="1"/>
    <col customWidth="1" min="12" max="12" width="2.57"/>
    <col customWidth="1" min="13" max="36" width="14.57"/>
    <col customWidth="1" min="37" max="37" width="1.86"/>
    <col customWidth="1" min="38" max="59" width="14.57"/>
  </cols>
  <sheetData>
    <row r="1" ht="6.0" customHeight="1">
      <c r="A1" s="846"/>
      <c r="B1" s="847"/>
      <c r="C1" s="847"/>
      <c r="D1" s="847"/>
      <c r="E1" s="847"/>
      <c r="F1" s="847"/>
      <c r="G1" s="847"/>
      <c r="H1" s="847"/>
      <c r="I1" s="847"/>
      <c r="J1" s="847"/>
      <c r="K1" s="847"/>
      <c r="L1" s="847"/>
      <c r="M1" s="847"/>
      <c r="N1" s="847"/>
      <c r="O1" s="847"/>
      <c r="P1" s="847"/>
      <c r="Q1" s="847"/>
      <c r="R1" s="847"/>
      <c r="S1" s="847"/>
      <c r="T1" s="847"/>
      <c r="U1" s="847"/>
      <c r="V1" s="847"/>
      <c r="W1" s="847"/>
      <c r="X1" s="847"/>
      <c r="Y1" s="847"/>
      <c r="Z1" s="847"/>
      <c r="AA1" s="847"/>
      <c r="AB1" s="847"/>
      <c r="AC1" s="847"/>
      <c r="AD1" s="847"/>
      <c r="AE1" s="847"/>
      <c r="AF1" s="847"/>
      <c r="AG1" s="847"/>
      <c r="AH1" s="847"/>
      <c r="AI1" s="847"/>
      <c r="AJ1" s="847"/>
      <c r="AK1" s="847"/>
      <c r="AL1" s="846"/>
      <c r="AM1" s="846"/>
      <c r="AN1" s="846"/>
      <c r="AO1" s="846"/>
      <c r="AP1" s="846"/>
      <c r="AQ1" s="846"/>
      <c r="AR1" s="846"/>
      <c r="AS1" s="846"/>
      <c r="AT1" s="846"/>
      <c r="AU1" s="846"/>
      <c r="AV1" s="846"/>
      <c r="AW1" s="846"/>
      <c r="AX1" s="846"/>
      <c r="AY1" s="846"/>
      <c r="AZ1" s="846"/>
      <c r="BA1" s="846"/>
      <c r="BB1" s="846"/>
      <c r="BC1" s="846"/>
      <c r="BD1" s="846"/>
      <c r="BE1" s="846"/>
      <c r="BF1" s="846"/>
      <c r="BG1" s="846"/>
    </row>
    <row r="2" ht="39.75" customHeight="1">
      <c r="A2" s="849"/>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851"/>
      <c r="AM2" s="846"/>
      <c r="AN2" s="846"/>
      <c r="AO2" s="846"/>
      <c r="AP2" s="846"/>
      <c r="AQ2" s="846"/>
      <c r="AR2" s="846"/>
      <c r="AS2" s="846"/>
      <c r="AT2" s="846"/>
      <c r="AU2" s="846"/>
      <c r="AV2" s="846"/>
      <c r="AW2" s="846"/>
      <c r="AX2" s="846"/>
      <c r="AY2" s="846"/>
      <c r="AZ2" s="846"/>
      <c r="BA2" s="846"/>
      <c r="BB2" s="846"/>
      <c r="BC2" s="846"/>
      <c r="BD2" s="846"/>
      <c r="BE2" s="846"/>
      <c r="BF2" s="846"/>
      <c r="BG2" s="846"/>
    </row>
    <row r="3" ht="18.75" customHeight="1">
      <c r="A3" s="849"/>
      <c r="B3" s="15"/>
      <c r="C3" s="852" t="s">
        <v>368</v>
      </c>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851"/>
      <c r="AM3" s="846"/>
      <c r="AN3" s="846"/>
      <c r="AO3" s="846"/>
      <c r="AP3" s="846"/>
      <c r="AQ3" s="846"/>
      <c r="AR3" s="846"/>
      <c r="AS3" s="846"/>
      <c r="AT3" s="846"/>
      <c r="AU3" s="846"/>
      <c r="AV3" s="846"/>
      <c r="AW3" s="846"/>
      <c r="AX3" s="846"/>
      <c r="AY3" s="846"/>
      <c r="AZ3" s="846"/>
      <c r="BA3" s="846"/>
      <c r="BB3" s="846"/>
      <c r="BC3" s="846"/>
      <c r="BD3" s="846"/>
      <c r="BE3" s="846"/>
      <c r="BF3" s="846"/>
      <c r="BG3" s="846"/>
    </row>
    <row r="4">
      <c r="A4" s="849" t="s">
        <v>194</v>
      </c>
      <c r="B4" s="15"/>
      <c r="C4" s="853" t="s">
        <v>364</v>
      </c>
      <c r="D4" s="854" t="s">
        <v>196</v>
      </c>
      <c r="E4" s="855" t="s">
        <v>194</v>
      </c>
      <c r="F4" s="855" t="s">
        <v>194</v>
      </c>
      <c r="G4" s="855" t="s">
        <v>194</v>
      </c>
      <c r="H4" s="855" t="s">
        <v>194</v>
      </c>
      <c r="I4" s="855" t="s">
        <v>194</v>
      </c>
      <c r="J4" s="855" t="s">
        <v>194</v>
      </c>
      <c r="K4" s="855" t="s">
        <v>194</v>
      </c>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851" t="s">
        <v>194</v>
      </c>
      <c r="AM4" s="846" t="s">
        <v>194</v>
      </c>
      <c r="AN4" s="846" t="s">
        <v>194</v>
      </c>
      <c r="AO4" s="846" t="s">
        <v>194</v>
      </c>
      <c r="AP4" s="846" t="s">
        <v>194</v>
      </c>
      <c r="AQ4" s="846" t="s">
        <v>194</v>
      </c>
      <c r="AR4" s="846" t="s">
        <v>194</v>
      </c>
      <c r="AS4" s="846" t="s">
        <v>194</v>
      </c>
      <c r="AT4" s="846" t="s">
        <v>194</v>
      </c>
      <c r="AU4" s="846" t="s">
        <v>194</v>
      </c>
      <c r="AV4" s="846" t="s">
        <v>194</v>
      </c>
      <c r="AW4" s="846" t="s">
        <v>194</v>
      </c>
      <c r="AX4" s="846" t="s">
        <v>194</v>
      </c>
      <c r="AY4" s="846" t="s">
        <v>194</v>
      </c>
      <c r="AZ4" s="846" t="s">
        <v>194</v>
      </c>
      <c r="BA4" s="846" t="s">
        <v>194</v>
      </c>
      <c r="BB4" s="846" t="s">
        <v>194</v>
      </c>
      <c r="BC4" s="846" t="s">
        <v>194</v>
      </c>
      <c r="BD4" s="846" t="s">
        <v>194</v>
      </c>
      <c r="BE4" s="846" t="s">
        <v>194</v>
      </c>
      <c r="BF4" s="846" t="s">
        <v>194</v>
      </c>
      <c r="BG4" s="846" t="s">
        <v>194</v>
      </c>
    </row>
    <row r="5">
      <c r="A5" s="849" t="s">
        <v>194</v>
      </c>
      <c r="B5" s="15"/>
      <c r="C5" s="853" t="s">
        <v>355</v>
      </c>
      <c r="D5" s="856" t="s">
        <v>174</v>
      </c>
      <c r="E5" s="856" t="s">
        <v>198</v>
      </c>
      <c r="F5" s="856" t="s">
        <v>199</v>
      </c>
      <c r="G5" s="856" t="s">
        <v>200</v>
      </c>
      <c r="H5" s="856" t="s">
        <v>201</v>
      </c>
      <c r="I5" s="856" t="s">
        <v>202</v>
      </c>
      <c r="J5" s="856" t="s">
        <v>203</v>
      </c>
      <c r="K5" s="856" t="s">
        <v>204</v>
      </c>
      <c r="L5" s="15"/>
      <c r="M5" s="858" t="str">
        <f>HYPERLINK("https://my.pitchbook.com?c=52707-34", "Dec-2018")</f>
        <v>Dec-2018</v>
      </c>
      <c r="N5" s="858" t="str">
        <f>HYPERLINK("https://my.pitchbook.com?c=52707-34", "Sep-2018")</f>
        <v>Sep-2018</v>
      </c>
      <c r="O5" s="858" t="str">
        <f>HYPERLINK("https://my.pitchbook.com?c=52707-34", "Jun-2018")</f>
        <v>Jun-2018</v>
      </c>
      <c r="P5" s="858" t="str">
        <f>HYPERLINK("https://my.pitchbook.com?c=52707-34", "Mar-2018")</f>
        <v>Mar-2018</v>
      </c>
      <c r="Q5" s="858" t="str">
        <f>HYPERLINK("https://my.pitchbook.com?c=52707-34", "Dec-2017")</f>
        <v>Dec-2017</v>
      </c>
      <c r="R5" s="858" t="str">
        <f>HYPERLINK("https://my.pitchbook.com?c=52707-34", "Sep-2017")</f>
        <v>Sep-2017</v>
      </c>
      <c r="S5" s="858" t="str">
        <f>HYPERLINK("https://my.pitchbook.com?c=52707-34", "Jun-2017")</f>
        <v>Jun-2017</v>
      </c>
      <c r="T5" s="858" t="str">
        <f>HYPERLINK("https://my.pitchbook.com?c=52707-34", "Mar-2017")</f>
        <v>Mar-2017</v>
      </c>
      <c r="U5" s="858" t="str">
        <f>HYPERLINK("https://my.pitchbook.com?c=52707-34", "Dec-2016")</f>
        <v>Dec-2016</v>
      </c>
      <c r="V5" s="858" t="str">
        <f>HYPERLINK("https://my.pitchbook.com?c=52707-34", "Sep-2016")</f>
        <v>Sep-2016</v>
      </c>
      <c r="W5" s="858" t="str">
        <f>HYPERLINK("https://my.pitchbook.com?c=52707-34", "Jun-2016")</f>
        <v>Jun-2016</v>
      </c>
      <c r="X5" s="858" t="str">
        <f>HYPERLINK("https://my.pitchbook.com?c=52707-34", "Mar-2016")</f>
        <v>Mar-2016</v>
      </c>
      <c r="Y5" s="858" t="str">
        <f>HYPERLINK("https://my.pitchbook.com?c=52707-34", "Dec-2015")</f>
        <v>Dec-2015</v>
      </c>
      <c r="Z5" s="858" t="str">
        <f>HYPERLINK("https://my.pitchbook.com?c=52707-34", "Sep-2015")</f>
        <v>Sep-2015</v>
      </c>
      <c r="AA5" s="858" t="str">
        <f>HYPERLINK("https://my.pitchbook.com?c=52707-34", "Jun-2015")</f>
        <v>Jun-2015</v>
      </c>
      <c r="AB5" s="858" t="str">
        <f>HYPERLINK("https://my.pitchbook.com?c=52707-34", "Mar-2015")</f>
        <v>Mar-2015</v>
      </c>
      <c r="AC5" s="858" t="str">
        <f>HYPERLINK("https://my.pitchbook.com?c=52707-34", "Dec-2014")</f>
        <v>Dec-2014</v>
      </c>
      <c r="AD5" s="858" t="str">
        <f>HYPERLINK("https://my.pitchbook.com?c=52707-34", "Sep-2014")</f>
        <v>Sep-2014</v>
      </c>
      <c r="AE5" s="858" t="str">
        <f>HYPERLINK("https://my.pitchbook.com?c=52707-34", "Jun-2014")</f>
        <v>Jun-2014</v>
      </c>
      <c r="AF5" s="858" t="str">
        <f>HYPERLINK("https://my.pitchbook.com?c=52707-34", "Mar-2014")</f>
        <v>Mar-2014</v>
      </c>
      <c r="AG5" s="858" t="str">
        <f>HYPERLINK("https://my.pitchbook.com?c=52707-34", "Dec-2013")</f>
        <v>Dec-2013</v>
      </c>
      <c r="AH5" s="858" t="str">
        <f>HYPERLINK("https://my.pitchbook.com?c=52707-34", "Sep-2013")</f>
        <v>Sep-2013</v>
      </c>
      <c r="AI5" s="858" t="str">
        <f>HYPERLINK("https://my.pitchbook.com?c=52707-34", "Dec-2012")</f>
        <v>Dec-2012</v>
      </c>
      <c r="AJ5" s="858" t="str">
        <f>HYPERLINK("https://my.pitchbook.com?c=52707-34", "Dec-2011")</f>
        <v>Dec-2011</v>
      </c>
      <c r="AK5" s="15"/>
      <c r="AL5" s="851" t="s">
        <v>194</v>
      </c>
      <c r="AM5" s="846" t="s">
        <v>194</v>
      </c>
      <c r="AN5" s="846" t="s">
        <v>194</v>
      </c>
      <c r="AO5" s="846" t="s">
        <v>194</v>
      </c>
      <c r="AP5" s="846" t="s">
        <v>194</v>
      </c>
      <c r="AQ5" s="846" t="s">
        <v>194</v>
      </c>
      <c r="AR5" s="846" t="s">
        <v>194</v>
      </c>
      <c r="AS5" s="846" t="s">
        <v>194</v>
      </c>
      <c r="AT5" s="846" t="s">
        <v>194</v>
      </c>
      <c r="AU5" s="846" t="s">
        <v>194</v>
      </c>
      <c r="AV5" s="846" t="s">
        <v>194</v>
      </c>
      <c r="AW5" s="846" t="s">
        <v>194</v>
      </c>
      <c r="AX5" s="846" t="s">
        <v>194</v>
      </c>
      <c r="AY5" s="846" t="s">
        <v>194</v>
      </c>
      <c r="AZ5" s="846" t="s">
        <v>194</v>
      </c>
      <c r="BA5" s="846" t="s">
        <v>194</v>
      </c>
      <c r="BB5" s="846" t="s">
        <v>194</v>
      </c>
      <c r="BC5" s="846" t="s">
        <v>194</v>
      </c>
      <c r="BD5" s="846" t="s">
        <v>194</v>
      </c>
      <c r="BE5" s="846" t="s">
        <v>194</v>
      </c>
      <c r="BF5" s="846" t="s">
        <v>194</v>
      </c>
      <c r="BG5" s="846" t="s">
        <v>194</v>
      </c>
    </row>
    <row r="6">
      <c r="A6" s="849" t="s">
        <v>194</v>
      </c>
      <c r="B6" s="15"/>
      <c r="C6" s="859" t="s">
        <v>221</v>
      </c>
      <c r="D6" s="860"/>
      <c r="E6" s="860"/>
      <c r="F6" s="860"/>
      <c r="G6" s="860"/>
      <c r="H6" s="860"/>
      <c r="I6" s="860"/>
      <c r="J6" s="860"/>
      <c r="K6" s="860"/>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851" t="s">
        <v>194</v>
      </c>
      <c r="AM6" s="846" t="s">
        <v>194</v>
      </c>
      <c r="AN6" s="846" t="s">
        <v>194</v>
      </c>
      <c r="AO6" s="846" t="s">
        <v>194</v>
      </c>
      <c r="AP6" s="846" t="s">
        <v>194</v>
      </c>
      <c r="AQ6" s="846" t="s">
        <v>194</v>
      </c>
      <c r="AR6" s="846" t="s">
        <v>194</v>
      </c>
      <c r="AS6" s="846" t="s">
        <v>194</v>
      </c>
      <c r="AT6" s="846" t="s">
        <v>194</v>
      </c>
      <c r="AU6" s="846" t="s">
        <v>194</v>
      </c>
      <c r="AV6" s="846" t="s">
        <v>194</v>
      </c>
      <c r="AW6" s="846" t="s">
        <v>194</v>
      </c>
      <c r="AX6" s="846" t="s">
        <v>194</v>
      </c>
      <c r="AY6" s="846" t="s">
        <v>194</v>
      </c>
      <c r="AZ6" s="846" t="s">
        <v>194</v>
      </c>
      <c r="BA6" s="846" t="s">
        <v>194</v>
      </c>
      <c r="BB6" s="846" t="s">
        <v>194</v>
      </c>
      <c r="BC6" s="846" t="s">
        <v>194</v>
      </c>
      <c r="BD6" s="846" t="s">
        <v>194</v>
      </c>
      <c r="BE6" s="846" t="s">
        <v>194</v>
      </c>
      <c r="BF6" s="846" t="s">
        <v>194</v>
      </c>
      <c r="BG6" s="846" t="s">
        <v>194</v>
      </c>
    </row>
    <row r="7">
      <c r="A7" s="849" t="s">
        <v>194</v>
      </c>
      <c r="B7" s="15"/>
      <c r="C7" s="15"/>
      <c r="D7" s="855" t="s">
        <v>194</v>
      </c>
      <c r="E7" s="855" t="s">
        <v>194</v>
      </c>
      <c r="F7" s="855" t="s">
        <v>194</v>
      </c>
      <c r="G7" s="855" t="s">
        <v>194</v>
      </c>
      <c r="H7" s="855" t="s">
        <v>194</v>
      </c>
      <c r="I7" s="855" t="s">
        <v>194</v>
      </c>
      <c r="J7" s="855" t="s">
        <v>194</v>
      </c>
      <c r="K7" s="855" t="s">
        <v>194</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851" t="s">
        <v>194</v>
      </c>
      <c r="AM7" s="846" t="s">
        <v>194</v>
      </c>
      <c r="AN7" s="846" t="s">
        <v>194</v>
      </c>
      <c r="AO7" s="846" t="s">
        <v>194</v>
      </c>
      <c r="AP7" s="846" t="s">
        <v>194</v>
      </c>
      <c r="AQ7" s="846" t="s">
        <v>194</v>
      </c>
      <c r="AR7" s="846" t="s">
        <v>194</v>
      </c>
      <c r="AS7" s="846" t="s">
        <v>194</v>
      </c>
      <c r="AT7" s="846" t="s">
        <v>194</v>
      </c>
      <c r="AU7" s="846" t="s">
        <v>194</v>
      </c>
      <c r="AV7" s="846" t="s">
        <v>194</v>
      </c>
      <c r="AW7" s="846" t="s">
        <v>194</v>
      </c>
      <c r="AX7" s="846" t="s">
        <v>194</v>
      </c>
      <c r="AY7" s="846" t="s">
        <v>194</v>
      </c>
      <c r="AZ7" s="846" t="s">
        <v>194</v>
      </c>
      <c r="BA7" s="846" t="s">
        <v>194</v>
      </c>
      <c r="BB7" s="846" t="s">
        <v>194</v>
      </c>
      <c r="BC7" s="846" t="s">
        <v>194</v>
      </c>
      <c r="BD7" s="846" t="s">
        <v>194</v>
      </c>
      <c r="BE7" s="846" t="s">
        <v>194</v>
      </c>
      <c r="BF7" s="846" t="s">
        <v>194</v>
      </c>
      <c r="BG7" s="846" t="s">
        <v>194</v>
      </c>
    </row>
    <row r="8">
      <c r="A8" s="849" t="s">
        <v>194</v>
      </c>
      <c r="B8" s="15"/>
      <c r="C8" s="15"/>
      <c r="D8" s="855" t="s">
        <v>194</v>
      </c>
      <c r="E8" s="855" t="s">
        <v>194</v>
      </c>
      <c r="F8" s="855" t="s">
        <v>194</v>
      </c>
      <c r="G8" s="855" t="s">
        <v>194</v>
      </c>
      <c r="H8" s="855" t="s">
        <v>194</v>
      </c>
      <c r="I8" s="855" t="s">
        <v>194</v>
      </c>
      <c r="J8" s="855" t="s">
        <v>194</v>
      </c>
      <c r="K8" s="855" t="s">
        <v>194</v>
      </c>
      <c r="L8" s="15"/>
      <c r="M8" s="863" t="s">
        <v>358</v>
      </c>
      <c r="N8" s="863" t="s">
        <v>369</v>
      </c>
      <c r="O8" s="863" t="s">
        <v>370</v>
      </c>
      <c r="P8" s="863" t="s">
        <v>371</v>
      </c>
      <c r="Q8" s="863" t="s">
        <v>358</v>
      </c>
      <c r="R8" s="863" t="s">
        <v>369</v>
      </c>
      <c r="S8" s="863" t="s">
        <v>370</v>
      </c>
      <c r="T8" s="863" t="s">
        <v>371</v>
      </c>
      <c r="U8" s="863" t="s">
        <v>358</v>
      </c>
      <c r="V8" s="863" t="s">
        <v>372</v>
      </c>
      <c r="W8" s="863" t="s">
        <v>373</v>
      </c>
      <c r="X8" s="863" t="s">
        <v>374</v>
      </c>
      <c r="Y8" s="863" t="s">
        <v>354</v>
      </c>
      <c r="Z8" s="863" t="s">
        <v>375</v>
      </c>
      <c r="AA8" s="863" t="s">
        <v>376</v>
      </c>
      <c r="AB8" s="863" t="s">
        <v>377</v>
      </c>
      <c r="AC8" s="863" t="s">
        <v>357</v>
      </c>
      <c r="AD8" s="863" t="s">
        <v>378</v>
      </c>
      <c r="AE8" s="863" t="s">
        <v>379</v>
      </c>
      <c r="AF8" s="863" t="s">
        <v>380</v>
      </c>
      <c r="AG8" s="863" t="s">
        <v>356</v>
      </c>
      <c r="AH8" s="863" t="s">
        <v>381</v>
      </c>
      <c r="AI8" s="863" t="s">
        <v>352</v>
      </c>
      <c r="AJ8" s="863" t="s">
        <v>351</v>
      </c>
      <c r="AK8" s="15"/>
      <c r="AL8" s="851" t="s">
        <v>194</v>
      </c>
      <c r="AM8" s="846" t="s">
        <v>194</v>
      </c>
      <c r="AN8" s="846" t="s">
        <v>194</v>
      </c>
      <c r="AO8" s="846" t="s">
        <v>194</v>
      </c>
      <c r="AP8" s="846" t="s">
        <v>194</v>
      </c>
      <c r="AQ8" s="846" t="s">
        <v>194</v>
      </c>
      <c r="AR8" s="846" t="s">
        <v>194</v>
      </c>
      <c r="AS8" s="846" t="s">
        <v>194</v>
      </c>
      <c r="AT8" s="846" t="s">
        <v>194</v>
      </c>
      <c r="AU8" s="846" t="s">
        <v>194</v>
      </c>
      <c r="AV8" s="846" t="s">
        <v>194</v>
      </c>
      <c r="AW8" s="846" t="s">
        <v>194</v>
      </c>
      <c r="AX8" s="846" t="s">
        <v>194</v>
      </c>
      <c r="AY8" s="846" t="s">
        <v>194</v>
      </c>
      <c r="AZ8" s="846" t="s">
        <v>194</v>
      </c>
      <c r="BA8" s="846" t="s">
        <v>194</v>
      </c>
      <c r="BB8" s="846" t="s">
        <v>194</v>
      </c>
      <c r="BC8" s="846" t="s">
        <v>194</v>
      </c>
      <c r="BD8" s="846" t="s">
        <v>194</v>
      </c>
      <c r="BE8" s="846" t="s">
        <v>194</v>
      </c>
      <c r="BF8" s="846" t="s">
        <v>194</v>
      </c>
      <c r="BG8" s="846" t="s">
        <v>194</v>
      </c>
    </row>
    <row r="9">
      <c r="A9" s="849" t="s">
        <v>194</v>
      </c>
      <c r="B9" s="15"/>
      <c r="C9" s="15"/>
      <c r="D9" s="855" t="s">
        <v>194</v>
      </c>
      <c r="E9" s="855" t="s">
        <v>194</v>
      </c>
      <c r="F9" s="855" t="s">
        <v>194</v>
      </c>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851" t="s">
        <v>194</v>
      </c>
      <c r="AM9" s="846" t="s">
        <v>194</v>
      </c>
      <c r="AN9" s="846" t="s">
        <v>194</v>
      </c>
      <c r="AO9" s="846" t="s">
        <v>194</v>
      </c>
      <c r="AP9" s="846" t="s">
        <v>194</v>
      </c>
      <c r="AQ9" s="846" t="s">
        <v>194</v>
      </c>
      <c r="AR9" s="846" t="s">
        <v>194</v>
      </c>
      <c r="AS9" s="846" t="s">
        <v>194</v>
      </c>
      <c r="AT9" s="846" t="s">
        <v>194</v>
      </c>
      <c r="AU9" s="846" t="s">
        <v>194</v>
      </c>
      <c r="AV9" s="846" t="s">
        <v>194</v>
      </c>
      <c r="AW9" s="846" t="s">
        <v>194</v>
      </c>
      <c r="AX9" s="846" t="s">
        <v>194</v>
      </c>
      <c r="AY9" s="846" t="s">
        <v>194</v>
      </c>
      <c r="AZ9" s="846" t="s">
        <v>194</v>
      </c>
      <c r="BA9" s="846" t="s">
        <v>194</v>
      </c>
      <c r="BB9" s="846" t="s">
        <v>194</v>
      </c>
      <c r="BC9" s="846" t="s">
        <v>194</v>
      </c>
      <c r="BD9" s="846" t="s">
        <v>194</v>
      </c>
      <c r="BE9" s="846" t="s">
        <v>194</v>
      </c>
      <c r="BF9" s="846" t="s">
        <v>194</v>
      </c>
      <c r="BG9" s="846" t="s">
        <v>194</v>
      </c>
    </row>
    <row r="10">
      <c r="A10" s="849">
        <v>1.0</v>
      </c>
      <c r="B10" s="15"/>
      <c r="C10" s="855" t="str">
        <f>IF(SUBTOTAL(109,A11)=A11,"Gross Profit","Gross Profit")</f>
        <v>Gross Profit</v>
      </c>
      <c r="D10" s="866" t="str">
        <f t="shared" ref="D10:D11" si="1">IF(COUNT(M10:AJ10)&gt;0,MEDIAN(M10:AJ10),"")</f>
        <v/>
      </c>
      <c r="E10" s="866" t="str">
        <f t="shared" ref="E10:E11" si="2">IF(COUNT(M10:AJ10)&gt;0,AVERAGE(M10:AJ10),"")</f>
        <v/>
      </c>
      <c r="F10" s="866" t="str">
        <f t="shared" ref="F10:F11" si="3">IF(COUNT(M10:AJ10)&gt;0,MIN(M10:AJ10),"")</f>
        <v/>
      </c>
      <c r="G10" s="855" t="s">
        <v>194</v>
      </c>
      <c r="H10" s="855" t="s">
        <v>194</v>
      </c>
      <c r="I10" s="855" t="s">
        <v>194</v>
      </c>
      <c r="J10" s="855" t="s">
        <v>194</v>
      </c>
      <c r="K10" s="855" t="s">
        <v>194</v>
      </c>
      <c r="L10" s="15"/>
      <c r="M10" s="15"/>
      <c r="N10" s="15"/>
      <c r="O10" s="15"/>
      <c r="P10" s="15"/>
      <c r="Q10" s="15"/>
      <c r="R10" s="15"/>
      <c r="S10" s="15"/>
      <c r="T10" s="15"/>
      <c r="U10" s="15"/>
      <c r="V10" s="15"/>
      <c r="W10" s="15"/>
      <c r="X10" s="866" t="str">
        <f>IF(SUBTOTAL(109,A11)=A11,"",81514)</f>
        <v/>
      </c>
      <c r="Y10" s="866" t="str">
        <f>IF(SUBTOTAL(109,A11)=A11,"",76258)</f>
        <v/>
      </c>
      <c r="Z10" s="866" t="str">
        <f>IF(SUBTOTAL(109,A11)=A11,"",70036)</f>
        <v/>
      </c>
      <c r="AA10" s="866" t="str">
        <f>IF(SUBTOTAL(109,A11)=A11,"",65310)</f>
        <v/>
      </c>
      <c r="AB10" s="866" t="str">
        <f>IF(SUBTOTAL(109,A11)=A11,"",59602)</f>
        <v/>
      </c>
      <c r="AC10" s="866" t="str">
        <f>IF(SUBTOTAL(109,A11)=A11,"",55517)</f>
        <v/>
      </c>
      <c r="AD10" s="866" t="str">
        <f>IF(SUBTOTAL(109,A11)=A11,"",51876)</f>
        <v/>
      </c>
      <c r="AE10" s="866" t="str">
        <f>IF(SUBTOTAL(109,A11)=A11,"",46869)</f>
        <v/>
      </c>
      <c r="AF10" s="866" t="str">
        <f>IF(SUBTOTAL(109,A11)=A11,"",42812)</f>
        <v/>
      </c>
      <c r="AG10" s="866" t="str">
        <f>IF(SUBTOTAL(109,A11)=A11,"",38991)</f>
        <v/>
      </c>
      <c r="AH10" s="866" t="str">
        <f>IF(SUBTOTAL(109,A11)=A11,"",35851)</f>
        <v/>
      </c>
      <c r="AI10" s="866" t="str">
        <f>IF(SUBTOTAL(109,A11)=A11,"",23949)</f>
        <v/>
      </c>
      <c r="AJ10" s="866" t="str">
        <f>IF(SUBTOTAL(109,A11)=A11,"",14704)</f>
        <v/>
      </c>
      <c r="AK10" s="15"/>
      <c r="AL10" s="851" t="s">
        <v>194</v>
      </c>
      <c r="AM10" s="846" t="s">
        <v>194</v>
      </c>
      <c r="AN10" s="846" t="s">
        <v>194</v>
      </c>
      <c r="AO10" s="846" t="s">
        <v>194</v>
      </c>
      <c r="AP10" s="846" t="s">
        <v>194</v>
      </c>
      <c r="AQ10" s="846" t="s">
        <v>194</v>
      </c>
      <c r="AR10" s="846" t="s">
        <v>194</v>
      </c>
      <c r="AS10" s="846" t="s">
        <v>194</v>
      </c>
      <c r="AT10" s="846" t="s">
        <v>194</v>
      </c>
      <c r="AU10" s="846" t="s">
        <v>194</v>
      </c>
      <c r="AV10" s="846" t="s">
        <v>194</v>
      </c>
      <c r="AW10" s="846" t="s">
        <v>194</v>
      </c>
      <c r="AX10" s="846" t="s">
        <v>194</v>
      </c>
      <c r="AY10" s="846" t="s">
        <v>194</v>
      </c>
      <c r="AZ10" s="846" t="s">
        <v>194</v>
      </c>
      <c r="BA10" s="846" t="s">
        <v>194</v>
      </c>
      <c r="BB10" s="846" t="s">
        <v>194</v>
      </c>
      <c r="BC10" s="846" t="s">
        <v>194</v>
      </c>
      <c r="BD10" s="846" t="s">
        <v>194</v>
      </c>
      <c r="BE10" s="846" t="s">
        <v>194</v>
      </c>
      <c r="BF10" s="846" t="s">
        <v>194</v>
      </c>
      <c r="BG10" s="846" t="s">
        <v>194</v>
      </c>
    </row>
    <row r="11" outlineLevel="1">
      <c r="A11" s="849">
        <v>1.0</v>
      </c>
      <c r="B11" s="15"/>
      <c r="C11" s="869" t="str">
        <f>IF(SUBTOTAL(109,A12)=A12,"    Revenue","    Total Revenue")</f>
        <v>    Revenue</v>
      </c>
      <c r="D11" s="870" t="str">
        <f t="shared" si="1"/>
        <v/>
      </c>
      <c r="E11" s="870" t="str">
        <f t="shared" si="2"/>
        <v/>
      </c>
      <c r="F11" s="870" t="str">
        <f t="shared" si="3"/>
        <v/>
      </c>
      <c r="G11" s="866" t="str">
        <f t="shared" ref="G11:G12" si="4">IF(COUNT(M10:AJ10)&gt;0,MAX(M10:AJ10),"")</f>
        <v/>
      </c>
      <c r="H11" s="866" t="str">
        <f t="shared" ref="H11:H12" si="5">IF(COUNT(M10:AJ10)&gt;0,QUARTILE(M10:AJ10,1),"")</f>
        <v/>
      </c>
      <c r="I11" s="866" t="str">
        <f t="shared" ref="I11:I12" si="6">IF(COUNT(M10:AJ10)&gt;0,QUARTILE(M10:AJ10,3),"")</f>
        <v/>
      </c>
      <c r="J11" s="866" t="str">
        <f t="shared" ref="J11:J12" si="7">IF(COUNT(M10:AJ10)&gt;1,STDEV(M10:AJ10),"")</f>
        <v/>
      </c>
      <c r="K11" s="867" t="str">
        <f t="shared" ref="K11:K12" si="8">IF(COUNT(M10:AJ10)&gt;1,STDEV(M10:AJ10)/AVERAGE(M10:AJ10),"")</f>
        <v/>
      </c>
      <c r="L11" s="866" t="s">
        <v>194</v>
      </c>
      <c r="M11" s="866" t="str">
        <f>IF(SUBTOTAL(109,A11)=A11,"",178580)</f>
        <v/>
      </c>
      <c r="N11" s="866" t="str">
        <f>IF(SUBTOTAL(109,A11)=A11,"",165766)</f>
        <v/>
      </c>
      <c r="O11" s="866" t="str">
        <f>IF(SUBTOTAL(109,A11)=A11,"",150123)</f>
        <v/>
      </c>
      <c r="P11" s="866" t="str">
        <f>IF(SUBTOTAL(109,A11)=A11,"",133220)</f>
        <v/>
      </c>
      <c r="Q11" s="866" t="str">
        <f>IF(SUBTOTAL(109,A11)=A11,"",121237)</f>
        <v/>
      </c>
      <c r="R11" s="866" t="str">
        <f>IF(SUBTOTAL(109,A11)=A11,"",115169)</f>
        <v/>
      </c>
      <c r="S11" s="866" t="str">
        <f>IF(SUBTOTAL(109,A11)=A11,"",107127)</f>
        <v/>
      </c>
      <c r="T11" s="866" t="str">
        <f>IF(SUBTOTAL(109,A11)=A11,"",101775)</f>
        <v/>
      </c>
      <c r="U11" s="866" t="str">
        <f>IF(SUBTOTAL(109,A11)=A11,"",97310)</f>
        <v/>
      </c>
      <c r="V11" s="866" t="str">
        <f>IF(SUBTOTAL(109,A11)=A11,"",92660)</f>
        <v/>
      </c>
      <c r="W11" s="866" t="str">
        <f>IF(SUBTOTAL(109,A11)=A11,"",86907)</f>
        <v/>
      </c>
      <c r="X11" s="872" t="str">
        <f>IF(SUBTOTAL(109,A12)=A12,"",168242)</f>
        <v/>
      </c>
      <c r="Y11" s="872" t="str">
        <f>IF(SUBTOTAL(109,A12)=A12,"",159005)</f>
        <v/>
      </c>
      <c r="Z11" s="872" t="str">
        <f>IF(SUBTOTAL(109,A12)=A12,"",147677)</f>
        <v/>
      </c>
      <c r="AA11" s="872" t="str">
        <f>IF(SUBTOTAL(109,A12)=A12,"",136292)</f>
        <v/>
      </c>
      <c r="AB11" s="872" t="str">
        <f>IF(SUBTOTAL(109,A12)=A12,"",122656)</f>
        <v/>
      </c>
      <c r="AC11" s="872" t="str">
        <f>IF(SUBTOTAL(109,A12)=A12,"",112537)</f>
        <v/>
      </c>
      <c r="AD11" s="872" t="str">
        <f>IF(SUBTOTAL(109,A12)=A12,"",103181)</f>
        <v/>
      </c>
      <c r="AE11" s="872" t="str">
        <f>IF(SUBTOTAL(109,A12)=A12,"",93565)</f>
        <v/>
      </c>
      <c r="AF11" s="872" t="str">
        <f>IF(SUBTOTAL(109,A12)=A12,"",83329)</f>
        <v/>
      </c>
      <c r="AG11" s="872" t="str">
        <f>IF(SUBTOTAL(109,A12)=A12,"",75443)</f>
        <v/>
      </c>
      <c r="AH11" s="872" t="str">
        <f>IF(SUBTOTAL(109,A12)=A12,"",69522)</f>
        <v/>
      </c>
      <c r="AI11" s="872" t="str">
        <f>IF(SUBTOTAL(109,A12)=A12,"",48576)</f>
        <v/>
      </c>
      <c r="AJ11" s="872" t="str">
        <f>IF(SUBTOTAL(109,A12)=A12,"",30634)</f>
        <v/>
      </c>
      <c r="AK11" s="15"/>
      <c r="AL11" s="851" t="s">
        <v>194</v>
      </c>
      <c r="AM11" s="846" t="s">
        <v>194</v>
      </c>
      <c r="AN11" s="846" t="s">
        <v>194</v>
      </c>
      <c r="AO11" s="846" t="s">
        <v>194</v>
      </c>
      <c r="AP11" s="846" t="s">
        <v>194</v>
      </c>
      <c r="AQ11" s="846" t="s">
        <v>194</v>
      </c>
      <c r="AR11" s="846" t="s">
        <v>194</v>
      </c>
      <c r="AS11" s="846" t="s">
        <v>194</v>
      </c>
      <c r="AT11" s="846" t="s">
        <v>194</v>
      </c>
      <c r="AU11" s="846" t="s">
        <v>194</v>
      </c>
      <c r="AV11" s="846" t="s">
        <v>194</v>
      </c>
      <c r="AW11" s="846" t="s">
        <v>194</v>
      </c>
      <c r="AX11" s="846" t="s">
        <v>194</v>
      </c>
      <c r="AY11" s="846" t="s">
        <v>194</v>
      </c>
      <c r="AZ11" s="846" t="s">
        <v>194</v>
      </c>
      <c r="BA11" s="846" t="s">
        <v>194</v>
      </c>
      <c r="BB11" s="846" t="s">
        <v>194</v>
      </c>
      <c r="BC11" s="846" t="s">
        <v>194</v>
      </c>
      <c r="BD11" s="846" t="s">
        <v>194</v>
      </c>
      <c r="BE11" s="846" t="s">
        <v>194</v>
      </c>
      <c r="BF11" s="846" t="s">
        <v>194</v>
      </c>
      <c r="BG11" s="846" t="s">
        <v>194</v>
      </c>
    </row>
    <row r="12" outlineLevel="2">
      <c r="A12" s="849">
        <v>1.0</v>
      </c>
      <c r="B12" s="15"/>
      <c r="C12" s="869" t="str">
        <f>"        Business Revenue"</f>
        <v>        Business Revenue</v>
      </c>
      <c r="D12" s="870">
        <f>IF(COUNT(X12:AJ12)&gt;0,MEDIAN(X12:AJ12),"")</f>
        <v>103181</v>
      </c>
      <c r="E12" s="870">
        <f>IF(COUNT(X12:AJ12)&gt;0,AVERAGE(X12:AJ12),"")</f>
        <v>103887.1538</v>
      </c>
      <c r="F12" s="870">
        <f>IF(COUNT(X12:AJ12)&gt;0,MIN(X12:AJ12),"")</f>
        <v>30099</v>
      </c>
      <c r="G12" s="870" t="str">
        <f t="shared" si="4"/>
        <v/>
      </c>
      <c r="H12" s="870" t="str">
        <f t="shared" si="5"/>
        <v/>
      </c>
      <c r="I12" s="870" t="str">
        <f t="shared" si="6"/>
        <v/>
      </c>
      <c r="J12" s="870" t="str">
        <f t="shared" si="7"/>
        <v/>
      </c>
      <c r="K12" s="871" t="str">
        <f t="shared" si="8"/>
        <v/>
      </c>
      <c r="L12" s="872" t="s">
        <v>194</v>
      </c>
      <c r="M12" s="872" t="str">
        <f>IF(SUBTOTAL(109,A12)=A12,"",358111)</f>
        <v/>
      </c>
      <c r="N12" s="872" t="str">
        <f>IF(SUBTOTAL(109,A12)=A12,"",335367)</f>
        <v/>
      </c>
      <c r="O12" s="872" t="str">
        <f>IF(SUBTOTAL(109,A12)=A12,"",309106)</f>
        <v/>
      </c>
      <c r="P12" s="872" t="str">
        <f>IF(SUBTOTAL(109,A12)=A12,"",275989)</f>
        <v/>
      </c>
      <c r="Q12" s="872" t="str">
        <f>IF(SUBTOTAL(109,A12)=A12,"",249438)</f>
        <v/>
      </c>
      <c r="R12" s="872" t="str">
        <f>IF(SUBTOTAL(109,A12)=A12,"",236502)</f>
        <v/>
      </c>
      <c r="S12" s="872" t="str">
        <f>IF(SUBTOTAL(109,A12)=A12,"",221894)</f>
        <v/>
      </c>
      <c r="T12" s="872" t="str">
        <f>IF(SUBTOTAL(109,A12)=A12,"",212340)</f>
        <v/>
      </c>
      <c r="U12" s="872" t="str">
        <f>IF(SUBTOTAL(109,A12)=A12,"",202829)</f>
        <v/>
      </c>
      <c r="V12" s="872" t="str">
        <f>IF(SUBTOTAL(109,A12)=A12,"",192424)</f>
        <v/>
      </c>
      <c r="W12" s="872" t="str">
        <f>IF(SUBTOTAL(109,A12)=A12,"",178780)</f>
        <v/>
      </c>
      <c r="X12" s="872">
        <v>168242.0</v>
      </c>
      <c r="Y12" s="872">
        <v>159005.0</v>
      </c>
      <c r="Z12" s="872">
        <v>147677.0</v>
      </c>
      <c r="AA12" s="872">
        <v>136292.0</v>
      </c>
      <c r="AB12" s="872">
        <v>122656.0</v>
      </c>
      <c r="AC12" s="872">
        <v>112537.0</v>
      </c>
      <c r="AD12" s="872">
        <v>103181.0</v>
      </c>
      <c r="AE12" s="872">
        <v>93565.0</v>
      </c>
      <c r="AF12" s="872">
        <v>83329.0</v>
      </c>
      <c r="AG12" s="872">
        <v>75443.0</v>
      </c>
      <c r="AH12" s="872">
        <v>69931.0</v>
      </c>
      <c r="AI12" s="872">
        <v>48576.0</v>
      </c>
      <c r="AJ12" s="872">
        <v>30099.0</v>
      </c>
      <c r="AK12" s="15"/>
      <c r="AL12" s="851" t="s">
        <v>194</v>
      </c>
      <c r="AM12" s="846" t="s">
        <v>194</v>
      </c>
      <c r="AN12" s="846" t="s">
        <v>194</v>
      </c>
      <c r="AO12" s="846" t="s">
        <v>194</v>
      </c>
      <c r="AP12" s="846" t="s">
        <v>194</v>
      </c>
      <c r="AQ12" s="846" t="s">
        <v>194</v>
      </c>
      <c r="AR12" s="846" t="s">
        <v>194</v>
      </c>
      <c r="AS12" s="846" t="s">
        <v>194</v>
      </c>
      <c r="AT12" s="846" t="s">
        <v>194</v>
      </c>
      <c r="AU12" s="846" t="s">
        <v>194</v>
      </c>
      <c r="AV12" s="846" t="s">
        <v>194</v>
      </c>
      <c r="AW12" s="846" t="s">
        <v>194</v>
      </c>
      <c r="AX12" s="846" t="s">
        <v>194</v>
      </c>
      <c r="AY12" s="846" t="s">
        <v>194</v>
      </c>
      <c r="AZ12" s="846" t="s">
        <v>194</v>
      </c>
      <c r="BA12" s="846" t="s">
        <v>194</v>
      </c>
      <c r="BB12" s="846" t="s">
        <v>194</v>
      </c>
      <c r="BC12" s="846" t="s">
        <v>194</v>
      </c>
      <c r="BD12" s="846" t="s">
        <v>194</v>
      </c>
      <c r="BE12" s="846" t="s">
        <v>194</v>
      </c>
      <c r="BF12" s="846" t="s">
        <v>194</v>
      </c>
      <c r="BG12" s="846" t="s">
        <v>194</v>
      </c>
    </row>
    <row r="13" outlineLevel="2">
      <c r="A13" s="849">
        <v>1.0</v>
      </c>
      <c r="B13" s="15"/>
      <c r="C13" s="869" t="str">
        <f>"        Other Revenue"</f>
        <v>        Other Revenue</v>
      </c>
      <c r="D13" s="870">
        <f t="shared" ref="D13:D64" si="9">IF(COUNT(M13:AJ13)&gt;0,MEDIAN(M13:AJ13),"")</f>
        <v>535</v>
      </c>
      <c r="E13" s="870">
        <f t="shared" ref="E13:E64" si="10">IF(COUNT(M13:AJ13)&gt;0,AVERAGE(M13:AJ13),"")</f>
        <v>535</v>
      </c>
      <c r="F13" s="870">
        <f t="shared" ref="F13:F64" si="11">IF(COUNT(M13:AJ13)&gt;0,MIN(M13:AJ13),"")</f>
        <v>535</v>
      </c>
      <c r="G13" s="870">
        <f t="shared" ref="G13:G64" si="12">IF(COUNT(M13:AJ13)&gt;0,MAX(M13:AJ13),"")</f>
        <v>535</v>
      </c>
      <c r="H13" s="870">
        <f t="shared" ref="H13:H64" si="13">IF(COUNT(M13:AJ13)&gt;0,QUARTILE(M13:AJ13,1),"")</f>
        <v>535</v>
      </c>
      <c r="I13" s="870">
        <f t="shared" ref="I13:I64" si="14">IF(COUNT(M13:AJ13)&gt;0,QUARTILE(M13:AJ13,3),"")</f>
        <v>535</v>
      </c>
      <c r="J13" s="870" t="str">
        <f t="shared" ref="J13:J64" si="15">IF(COUNT(M13:AJ13)&gt;1,STDEV(M13:AJ13),"")</f>
        <v/>
      </c>
      <c r="K13" s="871" t="str">
        <f t="shared" ref="K13:K64" si="16">IF(COUNT(M13:AJ13)&gt;1,STDEV(M13:AJ13)/AVERAGE(M13:AJ13),"")</f>
        <v/>
      </c>
      <c r="L13" s="872" t="s">
        <v>194</v>
      </c>
      <c r="M13" s="872" t="s">
        <v>194</v>
      </c>
      <c r="N13" s="872" t="s">
        <v>194</v>
      </c>
      <c r="O13" s="872" t="s">
        <v>194</v>
      </c>
      <c r="P13" s="872" t="s">
        <v>194</v>
      </c>
      <c r="Q13" s="872" t="s">
        <v>194</v>
      </c>
      <c r="R13" s="872" t="s">
        <v>194</v>
      </c>
      <c r="S13" s="872" t="s">
        <v>194</v>
      </c>
      <c r="T13" s="872" t="s">
        <v>194</v>
      </c>
      <c r="U13" s="872" t="s">
        <v>194</v>
      </c>
      <c r="V13" s="872" t="s">
        <v>194</v>
      </c>
      <c r="W13" s="872" t="s">
        <v>194</v>
      </c>
      <c r="X13" s="872" t="s">
        <v>194</v>
      </c>
      <c r="Y13" s="872" t="s">
        <v>194</v>
      </c>
      <c r="Z13" s="872" t="s">
        <v>194</v>
      </c>
      <c r="AA13" s="872" t="s">
        <v>194</v>
      </c>
      <c r="AB13" s="872" t="s">
        <v>194</v>
      </c>
      <c r="AC13" s="872" t="s">
        <v>194</v>
      </c>
      <c r="AD13" s="872" t="s">
        <v>194</v>
      </c>
      <c r="AE13" s="872" t="s">
        <v>194</v>
      </c>
      <c r="AF13" s="872" t="s">
        <v>194</v>
      </c>
      <c r="AG13" s="872" t="s">
        <v>194</v>
      </c>
      <c r="AH13" s="872" t="s">
        <v>194</v>
      </c>
      <c r="AI13" s="872" t="s">
        <v>194</v>
      </c>
      <c r="AJ13" s="872">
        <v>535.0</v>
      </c>
      <c r="AK13" s="15"/>
      <c r="AL13" s="851" t="s">
        <v>194</v>
      </c>
      <c r="AM13" s="846" t="s">
        <v>194</v>
      </c>
      <c r="AN13" s="846" t="s">
        <v>194</v>
      </c>
      <c r="AO13" s="846" t="s">
        <v>194</v>
      </c>
      <c r="AP13" s="846" t="s">
        <v>194</v>
      </c>
      <c r="AQ13" s="846" t="s">
        <v>194</v>
      </c>
      <c r="AR13" s="846" t="s">
        <v>194</v>
      </c>
      <c r="AS13" s="846" t="s">
        <v>194</v>
      </c>
      <c r="AT13" s="846" t="s">
        <v>194</v>
      </c>
      <c r="AU13" s="846" t="s">
        <v>194</v>
      </c>
      <c r="AV13" s="846" t="s">
        <v>194</v>
      </c>
      <c r="AW13" s="846" t="s">
        <v>194</v>
      </c>
      <c r="AX13" s="846" t="s">
        <v>194</v>
      </c>
      <c r="AY13" s="846" t="s">
        <v>194</v>
      </c>
      <c r="AZ13" s="846" t="s">
        <v>194</v>
      </c>
      <c r="BA13" s="846" t="s">
        <v>194</v>
      </c>
      <c r="BB13" s="846" t="s">
        <v>194</v>
      </c>
      <c r="BC13" s="846" t="s">
        <v>194</v>
      </c>
      <c r="BD13" s="846" t="s">
        <v>194</v>
      </c>
      <c r="BE13" s="846" t="s">
        <v>194</v>
      </c>
      <c r="BF13" s="846" t="s">
        <v>194</v>
      </c>
      <c r="BG13" s="846" t="s">
        <v>194</v>
      </c>
    </row>
    <row r="14" outlineLevel="2">
      <c r="A14" s="849">
        <v>1.0</v>
      </c>
      <c r="B14" s="15"/>
      <c r="C14" s="881" t="str">
        <f>"        Total Revenue"</f>
        <v>        Total Revenue</v>
      </c>
      <c r="D14" s="882">
        <f t="shared" si="9"/>
        <v>163623.5</v>
      </c>
      <c r="E14" s="882">
        <f t="shared" si="10"/>
        <v>171809.9583</v>
      </c>
      <c r="F14" s="882">
        <f t="shared" si="11"/>
        <v>30634</v>
      </c>
      <c r="G14" s="882">
        <f t="shared" si="12"/>
        <v>358111</v>
      </c>
      <c r="H14" s="882">
        <f t="shared" si="13"/>
        <v>100777</v>
      </c>
      <c r="I14" s="882">
        <f t="shared" si="14"/>
        <v>225546</v>
      </c>
      <c r="J14" s="882">
        <f t="shared" si="15"/>
        <v>90515.00266</v>
      </c>
      <c r="K14" s="883">
        <f t="shared" si="16"/>
        <v>0.5268321088</v>
      </c>
      <c r="L14" s="884" t="s">
        <v>194</v>
      </c>
      <c r="M14" s="884">
        <v>358111.0</v>
      </c>
      <c r="N14" s="884">
        <v>335367.0</v>
      </c>
      <c r="O14" s="884">
        <v>309106.0</v>
      </c>
      <c r="P14" s="884">
        <v>275989.0</v>
      </c>
      <c r="Q14" s="884">
        <v>249438.0</v>
      </c>
      <c r="R14" s="884">
        <v>236502.0</v>
      </c>
      <c r="S14" s="884">
        <v>221894.0</v>
      </c>
      <c r="T14" s="884">
        <v>212340.0</v>
      </c>
      <c r="U14" s="884">
        <v>202829.0</v>
      </c>
      <c r="V14" s="884">
        <v>192424.0</v>
      </c>
      <c r="W14" s="884">
        <v>178780.0</v>
      </c>
      <c r="X14" s="884">
        <v>168242.0</v>
      </c>
      <c r="Y14" s="884">
        <v>159005.0</v>
      </c>
      <c r="Z14" s="884">
        <v>147677.0</v>
      </c>
      <c r="AA14" s="884">
        <v>136292.0</v>
      </c>
      <c r="AB14" s="884">
        <v>122656.0</v>
      </c>
      <c r="AC14" s="884">
        <v>112537.0</v>
      </c>
      <c r="AD14" s="884">
        <v>103181.0</v>
      </c>
      <c r="AE14" s="884">
        <v>93565.0</v>
      </c>
      <c r="AF14" s="884">
        <v>83329.0</v>
      </c>
      <c r="AG14" s="884">
        <v>75443.0</v>
      </c>
      <c r="AH14" s="884">
        <v>69522.0</v>
      </c>
      <c r="AI14" s="884">
        <v>48576.0</v>
      </c>
      <c r="AJ14" s="884">
        <v>30634.0</v>
      </c>
      <c r="AK14" s="15"/>
      <c r="AL14" s="851" t="s">
        <v>194</v>
      </c>
      <c r="AM14" s="846" t="s">
        <v>194</v>
      </c>
      <c r="AN14" s="846" t="s">
        <v>194</v>
      </c>
      <c r="AO14" s="846" t="s">
        <v>194</v>
      </c>
      <c r="AP14" s="846" t="s">
        <v>194</v>
      </c>
      <c r="AQ14" s="846" t="s">
        <v>194</v>
      </c>
      <c r="AR14" s="846" t="s">
        <v>194</v>
      </c>
      <c r="AS14" s="846" t="s">
        <v>194</v>
      </c>
      <c r="AT14" s="846" t="s">
        <v>194</v>
      </c>
      <c r="AU14" s="846" t="s">
        <v>194</v>
      </c>
      <c r="AV14" s="846" t="s">
        <v>194</v>
      </c>
      <c r="AW14" s="846" t="s">
        <v>194</v>
      </c>
      <c r="AX14" s="846" t="s">
        <v>194</v>
      </c>
      <c r="AY14" s="846" t="s">
        <v>194</v>
      </c>
      <c r="AZ14" s="846" t="s">
        <v>194</v>
      </c>
      <c r="BA14" s="846" t="s">
        <v>194</v>
      </c>
      <c r="BB14" s="846" t="s">
        <v>194</v>
      </c>
      <c r="BC14" s="846" t="s">
        <v>194</v>
      </c>
      <c r="BD14" s="846" t="s">
        <v>194</v>
      </c>
      <c r="BE14" s="846" t="s">
        <v>194</v>
      </c>
      <c r="BF14" s="846" t="s">
        <v>194</v>
      </c>
      <c r="BG14" s="846" t="s">
        <v>194</v>
      </c>
    </row>
    <row r="15" outlineLevel="1">
      <c r="A15" s="849">
        <v>1.0</v>
      </c>
      <c r="B15" s="15"/>
      <c r="C15" s="869" t="str">
        <f>IF(SUBTOTAL(109,A16)=A16,"    Cost of Revenue","    Cost of Revenue")</f>
        <v>    Cost of Revenue</v>
      </c>
      <c r="D15" s="870" t="str">
        <f t="shared" si="9"/>
        <v/>
      </c>
      <c r="E15" s="870" t="str">
        <f t="shared" si="10"/>
        <v/>
      </c>
      <c r="F15" s="870" t="str">
        <f t="shared" si="11"/>
        <v/>
      </c>
      <c r="G15" s="870" t="str">
        <f t="shared" si="12"/>
        <v/>
      </c>
      <c r="H15" s="870" t="str">
        <f t="shared" si="13"/>
        <v/>
      </c>
      <c r="I15" s="870" t="str">
        <f t="shared" si="14"/>
        <v/>
      </c>
      <c r="J15" s="870" t="str">
        <f t="shared" si="15"/>
        <v/>
      </c>
      <c r="K15" s="871" t="str">
        <f t="shared" si="16"/>
        <v/>
      </c>
      <c r="L15" s="872" t="s">
        <v>194</v>
      </c>
      <c r="M15" s="872" t="str">
        <f>IF(SUBTOTAL(109,A16)=A16,"",179531)</f>
        <v/>
      </c>
      <c r="N15" s="872" t="str">
        <f>IF(SUBTOTAL(109,A16)=A16,"",169601)</f>
        <v/>
      </c>
      <c r="O15" s="872" t="str">
        <f>IF(SUBTOTAL(109,A16)=A16,"",158983)</f>
        <v/>
      </c>
      <c r="P15" s="872" t="str">
        <f>IF(SUBTOTAL(109,A16)=A16,"",142769)</f>
        <v/>
      </c>
      <c r="Q15" s="872" t="str">
        <f>IF(SUBTOTAL(109,A16)=A16,"",128201)</f>
        <v/>
      </c>
      <c r="R15" s="872" t="str">
        <f>IF(SUBTOTAL(109,A16)=A16,"",121333)</f>
        <v/>
      </c>
      <c r="S15" s="872" t="str">
        <f>IF(SUBTOTAL(109,A16)=A16,"",114767)</f>
        <v/>
      </c>
      <c r="T15" s="872" t="str">
        <f>IF(SUBTOTAL(109,A16)=A16,"",110565)</f>
        <v/>
      </c>
      <c r="U15" s="872" t="str">
        <f>IF(SUBTOTAL(109,A16)=A16,"",105519)</f>
        <v/>
      </c>
      <c r="V15" s="872" t="str">
        <f>IF(SUBTOTAL(109,A16)=A16,"",99764)</f>
        <v/>
      </c>
      <c r="W15" s="872" t="str">
        <f>IF(SUBTOTAL(109,A16)=A16,"",91873)</f>
        <v/>
      </c>
      <c r="X15" s="872" t="str">
        <f>IF(SUBTOTAL(109,A16)=A16,"",86728)</f>
        <v/>
      </c>
      <c r="Y15" s="872" t="str">
        <f>IF(SUBTOTAL(109,A16)=A16,"",82747)</f>
        <v/>
      </c>
      <c r="Z15" s="872" t="str">
        <f>IF(SUBTOTAL(109,A16)=A16,"",77641)</f>
        <v/>
      </c>
      <c r="AA15" s="872" t="str">
        <f>IF(SUBTOTAL(109,A16)=A16,"",70982)</f>
        <v/>
      </c>
      <c r="AB15" s="872" t="str">
        <f>IF(SUBTOTAL(109,A16)=A16,"",63054)</f>
        <v/>
      </c>
      <c r="AC15" s="872" t="str">
        <f>IF(SUBTOTAL(109,A16)=A16,"",57020)</f>
        <v/>
      </c>
      <c r="AD15" s="872" t="str">
        <f>IF(SUBTOTAL(109,A16)=A16,"",51305)</f>
        <v/>
      </c>
      <c r="AE15" s="872" t="str">
        <f>IF(SUBTOTAL(109,A16)=A16,"",46696)</f>
        <v/>
      </c>
      <c r="AF15" s="872" t="str">
        <f>IF(SUBTOTAL(109,A16)=A16,"",40517)</f>
        <v/>
      </c>
      <c r="AG15" s="872" t="str">
        <f>IF(SUBTOTAL(109,A16)=A16,"",36452)</f>
        <v/>
      </c>
      <c r="AH15" s="872" t="str">
        <f>IF(SUBTOTAL(109,A16)=A16,"",33671)</f>
        <v/>
      </c>
      <c r="AI15" s="872" t="str">
        <f>IF(SUBTOTAL(109,A16)=A16,"",24627)</f>
        <v/>
      </c>
      <c r="AJ15" s="872" t="str">
        <f>IF(SUBTOTAL(109,A16)=A16,"",15930)</f>
        <v/>
      </c>
      <c r="AK15" s="15"/>
      <c r="AL15" s="851" t="s">
        <v>194</v>
      </c>
      <c r="AM15" s="846" t="s">
        <v>194</v>
      </c>
      <c r="AN15" s="846" t="s">
        <v>194</v>
      </c>
      <c r="AO15" s="846" t="s">
        <v>194</v>
      </c>
      <c r="AP15" s="846" t="s">
        <v>194</v>
      </c>
      <c r="AQ15" s="846" t="s">
        <v>194</v>
      </c>
      <c r="AR15" s="846" t="s">
        <v>194</v>
      </c>
      <c r="AS15" s="846" t="s">
        <v>194</v>
      </c>
      <c r="AT15" s="846" t="s">
        <v>194</v>
      </c>
      <c r="AU15" s="846" t="s">
        <v>194</v>
      </c>
      <c r="AV15" s="846" t="s">
        <v>194</v>
      </c>
      <c r="AW15" s="846" t="s">
        <v>194</v>
      </c>
      <c r="AX15" s="846" t="s">
        <v>194</v>
      </c>
      <c r="AY15" s="846" t="s">
        <v>194</v>
      </c>
      <c r="AZ15" s="846" t="s">
        <v>194</v>
      </c>
      <c r="BA15" s="846" t="s">
        <v>194</v>
      </c>
      <c r="BB15" s="846" t="s">
        <v>194</v>
      </c>
      <c r="BC15" s="846" t="s">
        <v>194</v>
      </c>
      <c r="BD15" s="846" t="s">
        <v>194</v>
      </c>
      <c r="BE15" s="846" t="s">
        <v>194</v>
      </c>
      <c r="BF15" s="846" t="s">
        <v>194</v>
      </c>
      <c r="BG15" s="846" t="s">
        <v>194</v>
      </c>
    </row>
    <row r="16" outlineLevel="2">
      <c r="A16" s="849">
        <v>1.0</v>
      </c>
      <c r="B16" s="15"/>
      <c r="C16" s="869" t="str">
        <f>"        Cost of Goods and Services"</f>
        <v>        Cost of Goods and Services</v>
      </c>
      <c r="D16" s="870">
        <f t="shared" si="9"/>
        <v>84742</v>
      </c>
      <c r="E16" s="870">
        <f t="shared" si="10"/>
        <v>84556.20833</v>
      </c>
      <c r="F16" s="870">
        <f t="shared" si="11"/>
        <v>13512</v>
      </c>
      <c r="G16" s="870">
        <f t="shared" si="12"/>
        <v>179531</v>
      </c>
      <c r="H16" s="870">
        <f t="shared" si="13"/>
        <v>40629</v>
      </c>
      <c r="I16" s="870">
        <f t="shared" si="14"/>
        <v>122516.75</v>
      </c>
      <c r="J16" s="870">
        <f t="shared" si="15"/>
        <v>50058.20089</v>
      </c>
      <c r="K16" s="871">
        <f t="shared" si="16"/>
        <v>0.592010946</v>
      </c>
      <c r="L16" s="872" t="s">
        <v>194</v>
      </c>
      <c r="M16" s="872">
        <v>179531.0</v>
      </c>
      <c r="N16" s="872">
        <v>169601.0</v>
      </c>
      <c r="O16" s="872">
        <v>158983.0</v>
      </c>
      <c r="P16" s="872">
        <v>140604.0</v>
      </c>
      <c r="Q16" s="872">
        <v>128201.0</v>
      </c>
      <c r="R16" s="872">
        <v>130066.0</v>
      </c>
      <c r="S16" s="872">
        <v>120622.0</v>
      </c>
      <c r="T16" s="872">
        <v>110823.0</v>
      </c>
      <c r="U16" s="872">
        <v>105519.0</v>
      </c>
      <c r="V16" s="872">
        <v>99960.0</v>
      </c>
      <c r="W16" s="872">
        <v>91951.0</v>
      </c>
      <c r="X16" s="872">
        <v>86737.0</v>
      </c>
      <c r="Y16" s="872">
        <v>82747.0</v>
      </c>
      <c r="Z16" s="872">
        <v>65885.0</v>
      </c>
      <c r="AA16" s="872">
        <v>59503.0</v>
      </c>
      <c r="AB16" s="872">
        <v>52016.0</v>
      </c>
      <c r="AC16" s="872">
        <v>46681.0</v>
      </c>
      <c r="AD16" s="872">
        <v>41582.0</v>
      </c>
      <c r="AE16" s="872">
        <v>37770.0</v>
      </c>
      <c r="AF16" s="872">
        <v>32470.0</v>
      </c>
      <c r="AG16" s="872">
        <v>29320.0</v>
      </c>
      <c r="AH16" s="872">
        <v>24694.0</v>
      </c>
      <c r="AI16" s="872">
        <v>20571.0</v>
      </c>
      <c r="AJ16" s="872">
        <v>13512.0</v>
      </c>
      <c r="AK16" s="15"/>
      <c r="AL16" s="851" t="s">
        <v>194</v>
      </c>
      <c r="AM16" s="846" t="s">
        <v>194</v>
      </c>
      <c r="AN16" s="846" t="s">
        <v>194</v>
      </c>
      <c r="AO16" s="846" t="s">
        <v>194</v>
      </c>
      <c r="AP16" s="846" t="s">
        <v>194</v>
      </c>
      <c r="AQ16" s="846" t="s">
        <v>194</v>
      </c>
      <c r="AR16" s="846" t="s">
        <v>194</v>
      </c>
      <c r="AS16" s="846" t="s">
        <v>194</v>
      </c>
      <c r="AT16" s="846" t="s">
        <v>194</v>
      </c>
      <c r="AU16" s="846" t="s">
        <v>194</v>
      </c>
      <c r="AV16" s="846" t="s">
        <v>194</v>
      </c>
      <c r="AW16" s="846" t="s">
        <v>194</v>
      </c>
      <c r="AX16" s="846" t="s">
        <v>194</v>
      </c>
      <c r="AY16" s="846" t="s">
        <v>194</v>
      </c>
      <c r="AZ16" s="846" t="s">
        <v>194</v>
      </c>
      <c r="BA16" s="846" t="s">
        <v>194</v>
      </c>
      <c r="BB16" s="846" t="s">
        <v>194</v>
      </c>
      <c r="BC16" s="846" t="s">
        <v>194</v>
      </c>
      <c r="BD16" s="846" t="s">
        <v>194</v>
      </c>
      <c r="BE16" s="846" t="s">
        <v>194</v>
      </c>
      <c r="BF16" s="846" t="s">
        <v>194</v>
      </c>
      <c r="BG16" s="846" t="s">
        <v>194</v>
      </c>
    </row>
    <row r="17" outlineLevel="2">
      <c r="A17" s="849">
        <v>1.0</v>
      </c>
      <c r="B17" s="15"/>
      <c r="C17" s="869" t="str">
        <f>"        Depreciation &amp; Amortization, Cost of Revenue"</f>
        <v>        Depreciation &amp; Amortization, Cost of Revenue</v>
      </c>
      <c r="D17" s="870">
        <f t="shared" si="9"/>
        <v>8851</v>
      </c>
      <c r="E17" s="870">
        <f t="shared" si="10"/>
        <v>7877.235294</v>
      </c>
      <c r="F17" s="870">
        <f t="shared" si="11"/>
        <v>2165</v>
      </c>
      <c r="G17" s="870">
        <f t="shared" si="12"/>
        <v>11756</v>
      </c>
      <c r="H17" s="870">
        <f t="shared" si="13"/>
        <v>7132</v>
      </c>
      <c r="I17" s="870">
        <f t="shared" si="14"/>
        <v>9723</v>
      </c>
      <c r="J17" s="870">
        <f t="shared" si="15"/>
        <v>3117.701307</v>
      </c>
      <c r="K17" s="871">
        <f t="shared" si="16"/>
        <v>0.395786236</v>
      </c>
      <c r="L17" s="872" t="s">
        <v>194</v>
      </c>
      <c r="M17" s="872" t="s">
        <v>194</v>
      </c>
      <c r="N17" s="872" t="s">
        <v>194</v>
      </c>
      <c r="O17" s="872" t="s">
        <v>194</v>
      </c>
      <c r="P17" s="872">
        <v>2165.0</v>
      </c>
      <c r="Q17" s="872" t="s">
        <v>194</v>
      </c>
      <c r="R17" s="872" t="s">
        <v>194</v>
      </c>
      <c r="S17" s="872">
        <v>2878.0</v>
      </c>
      <c r="T17" s="872">
        <v>8475.0</v>
      </c>
      <c r="U17" s="872" t="s">
        <v>194</v>
      </c>
      <c r="V17" s="872">
        <v>8733.0</v>
      </c>
      <c r="W17" s="872">
        <v>8851.0</v>
      </c>
      <c r="X17" s="872">
        <v>8920.0</v>
      </c>
      <c r="Y17" s="872" t="s">
        <v>194</v>
      </c>
      <c r="Z17" s="872">
        <v>11756.0</v>
      </c>
      <c r="AA17" s="872">
        <v>11479.0</v>
      </c>
      <c r="AB17" s="872">
        <v>11038.0</v>
      </c>
      <c r="AC17" s="872">
        <v>10339.0</v>
      </c>
      <c r="AD17" s="872">
        <v>9723.0</v>
      </c>
      <c r="AE17" s="872">
        <v>8926.0</v>
      </c>
      <c r="AF17" s="872">
        <v>8047.0</v>
      </c>
      <c r="AG17" s="872">
        <v>7132.0</v>
      </c>
      <c r="AH17" s="872">
        <v>8977.0</v>
      </c>
      <c r="AI17" s="872">
        <v>4056.0</v>
      </c>
      <c r="AJ17" s="872">
        <v>2418.0</v>
      </c>
      <c r="AK17" s="15"/>
      <c r="AL17" s="851" t="s">
        <v>194</v>
      </c>
      <c r="AM17" s="846" t="s">
        <v>194</v>
      </c>
      <c r="AN17" s="846" t="s">
        <v>194</v>
      </c>
      <c r="AO17" s="846" t="s">
        <v>194</v>
      </c>
      <c r="AP17" s="846" t="s">
        <v>194</v>
      </c>
      <c r="AQ17" s="846" t="s">
        <v>194</v>
      </c>
      <c r="AR17" s="846" t="s">
        <v>194</v>
      </c>
      <c r="AS17" s="846" t="s">
        <v>194</v>
      </c>
      <c r="AT17" s="846" t="s">
        <v>194</v>
      </c>
      <c r="AU17" s="846" t="s">
        <v>194</v>
      </c>
      <c r="AV17" s="846" t="s">
        <v>194</v>
      </c>
      <c r="AW17" s="846" t="s">
        <v>194</v>
      </c>
      <c r="AX17" s="846" t="s">
        <v>194</v>
      </c>
      <c r="AY17" s="846" t="s">
        <v>194</v>
      </c>
      <c r="AZ17" s="846" t="s">
        <v>194</v>
      </c>
      <c r="BA17" s="846" t="s">
        <v>194</v>
      </c>
      <c r="BB17" s="846" t="s">
        <v>194</v>
      </c>
      <c r="BC17" s="846" t="s">
        <v>194</v>
      </c>
      <c r="BD17" s="846" t="s">
        <v>194</v>
      </c>
      <c r="BE17" s="846" t="s">
        <v>194</v>
      </c>
      <c r="BF17" s="846" t="s">
        <v>194</v>
      </c>
      <c r="BG17" s="846" t="s">
        <v>194</v>
      </c>
    </row>
    <row r="18" outlineLevel="2">
      <c r="A18" s="849">
        <v>1.0</v>
      </c>
      <c r="B18" s="15"/>
      <c r="C18" s="881" t="str">
        <f>"        Total Cost of Revenue"</f>
        <v>        Total Cost of Revenue</v>
      </c>
      <c r="D18" s="882">
        <f t="shared" si="9"/>
        <v>84737.5</v>
      </c>
      <c r="E18" s="882">
        <f t="shared" si="10"/>
        <v>87928.16667</v>
      </c>
      <c r="F18" s="882">
        <f t="shared" si="11"/>
        <v>15930</v>
      </c>
      <c r="G18" s="882">
        <f t="shared" si="12"/>
        <v>179531</v>
      </c>
      <c r="H18" s="882">
        <f t="shared" si="13"/>
        <v>50152.75</v>
      </c>
      <c r="I18" s="882">
        <f t="shared" si="14"/>
        <v>116408.5</v>
      </c>
      <c r="J18" s="882">
        <f t="shared" si="15"/>
        <v>46448.82868</v>
      </c>
      <c r="K18" s="883">
        <f t="shared" si="16"/>
        <v>0.5282588099</v>
      </c>
      <c r="L18" s="884" t="s">
        <v>194</v>
      </c>
      <c r="M18" s="884">
        <v>179531.0</v>
      </c>
      <c r="N18" s="884">
        <v>169601.0</v>
      </c>
      <c r="O18" s="884">
        <v>158983.0</v>
      </c>
      <c r="P18" s="884">
        <v>142769.0</v>
      </c>
      <c r="Q18" s="884">
        <v>128201.0</v>
      </c>
      <c r="R18" s="884">
        <v>121333.0</v>
      </c>
      <c r="S18" s="884">
        <v>114767.0</v>
      </c>
      <c r="T18" s="884">
        <v>110565.0</v>
      </c>
      <c r="U18" s="884">
        <v>105519.0</v>
      </c>
      <c r="V18" s="884">
        <v>99764.0</v>
      </c>
      <c r="W18" s="884">
        <v>91873.0</v>
      </c>
      <c r="X18" s="884">
        <v>86728.0</v>
      </c>
      <c r="Y18" s="884">
        <v>82747.0</v>
      </c>
      <c r="Z18" s="884">
        <v>77641.0</v>
      </c>
      <c r="AA18" s="884">
        <v>70982.0</v>
      </c>
      <c r="AB18" s="884">
        <v>63054.0</v>
      </c>
      <c r="AC18" s="884">
        <v>57020.0</v>
      </c>
      <c r="AD18" s="884">
        <v>51305.0</v>
      </c>
      <c r="AE18" s="884">
        <v>46696.0</v>
      </c>
      <c r="AF18" s="884">
        <v>40517.0</v>
      </c>
      <c r="AG18" s="884">
        <v>36452.0</v>
      </c>
      <c r="AH18" s="884">
        <v>33671.0</v>
      </c>
      <c r="AI18" s="884">
        <v>24627.0</v>
      </c>
      <c r="AJ18" s="884">
        <v>15930.0</v>
      </c>
      <c r="AK18" s="15"/>
      <c r="AL18" s="851" t="s">
        <v>194</v>
      </c>
      <c r="AM18" s="846" t="s">
        <v>194</v>
      </c>
      <c r="AN18" s="846" t="s">
        <v>194</v>
      </c>
      <c r="AO18" s="846" t="s">
        <v>194</v>
      </c>
      <c r="AP18" s="846" t="s">
        <v>194</v>
      </c>
      <c r="AQ18" s="846" t="s">
        <v>194</v>
      </c>
      <c r="AR18" s="846" t="s">
        <v>194</v>
      </c>
      <c r="AS18" s="846" t="s">
        <v>194</v>
      </c>
      <c r="AT18" s="846" t="s">
        <v>194</v>
      </c>
      <c r="AU18" s="846" t="s">
        <v>194</v>
      </c>
      <c r="AV18" s="846" t="s">
        <v>194</v>
      </c>
      <c r="AW18" s="846" t="s">
        <v>194</v>
      </c>
      <c r="AX18" s="846" t="s">
        <v>194</v>
      </c>
      <c r="AY18" s="846" t="s">
        <v>194</v>
      </c>
      <c r="AZ18" s="846" t="s">
        <v>194</v>
      </c>
      <c r="BA18" s="846" t="s">
        <v>194</v>
      </c>
      <c r="BB18" s="846" t="s">
        <v>194</v>
      </c>
      <c r="BC18" s="846" t="s">
        <v>194</v>
      </c>
      <c r="BD18" s="846" t="s">
        <v>194</v>
      </c>
      <c r="BE18" s="846" t="s">
        <v>194</v>
      </c>
      <c r="BF18" s="846" t="s">
        <v>194</v>
      </c>
      <c r="BG18" s="846" t="s">
        <v>194</v>
      </c>
    </row>
    <row r="19" outlineLevel="1">
      <c r="A19" s="849">
        <v>1.0</v>
      </c>
      <c r="B19" s="15"/>
      <c r="C19" s="855" t="str">
        <f>"    Total Gross Profit"</f>
        <v>    Total Gross Profit</v>
      </c>
      <c r="D19" s="882">
        <f t="shared" si="9"/>
        <v>78886</v>
      </c>
      <c r="E19" s="882">
        <f t="shared" si="10"/>
        <v>83881.79167</v>
      </c>
      <c r="F19" s="882">
        <f t="shared" si="11"/>
        <v>14704</v>
      </c>
      <c r="G19" s="882">
        <f t="shared" si="12"/>
        <v>178580</v>
      </c>
      <c r="H19" s="882">
        <f t="shared" si="13"/>
        <v>50624.25</v>
      </c>
      <c r="I19" s="882">
        <f t="shared" si="14"/>
        <v>109137.5</v>
      </c>
      <c r="J19" s="882">
        <f t="shared" si="15"/>
        <v>44120.07893</v>
      </c>
      <c r="K19" s="883">
        <f t="shared" si="16"/>
        <v>0.525979215</v>
      </c>
      <c r="L19" s="882" t="s">
        <v>194</v>
      </c>
      <c r="M19" s="882">
        <v>178580.0</v>
      </c>
      <c r="N19" s="882">
        <v>165766.0</v>
      </c>
      <c r="O19" s="882">
        <v>150123.0</v>
      </c>
      <c r="P19" s="882">
        <v>133220.0</v>
      </c>
      <c r="Q19" s="882">
        <v>121237.0</v>
      </c>
      <c r="R19" s="882">
        <v>115169.0</v>
      </c>
      <c r="S19" s="882">
        <v>107127.0</v>
      </c>
      <c r="T19" s="882">
        <v>101775.0</v>
      </c>
      <c r="U19" s="882">
        <v>97310.0</v>
      </c>
      <c r="V19" s="882">
        <v>92660.0</v>
      </c>
      <c r="W19" s="882">
        <v>86907.0</v>
      </c>
      <c r="X19" s="882">
        <v>81514.0</v>
      </c>
      <c r="Y19" s="882">
        <v>76258.0</v>
      </c>
      <c r="Z19" s="882">
        <v>70036.0</v>
      </c>
      <c r="AA19" s="882">
        <v>65310.0</v>
      </c>
      <c r="AB19" s="882">
        <v>59602.0</v>
      </c>
      <c r="AC19" s="882">
        <v>55517.0</v>
      </c>
      <c r="AD19" s="882">
        <v>51876.0</v>
      </c>
      <c r="AE19" s="882">
        <v>46869.0</v>
      </c>
      <c r="AF19" s="882">
        <v>42812.0</v>
      </c>
      <c r="AG19" s="882">
        <v>38991.0</v>
      </c>
      <c r="AH19" s="882">
        <v>35851.0</v>
      </c>
      <c r="AI19" s="882">
        <v>23949.0</v>
      </c>
      <c r="AJ19" s="882">
        <v>14704.0</v>
      </c>
      <c r="AK19" s="15"/>
      <c r="AL19" s="851" t="s">
        <v>194</v>
      </c>
      <c r="AM19" s="846" t="s">
        <v>194</v>
      </c>
      <c r="AN19" s="846" t="s">
        <v>194</v>
      </c>
      <c r="AO19" s="846" t="s">
        <v>194</v>
      </c>
      <c r="AP19" s="846" t="s">
        <v>194</v>
      </c>
      <c r="AQ19" s="846" t="s">
        <v>194</v>
      </c>
      <c r="AR19" s="846" t="s">
        <v>194</v>
      </c>
      <c r="AS19" s="846" t="s">
        <v>194</v>
      </c>
      <c r="AT19" s="846" t="s">
        <v>194</v>
      </c>
      <c r="AU19" s="846" t="s">
        <v>194</v>
      </c>
      <c r="AV19" s="846" t="s">
        <v>194</v>
      </c>
      <c r="AW19" s="846" t="s">
        <v>194</v>
      </c>
      <c r="AX19" s="846" t="s">
        <v>194</v>
      </c>
      <c r="AY19" s="846" t="s">
        <v>194</v>
      </c>
      <c r="AZ19" s="846" t="s">
        <v>194</v>
      </c>
      <c r="BA19" s="846" t="s">
        <v>194</v>
      </c>
      <c r="BB19" s="846" t="s">
        <v>194</v>
      </c>
      <c r="BC19" s="846" t="s">
        <v>194</v>
      </c>
      <c r="BD19" s="846" t="s">
        <v>194</v>
      </c>
      <c r="BE19" s="846" t="s">
        <v>194</v>
      </c>
      <c r="BF19" s="846" t="s">
        <v>194</v>
      </c>
      <c r="BG19" s="846" t="s">
        <v>194</v>
      </c>
    </row>
    <row r="20">
      <c r="A20" s="849">
        <v>1.0</v>
      </c>
      <c r="B20" s="15"/>
      <c r="C20" s="855" t="str">
        <f>IF(SUBTOTAL(109,A21)=A21,"Operating (Income)/Expenses","Operating (Income)/Expenses")</f>
        <v>Operating (Income)/Expenses</v>
      </c>
      <c r="D20" s="866" t="str">
        <f t="shared" si="9"/>
        <v/>
      </c>
      <c r="E20" s="866" t="str">
        <f t="shared" si="10"/>
        <v/>
      </c>
      <c r="F20" s="866" t="str">
        <f t="shared" si="11"/>
        <v/>
      </c>
      <c r="G20" s="866" t="str">
        <f t="shared" si="12"/>
        <v/>
      </c>
      <c r="H20" s="866" t="str">
        <f t="shared" si="13"/>
        <v/>
      </c>
      <c r="I20" s="866" t="str">
        <f t="shared" si="14"/>
        <v/>
      </c>
      <c r="J20" s="866" t="str">
        <f t="shared" si="15"/>
        <v/>
      </c>
      <c r="K20" s="867" t="str">
        <f t="shared" si="16"/>
        <v/>
      </c>
      <c r="L20" s="866" t="s">
        <v>194</v>
      </c>
      <c r="M20" s="866" t="str">
        <f>IF(SUBTOTAL(109,A21)=A21,"",140688)</f>
        <v/>
      </c>
      <c r="N20" s="866" t="str">
        <f>IF(SUBTOTAL(109,A21)=A21,"",127459)</f>
        <v/>
      </c>
      <c r="O20" s="866" t="str">
        <f>IF(SUBTOTAL(109,A21)=A21,"",113880)</f>
        <v/>
      </c>
      <c r="P20" s="866" t="str">
        <f>IF(SUBTOTAL(109,A21)=A21,"",102501)</f>
        <v/>
      </c>
      <c r="Q20" s="866" t="str">
        <f>IF(SUBTOTAL(109,A21)=A21,"",93647)</f>
        <v/>
      </c>
      <c r="R20" s="866" t="str">
        <f>IF(SUBTOTAL(109,A21)=A21,"",86598)</f>
        <v/>
      </c>
      <c r="S20" s="866" t="str">
        <f>IF(SUBTOTAL(109,A21)=A21,"",81491)</f>
        <v/>
      </c>
      <c r="T20" s="866" t="str">
        <f>IF(SUBTOTAL(109,A21)=A21,"",76617)</f>
        <v/>
      </c>
      <c r="U20" s="866" t="str">
        <f>IF(SUBTOTAL(109,A21)=A21,"",74446)</f>
        <v/>
      </c>
      <c r="V20" s="866" t="str">
        <f>IF(SUBTOTAL(109,A21)=A21,"",72493)</f>
        <v/>
      </c>
      <c r="W20" s="866" t="str">
        <f>IF(SUBTOTAL(109,A21)=A21,"",68423)</f>
        <v/>
      </c>
      <c r="X20" s="866" t="str">
        <f>IF(SUBTOTAL(109,A21)=A21,"",65704)</f>
        <v/>
      </c>
      <c r="Y20" s="866" t="str">
        <f>IF(SUBTOTAL(109,A21)=A21,"",61207)</f>
        <v/>
      </c>
      <c r="Z20" s="866" t="str">
        <f>IF(SUBTOTAL(109,A21)=A21,"",57027)</f>
        <v/>
      </c>
      <c r="AA20" s="866" t="str">
        <f>IF(SUBTOTAL(109,A21)=A21,"",52448)</f>
        <v/>
      </c>
      <c r="AB20" s="866" t="str">
        <f>IF(SUBTOTAL(109,A21)=A21,"",48122)</f>
        <v/>
      </c>
      <c r="AC20" s="866" t="str">
        <f>IF(SUBTOTAL(109,A21)=A21,"",45006)</f>
        <v/>
      </c>
      <c r="AD20" s="866" t="str">
        <f>IF(SUBTOTAL(109,A21)=A21,"",42244)</f>
        <v/>
      </c>
      <c r="AE20" s="866" t="str">
        <f>IF(SUBTOTAL(109,A21)=A21,"",39918)</f>
        <v/>
      </c>
      <c r="AF20" s="866" t="str">
        <f>IF(SUBTOTAL(109,A21)=A21,"",37432)</f>
        <v/>
      </c>
      <c r="AG20" s="866" t="str">
        <f>IF(SUBTOTAL(109,A21)=A21,"",34527)</f>
        <v/>
      </c>
      <c r="AH20" s="866" t="str">
        <f>IF(SUBTOTAL(109,A21)=A21,"",31736)</f>
        <v/>
      </c>
      <c r="AI20" s="866" t="str">
        <f>IF(SUBTOTAL(109,A21)=A21,"",23120)</f>
        <v/>
      </c>
      <c r="AJ20" s="866" t="str">
        <f>IF(SUBTOTAL(109,A21)=A21,"",16426)</f>
        <v/>
      </c>
      <c r="AK20" s="15"/>
      <c r="AL20" s="851" t="s">
        <v>194</v>
      </c>
      <c r="AM20" s="846" t="s">
        <v>194</v>
      </c>
      <c r="AN20" s="846" t="s">
        <v>194</v>
      </c>
      <c r="AO20" s="846" t="s">
        <v>194</v>
      </c>
      <c r="AP20" s="846" t="s">
        <v>194</v>
      </c>
      <c r="AQ20" s="846" t="s">
        <v>194</v>
      </c>
      <c r="AR20" s="846" t="s">
        <v>194</v>
      </c>
      <c r="AS20" s="846" t="s">
        <v>194</v>
      </c>
      <c r="AT20" s="846" t="s">
        <v>194</v>
      </c>
      <c r="AU20" s="846" t="s">
        <v>194</v>
      </c>
      <c r="AV20" s="846" t="s">
        <v>194</v>
      </c>
      <c r="AW20" s="846" t="s">
        <v>194</v>
      </c>
      <c r="AX20" s="846" t="s">
        <v>194</v>
      </c>
      <c r="AY20" s="846" t="s">
        <v>194</v>
      </c>
      <c r="AZ20" s="846" t="s">
        <v>194</v>
      </c>
      <c r="BA20" s="846" t="s">
        <v>194</v>
      </c>
      <c r="BB20" s="846" t="s">
        <v>194</v>
      </c>
      <c r="BC20" s="846" t="s">
        <v>194</v>
      </c>
      <c r="BD20" s="846" t="s">
        <v>194</v>
      </c>
      <c r="BE20" s="846" t="s">
        <v>194</v>
      </c>
      <c r="BF20" s="846" t="s">
        <v>194</v>
      </c>
      <c r="BG20" s="846" t="s">
        <v>194</v>
      </c>
    </row>
    <row r="21" ht="15.75" customHeight="1" outlineLevel="1">
      <c r="A21" s="849">
        <v>1.0</v>
      </c>
      <c r="B21" s="15"/>
      <c r="C21" s="869" t="str">
        <f>IF(SUBTOTAL(109,A22)=A22,"    Selling, General and Administrative Expenses","    Selling, General and Administrative Expenses")</f>
        <v>    Selling, General and Administrative Expenses</v>
      </c>
      <c r="D21" s="870" t="str">
        <f t="shared" si="9"/>
        <v/>
      </c>
      <c r="E21" s="870" t="str">
        <f t="shared" si="10"/>
        <v/>
      </c>
      <c r="F21" s="870" t="str">
        <f t="shared" si="11"/>
        <v/>
      </c>
      <c r="G21" s="870" t="str">
        <f t="shared" si="12"/>
        <v/>
      </c>
      <c r="H21" s="870" t="str">
        <f t="shared" si="13"/>
        <v/>
      </c>
      <c r="I21" s="870" t="str">
        <f t="shared" si="14"/>
        <v/>
      </c>
      <c r="J21" s="870" t="str">
        <f t="shared" si="15"/>
        <v/>
      </c>
      <c r="K21" s="871" t="str">
        <f t="shared" si="16"/>
        <v/>
      </c>
      <c r="L21" s="872" t="s">
        <v>194</v>
      </c>
      <c r="M21" s="872" t="str">
        <f>IF(SUBTOTAL(109,A22)=A22,"",133659)</f>
        <v/>
      </c>
      <c r="N21" s="872" t="str">
        <f>IF(SUBTOTAL(109,A22)=A22,"",120803)</f>
        <v/>
      </c>
      <c r="O21" s="872" t="str">
        <f>IF(SUBTOTAL(109,A22)=A22,"",107945)</f>
        <v/>
      </c>
      <c r="P21" s="872" t="str">
        <f>IF(SUBTOTAL(109,A22)=A22,"",97081)</f>
        <v/>
      </c>
      <c r="Q21" s="872" t="str">
        <f>IF(SUBTOTAL(109,A22)=A22,"",88334)</f>
        <v/>
      </c>
      <c r="R21" s="872" t="str">
        <f>IF(SUBTOTAL(109,A22)=A22,"",81438)</f>
        <v/>
      </c>
      <c r="S21" s="872" t="str">
        <f>IF(SUBTOTAL(109,A22)=A22,"",76356)</f>
        <v/>
      </c>
      <c r="T21" s="872" t="str">
        <f>IF(SUBTOTAL(109,A22)=A22,"",71363)</f>
        <v/>
      </c>
      <c r="U21" s="872" t="str">
        <f>IF(SUBTOTAL(109,A22)=A22,"",69333)</f>
        <v/>
      </c>
      <c r="V21" s="872" t="str">
        <f>IF(SUBTOTAL(109,A22)=A22,"",67370)</f>
        <v/>
      </c>
      <c r="W21" s="872" t="str">
        <f>IF(SUBTOTAL(109,A22)=A22,"",63534)</f>
        <v/>
      </c>
      <c r="X21" s="872" t="str">
        <f>IF(SUBTOTAL(109,A22)=A22,"",61219)</f>
        <v/>
      </c>
      <c r="Y21" s="872" t="str">
        <f>IF(SUBTOTAL(109,A22)=A22,"",57027)</f>
        <v/>
      </c>
      <c r="Z21" s="872" t="str">
        <f>IF(SUBTOTAL(109,A22)=A22,"",53408)</f>
        <v/>
      </c>
      <c r="AA21" s="872" t="str">
        <f>IF(SUBTOTAL(109,A22)=A22,"",49147)</f>
        <v/>
      </c>
      <c r="AB21" s="872" t="str">
        <f>IF(SUBTOTAL(109,A22)=A22,"",44917)</f>
        <v/>
      </c>
      <c r="AC21" s="872" t="str">
        <f>IF(SUBTOTAL(109,A22)=A22,"",42029)</f>
        <v/>
      </c>
      <c r="AD21" s="872" t="str">
        <f>IF(SUBTOTAL(109,A22)=A22,"",39351)</f>
        <v/>
      </c>
      <c r="AE21" s="872" t="str">
        <f>IF(SUBTOTAL(109,A22)=A22,"",37149)</f>
        <v/>
      </c>
      <c r="AF21" s="872" t="str">
        <f>IF(SUBTOTAL(109,A22)=A22,"",34902)</f>
        <v/>
      </c>
      <c r="AG21" s="872" t="str">
        <f>IF(SUBTOTAL(109,A22)=A22,"",32129)</f>
        <v/>
      </c>
      <c r="AH21" s="872" t="str">
        <f>IF(SUBTOTAL(109,A22)=A22,"",29388)</f>
        <v/>
      </c>
      <c r="AI21" s="872" t="str">
        <f>IF(SUBTOTAL(109,A22)=A22,"",20858)</f>
        <v/>
      </c>
      <c r="AJ21" s="872" t="str">
        <f>IF(SUBTOTAL(109,A22)=A22,"",14637)</f>
        <v/>
      </c>
      <c r="AK21" s="15"/>
      <c r="AL21" s="851" t="s">
        <v>194</v>
      </c>
      <c r="AM21" s="846" t="s">
        <v>194</v>
      </c>
      <c r="AN21" s="846" t="s">
        <v>194</v>
      </c>
      <c r="AO21" s="846" t="s">
        <v>194</v>
      </c>
      <c r="AP21" s="846" t="s">
        <v>194</v>
      </c>
      <c r="AQ21" s="846" t="s">
        <v>194</v>
      </c>
      <c r="AR21" s="846" t="s">
        <v>194</v>
      </c>
      <c r="AS21" s="846" t="s">
        <v>194</v>
      </c>
      <c r="AT21" s="846" t="s">
        <v>194</v>
      </c>
      <c r="AU21" s="846" t="s">
        <v>194</v>
      </c>
      <c r="AV21" s="846" t="s">
        <v>194</v>
      </c>
      <c r="AW21" s="846" t="s">
        <v>194</v>
      </c>
      <c r="AX21" s="846" t="s">
        <v>194</v>
      </c>
      <c r="AY21" s="846" t="s">
        <v>194</v>
      </c>
      <c r="AZ21" s="846" t="s">
        <v>194</v>
      </c>
      <c r="BA21" s="846" t="s">
        <v>194</v>
      </c>
      <c r="BB21" s="846" t="s">
        <v>194</v>
      </c>
      <c r="BC21" s="846" t="s">
        <v>194</v>
      </c>
      <c r="BD21" s="846" t="s">
        <v>194</v>
      </c>
      <c r="BE21" s="846" t="s">
        <v>194</v>
      </c>
      <c r="BF21" s="846" t="s">
        <v>194</v>
      </c>
      <c r="BG21" s="846" t="s">
        <v>194</v>
      </c>
    </row>
    <row r="22" ht="15.75" customHeight="1" outlineLevel="2">
      <c r="A22" s="849">
        <v>1.0</v>
      </c>
      <c r="B22" s="15"/>
      <c r="C22" s="869" t="str">
        <f>"        General and Administrative Expenses"</f>
        <v>        General and Administrative Expenses</v>
      </c>
      <c r="D22" s="870">
        <f t="shared" si="9"/>
        <v>26733.5</v>
      </c>
      <c r="E22" s="870">
        <f t="shared" si="10"/>
        <v>25427.45833</v>
      </c>
      <c r="F22" s="870">
        <f t="shared" si="11"/>
        <v>5623</v>
      </c>
      <c r="G22" s="870">
        <f t="shared" si="12"/>
        <v>38814</v>
      </c>
      <c r="H22" s="870">
        <f t="shared" si="13"/>
        <v>16320.75</v>
      </c>
      <c r="I22" s="870">
        <f t="shared" si="14"/>
        <v>35299.5</v>
      </c>
      <c r="J22" s="870">
        <f t="shared" si="15"/>
        <v>10513.20754</v>
      </c>
      <c r="K22" s="871">
        <f t="shared" si="16"/>
        <v>0.4134588443</v>
      </c>
      <c r="L22" s="872" t="s">
        <v>194</v>
      </c>
      <c r="M22" s="872">
        <v>38018.0</v>
      </c>
      <c r="N22" s="872">
        <v>38238.0</v>
      </c>
      <c r="O22" s="872">
        <v>38624.0</v>
      </c>
      <c r="P22" s="872">
        <v>38814.0</v>
      </c>
      <c r="Q22" s="872">
        <v>37576.0</v>
      </c>
      <c r="R22" s="872">
        <v>36549.0</v>
      </c>
      <c r="S22" s="872">
        <v>34883.0</v>
      </c>
      <c r="T22" s="872">
        <v>32259.0</v>
      </c>
      <c r="U22" s="872">
        <v>31793.0</v>
      </c>
      <c r="V22" s="872">
        <v>30404.0</v>
      </c>
      <c r="W22" s="872">
        <v>28115.0</v>
      </c>
      <c r="X22" s="872">
        <v>27809.0</v>
      </c>
      <c r="Y22" s="872">
        <v>25658.0</v>
      </c>
      <c r="Z22" s="872">
        <v>24354.0</v>
      </c>
      <c r="AA22" s="872">
        <v>22638.0</v>
      </c>
      <c r="AB22" s="872">
        <v>19611.0</v>
      </c>
      <c r="AC22" s="872">
        <v>17942.0</v>
      </c>
      <c r="AD22" s="872">
        <v>16612.0</v>
      </c>
      <c r="AE22" s="872">
        <v>15447.0</v>
      </c>
      <c r="AF22" s="872">
        <v>14969.0</v>
      </c>
      <c r="AG22" s="872">
        <v>13754.0</v>
      </c>
      <c r="AH22" s="872">
        <v>12280.0</v>
      </c>
      <c r="AI22" s="872">
        <v>8289.0</v>
      </c>
      <c r="AJ22" s="872">
        <v>5623.0</v>
      </c>
      <c r="AK22" s="15"/>
      <c r="AL22" s="851" t="s">
        <v>194</v>
      </c>
      <c r="AM22" s="846" t="s">
        <v>194</v>
      </c>
      <c r="AN22" s="846" t="s">
        <v>194</v>
      </c>
      <c r="AO22" s="846" t="s">
        <v>194</v>
      </c>
      <c r="AP22" s="846" t="s">
        <v>194</v>
      </c>
      <c r="AQ22" s="846" t="s">
        <v>194</v>
      </c>
      <c r="AR22" s="846" t="s">
        <v>194</v>
      </c>
      <c r="AS22" s="846" t="s">
        <v>194</v>
      </c>
      <c r="AT22" s="846" t="s">
        <v>194</v>
      </c>
      <c r="AU22" s="846" t="s">
        <v>194</v>
      </c>
      <c r="AV22" s="846" t="s">
        <v>194</v>
      </c>
      <c r="AW22" s="846" t="s">
        <v>194</v>
      </c>
      <c r="AX22" s="846" t="s">
        <v>194</v>
      </c>
      <c r="AY22" s="846" t="s">
        <v>194</v>
      </c>
      <c r="AZ22" s="846" t="s">
        <v>194</v>
      </c>
      <c r="BA22" s="846" t="s">
        <v>194</v>
      </c>
      <c r="BB22" s="846" t="s">
        <v>194</v>
      </c>
      <c r="BC22" s="846" t="s">
        <v>194</v>
      </c>
      <c r="BD22" s="846" t="s">
        <v>194</v>
      </c>
      <c r="BE22" s="846" t="s">
        <v>194</v>
      </c>
      <c r="BF22" s="846" t="s">
        <v>194</v>
      </c>
      <c r="BG22" s="846" t="s">
        <v>194</v>
      </c>
    </row>
    <row r="23" ht="15.75" customHeight="1" outlineLevel="2">
      <c r="A23" s="849">
        <v>1.0</v>
      </c>
      <c r="B23" s="15"/>
      <c r="C23" s="869" t="str">
        <f>"        Selling and Marketing Expenses"</f>
        <v>        Selling and Marketing Expenses</v>
      </c>
      <c r="D23" s="870">
        <f t="shared" si="9"/>
        <v>32389.5</v>
      </c>
      <c r="E23" s="870">
        <f t="shared" si="10"/>
        <v>36796.58333</v>
      </c>
      <c r="F23" s="870">
        <f t="shared" si="11"/>
        <v>9014</v>
      </c>
      <c r="G23" s="870">
        <f t="shared" si="12"/>
        <v>95641</v>
      </c>
      <c r="H23" s="870">
        <f t="shared" si="13"/>
        <v>22479.75</v>
      </c>
      <c r="I23" s="870">
        <f t="shared" si="14"/>
        <v>42327</v>
      </c>
      <c r="J23" s="870">
        <f t="shared" si="15"/>
        <v>21530.83959</v>
      </c>
      <c r="K23" s="871">
        <f t="shared" si="16"/>
        <v>0.5851314887</v>
      </c>
      <c r="L23" s="872" t="s">
        <v>194</v>
      </c>
      <c r="M23" s="872">
        <v>95641.0</v>
      </c>
      <c r="N23" s="872">
        <v>82565.0</v>
      </c>
      <c r="O23" s="872">
        <v>69321.0</v>
      </c>
      <c r="P23" s="872">
        <v>58267.0</v>
      </c>
      <c r="Q23" s="872">
        <v>50758.0</v>
      </c>
      <c r="R23" s="872">
        <v>44889.0</v>
      </c>
      <c r="S23" s="872">
        <v>41473.0</v>
      </c>
      <c r="T23" s="872">
        <v>39104.0</v>
      </c>
      <c r="U23" s="872">
        <v>37540.0</v>
      </c>
      <c r="V23" s="872">
        <v>36966.0</v>
      </c>
      <c r="W23" s="872">
        <v>35419.0</v>
      </c>
      <c r="X23" s="872">
        <v>33410.0</v>
      </c>
      <c r="Y23" s="872">
        <v>31369.0</v>
      </c>
      <c r="Z23" s="872">
        <v>29054.0</v>
      </c>
      <c r="AA23" s="872">
        <v>26509.0</v>
      </c>
      <c r="AB23" s="872">
        <v>25306.0</v>
      </c>
      <c r="AC23" s="872">
        <v>24087.0</v>
      </c>
      <c r="AD23" s="872">
        <v>22739.0</v>
      </c>
      <c r="AE23" s="872">
        <v>21702.0</v>
      </c>
      <c r="AF23" s="872">
        <v>19933.0</v>
      </c>
      <c r="AG23" s="872">
        <v>18375.0</v>
      </c>
      <c r="AH23" s="872">
        <v>17108.0</v>
      </c>
      <c r="AI23" s="872">
        <v>12569.0</v>
      </c>
      <c r="AJ23" s="872">
        <v>9014.0</v>
      </c>
      <c r="AK23" s="15"/>
      <c r="AL23" s="851" t="s">
        <v>194</v>
      </c>
      <c r="AM23" s="846" t="s">
        <v>194</v>
      </c>
      <c r="AN23" s="846" t="s">
        <v>194</v>
      </c>
      <c r="AO23" s="846" t="s">
        <v>194</v>
      </c>
      <c r="AP23" s="846" t="s">
        <v>194</v>
      </c>
      <c r="AQ23" s="846" t="s">
        <v>194</v>
      </c>
      <c r="AR23" s="846" t="s">
        <v>194</v>
      </c>
      <c r="AS23" s="846" t="s">
        <v>194</v>
      </c>
      <c r="AT23" s="846" t="s">
        <v>194</v>
      </c>
      <c r="AU23" s="846" t="s">
        <v>194</v>
      </c>
      <c r="AV23" s="846" t="s">
        <v>194</v>
      </c>
      <c r="AW23" s="846" t="s">
        <v>194</v>
      </c>
      <c r="AX23" s="846" t="s">
        <v>194</v>
      </c>
      <c r="AY23" s="846" t="s">
        <v>194</v>
      </c>
      <c r="AZ23" s="846" t="s">
        <v>194</v>
      </c>
      <c r="BA23" s="846" t="s">
        <v>194</v>
      </c>
      <c r="BB23" s="846" t="s">
        <v>194</v>
      </c>
      <c r="BC23" s="846" t="s">
        <v>194</v>
      </c>
      <c r="BD23" s="846" t="s">
        <v>194</v>
      </c>
      <c r="BE23" s="846" t="s">
        <v>194</v>
      </c>
      <c r="BF23" s="846" t="s">
        <v>194</v>
      </c>
      <c r="BG23" s="846" t="s">
        <v>194</v>
      </c>
    </row>
    <row r="24" ht="15.75" customHeight="1" outlineLevel="2">
      <c r="A24" s="849">
        <v>1.0</v>
      </c>
      <c r="B24" s="15"/>
      <c r="C24" s="881" t="str">
        <f>"        Total Selling, General and Administrative Expenses"</f>
        <v>        Total Selling, General and Administrative Expenses</v>
      </c>
      <c r="D24" s="882">
        <f t="shared" si="9"/>
        <v>59123</v>
      </c>
      <c r="E24" s="882">
        <f t="shared" si="10"/>
        <v>62224.04167</v>
      </c>
      <c r="F24" s="882">
        <f t="shared" si="11"/>
        <v>14637</v>
      </c>
      <c r="G24" s="882">
        <f t="shared" si="12"/>
        <v>133659</v>
      </c>
      <c r="H24" s="882">
        <f t="shared" si="13"/>
        <v>38800.5</v>
      </c>
      <c r="I24" s="882">
        <f t="shared" si="14"/>
        <v>77626.5</v>
      </c>
      <c r="J24" s="882">
        <f t="shared" si="15"/>
        <v>30994.30486</v>
      </c>
      <c r="K24" s="883">
        <f t="shared" si="16"/>
        <v>0.4981081914</v>
      </c>
      <c r="L24" s="884" t="s">
        <v>194</v>
      </c>
      <c r="M24" s="884">
        <v>133659.0</v>
      </c>
      <c r="N24" s="884">
        <v>120803.0</v>
      </c>
      <c r="O24" s="884">
        <v>107945.0</v>
      </c>
      <c r="P24" s="884">
        <v>97081.0</v>
      </c>
      <c r="Q24" s="884">
        <v>88334.0</v>
      </c>
      <c r="R24" s="884">
        <v>81438.0</v>
      </c>
      <c r="S24" s="884">
        <v>76356.0</v>
      </c>
      <c r="T24" s="884">
        <v>71363.0</v>
      </c>
      <c r="U24" s="884">
        <v>69333.0</v>
      </c>
      <c r="V24" s="884">
        <v>67370.0</v>
      </c>
      <c r="W24" s="884">
        <v>63534.0</v>
      </c>
      <c r="X24" s="884">
        <v>61219.0</v>
      </c>
      <c r="Y24" s="884">
        <v>57027.0</v>
      </c>
      <c r="Z24" s="884">
        <v>53408.0</v>
      </c>
      <c r="AA24" s="884">
        <v>49147.0</v>
      </c>
      <c r="AB24" s="884">
        <v>44917.0</v>
      </c>
      <c r="AC24" s="884">
        <v>42029.0</v>
      </c>
      <c r="AD24" s="884">
        <v>39351.0</v>
      </c>
      <c r="AE24" s="884">
        <v>37149.0</v>
      </c>
      <c r="AF24" s="884">
        <v>34902.0</v>
      </c>
      <c r="AG24" s="884">
        <v>32129.0</v>
      </c>
      <c r="AH24" s="884">
        <v>29388.0</v>
      </c>
      <c r="AI24" s="884">
        <v>20858.0</v>
      </c>
      <c r="AJ24" s="884">
        <v>14637.0</v>
      </c>
      <c r="AK24" s="15"/>
      <c r="AL24" s="851" t="s">
        <v>194</v>
      </c>
      <c r="AM24" s="846" t="s">
        <v>194</v>
      </c>
      <c r="AN24" s="846" t="s">
        <v>194</v>
      </c>
      <c r="AO24" s="846" t="s">
        <v>194</v>
      </c>
      <c r="AP24" s="846" t="s">
        <v>194</v>
      </c>
      <c r="AQ24" s="846" t="s">
        <v>194</v>
      </c>
      <c r="AR24" s="846" t="s">
        <v>194</v>
      </c>
      <c r="AS24" s="846" t="s">
        <v>194</v>
      </c>
      <c r="AT24" s="846" t="s">
        <v>194</v>
      </c>
      <c r="AU24" s="846" t="s">
        <v>194</v>
      </c>
      <c r="AV24" s="846" t="s">
        <v>194</v>
      </c>
      <c r="AW24" s="846" t="s">
        <v>194</v>
      </c>
      <c r="AX24" s="846" t="s">
        <v>194</v>
      </c>
      <c r="AY24" s="846" t="s">
        <v>194</v>
      </c>
      <c r="AZ24" s="846" t="s">
        <v>194</v>
      </c>
      <c r="BA24" s="846" t="s">
        <v>194</v>
      </c>
      <c r="BB24" s="846" t="s">
        <v>194</v>
      </c>
      <c r="BC24" s="846" t="s">
        <v>194</v>
      </c>
      <c r="BD24" s="846" t="s">
        <v>194</v>
      </c>
      <c r="BE24" s="846" t="s">
        <v>194</v>
      </c>
      <c r="BF24" s="846" t="s">
        <v>194</v>
      </c>
      <c r="BG24" s="846" t="s">
        <v>194</v>
      </c>
    </row>
    <row r="25" ht="15.75" customHeight="1" outlineLevel="1">
      <c r="A25" s="849">
        <v>1.0</v>
      </c>
      <c r="B25" s="15"/>
      <c r="C25" s="869" t="str">
        <f>"    Research and Development Expenses"</f>
        <v>    Research and Development Expenses</v>
      </c>
      <c r="D25" s="870">
        <f t="shared" si="9"/>
        <v>4332.5</v>
      </c>
      <c r="E25" s="870">
        <f t="shared" si="10"/>
        <v>4157.625</v>
      </c>
      <c r="F25" s="870">
        <f t="shared" si="11"/>
        <v>1789</v>
      </c>
      <c r="G25" s="870">
        <f t="shared" si="12"/>
        <v>7029</v>
      </c>
      <c r="H25" s="870">
        <f t="shared" si="13"/>
        <v>2862</v>
      </c>
      <c r="I25" s="870">
        <f t="shared" si="14"/>
        <v>5183.5</v>
      </c>
      <c r="J25" s="870">
        <f t="shared" si="15"/>
        <v>1493.469256</v>
      </c>
      <c r="K25" s="871">
        <f t="shared" si="16"/>
        <v>0.3592121117</v>
      </c>
      <c r="L25" s="872" t="s">
        <v>194</v>
      </c>
      <c r="M25" s="872">
        <v>7029.0</v>
      </c>
      <c r="N25" s="872">
        <v>6656.0</v>
      </c>
      <c r="O25" s="872">
        <v>5935.0</v>
      </c>
      <c r="P25" s="872">
        <v>5420.0</v>
      </c>
      <c r="Q25" s="872">
        <v>5313.0</v>
      </c>
      <c r="R25" s="872">
        <v>5160.0</v>
      </c>
      <c r="S25" s="872">
        <v>5135.0</v>
      </c>
      <c r="T25" s="872">
        <v>5254.0</v>
      </c>
      <c r="U25" s="872">
        <v>5113.0</v>
      </c>
      <c r="V25" s="872">
        <v>5123.0</v>
      </c>
      <c r="W25" s="872">
        <v>4889.0</v>
      </c>
      <c r="X25" s="872">
        <v>4485.0</v>
      </c>
      <c r="Y25" s="872">
        <v>4180.0</v>
      </c>
      <c r="Z25" s="872">
        <v>3619.0</v>
      </c>
      <c r="AA25" s="872">
        <v>3301.0</v>
      </c>
      <c r="AB25" s="872">
        <v>3205.0</v>
      </c>
      <c r="AC25" s="872">
        <v>2977.0</v>
      </c>
      <c r="AD25" s="872">
        <v>2893.0</v>
      </c>
      <c r="AE25" s="872">
        <v>2769.0</v>
      </c>
      <c r="AF25" s="872">
        <v>2530.0</v>
      </c>
      <c r="AG25" s="872">
        <v>2398.0</v>
      </c>
      <c r="AH25" s="872">
        <v>2348.0</v>
      </c>
      <c r="AI25" s="872">
        <v>2262.0</v>
      </c>
      <c r="AJ25" s="872">
        <v>1789.0</v>
      </c>
      <c r="AK25" s="15"/>
      <c r="AL25" s="851" t="s">
        <v>194</v>
      </c>
      <c r="AM25" s="846" t="s">
        <v>194</v>
      </c>
      <c r="AN25" s="846" t="s">
        <v>194</v>
      </c>
      <c r="AO25" s="846" t="s">
        <v>194</v>
      </c>
      <c r="AP25" s="846" t="s">
        <v>194</v>
      </c>
      <c r="AQ25" s="846" t="s">
        <v>194</v>
      </c>
      <c r="AR25" s="846" t="s">
        <v>194</v>
      </c>
      <c r="AS25" s="846" t="s">
        <v>194</v>
      </c>
      <c r="AT25" s="846" t="s">
        <v>194</v>
      </c>
      <c r="AU25" s="846" t="s">
        <v>194</v>
      </c>
      <c r="AV25" s="846" t="s">
        <v>194</v>
      </c>
      <c r="AW25" s="846" t="s">
        <v>194</v>
      </c>
      <c r="AX25" s="846" t="s">
        <v>194</v>
      </c>
      <c r="AY25" s="846" t="s">
        <v>194</v>
      </c>
      <c r="AZ25" s="846" t="s">
        <v>194</v>
      </c>
      <c r="BA25" s="846" t="s">
        <v>194</v>
      </c>
      <c r="BB25" s="846" t="s">
        <v>194</v>
      </c>
      <c r="BC25" s="846" t="s">
        <v>194</v>
      </c>
      <c r="BD25" s="846" t="s">
        <v>194</v>
      </c>
      <c r="BE25" s="846" t="s">
        <v>194</v>
      </c>
      <c r="BF25" s="846" t="s">
        <v>194</v>
      </c>
      <c r="BG25" s="846" t="s">
        <v>194</v>
      </c>
    </row>
    <row r="26" ht="15.75" customHeight="1" outlineLevel="1">
      <c r="A26" s="849">
        <v>1.0</v>
      </c>
      <c r="B26" s="15"/>
      <c r="C26" s="855" t="str">
        <f>"    Total Operating (Income)/Expenses"</f>
        <v>    Total Operating (Income)/Expenses</v>
      </c>
      <c r="D26" s="882">
        <f t="shared" si="9"/>
        <v>63455.5</v>
      </c>
      <c r="E26" s="882">
        <f t="shared" si="10"/>
        <v>66381.66667</v>
      </c>
      <c r="F26" s="882">
        <f t="shared" si="11"/>
        <v>16426</v>
      </c>
      <c r="G26" s="882">
        <f t="shared" si="12"/>
        <v>140688</v>
      </c>
      <c r="H26" s="882">
        <f t="shared" si="13"/>
        <v>41662.5</v>
      </c>
      <c r="I26" s="882">
        <f t="shared" si="14"/>
        <v>82767.75</v>
      </c>
      <c r="J26" s="882">
        <f t="shared" si="15"/>
        <v>32441.73187</v>
      </c>
      <c r="K26" s="883">
        <f t="shared" si="16"/>
        <v>0.4887152357</v>
      </c>
      <c r="L26" s="882" t="s">
        <v>194</v>
      </c>
      <c r="M26" s="882">
        <v>140688.0</v>
      </c>
      <c r="N26" s="882">
        <v>127459.0</v>
      </c>
      <c r="O26" s="882">
        <v>113880.0</v>
      </c>
      <c r="P26" s="882">
        <v>102501.0</v>
      </c>
      <c r="Q26" s="882">
        <v>93647.0</v>
      </c>
      <c r="R26" s="882">
        <v>86598.0</v>
      </c>
      <c r="S26" s="882">
        <v>81491.0</v>
      </c>
      <c r="T26" s="882">
        <v>76617.0</v>
      </c>
      <c r="U26" s="882">
        <v>74446.0</v>
      </c>
      <c r="V26" s="882">
        <v>72493.0</v>
      </c>
      <c r="W26" s="882">
        <v>68423.0</v>
      </c>
      <c r="X26" s="882">
        <v>65704.0</v>
      </c>
      <c r="Y26" s="882">
        <v>61207.0</v>
      </c>
      <c r="Z26" s="882">
        <v>57027.0</v>
      </c>
      <c r="AA26" s="882">
        <v>52448.0</v>
      </c>
      <c r="AB26" s="882">
        <v>48122.0</v>
      </c>
      <c r="AC26" s="882">
        <v>45006.0</v>
      </c>
      <c r="AD26" s="882">
        <v>42244.0</v>
      </c>
      <c r="AE26" s="882">
        <v>39918.0</v>
      </c>
      <c r="AF26" s="882">
        <v>37432.0</v>
      </c>
      <c r="AG26" s="882">
        <v>34527.0</v>
      </c>
      <c r="AH26" s="882">
        <v>31736.0</v>
      </c>
      <c r="AI26" s="882">
        <v>23120.0</v>
      </c>
      <c r="AJ26" s="882">
        <v>16426.0</v>
      </c>
      <c r="AK26" s="15"/>
      <c r="AL26" s="851" t="s">
        <v>194</v>
      </c>
      <c r="AM26" s="846" t="s">
        <v>194</v>
      </c>
      <c r="AN26" s="846" t="s">
        <v>194</v>
      </c>
      <c r="AO26" s="846" t="s">
        <v>194</v>
      </c>
      <c r="AP26" s="846" t="s">
        <v>194</v>
      </c>
      <c r="AQ26" s="846" t="s">
        <v>194</v>
      </c>
      <c r="AR26" s="846" t="s">
        <v>194</v>
      </c>
      <c r="AS26" s="846" t="s">
        <v>194</v>
      </c>
      <c r="AT26" s="846" t="s">
        <v>194</v>
      </c>
      <c r="AU26" s="846" t="s">
        <v>194</v>
      </c>
      <c r="AV26" s="846" t="s">
        <v>194</v>
      </c>
      <c r="AW26" s="846" t="s">
        <v>194</v>
      </c>
      <c r="AX26" s="846" t="s">
        <v>194</v>
      </c>
      <c r="AY26" s="846" t="s">
        <v>194</v>
      </c>
      <c r="AZ26" s="846" t="s">
        <v>194</v>
      </c>
      <c r="BA26" s="846" t="s">
        <v>194</v>
      </c>
      <c r="BB26" s="846" t="s">
        <v>194</v>
      </c>
      <c r="BC26" s="846" t="s">
        <v>194</v>
      </c>
      <c r="BD26" s="846" t="s">
        <v>194</v>
      </c>
      <c r="BE26" s="846" t="s">
        <v>194</v>
      </c>
      <c r="BF26" s="846" t="s">
        <v>194</v>
      </c>
      <c r="BG26" s="846" t="s">
        <v>194</v>
      </c>
    </row>
    <row r="27" ht="15.75" customHeight="1">
      <c r="A27" s="849">
        <v>1.0</v>
      </c>
      <c r="B27" s="15"/>
      <c r="C27" s="855" t="str">
        <f>"Total Operating Profit/(Loss)"</f>
        <v>Total Operating Profit/(Loss)</v>
      </c>
      <c r="D27" s="866">
        <f t="shared" si="9"/>
        <v>15430.5</v>
      </c>
      <c r="E27" s="866">
        <f t="shared" si="10"/>
        <v>17500.125</v>
      </c>
      <c r="F27" s="866">
        <f t="shared" si="11"/>
        <v>-1722</v>
      </c>
      <c r="G27" s="866">
        <f t="shared" si="12"/>
        <v>38307</v>
      </c>
      <c r="H27" s="866">
        <f t="shared" si="13"/>
        <v>8961.75</v>
      </c>
      <c r="I27" s="866">
        <f t="shared" si="14"/>
        <v>26124.5</v>
      </c>
      <c r="J27" s="866">
        <f t="shared" si="15"/>
        <v>11819.43827</v>
      </c>
      <c r="K27" s="867">
        <f t="shared" si="16"/>
        <v>0.6753916483</v>
      </c>
      <c r="L27" s="866" t="s">
        <v>194</v>
      </c>
      <c r="M27" s="866">
        <v>37892.0</v>
      </c>
      <c r="N27" s="866">
        <v>38307.0</v>
      </c>
      <c r="O27" s="866">
        <v>36243.0</v>
      </c>
      <c r="P27" s="866">
        <v>30719.0</v>
      </c>
      <c r="Q27" s="866">
        <v>27590.0</v>
      </c>
      <c r="R27" s="866">
        <v>28571.0</v>
      </c>
      <c r="S27" s="866">
        <v>25636.0</v>
      </c>
      <c r="T27" s="866">
        <v>25158.0</v>
      </c>
      <c r="U27" s="866">
        <v>22864.0</v>
      </c>
      <c r="V27" s="866">
        <v>20167.0</v>
      </c>
      <c r="W27" s="866">
        <v>18484.0</v>
      </c>
      <c r="X27" s="866">
        <v>15810.0</v>
      </c>
      <c r="Y27" s="866">
        <v>15051.0</v>
      </c>
      <c r="Z27" s="866">
        <v>13009.0</v>
      </c>
      <c r="AA27" s="866">
        <v>12862.0</v>
      </c>
      <c r="AB27" s="866">
        <v>11480.0</v>
      </c>
      <c r="AC27" s="866">
        <v>10511.0</v>
      </c>
      <c r="AD27" s="866">
        <v>9632.0</v>
      </c>
      <c r="AE27" s="866">
        <v>6951.0</v>
      </c>
      <c r="AF27" s="866">
        <v>5380.0</v>
      </c>
      <c r="AG27" s="866">
        <v>4464.0</v>
      </c>
      <c r="AH27" s="866">
        <v>4115.0</v>
      </c>
      <c r="AI27" s="866">
        <v>829.0</v>
      </c>
      <c r="AJ27" s="866">
        <v>-1722.0</v>
      </c>
      <c r="AK27" s="15"/>
      <c r="AL27" s="851" t="s">
        <v>194</v>
      </c>
      <c r="AM27" s="846" t="s">
        <v>194</v>
      </c>
      <c r="AN27" s="846" t="s">
        <v>194</v>
      </c>
      <c r="AO27" s="846" t="s">
        <v>194</v>
      </c>
      <c r="AP27" s="846" t="s">
        <v>194</v>
      </c>
      <c r="AQ27" s="846" t="s">
        <v>194</v>
      </c>
      <c r="AR27" s="846" t="s">
        <v>194</v>
      </c>
      <c r="AS27" s="846" t="s">
        <v>194</v>
      </c>
      <c r="AT27" s="846" t="s">
        <v>194</v>
      </c>
      <c r="AU27" s="846" t="s">
        <v>194</v>
      </c>
      <c r="AV27" s="846" t="s">
        <v>194</v>
      </c>
      <c r="AW27" s="846" t="s">
        <v>194</v>
      </c>
      <c r="AX27" s="846" t="s">
        <v>194</v>
      </c>
      <c r="AY27" s="846" t="s">
        <v>194</v>
      </c>
      <c r="AZ27" s="846" t="s">
        <v>194</v>
      </c>
      <c r="BA27" s="846" t="s">
        <v>194</v>
      </c>
      <c r="BB27" s="846" t="s">
        <v>194</v>
      </c>
      <c r="BC27" s="846" t="s">
        <v>194</v>
      </c>
      <c r="BD27" s="846" t="s">
        <v>194</v>
      </c>
      <c r="BE27" s="846" t="s">
        <v>194</v>
      </c>
      <c r="BF27" s="846" t="s">
        <v>194</v>
      </c>
      <c r="BG27" s="846" t="s">
        <v>194</v>
      </c>
    </row>
    <row r="28" ht="15.75" customHeight="1" collapsed="1">
      <c r="A28" s="849">
        <v>1.0</v>
      </c>
      <c r="B28" s="15"/>
      <c r="C28" s="855" t="str">
        <f>IF(SUBTOTAL(109,A29)=A29,"Non-Operating Income/(Expenses)","Non-Operating Income/(Expenses), Total")</f>
        <v>Non-Operating Income/(Expenses), Total</v>
      </c>
      <c r="D28" s="866">
        <f t="shared" si="9"/>
        <v>-193</v>
      </c>
      <c r="E28" s="866">
        <f t="shared" si="10"/>
        <v>303.1666667</v>
      </c>
      <c r="F28" s="866">
        <f t="shared" si="11"/>
        <v>-828</v>
      </c>
      <c r="G28" s="866">
        <f t="shared" si="12"/>
        <v>2745</v>
      </c>
      <c r="H28" s="866">
        <f t="shared" si="13"/>
        <v>-410.25</v>
      </c>
      <c r="I28" s="866">
        <f t="shared" si="14"/>
        <v>800.25</v>
      </c>
      <c r="J28" s="866">
        <f t="shared" si="15"/>
        <v>1109.206636</v>
      </c>
      <c r="K28" s="867">
        <f t="shared" si="16"/>
        <v>3.658735469</v>
      </c>
      <c r="L28" s="866" t="s">
        <v>194</v>
      </c>
      <c r="M28" s="866">
        <f>IF(SUBTOTAL(109,A29)=A29,"",2563)</f>
        <v>2563</v>
      </c>
      <c r="N28" s="866">
        <f>IF(SUBTOTAL(109,A29)=A29,"",2119)</f>
        <v>2119</v>
      </c>
      <c r="O28" s="866">
        <f>IF(SUBTOTAL(109,A29)=A29,"",1701)</f>
        <v>1701</v>
      </c>
      <c r="P28" s="866">
        <f>IF(SUBTOTAL(109,A29)=A29,"",2745)</f>
        <v>2745</v>
      </c>
      <c r="Q28" s="866">
        <f>IF(SUBTOTAL(109,A29)=A29,"",2066)</f>
        <v>2066</v>
      </c>
      <c r="R28" s="866">
        <f>IF(SUBTOTAL(109,A29)=A29,"",1125)</f>
        <v>1125</v>
      </c>
      <c r="S28" s="866">
        <f>IF(SUBTOTAL(109,A29)=A29,"",692)</f>
        <v>692</v>
      </c>
      <c r="T28" s="866">
        <f>IF(SUBTOTAL(109,A29)=A29,"",46)</f>
        <v>46</v>
      </c>
      <c r="U28" s="866">
        <f>IF(SUBTOTAL(109,A29)=A29,"",-139)</f>
        <v>-139</v>
      </c>
      <c r="V28" s="866">
        <f>IF(SUBTOTAL(109,A29)=A29,"",41)</f>
        <v>41</v>
      </c>
      <c r="W28" s="866">
        <f>IF(SUBTOTAL(109,A29)=A29,"",-47)</f>
        <v>-47</v>
      </c>
      <c r="X28" s="866">
        <f t="shared" ref="X28:X30" si="17">IF(SUBTOTAL(109,A29)=A29,"",-101)</f>
        <v>-101</v>
      </c>
      <c r="Y28" s="866">
        <f>IF(SUBTOTAL(109,A29)=A29,"",-324)</f>
        <v>-324</v>
      </c>
      <c r="Z28" s="866">
        <f>IF(SUBTOTAL(109,A29)=A29,"",-262)</f>
        <v>-262</v>
      </c>
      <c r="AA28" s="866">
        <f>IF(SUBTOTAL(109,A29)=A29,"",-319)</f>
        <v>-319</v>
      </c>
      <c r="AB28" s="866">
        <f>IF(SUBTOTAL(109,A29)=A29,"",-475)</f>
        <v>-475</v>
      </c>
      <c r="AC28" s="866">
        <f>IF(SUBTOTAL(109,A29)=A29,"",-459)</f>
        <v>-459</v>
      </c>
      <c r="AD28" s="866">
        <f>IF(SUBTOTAL(109,A29)=A29,"",-684)</f>
        <v>-684</v>
      </c>
      <c r="AE28" s="866">
        <f>IF(SUBTOTAL(109,A29)=A29,"",-660)</f>
        <v>-660</v>
      </c>
      <c r="AF28" s="866">
        <f>IF(SUBTOTAL(109,A29)=A29,"",-828)</f>
        <v>-828</v>
      </c>
      <c r="AG28" s="866">
        <f>IF(SUBTOTAL(109,A29)=A29,"",-616)</f>
        <v>-616</v>
      </c>
      <c r="AH28" s="866">
        <f>IF(SUBTOTAL(109,A29)=A29,"",-394)</f>
        <v>-394</v>
      </c>
      <c r="AI28" s="866">
        <f>IF(SUBTOTAL(109,A29)=A29,"",-247)</f>
        <v>-247</v>
      </c>
      <c r="AJ28" s="866">
        <f>IF(SUBTOTAL(109,A29)=A29,"",-267)</f>
        <v>-267</v>
      </c>
      <c r="AK28" s="15"/>
      <c r="AL28" s="851" t="s">
        <v>194</v>
      </c>
      <c r="AM28" s="846" t="s">
        <v>194</v>
      </c>
      <c r="AN28" s="846" t="s">
        <v>194</v>
      </c>
      <c r="AO28" s="846" t="s">
        <v>194</v>
      </c>
      <c r="AP28" s="846" t="s">
        <v>194</v>
      </c>
      <c r="AQ28" s="846" t="s">
        <v>194</v>
      </c>
      <c r="AR28" s="846" t="s">
        <v>194</v>
      </c>
      <c r="AS28" s="846" t="s">
        <v>194</v>
      </c>
      <c r="AT28" s="846" t="s">
        <v>194</v>
      </c>
      <c r="AU28" s="846" t="s">
        <v>194</v>
      </c>
      <c r="AV28" s="846" t="s">
        <v>194</v>
      </c>
      <c r="AW28" s="846" t="s">
        <v>194</v>
      </c>
      <c r="AX28" s="846" t="s">
        <v>194</v>
      </c>
      <c r="AY28" s="846" t="s">
        <v>194</v>
      </c>
      <c r="AZ28" s="846" t="s">
        <v>194</v>
      </c>
      <c r="BA28" s="846" t="s">
        <v>194</v>
      </c>
      <c r="BB28" s="846" t="s">
        <v>194</v>
      </c>
      <c r="BC28" s="846" t="s">
        <v>194</v>
      </c>
      <c r="BD28" s="846" t="s">
        <v>194</v>
      </c>
      <c r="BE28" s="846" t="s">
        <v>194</v>
      </c>
      <c r="BF28" s="846" t="s">
        <v>194</v>
      </c>
      <c r="BG28" s="846" t="s">
        <v>194</v>
      </c>
    </row>
    <row r="29" ht="15.75" hidden="1" customHeight="1" outlineLevel="1">
      <c r="A29" s="849">
        <v>1.0</v>
      </c>
      <c r="B29" s="15"/>
      <c r="C29" s="869" t="str">
        <f>IF(SUBTOTAL(109,A30)=A30,"    Net Finance (Income)/Expense","    Total Net Finance (Income)/Expense")</f>
        <v>    Total Net Finance (Income)/Expense</v>
      </c>
      <c r="D29" s="870">
        <f t="shared" si="9"/>
        <v>-90.5</v>
      </c>
      <c r="E29" s="870">
        <f t="shared" si="10"/>
        <v>-294.75</v>
      </c>
      <c r="F29" s="870">
        <f t="shared" si="11"/>
        <v>-3259</v>
      </c>
      <c r="G29" s="870">
        <f t="shared" si="12"/>
        <v>675</v>
      </c>
      <c r="H29" s="870">
        <f t="shared" si="13"/>
        <v>-417.25</v>
      </c>
      <c r="I29" s="870">
        <f t="shared" si="14"/>
        <v>405.5</v>
      </c>
      <c r="J29" s="870">
        <f t="shared" si="15"/>
        <v>980.2695392</v>
      </c>
      <c r="K29" s="871">
        <f t="shared" si="16"/>
        <v>-3.325766036</v>
      </c>
      <c r="L29" s="872" t="s">
        <v>194</v>
      </c>
      <c r="M29" s="872">
        <f t="shared" ref="M29:M30" si="18">IF(SUBTOTAL(109,A30)=A30,"",-3259)</f>
        <v>-3259</v>
      </c>
      <c r="N29" s="872">
        <f t="shared" ref="N29:N30" si="19">IF(SUBTOTAL(109,A30)=A30,"",-2408)</f>
        <v>-2408</v>
      </c>
      <c r="O29" s="872">
        <f t="shared" ref="O29:O30" si="20">IF(SUBTOTAL(109,A30)=A30,"",-1734)</f>
        <v>-1734</v>
      </c>
      <c r="P29" s="872">
        <f t="shared" ref="P29:P30" si="21">IF(SUBTOTAL(109,A30)=A30,"",-1207)</f>
        <v>-1207</v>
      </c>
      <c r="Q29" s="872">
        <f t="shared" ref="Q29:Q30" si="22">IF(SUBTOTAL(109,A30)=A30,"",-765)</f>
        <v>-765</v>
      </c>
      <c r="R29" s="872">
        <f t="shared" ref="R29:R30" si="23">IF(SUBTOTAL(109,A30)=A30,"",-538)</f>
        <v>-538</v>
      </c>
      <c r="S29" s="872">
        <f t="shared" ref="S29:S30" si="24">IF(SUBTOTAL(109,A30)=A30,"",-377)</f>
        <v>-377</v>
      </c>
      <c r="T29" s="872">
        <f t="shared" ref="T29:T30" si="25">IF(SUBTOTAL(109,A30)=A30,"",-265)</f>
        <v>-265</v>
      </c>
      <c r="U29" s="872">
        <f t="shared" ref="U29:U30" si="26">IF(SUBTOTAL(109,A30)=A30,"",-190)</f>
        <v>-190</v>
      </c>
      <c r="V29" s="872">
        <f t="shared" ref="V29:V30" si="27">IF(SUBTOTAL(109,A30)=A30,"",-152)</f>
        <v>-152</v>
      </c>
      <c r="W29" s="872">
        <f t="shared" ref="W29:W30" si="28">IF(SUBTOTAL(109,A30)=A30,"",-115)</f>
        <v>-115</v>
      </c>
      <c r="X29" s="872">
        <f t="shared" si="17"/>
        <v>-101</v>
      </c>
      <c r="Y29" s="872">
        <f t="shared" ref="Y29:Y30" si="29">IF(SUBTOTAL(109,A30)=A30,"",-80)</f>
        <v>-80</v>
      </c>
      <c r="Z29" s="872">
        <f t="shared" ref="Z29:Z30" si="30">IF(SUBTOTAL(109,A30)=A30,"",-53)</f>
        <v>-53</v>
      </c>
      <c r="AA29" s="872">
        <f t="shared" ref="AA29:AA30" si="31">IF(SUBTOTAL(109,A30)=A30,"",64)</f>
        <v>64</v>
      </c>
      <c r="AB29" s="872">
        <f t="shared" ref="AB29:AB30" si="32">IF(SUBTOTAL(109,A30)=A30,"",275)</f>
        <v>275</v>
      </c>
      <c r="AC29" s="872">
        <f t="shared" ref="AC29:AC30" si="33">IF(SUBTOTAL(109,A30)=A30,"",407)</f>
        <v>407</v>
      </c>
      <c r="AD29" s="872">
        <f t="shared" ref="AD29:AD30" si="34">IF(SUBTOTAL(109,A30)=A30,"",659)</f>
        <v>659</v>
      </c>
      <c r="AE29" s="872">
        <f t="shared" ref="AE29:AE30" si="35">IF(SUBTOTAL(109,A30)=A30,"",675)</f>
        <v>675</v>
      </c>
      <c r="AF29" s="872">
        <f t="shared" ref="AF29:AF30" si="36">IF(SUBTOTAL(109,A30)=A30,"",576)</f>
        <v>576</v>
      </c>
      <c r="AG29" s="872">
        <f t="shared" ref="AG29:AG30" si="37">IF(SUBTOTAL(109,A30)=A30,"",550)</f>
        <v>550</v>
      </c>
      <c r="AH29" s="872">
        <f t="shared" ref="AH29:AH30" si="38">IF(SUBTOTAL(109,A30)=A30,"",411)</f>
        <v>411</v>
      </c>
      <c r="AI29" s="872">
        <f t="shared" ref="AI29:AI30" si="39">IF(SUBTOTAL(109,A30)=A30,"",405)</f>
        <v>405</v>
      </c>
      <c r="AJ29" s="872">
        <f t="shared" ref="AJ29:AJ30" si="40">IF(SUBTOTAL(109,A30)=A30,"",148)</f>
        <v>148</v>
      </c>
      <c r="AK29" s="15"/>
      <c r="AL29" s="851" t="s">
        <v>194</v>
      </c>
      <c r="AM29" s="846" t="s">
        <v>194</v>
      </c>
      <c r="AN29" s="846" t="s">
        <v>194</v>
      </c>
      <c r="AO29" s="846" t="s">
        <v>194</v>
      </c>
      <c r="AP29" s="846" t="s">
        <v>194</v>
      </c>
      <c r="AQ29" s="846" t="s">
        <v>194</v>
      </c>
      <c r="AR29" s="846" t="s">
        <v>194</v>
      </c>
      <c r="AS29" s="846" t="s">
        <v>194</v>
      </c>
      <c r="AT29" s="846" t="s">
        <v>194</v>
      </c>
      <c r="AU29" s="846" t="s">
        <v>194</v>
      </c>
      <c r="AV29" s="846" t="s">
        <v>194</v>
      </c>
      <c r="AW29" s="846" t="s">
        <v>194</v>
      </c>
      <c r="AX29" s="846" t="s">
        <v>194</v>
      </c>
      <c r="AY29" s="846" t="s">
        <v>194</v>
      </c>
      <c r="AZ29" s="846" t="s">
        <v>194</v>
      </c>
      <c r="BA29" s="846" t="s">
        <v>194</v>
      </c>
      <c r="BB29" s="846" t="s">
        <v>194</v>
      </c>
      <c r="BC29" s="846" t="s">
        <v>194</v>
      </c>
      <c r="BD29" s="846" t="s">
        <v>194</v>
      </c>
      <c r="BE29" s="846" t="s">
        <v>194</v>
      </c>
      <c r="BF29" s="846" t="s">
        <v>194</v>
      </c>
      <c r="BG29" s="846" t="s">
        <v>194</v>
      </c>
    </row>
    <row r="30" ht="15.75" hidden="1" customHeight="1" outlineLevel="2">
      <c r="A30" s="849">
        <v>1.0</v>
      </c>
      <c r="B30" s="15"/>
      <c r="C30" s="869" t="str">
        <f>IF(SUBTOTAL(109,A31)=A31,"        Net Interest (Income)/Expense","        Net Interest (Income)/Expense")</f>
        <v>        Net Interest (Income)/Expense</v>
      </c>
      <c r="D30" s="870">
        <f t="shared" si="9"/>
        <v>-90.5</v>
      </c>
      <c r="E30" s="870">
        <f t="shared" si="10"/>
        <v>-294.75</v>
      </c>
      <c r="F30" s="870">
        <f t="shared" si="11"/>
        <v>-3259</v>
      </c>
      <c r="G30" s="870">
        <f t="shared" si="12"/>
        <v>675</v>
      </c>
      <c r="H30" s="870">
        <f t="shared" si="13"/>
        <v>-417.25</v>
      </c>
      <c r="I30" s="870">
        <f t="shared" si="14"/>
        <v>405.5</v>
      </c>
      <c r="J30" s="870">
        <f t="shared" si="15"/>
        <v>980.2695392</v>
      </c>
      <c r="K30" s="871">
        <f t="shared" si="16"/>
        <v>-3.325766036</v>
      </c>
      <c r="L30" s="872" t="s">
        <v>194</v>
      </c>
      <c r="M30" s="872">
        <f t="shared" si="18"/>
        <v>-3259</v>
      </c>
      <c r="N30" s="872">
        <f t="shared" si="19"/>
        <v>-2408</v>
      </c>
      <c r="O30" s="872">
        <f t="shared" si="20"/>
        <v>-1734</v>
      </c>
      <c r="P30" s="872">
        <f t="shared" si="21"/>
        <v>-1207</v>
      </c>
      <c r="Q30" s="872">
        <f t="shared" si="22"/>
        <v>-765</v>
      </c>
      <c r="R30" s="872">
        <f t="shared" si="23"/>
        <v>-538</v>
      </c>
      <c r="S30" s="872">
        <f t="shared" si="24"/>
        <v>-377</v>
      </c>
      <c r="T30" s="872">
        <f t="shared" si="25"/>
        <v>-265</v>
      </c>
      <c r="U30" s="872">
        <f t="shared" si="26"/>
        <v>-190</v>
      </c>
      <c r="V30" s="872">
        <f t="shared" si="27"/>
        <v>-152</v>
      </c>
      <c r="W30" s="872">
        <f t="shared" si="28"/>
        <v>-115</v>
      </c>
      <c r="X30" s="872">
        <f t="shared" si="17"/>
        <v>-101</v>
      </c>
      <c r="Y30" s="872">
        <f t="shared" si="29"/>
        <v>-80</v>
      </c>
      <c r="Z30" s="872">
        <f t="shared" si="30"/>
        <v>-53</v>
      </c>
      <c r="AA30" s="872">
        <f t="shared" si="31"/>
        <v>64</v>
      </c>
      <c r="AB30" s="872">
        <f t="shared" si="32"/>
        <v>275</v>
      </c>
      <c r="AC30" s="872">
        <f t="shared" si="33"/>
        <v>407</v>
      </c>
      <c r="AD30" s="872">
        <f t="shared" si="34"/>
        <v>659</v>
      </c>
      <c r="AE30" s="872">
        <f t="shared" si="35"/>
        <v>675</v>
      </c>
      <c r="AF30" s="872">
        <f t="shared" si="36"/>
        <v>576</v>
      </c>
      <c r="AG30" s="872">
        <f t="shared" si="37"/>
        <v>550</v>
      </c>
      <c r="AH30" s="872">
        <f t="shared" si="38"/>
        <v>411</v>
      </c>
      <c r="AI30" s="872">
        <f t="shared" si="39"/>
        <v>405</v>
      </c>
      <c r="AJ30" s="872">
        <f t="shared" si="40"/>
        <v>148</v>
      </c>
      <c r="AK30" s="15"/>
      <c r="AL30" s="851" t="s">
        <v>194</v>
      </c>
      <c r="AM30" s="846" t="s">
        <v>194</v>
      </c>
      <c r="AN30" s="846" t="s">
        <v>194</v>
      </c>
      <c r="AO30" s="846" t="s">
        <v>194</v>
      </c>
      <c r="AP30" s="846" t="s">
        <v>194</v>
      </c>
      <c r="AQ30" s="846" t="s">
        <v>194</v>
      </c>
      <c r="AR30" s="846" t="s">
        <v>194</v>
      </c>
      <c r="AS30" s="846" t="s">
        <v>194</v>
      </c>
      <c r="AT30" s="846" t="s">
        <v>194</v>
      </c>
      <c r="AU30" s="846" t="s">
        <v>194</v>
      </c>
      <c r="AV30" s="846" t="s">
        <v>194</v>
      </c>
      <c r="AW30" s="846" t="s">
        <v>194</v>
      </c>
      <c r="AX30" s="846" t="s">
        <v>194</v>
      </c>
      <c r="AY30" s="846" t="s">
        <v>194</v>
      </c>
      <c r="AZ30" s="846" t="s">
        <v>194</v>
      </c>
      <c r="BA30" s="846" t="s">
        <v>194</v>
      </c>
      <c r="BB30" s="846" t="s">
        <v>194</v>
      </c>
      <c r="BC30" s="846" t="s">
        <v>194</v>
      </c>
      <c r="BD30" s="846" t="s">
        <v>194</v>
      </c>
      <c r="BE30" s="846" t="s">
        <v>194</v>
      </c>
      <c r="BF30" s="846" t="s">
        <v>194</v>
      </c>
      <c r="BG30" s="846" t="s">
        <v>194</v>
      </c>
    </row>
    <row r="31" ht="15.75" hidden="1" customHeight="1" outlineLevel="3">
      <c r="A31" s="849">
        <v>1.0</v>
      </c>
      <c r="B31" s="15"/>
      <c r="C31" s="869" t="str">
        <f>IF(SUBTOTAL(109,A32)=A32,"            Interest Expense Net of Capitalized Interest","            Interest Expense Net of Capitalized Interest")</f>
        <v>            Interest Expense Net of Capitalized Interest</v>
      </c>
      <c r="D31" s="870">
        <f t="shared" si="9"/>
        <v>20</v>
      </c>
      <c r="E31" s="870">
        <f t="shared" si="10"/>
        <v>196.625</v>
      </c>
      <c r="F31" s="870">
        <f t="shared" si="11"/>
        <v>0</v>
      </c>
      <c r="G31" s="870">
        <f t="shared" si="12"/>
        <v>699</v>
      </c>
      <c r="H31" s="870">
        <f t="shared" si="13"/>
        <v>0.75</v>
      </c>
      <c r="I31" s="870">
        <f t="shared" si="14"/>
        <v>430.25</v>
      </c>
      <c r="J31" s="870">
        <f t="shared" si="15"/>
        <v>256.7847707</v>
      </c>
      <c r="K31" s="871">
        <f t="shared" si="16"/>
        <v>1.305961962</v>
      </c>
      <c r="L31" s="872" t="s">
        <v>194</v>
      </c>
      <c r="M31" s="872">
        <f>IF(SUBTOTAL(109,A32)=A32,"",0)</f>
        <v>0</v>
      </c>
      <c r="N31" s="872">
        <f>IF(SUBTOTAL(109,A32)=A32,"",0)</f>
        <v>0</v>
      </c>
      <c r="O31" s="872">
        <f>IF(SUBTOTAL(109,A32)=A32,"",0)</f>
        <v>0</v>
      </c>
      <c r="P31" s="872">
        <f>IF(SUBTOTAL(109,A32)=A32,"",0)</f>
        <v>0</v>
      </c>
      <c r="Q31" s="872">
        <f>IF(SUBTOTAL(109,A32)=A32,"",0)</f>
        <v>0</v>
      </c>
      <c r="R31" s="872">
        <f>IF(SUBTOTAL(109,A32)=A32,"",0)</f>
        <v>0</v>
      </c>
      <c r="S31" s="872">
        <f>IF(SUBTOTAL(109,A32)=A32,"",1)</f>
        <v>1</v>
      </c>
      <c r="T31" s="872">
        <f>IF(SUBTOTAL(109,A32)=A32,"",3)</f>
        <v>3</v>
      </c>
      <c r="U31" s="872">
        <f>IF(SUBTOTAL(109,A32)=A32,"",6)</f>
        <v>6</v>
      </c>
      <c r="V31" s="872">
        <f>IF(SUBTOTAL(109,A32)=A32,"",10)</f>
        <v>10</v>
      </c>
      <c r="W31" s="872">
        <f>IF(SUBTOTAL(109,A32)=A32,"",14)</f>
        <v>14</v>
      </c>
      <c r="X31" s="872">
        <f>IF(SUBTOTAL(109,A32)=A32,"",18)</f>
        <v>18</v>
      </c>
      <c r="Y31" s="872">
        <f>IF(SUBTOTAL(109,A32)=A32,"",22)</f>
        <v>22</v>
      </c>
      <c r="Z31" s="872">
        <f>IF(SUBTOTAL(109,A32)=A32,"",27)</f>
        <v>27</v>
      </c>
      <c r="AA31" s="872">
        <f>IF(SUBTOTAL(109,A32)=A32,"",126)</f>
        <v>126</v>
      </c>
      <c r="AB31" s="872">
        <f>IF(SUBTOTAL(109,A32)=A32,"",323)</f>
        <v>323</v>
      </c>
      <c r="AC31" s="872">
        <f>IF(SUBTOTAL(109,A32)=A32,"",449)</f>
        <v>449</v>
      </c>
      <c r="AD31" s="872">
        <f>IF(SUBTOTAL(109,A32)=A32,"",690)</f>
        <v>690</v>
      </c>
      <c r="AE31" s="872">
        <f>IF(SUBTOTAL(109,A32)=A32,"",699)</f>
        <v>699</v>
      </c>
      <c r="AF31" s="872">
        <f>IF(SUBTOTAL(109,A32)=A32,"",591)</f>
        <v>591</v>
      </c>
      <c r="AG31" s="872">
        <f>IF(SUBTOTAL(109,A32)=A32,"",562)</f>
        <v>562</v>
      </c>
      <c r="AH31" s="872">
        <f>IF(SUBTOTAL(109,A32)=A32,"",424)</f>
        <v>424</v>
      </c>
      <c r="AI31" s="872">
        <f>IF(SUBTOTAL(109,A32)=A32,"",493)</f>
        <v>493</v>
      </c>
      <c r="AJ31" s="872">
        <f>IF(SUBTOTAL(109,A32)=A32,"",261)</f>
        <v>261</v>
      </c>
      <c r="AK31" s="15"/>
      <c r="AL31" s="851" t="s">
        <v>194</v>
      </c>
      <c r="AM31" s="846" t="s">
        <v>194</v>
      </c>
      <c r="AN31" s="846" t="s">
        <v>194</v>
      </c>
      <c r="AO31" s="846" t="s">
        <v>194</v>
      </c>
      <c r="AP31" s="846" t="s">
        <v>194</v>
      </c>
      <c r="AQ31" s="846" t="s">
        <v>194</v>
      </c>
      <c r="AR31" s="846" t="s">
        <v>194</v>
      </c>
      <c r="AS31" s="846" t="s">
        <v>194</v>
      </c>
      <c r="AT31" s="846" t="s">
        <v>194</v>
      </c>
      <c r="AU31" s="846" t="s">
        <v>194</v>
      </c>
      <c r="AV31" s="846" t="s">
        <v>194</v>
      </c>
      <c r="AW31" s="846" t="s">
        <v>194</v>
      </c>
      <c r="AX31" s="846" t="s">
        <v>194</v>
      </c>
      <c r="AY31" s="846" t="s">
        <v>194</v>
      </c>
      <c r="AZ31" s="846" t="s">
        <v>194</v>
      </c>
      <c r="BA31" s="846" t="s">
        <v>194</v>
      </c>
      <c r="BB31" s="846" t="s">
        <v>194</v>
      </c>
      <c r="BC31" s="846" t="s">
        <v>194</v>
      </c>
      <c r="BD31" s="846" t="s">
        <v>194</v>
      </c>
      <c r="BE31" s="846" t="s">
        <v>194</v>
      </c>
      <c r="BF31" s="846" t="s">
        <v>194</v>
      </c>
      <c r="BG31" s="846" t="s">
        <v>194</v>
      </c>
    </row>
    <row r="32" ht="15.75" hidden="1" customHeight="1" outlineLevel="4">
      <c r="A32" s="849">
        <v>1.0</v>
      </c>
      <c r="B32" s="15"/>
      <c r="C32" s="869" t="str">
        <f>"                Gross Interest"</f>
        <v>                Gross Interest</v>
      </c>
      <c r="D32" s="870">
        <f t="shared" si="9"/>
        <v>22</v>
      </c>
      <c r="E32" s="870">
        <f t="shared" si="10"/>
        <v>205.173913</v>
      </c>
      <c r="F32" s="870">
        <f t="shared" si="11"/>
        <v>0</v>
      </c>
      <c r="G32" s="870">
        <f t="shared" si="12"/>
        <v>699</v>
      </c>
      <c r="H32" s="870">
        <f t="shared" si="13"/>
        <v>2</v>
      </c>
      <c r="I32" s="870">
        <f t="shared" si="14"/>
        <v>436.5</v>
      </c>
      <c r="J32" s="870">
        <f t="shared" si="15"/>
        <v>259.0403009</v>
      </c>
      <c r="K32" s="871">
        <f t="shared" si="16"/>
        <v>1.26254014</v>
      </c>
      <c r="L32" s="872" t="s">
        <v>194</v>
      </c>
      <c r="M32" s="872" t="s">
        <v>194</v>
      </c>
      <c r="N32" s="872">
        <v>0.0</v>
      </c>
      <c r="O32" s="872">
        <v>0.0</v>
      </c>
      <c r="P32" s="872">
        <v>0.0</v>
      </c>
      <c r="Q32" s="872">
        <v>0.0</v>
      </c>
      <c r="R32" s="872">
        <v>0.0</v>
      </c>
      <c r="S32" s="872">
        <v>1.0</v>
      </c>
      <c r="T32" s="872">
        <v>3.0</v>
      </c>
      <c r="U32" s="872">
        <v>6.0</v>
      </c>
      <c r="V32" s="872">
        <v>10.0</v>
      </c>
      <c r="W32" s="872">
        <v>14.0</v>
      </c>
      <c r="X32" s="872">
        <v>18.0</v>
      </c>
      <c r="Y32" s="872">
        <v>22.0</v>
      </c>
      <c r="Z32" s="872">
        <v>27.0</v>
      </c>
      <c r="AA32" s="872">
        <v>126.0</v>
      </c>
      <c r="AB32" s="872">
        <v>323.0</v>
      </c>
      <c r="AC32" s="872">
        <v>449.0</v>
      </c>
      <c r="AD32" s="872">
        <v>690.0</v>
      </c>
      <c r="AE32" s="872">
        <v>699.0</v>
      </c>
      <c r="AF32" s="872">
        <v>591.0</v>
      </c>
      <c r="AG32" s="872">
        <v>562.0</v>
      </c>
      <c r="AH32" s="872">
        <v>424.0</v>
      </c>
      <c r="AI32" s="872">
        <v>493.0</v>
      </c>
      <c r="AJ32" s="872">
        <v>261.0</v>
      </c>
      <c r="AK32" s="15"/>
      <c r="AL32" s="851" t="s">
        <v>194</v>
      </c>
      <c r="AM32" s="846" t="s">
        <v>194</v>
      </c>
      <c r="AN32" s="846" t="s">
        <v>194</v>
      </c>
      <c r="AO32" s="846" t="s">
        <v>194</v>
      </c>
      <c r="AP32" s="846" t="s">
        <v>194</v>
      </c>
      <c r="AQ32" s="846" t="s">
        <v>194</v>
      </c>
      <c r="AR32" s="846" t="s">
        <v>194</v>
      </c>
      <c r="AS32" s="846" t="s">
        <v>194</v>
      </c>
      <c r="AT32" s="846" t="s">
        <v>194</v>
      </c>
      <c r="AU32" s="846" t="s">
        <v>194</v>
      </c>
      <c r="AV32" s="846" t="s">
        <v>194</v>
      </c>
      <c r="AW32" s="846" t="s">
        <v>194</v>
      </c>
      <c r="AX32" s="846" t="s">
        <v>194</v>
      </c>
      <c r="AY32" s="846" t="s">
        <v>194</v>
      </c>
      <c r="AZ32" s="846" t="s">
        <v>194</v>
      </c>
      <c r="BA32" s="846" t="s">
        <v>194</v>
      </c>
      <c r="BB32" s="846" t="s">
        <v>194</v>
      </c>
      <c r="BC32" s="846" t="s">
        <v>194</v>
      </c>
      <c r="BD32" s="846" t="s">
        <v>194</v>
      </c>
      <c r="BE32" s="846" t="s">
        <v>194</v>
      </c>
      <c r="BF32" s="846" t="s">
        <v>194</v>
      </c>
      <c r="BG32" s="846" t="s">
        <v>194</v>
      </c>
    </row>
    <row r="33" ht="15.75" hidden="1" customHeight="1" outlineLevel="4">
      <c r="A33" s="849">
        <v>1.0</v>
      </c>
      <c r="B33" s="15"/>
      <c r="C33" s="881" t="str">
        <f>"                Total Interest Expense Net of Capitalized Interest"</f>
        <v>                Total Interest Expense Net of Capitalized Interest</v>
      </c>
      <c r="D33" s="882">
        <f t="shared" si="9"/>
        <v>20</v>
      </c>
      <c r="E33" s="882">
        <f t="shared" si="10"/>
        <v>196.625</v>
      </c>
      <c r="F33" s="882">
        <f t="shared" si="11"/>
        <v>0</v>
      </c>
      <c r="G33" s="882">
        <f t="shared" si="12"/>
        <v>699</v>
      </c>
      <c r="H33" s="882">
        <f t="shared" si="13"/>
        <v>0.75</v>
      </c>
      <c r="I33" s="882">
        <f t="shared" si="14"/>
        <v>430.25</v>
      </c>
      <c r="J33" s="882">
        <f t="shared" si="15"/>
        <v>256.7847707</v>
      </c>
      <c r="K33" s="883">
        <f t="shared" si="16"/>
        <v>1.305961962</v>
      </c>
      <c r="L33" s="884" t="s">
        <v>194</v>
      </c>
      <c r="M33" s="884">
        <v>0.0</v>
      </c>
      <c r="N33" s="884">
        <v>0.0</v>
      </c>
      <c r="O33" s="884">
        <v>0.0</v>
      </c>
      <c r="P33" s="884">
        <v>0.0</v>
      </c>
      <c r="Q33" s="884">
        <v>0.0</v>
      </c>
      <c r="R33" s="884">
        <v>0.0</v>
      </c>
      <c r="S33" s="884">
        <v>1.0</v>
      </c>
      <c r="T33" s="884">
        <v>3.0</v>
      </c>
      <c r="U33" s="884">
        <v>6.0</v>
      </c>
      <c r="V33" s="884">
        <v>10.0</v>
      </c>
      <c r="W33" s="884">
        <v>14.0</v>
      </c>
      <c r="X33" s="884">
        <v>18.0</v>
      </c>
      <c r="Y33" s="884">
        <v>22.0</v>
      </c>
      <c r="Z33" s="884">
        <v>27.0</v>
      </c>
      <c r="AA33" s="884">
        <v>126.0</v>
      </c>
      <c r="AB33" s="884">
        <v>323.0</v>
      </c>
      <c r="AC33" s="884">
        <v>449.0</v>
      </c>
      <c r="AD33" s="884">
        <v>690.0</v>
      </c>
      <c r="AE33" s="884">
        <v>699.0</v>
      </c>
      <c r="AF33" s="884">
        <v>591.0</v>
      </c>
      <c r="AG33" s="884">
        <v>562.0</v>
      </c>
      <c r="AH33" s="884">
        <v>424.0</v>
      </c>
      <c r="AI33" s="884">
        <v>493.0</v>
      </c>
      <c r="AJ33" s="884">
        <v>261.0</v>
      </c>
      <c r="AK33" s="15"/>
      <c r="AL33" s="851" t="s">
        <v>194</v>
      </c>
      <c r="AM33" s="846" t="s">
        <v>194</v>
      </c>
      <c r="AN33" s="846" t="s">
        <v>194</v>
      </c>
      <c r="AO33" s="846" t="s">
        <v>194</v>
      </c>
      <c r="AP33" s="846" t="s">
        <v>194</v>
      </c>
      <c r="AQ33" s="846" t="s">
        <v>194</v>
      </c>
      <c r="AR33" s="846" t="s">
        <v>194</v>
      </c>
      <c r="AS33" s="846" t="s">
        <v>194</v>
      </c>
      <c r="AT33" s="846" t="s">
        <v>194</v>
      </c>
      <c r="AU33" s="846" t="s">
        <v>194</v>
      </c>
      <c r="AV33" s="846" t="s">
        <v>194</v>
      </c>
      <c r="AW33" s="846" t="s">
        <v>194</v>
      </c>
      <c r="AX33" s="846" t="s">
        <v>194</v>
      </c>
      <c r="AY33" s="846" t="s">
        <v>194</v>
      </c>
      <c r="AZ33" s="846" t="s">
        <v>194</v>
      </c>
      <c r="BA33" s="846" t="s">
        <v>194</v>
      </c>
      <c r="BB33" s="846" t="s">
        <v>194</v>
      </c>
      <c r="BC33" s="846" t="s">
        <v>194</v>
      </c>
      <c r="BD33" s="846" t="s">
        <v>194</v>
      </c>
      <c r="BE33" s="846" t="s">
        <v>194</v>
      </c>
      <c r="BF33" s="846" t="s">
        <v>194</v>
      </c>
      <c r="BG33" s="846" t="s">
        <v>194</v>
      </c>
    </row>
    <row r="34" ht="15.75" hidden="1" customHeight="1" outlineLevel="3">
      <c r="A34" s="849">
        <v>1.0</v>
      </c>
      <c r="B34" s="15"/>
      <c r="C34" s="869" t="str">
        <f>"            Interest Income"</f>
        <v>            Interest Income</v>
      </c>
      <c r="D34" s="870">
        <f t="shared" si="9"/>
        <v>116</v>
      </c>
      <c r="E34" s="870">
        <f t="shared" si="10"/>
        <v>491.375</v>
      </c>
      <c r="F34" s="870">
        <f t="shared" si="11"/>
        <v>12</v>
      </c>
      <c r="G34" s="870">
        <f t="shared" si="12"/>
        <v>3259</v>
      </c>
      <c r="H34" s="870">
        <f t="shared" si="13"/>
        <v>46.5</v>
      </c>
      <c r="I34" s="870">
        <f t="shared" si="14"/>
        <v>418</v>
      </c>
      <c r="J34" s="870">
        <f t="shared" si="15"/>
        <v>842.3700422</v>
      </c>
      <c r="K34" s="871">
        <f t="shared" si="16"/>
        <v>1.714311966</v>
      </c>
      <c r="L34" s="872" t="s">
        <v>194</v>
      </c>
      <c r="M34" s="872">
        <v>3259.0</v>
      </c>
      <c r="N34" s="872">
        <v>2408.0</v>
      </c>
      <c r="O34" s="872">
        <v>1734.0</v>
      </c>
      <c r="P34" s="872">
        <v>1207.0</v>
      </c>
      <c r="Q34" s="872">
        <v>765.0</v>
      </c>
      <c r="R34" s="872">
        <v>538.0</v>
      </c>
      <c r="S34" s="872">
        <v>378.0</v>
      </c>
      <c r="T34" s="872">
        <v>268.0</v>
      </c>
      <c r="U34" s="872">
        <v>196.0</v>
      </c>
      <c r="V34" s="872">
        <v>162.0</v>
      </c>
      <c r="W34" s="872">
        <v>129.0</v>
      </c>
      <c r="X34" s="872">
        <v>119.0</v>
      </c>
      <c r="Y34" s="872">
        <v>102.0</v>
      </c>
      <c r="Z34" s="872">
        <v>80.0</v>
      </c>
      <c r="AA34" s="872">
        <v>62.0</v>
      </c>
      <c r="AB34" s="872">
        <v>48.0</v>
      </c>
      <c r="AC34" s="872">
        <v>42.0</v>
      </c>
      <c r="AD34" s="872">
        <v>31.0</v>
      </c>
      <c r="AE34" s="872">
        <v>24.0</v>
      </c>
      <c r="AF34" s="872">
        <v>15.0</v>
      </c>
      <c r="AG34" s="872">
        <v>12.0</v>
      </c>
      <c r="AH34" s="872">
        <v>13.0</v>
      </c>
      <c r="AI34" s="872">
        <v>88.0</v>
      </c>
      <c r="AJ34" s="872">
        <v>113.0</v>
      </c>
      <c r="AK34" s="15"/>
      <c r="AL34" s="851" t="s">
        <v>194</v>
      </c>
      <c r="AM34" s="846" t="s">
        <v>194</v>
      </c>
      <c r="AN34" s="846" t="s">
        <v>194</v>
      </c>
      <c r="AO34" s="846" t="s">
        <v>194</v>
      </c>
      <c r="AP34" s="846" t="s">
        <v>194</v>
      </c>
      <c r="AQ34" s="846" t="s">
        <v>194</v>
      </c>
      <c r="AR34" s="846" t="s">
        <v>194</v>
      </c>
      <c r="AS34" s="846" t="s">
        <v>194</v>
      </c>
      <c r="AT34" s="846" t="s">
        <v>194</v>
      </c>
      <c r="AU34" s="846" t="s">
        <v>194</v>
      </c>
      <c r="AV34" s="846" t="s">
        <v>194</v>
      </c>
      <c r="AW34" s="846" t="s">
        <v>194</v>
      </c>
      <c r="AX34" s="846" t="s">
        <v>194</v>
      </c>
      <c r="AY34" s="846" t="s">
        <v>194</v>
      </c>
      <c r="AZ34" s="846" t="s">
        <v>194</v>
      </c>
      <c r="BA34" s="846" t="s">
        <v>194</v>
      </c>
      <c r="BB34" s="846" t="s">
        <v>194</v>
      </c>
      <c r="BC34" s="846" t="s">
        <v>194</v>
      </c>
      <c r="BD34" s="846" t="s">
        <v>194</v>
      </c>
      <c r="BE34" s="846" t="s">
        <v>194</v>
      </c>
      <c r="BF34" s="846" t="s">
        <v>194</v>
      </c>
      <c r="BG34" s="846" t="s">
        <v>194</v>
      </c>
    </row>
    <row r="35" ht="15.75" hidden="1" customHeight="1" outlineLevel="3">
      <c r="A35" s="849">
        <v>1.0</v>
      </c>
      <c r="B35" s="15"/>
      <c r="C35" s="881" t="str">
        <f>"            Total Net Interest (Income)/Expense"</f>
        <v>            Total Net Interest (Income)/Expense</v>
      </c>
      <c r="D35" s="882">
        <f t="shared" si="9"/>
        <v>-90.5</v>
      </c>
      <c r="E35" s="882">
        <f t="shared" si="10"/>
        <v>-294.75</v>
      </c>
      <c r="F35" s="882">
        <f t="shared" si="11"/>
        <v>-3259</v>
      </c>
      <c r="G35" s="882">
        <f t="shared" si="12"/>
        <v>675</v>
      </c>
      <c r="H35" s="882">
        <f t="shared" si="13"/>
        <v>-417.25</v>
      </c>
      <c r="I35" s="882">
        <f t="shared" si="14"/>
        <v>405.5</v>
      </c>
      <c r="J35" s="882">
        <f t="shared" si="15"/>
        <v>980.2695392</v>
      </c>
      <c r="K35" s="883">
        <f t="shared" si="16"/>
        <v>-3.325766036</v>
      </c>
      <c r="L35" s="884" t="s">
        <v>194</v>
      </c>
      <c r="M35" s="884">
        <v>-3259.0</v>
      </c>
      <c r="N35" s="884">
        <v>-2408.0</v>
      </c>
      <c r="O35" s="884">
        <v>-1734.0</v>
      </c>
      <c r="P35" s="884">
        <v>-1207.0</v>
      </c>
      <c r="Q35" s="884">
        <v>-765.0</v>
      </c>
      <c r="R35" s="884">
        <v>-538.0</v>
      </c>
      <c r="S35" s="884">
        <v>-377.0</v>
      </c>
      <c r="T35" s="884">
        <v>-265.0</v>
      </c>
      <c r="U35" s="884">
        <v>-190.0</v>
      </c>
      <c r="V35" s="884">
        <v>-152.0</v>
      </c>
      <c r="W35" s="884">
        <v>-115.0</v>
      </c>
      <c r="X35" s="884">
        <v>-101.0</v>
      </c>
      <c r="Y35" s="884">
        <v>-80.0</v>
      </c>
      <c r="Z35" s="884">
        <v>-53.0</v>
      </c>
      <c r="AA35" s="884">
        <v>64.0</v>
      </c>
      <c r="AB35" s="884">
        <v>275.0</v>
      </c>
      <c r="AC35" s="884">
        <v>407.0</v>
      </c>
      <c r="AD35" s="884">
        <v>659.0</v>
      </c>
      <c r="AE35" s="884">
        <v>675.0</v>
      </c>
      <c r="AF35" s="884">
        <v>576.0</v>
      </c>
      <c r="AG35" s="884">
        <v>550.0</v>
      </c>
      <c r="AH35" s="884">
        <v>411.0</v>
      </c>
      <c r="AI35" s="884">
        <v>405.0</v>
      </c>
      <c r="AJ35" s="884">
        <v>148.0</v>
      </c>
      <c r="AK35" s="15"/>
      <c r="AL35" s="851" t="s">
        <v>194</v>
      </c>
      <c r="AM35" s="846" t="s">
        <v>194</v>
      </c>
      <c r="AN35" s="846" t="s">
        <v>194</v>
      </c>
      <c r="AO35" s="846" t="s">
        <v>194</v>
      </c>
      <c r="AP35" s="846" t="s">
        <v>194</v>
      </c>
      <c r="AQ35" s="846" t="s">
        <v>194</v>
      </c>
      <c r="AR35" s="846" t="s">
        <v>194</v>
      </c>
      <c r="AS35" s="846" t="s">
        <v>194</v>
      </c>
      <c r="AT35" s="846" t="s">
        <v>194</v>
      </c>
      <c r="AU35" s="846" t="s">
        <v>194</v>
      </c>
      <c r="AV35" s="846" t="s">
        <v>194</v>
      </c>
      <c r="AW35" s="846" t="s">
        <v>194</v>
      </c>
      <c r="AX35" s="846" t="s">
        <v>194</v>
      </c>
      <c r="AY35" s="846" t="s">
        <v>194</v>
      </c>
      <c r="AZ35" s="846" t="s">
        <v>194</v>
      </c>
      <c r="BA35" s="846" t="s">
        <v>194</v>
      </c>
      <c r="BB35" s="846" t="s">
        <v>194</v>
      </c>
      <c r="BC35" s="846" t="s">
        <v>194</v>
      </c>
      <c r="BD35" s="846" t="s">
        <v>194</v>
      </c>
      <c r="BE35" s="846" t="s">
        <v>194</v>
      </c>
      <c r="BF35" s="846" t="s">
        <v>194</v>
      </c>
      <c r="BG35" s="846" t="s">
        <v>194</v>
      </c>
    </row>
    <row r="36" ht="15.75" hidden="1" customHeight="1" outlineLevel="2">
      <c r="A36" s="849">
        <v>1.0</v>
      </c>
      <c r="B36" s="15"/>
      <c r="C36" s="881" t="str">
        <f>"        Total Net Finance (Income)/Expense"</f>
        <v>        Total Net Finance (Income)/Expense</v>
      </c>
      <c r="D36" s="882">
        <f t="shared" si="9"/>
        <v>-90.5</v>
      </c>
      <c r="E36" s="882">
        <f t="shared" si="10"/>
        <v>-294.75</v>
      </c>
      <c r="F36" s="882">
        <f t="shared" si="11"/>
        <v>-3259</v>
      </c>
      <c r="G36" s="882">
        <f t="shared" si="12"/>
        <v>675</v>
      </c>
      <c r="H36" s="882">
        <f t="shared" si="13"/>
        <v>-417.25</v>
      </c>
      <c r="I36" s="882">
        <f t="shared" si="14"/>
        <v>405.5</v>
      </c>
      <c r="J36" s="882">
        <f t="shared" si="15"/>
        <v>980.2695392</v>
      </c>
      <c r="K36" s="883">
        <f t="shared" si="16"/>
        <v>-3.325766036</v>
      </c>
      <c r="L36" s="884" t="s">
        <v>194</v>
      </c>
      <c r="M36" s="884">
        <v>-3259.0</v>
      </c>
      <c r="N36" s="884">
        <v>-2408.0</v>
      </c>
      <c r="O36" s="884">
        <v>-1734.0</v>
      </c>
      <c r="P36" s="884">
        <v>-1207.0</v>
      </c>
      <c r="Q36" s="884">
        <v>-765.0</v>
      </c>
      <c r="R36" s="884">
        <v>-538.0</v>
      </c>
      <c r="S36" s="884">
        <v>-377.0</v>
      </c>
      <c r="T36" s="884">
        <v>-265.0</v>
      </c>
      <c r="U36" s="884">
        <v>-190.0</v>
      </c>
      <c r="V36" s="884">
        <v>-152.0</v>
      </c>
      <c r="W36" s="884">
        <v>-115.0</v>
      </c>
      <c r="X36" s="884">
        <v>-101.0</v>
      </c>
      <c r="Y36" s="884">
        <v>-80.0</v>
      </c>
      <c r="Z36" s="884">
        <v>-53.0</v>
      </c>
      <c r="AA36" s="884">
        <v>64.0</v>
      </c>
      <c r="AB36" s="884">
        <v>275.0</v>
      </c>
      <c r="AC36" s="884">
        <v>407.0</v>
      </c>
      <c r="AD36" s="884">
        <v>659.0</v>
      </c>
      <c r="AE36" s="884">
        <v>675.0</v>
      </c>
      <c r="AF36" s="884">
        <v>576.0</v>
      </c>
      <c r="AG36" s="884">
        <v>550.0</v>
      </c>
      <c r="AH36" s="884">
        <v>411.0</v>
      </c>
      <c r="AI36" s="884">
        <v>405.0</v>
      </c>
      <c r="AJ36" s="884">
        <v>148.0</v>
      </c>
      <c r="AK36" s="15"/>
      <c r="AL36" s="851" t="s">
        <v>194</v>
      </c>
      <c r="AM36" s="846" t="s">
        <v>194</v>
      </c>
      <c r="AN36" s="846" t="s">
        <v>194</v>
      </c>
      <c r="AO36" s="846" t="s">
        <v>194</v>
      </c>
      <c r="AP36" s="846" t="s">
        <v>194</v>
      </c>
      <c r="AQ36" s="846" t="s">
        <v>194</v>
      </c>
      <c r="AR36" s="846" t="s">
        <v>194</v>
      </c>
      <c r="AS36" s="846" t="s">
        <v>194</v>
      </c>
      <c r="AT36" s="846" t="s">
        <v>194</v>
      </c>
      <c r="AU36" s="846" t="s">
        <v>194</v>
      </c>
      <c r="AV36" s="846" t="s">
        <v>194</v>
      </c>
      <c r="AW36" s="846" t="s">
        <v>194</v>
      </c>
      <c r="AX36" s="846" t="s">
        <v>194</v>
      </c>
      <c r="AY36" s="846" t="s">
        <v>194</v>
      </c>
      <c r="AZ36" s="846" t="s">
        <v>194</v>
      </c>
      <c r="BA36" s="846" t="s">
        <v>194</v>
      </c>
      <c r="BB36" s="846" t="s">
        <v>194</v>
      </c>
      <c r="BC36" s="846" t="s">
        <v>194</v>
      </c>
      <c r="BD36" s="846" t="s">
        <v>194</v>
      </c>
      <c r="BE36" s="846" t="s">
        <v>194</v>
      </c>
      <c r="BF36" s="846" t="s">
        <v>194</v>
      </c>
      <c r="BG36" s="846" t="s">
        <v>194</v>
      </c>
    </row>
    <row r="37" ht="15.75" hidden="1" customHeight="1" outlineLevel="1">
      <c r="A37" s="849">
        <v>1.0</v>
      </c>
      <c r="B37" s="15"/>
      <c r="C37" s="869" t="str">
        <f>IF(SUBTOTAL(109,A38)=A38,"    Net Investment Income","    Net Investment Income")</f>
        <v>    Net Investment Income</v>
      </c>
      <c r="D37" s="870">
        <f t="shared" si="9"/>
        <v>0</v>
      </c>
      <c r="E37" s="870">
        <f t="shared" si="10"/>
        <v>-59.27272727</v>
      </c>
      <c r="F37" s="870">
        <f t="shared" si="11"/>
        <v>-262</v>
      </c>
      <c r="G37" s="870">
        <f t="shared" si="12"/>
        <v>148</v>
      </c>
      <c r="H37" s="870">
        <f t="shared" si="13"/>
        <v>-160.5</v>
      </c>
      <c r="I37" s="870">
        <f t="shared" si="14"/>
        <v>8.5</v>
      </c>
      <c r="J37" s="870">
        <f t="shared" si="15"/>
        <v>130.2091325</v>
      </c>
      <c r="K37" s="871">
        <f t="shared" si="16"/>
        <v>-2.196779842</v>
      </c>
      <c r="L37" s="872" t="s">
        <v>194</v>
      </c>
      <c r="M37" s="872" t="str">
        <f t="shared" ref="M37:M38" si="41">IF(SUBTOTAL(109,A38)=A38,"","")</f>
        <v/>
      </c>
      <c r="N37" s="872" t="str">
        <f t="shared" ref="N37:N38" si="42">IF(SUBTOTAL(109,A38)=A38,"","")</f>
        <v/>
      </c>
      <c r="O37" s="872" t="str">
        <f t="shared" ref="O37:O38" si="43">IF(SUBTOTAL(109,A38)=A38,"","")</f>
        <v/>
      </c>
      <c r="P37" s="872" t="str">
        <f t="shared" ref="P37:P38" si="44">IF(SUBTOTAL(109,A38)=A38,"","")</f>
        <v/>
      </c>
      <c r="Q37" s="872" t="str">
        <f t="shared" ref="Q37:Q38" si="45">IF(SUBTOTAL(109,A38)=A38,"","")</f>
        <v/>
      </c>
      <c r="R37" s="872" t="str">
        <f t="shared" ref="R37:R38" si="46">IF(SUBTOTAL(109,A38)=A38,"","")</f>
        <v/>
      </c>
      <c r="S37" s="872" t="str">
        <f t="shared" ref="S37:S38" si="47">IF(SUBTOTAL(109,A38)=A38,"","")</f>
        <v/>
      </c>
      <c r="T37" s="872" t="str">
        <f t="shared" ref="T37:T38" si="48">IF(SUBTOTAL(109,A38)=A38,"","")</f>
        <v/>
      </c>
      <c r="U37" s="872" t="str">
        <f t="shared" ref="U37:U38" si="49">IF(SUBTOTAL(109,A38)=A38,"","")</f>
        <v/>
      </c>
      <c r="V37" s="872" t="str">
        <f t="shared" ref="V37:V38" si="50">IF(SUBTOTAL(109,A38)=A38,"","")</f>
        <v/>
      </c>
      <c r="W37" s="872" t="str">
        <f t="shared" ref="W37:W38" si="51">IF(SUBTOTAL(109,A38)=A38,"","")</f>
        <v/>
      </c>
      <c r="X37" s="872" t="str">
        <f t="shared" ref="X37:X38" si="52">IF(SUBTOTAL(109,A38)=A38,"","")</f>
        <v/>
      </c>
      <c r="Y37" s="872" t="str">
        <f t="shared" ref="Y37:Y38" si="53">IF(SUBTOTAL(109,A38)=A38,"","")</f>
        <v/>
      </c>
      <c r="Z37" s="872">
        <f t="shared" ref="Z37:Z38" si="54">IF(SUBTOTAL(109,A38)=A38,"",0)</f>
        <v>0</v>
      </c>
      <c r="AA37" s="872">
        <f t="shared" ref="AA37:AA38" si="55">IF(SUBTOTAL(109,A38)=A38,"",0)</f>
        <v>0</v>
      </c>
      <c r="AB37" s="872">
        <f t="shared" ref="AB37:AB38" si="56">IF(SUBTOTAL(109,A38)=A38,"",0)</f>
        <v>0</v>
      </c>
      <c r="AC37" s="872">
        <f t="shared" ref="AC37:AC38" si="57">IF(SUBTOTAL(109,A38)=A38,"",36)</f>
        <v>36</v>
      </c>
      <c r="AD37" s="872">
        <f t="shared" ref="AD37:AD38" si="58">IF(SUBTOTAL(109,A38)=A38,"",-24)</f>
        <v>-24</v>
      </c>
      <c r="AE37" s="872">
        <f t="shared" ref="AE37:AE38" si="59">IF(SUBTOTAL(109,A38)=A38,"",17)</f>
        <v>17</v>
      </c>
      <c r="AF37" s="872">
        <f t="shared" ref="AF37:AF38" si="60">IF(SUBTOTAL(109,A38)=A38,"",-246)</f>
        <v>-246</v>
      </c>
      <c r="AG37" s="872">
        <f t="shared" ref="AG37:AG38" si="61">IF(SUBTOTAL(109,A38)=A38,"",-262)</f>
        <v>-262</v>
      </c>
      <c r="AH37" s="872">
        <f t="shared" ref="AH37:AH38" si="62">IF(SUBTOTAL(109,A38)=A38,"",-202)</f>
        <v>-202</v>
      </c>
      <c r="AI37" s="872">
        <f t="shared" ref="AI37:AI38" si="63">IF(SUBTOTAL(109,A38)=A38,"",148)</f>
        <v>148</v>
      </c>
      <c r="AJ37" s="872">
        <f t="shared" ref="AJ37:AJ38" si="64">IF(SUBTOTAL(109,A38)=A38,"",-119)</f>
        <v>-119</v>
      </c>
      <c r="AK37" s="15"/>
      <c r="AL37" s="851" t="s">
        <v>194</v>
      </c>
      <c r="AM37" s="846" t="s">
        <v>194</v>
      </c>
      <c r="AN37" s="846" t="s">
        <v>194</v>
      </c>
      <c r="AO37" s="846" t="s">
        <v>194</v>
      </c>
      <c r="AP37" s="846" t="s">
        <v>194</v>
      </c>
      <c r="AQ37" s="846" t="s">
        <v>194</v>
      </c>
      <c r="AR37" s="846" t="s">
        <v>194</v>
      </c>
      <c r="AS37" s="846" t="s">
        <v>194</v>
      </c>
      <c r="AT37" s="846" t="s">
        <v>194</v>
      </c>
      <c r="AU37" s="846" t="s">
        <v>194</v>
      </c>
      <c r="AV37" s="846" t="s">
        <v>194</v>
      </c>
      <c r="AW37" s="846" t="s">
        <v>194</v>
      </c>
      <c r="AX37" s="846" t="s">
        <v>194</v>
      </c>
      <c r="AY37" s="846" t="s">
        <v>194</v>
      </c>
      <c r="AZ37" s="846" t="s">
        <v>194</v>
      </c>
      <c r="BA37" s="846" t="s">
        <v>194</v>
      </c>
      <c r="BB37" s="846" t="s">
        <v>194</v>
      </c>
      <c r="BC37" s="846" t="s">
        <v>194</v>
      </c>
      <c r="BD37" s="846" t="s">
        <v>194</v>
      </c>
      <c r="BE37" s="846" t="s">
        <v>194</v>
      </c>
      <c r="BF37" s="846" t="s">
        <v>194</v>
      </c>
      <c r="BG37" s="846" t="s">
        <v>194</v>
      </c>
    </row>
    <row r="38" ht="15.75" hidden="1" customHeight="1" outlineLevel="2">
      <c r="A38" s="849">
        <v>1.0</v>
      </c>
      <c r="B38" s="15"/>
      <c r="C38" s="869" t="str">
        <f>IF(SUBTOTAL(109,A39)=A39,"        Gain/(Loss) on Derivatives","        Gain/(Loss) on Derivatives")</f>
        <v>        Gain/(Loss) on Derivatives</v>
      </c>
      <c r="D38" s="870">
        <f t="shared" si="9"/>
        <v>0</v>
      </c>
      <c r="E38" s="870">
        <f t="shared" si="10"/>
        <v>-59.27272727</v>
      </c>
      <c r="F38" s="870">
        <f t="shared" si="11"/>
        <v>-262</v>
      </c>
      <c r="G38" s="870">
        <f t="shared" si="12"/>
        <v>148</v>
      </c>
      <c r="H38" s="870">
        <f t="shared" si="13"/>
        <v>-160.5</v>
      </c>
      <c r="I38" s="870">
        <f t="shared" si="14"/>
        <v>8.5</v>
      </c>
      <c r="J38" s="870">
        <f t="shared" si="15"/>
        <v>130.2091325</v>
      </c>
      <c r="K38" s="871">
        <f t="shared" si="16"/>
        <v>-2.196779842</v>
      </c>
      <c r="L38" s="872" t="s">
        <v>194</v>
      </c>
      <c r="M38" s="872" t="str">
        <f t="shared" si="41"/>
        <v/>
      </c>
      <c r="N38" s="872" t="str">
        <f t="shared" si="42"/>
        <v/>
      </c>
      <c r="O38" s="872" t="str">
        <f t="shared" si="43"/>
        <v/>
      </c>
      <c r="P38" s="872" t="str">
        <f t="shared" si="44"/>
        <v/>
      </c>
      <c r="Q38" s="872" t="str">
        <f t="shared" si="45"/>
        <v/>
      </c>
      <c r="R38" s="872" t="str">
        <f t="shared" si="46"/>
        <v/>
      </c>
      <c r="S38" s="872" t="str">
        <f t="shared" si="47"/>
        <v/>
      </c>
      <c r="T38" s="872" t="str">
        <f t="shared" si="48"/>
        <v/>
      </c>
      <c r="U38" s="872" t="str">
        <f t="shared" si="49"/>
        <v/>
      </c>
      <c r="V38" s="872" t="str">
        <f t="shared" si="50"/>
        <v/>
      </c>
      <c r="W38" s="872" t="str">
        <f t="shared" si="51"/>
        <v/>
      </c>
      <c r="X38" s="872" t="str">
        <f t="shared" si="52"/>
        <v/>
      </c>
      <c r="Y38" s="872" t="str">
        <f t="shared" si="53"/>
        <v/>
      </c>
      <c r="Z38" s="872">
        <f t="shared" si="54"/>
        <v>0</v>
      </c>
      <c r="AA38" s="872">
        <f t="shared" si="55"/>
        <v>0</v>
      </c>
      <c r="AB38" s="872">
        <f t="shared" si="56"/>
        <v>0</v>
      </c>
      <c r="AC38" s="872">
        <f t="shared" si="57"/>
        <v>36</v>
      </c>
      <c r="AD38" s="872">
        <f t="shared" si="58"/>
        <v>-24</v>
      </c>
      <c r="AE38" s="872">
        <f t="shared" si="59"/>
        <v>17</v>
      </c>
      <c r="AF38" s="872">
        <f t="shared" si="60"/>
        <v>-246</v>
      </c>
      <c r="AG38" s="872">
        <f t="shared" si="61"/>
        <v>-262</v>
      </c>
      <c r="AH38" s="872">
        <f t="shared" si="62"/>
        <v>-202</v>
      </c>
      <c r="AI38" s="872">
        <f t="shared" si="63"/>
        <v>148</v>
      </c>
      <c r="AJ38" s="872">
        <f t="shared" si="64"/>
        <v>-119</v>
      </c>
      <c r="AK38" s="15"/>
      <c r="AL38" s="851" t="s">
        <v>194</v>
      </c>
      <c r="AM38" s="846" t="s">
        <v>194</v>
      </c>
      <c r="AN38" s="846" t="s">
        <v>194</v>
      </c>
      <c r="AO38" s="846" t="s">
        <v>194</v>
      </c>
      <c r="AP38" s="846" t="s">
        <v>194</v>
      </c>
      <c r="AQ38" s="846" t="s">
        <v>194</v>
      </c>
      <c r="AR38" s="846" t="s">
        <v>194</v>
      </c>
      <c r="AS38" s="846" t="s">
        <v>194</v>
      </c>
      <c r="AT38" s="846" t="s">
        <v>194</v>
      </c>
      <c r="AU38" s="846" t="s">
        <v>194</v>
      </c>
      <c r="AV38" s="846" t="s">
        <v>194</v>
      </c>
      <c r="AW38" s="846" t="s">
        <v>194</v>
      </c>
      <c r="AX38" s="846" t="s">
        <v>194</v>
      </c>
      <c r="AY38" s="846" t="s">
        <v>194</v>
      </c>
      <c r="AZ38" s="846" t="s">
        <v>194</v>
      </c>
      <c r="BA38" s="846" t="s">
        <v>194</v>
      </c>
      <c r="BB38" s="846" t="s">
        <v>194</v>
      </c>
      <c r="BC38" s="846" t="s">
        <v>194</v>
      </c>
      <c r="BD38" s="846" t="s">
        <v>194</v>
      </c>
      <c r="BE38" s="846" t="s">
        <v>194</v>
      </c>
      <c r="BF38" s="846" t="s">
        <v>194</v>
      </c>
      <c r="BG38" s="846" t="s">
        <v>194</v>
      </c>
    </row>
    <row r="39" ht="15.75" hidden="1" customHeight="1" outlineLevel="3">
      <c r="A39" s="849">
        <v>1.0</v>
      </c>
      <c r="B39" s="15"/>
      <c r="C39" s="869" t="str">
        <f>"            Unrealized Gain/Loss on Derivatives"</f>
        <v>            Unrealized Gain/Loss on Derivatives</v>
      </c>
      <c r="D39" s="870">
        <f t="shared" si="9"/>
        <v>0</v>
      </c>
      <c r="E39" s="870">
        <f t="shared" si="10"/>
        <v>-59.27272727</v>
      </c>
      <c r="F39" s="870">
        <f t="shared" si="11"/>
        <v>-262</v>
      </c>
      <c r="G39" s="870">
        <f t="shared" si="12"/>
        <v>148</v>
      </c>
      <c r="H39" s="870">
        <f t="shared" si="13"/>
        <v>-160.5</v>
      </c>
      <c r="I39" s="870">
        <f t="shared" si="14"/>
        <v>8.5</v>
      </c>
      <c r="J39" s="870">
        <f t="shared" si="15"/>
        <v>130.2091325</v>
      </c>
      <c r="K39" s="871">
        <f t="shared" si="16"/>
        <v>-2.196779842</v>
      </c>
      <c r="L39" s="872" t="s">
        <v>194</v>
      </c>
      <c r="M39" s="872" t="s">
        <v>194</v>
      </c>
      <c r="N39" s="872" t="s">
        <v>194</v>
      </c>
      <c r="O39" s="872" t="s">
        <v>194</v>
      </c>
      <c r="P39" s="872" t="s">
        <v>194</v>
      </c>
      <c r="Q39" s="872" t="s">
        <v>194</v>
      </c>
      <c r="R39" s="872" t="s">
        <v>194</v>
      </c>
      <c r="S39" s="872" t="s">
        <v>194</v>
      </c>
      <c r="T39" s="872" t="s">
        <v>194</v>
      </c>
      <c r="U39" s="872" t="s">
        <v>194</v>
      </c>
      <c r="V39" s="872" t="s">
        <v>194</v>
      </c>
      <c r="W39" s="872" t="s">
        <v>194</v>
      </c>
      <c r="X39" s="872" t="s">
        <v>194</v>
      </c>
      <c r="Y39" s="872" t="s">
        <v>194</v>
      </c>
      <c r="Z39" s="872">
        <v>0.0</v>
      </c>
      <c r="AA39" s="872">
        <v>0.0</v>
      </c>
      <c r="AB39" s="872">
        <v>0.0</v>
      </c>
      <c r="AC39" s="872">
        <v>36.0</v>
      </c>
      <c r="AD39" s="872">
        <v>-24.0</v>
      </c>
      <c r="AE39" s="872">
        <v>17.0</v>
      </c>
      <c r="AF39" s="872">
        <v>-246.0</v>
      </c>
      <c r="AG39" s="872">
        <v>-262.0</v>
      </c>
      <c r="AH39" s="872">
        <v>-202.0</v>
      </c>
      <c r="AI39" s="872">
        <v>148.0</v>
      </c>
      <c r="AJ39" s="872">
        <v>-119.0</v>
      </c>
      <c r="AK39" s="15"/>
      <c r="AL39" s="851" t="s">
        <v>194</v>
      </c>
      <c r="AM39" s="846" t="s">
        <v>194</v>
      </c>
      <c r="AN39" s="846" t="s">
        <v>194</v>
      </c>
      <c r="AO39" s="846" t="s">
        <v>194</v>
      </c>
      <c r="AP39" s="846" t="s">
        <v>194</v>
      </c>
      <c r="AQ39" s="846" t="s">
        <v>194</v>
      </c>
      <c r="AR39" s="846" t="s">
        <v>194</v>
      </c>
      <c r="AS39" s="846" t="s">
        <v>194</v>
      </c>
      <c r="AT39" s="846" t="s">
        <v>194</v>
      </c>
      <c r="AU39" s="846" t="s">
        <v>194</v>
      </c>
      <c r="AV39" s="846" t="s">
        <v>194</v>
      </c>
      <c r="AW39" s="846" t="s">
        <v>194</v>
      </c>
      <c r="AX39" s="846" t="s">
        <v>194</v>
      </c>
      <c r="AY39" s="846" t="s">
        <v>194</v>
      </c>
      <c r="AZ39" s="846" t="s">
        <v>194</v>
      </c>
      <c r="BA39" s="846" t="s">
        <v>194</v>
      </c>
      <c r="BB39" s="846" t="s">
        <v>194</v>
      </c>
      <c r="BC39" s="846" t="s">
        <v>194</v>
      </c>
      <c r="BD39" s="846" t="s">
        <v>194</v>
      </c>
      <c r="BE39" s="846" t="s">
        <v>194</v>
      </c>
      <c r="BF39" s="846" t="s">
        <v>194</v>
      </c>
      <c r="BG39" s="846" t="s">
        <v>194</v>
      </c>
    </row>
    <row r="40" ht="15.75" hidden="1" customHeight="1" outlineLevel="3">
      <c r="A40" s="849">
        <v>1.0</v>
      </c>
      <c r="B40" s="15"/>
      <c r="C40" s="881" t="str">
        <f>"            Total Gain/(Loss) on Derivatives"</f>
        <v>            Total Gain/(Loss) on Derivatives</v>
      </c>
      <c r="D40" s="882">
        <f t="shared" si="9"/>
        <v>0</v>
      </c>
      <c r="E40" s="882">
        <f t="shared" si="10"/>
        <v>-59.27272727</v>
      </c>
      <c r="F40" s="882">
        <f t="shared" si="11"/>
        <v>-262</v>
      </c>
      <c r="G40" s="882">
        <f t="shared" si="12"/>
        <v>148</v>
      </c>
      <c r="H40" s="882">
        <f t="shared" si="13"/>
        <v>-160.5</v>
      </c>
      <c r="I40" s="882">
        <f t="shared" si="14"/>
        <v>8.5</v>
      </c>
      <c r="J40" s="882">
        <f t="shared" si="15"/>
        <v>130.2091325</v>
      </c>
      <c r="K40" s="883">
        <f t="shared" si="16"/>
        <v>-2.196779842</v>
      </c>
      <c r="L40" s="884" t="s">
        <v>194</v>
      </c>
      <c r="M40" s="884" t="s">
        <v>194</v>
      </c>
      <c r="N40" s="884" t="s">
        <v>194</v>
      </c>
      <c r="O40" s="884" t="s">
        <v>194</v>
      </c>
      <c r="P40" s="884" t="s">
        <v>194</v>
      </c>
      <c r="Q40" s="884" t="s">
        <v>194</v>
      </c>
      <c r="R40" s="884" t="s">
        <v>194</v>
      </c>
      <c r="S40" s="884" t="s">
        <v>194</v>
      </c>
      <c r="T40" s="884" t="s">
        <v>194</v>
      </c>
      <c r="U40" s="884" t="s">
        <v>194</v>
      </c>
      <c r="V40" s="884" t="s">
        <v>194</v>
      </c>
      <c r="W40" s="884" t="s">
        <v>194</v>
      </c>
      <c r="X40" s="884" t="s">
        <v>194</v>
      </c>
      <c r="Y40" s="884" t="s">
        <v>194</v>
      </c>
      <c r="Z40" s="884">
        <v>0.0</v>
      </c>
      <c r="AA40" s="884">
        <v>0.0</v>
      </c>
      <c r="AB40" s="884">
        <v>0.0</v>
      </c>
      <c r="AC40" s="884">
        <v>36.0</v>
      </c>
      <c r="AD40" s="884">
        <v>-24.0</v>
      </c>
      <c r="AE40" s="884">
        <v>17.0</v>
      </c>
      <c r="AF40" s="884">
        <v>-246.0</v>
      </c>
      <c r="AG40" s="884">
        <v>-262.0</v>
      </c>
      <c r="AH40" s="884">
        <v>-202.0</v>
      </c>
      <c r="AI40" s="884">
        <v>148.0</v>
      </c>
      <c r="AJ40" s="884">
        <v>-119.0</v>
      </c>
      <c r="AK40" s="15"/>
      <c r="AL40" s="851" t="s">
        <v>194</v>
      </c>
      <c r="AM40" s="846" t="s">
        <v>194</v>
      </c>
      <c r="AN40" s="846" t="s">
        <v>194</v>
      </c>
      <c r="AO40" s="846" t="s">
        <v>194</v>
      </c>
      <c r="AP40" s="846" t="s">
        <v>194</v>
      </c>
      <c r="AQ40" s="846" t="s">
        <v>194</v>
      </c>
      <c r="AR40" s="846" t="s">
        <v>194</v>
      </c>
      <c r="AS40" s="846" t="s">
        <v>194</v>
      </c>
      <c r="AT40" s="846" t="s">
        <v>194</v>
      </c>
      <c r="AU40" s="846" t="s">
        <v>194</v>
      </c>
      <c r="AV40" s="846" t="s">
        <v>194</v>
      </c>
      <c r="AW40" s="846" t="s">
        <v>194</v>
      </c>
      <c r="AX40" s="846" t="s">
        <v>194</v>
      </c>
      <c r="AY40" s="846" t="s">
        <v>194</v>
      </c>
      <c r="AZ40" s="846" t="s">
        <v>194</v>
      </c>
      <c r="BA40" s="846" t="s">
        <v>194</v>
      </c>
      <c r="BB40" s="846" t="s">
        <v>194</v>
      </c>
      <c r="BC40" s="846" t="s">
        <v>194</v>
      </c>
      <c r="BD40" s="846" t="s">
        <v>194</v>
      </c>
      <c r="BE40" s="846" t="s">
        <v>194</v>
      </c>
      <c r="BF40" s="846" t="s">
        <v>194</v>
      </c>
      <c r="BG40" s="846" t="s">
        <v>194</v>
      </c>
    </row>
    <row r="41" ht="15.75" hidden="1" customHeight="1" outlineLevel="2">
      <c r="A41" s="849">
        <v>1.0</v>
      </c>
      <c r="B41" s="15"/>
      <c r="C41" s="881" t="str">
        <f>"        Total Net Investment Income"</f>
        <v>        Total Net Investment Income</v>
      </c>
      <c r="D41" s="882">
        <f t="shared" si="9"/>
        <v>0</v>
      </c>
      <c r="E41" s="882">
        <f t="shared" si="10"/>
        <v>-59.27272727</v>
      </c>
      <c r="F41" s="882">
        <f t="shared" si="11"/>
        <v>-262</v>
      </c>
      <c r="G41" s="882">
        <f t="shared" si="12"/>
        <v>148</v>
      </c>
      <c r="H41" s="882">
        <f t="shared" si="13"/>
        <v>-160.5</v>
      </c>
      <c r="I41" s="882">
        <f t="shared" si="14"/>
        <v>8.5</v>
      </c>
      <c r="J41" s="882">
        <f t="shared" si="15"/>
        <v>130.2091325</v>
      </c>
      <c r="K41" s="883">
        <f t="shared" si="16"/>
        <v>-2.196779842</v>
      </c>
      <c r="L41" s="884" t="s">
        <v>194</v>
      </c>
      <c r="M41" s="884" t="s">
        <v>194</v>
      </c>
      <c r="N41" s="884" t="s">
        <v>194</v>
      </c>
      <c r="O41" s="884" t="s">
        <v>194</v>
      </c>
      <c r="P41" s="884" t="s">
        <v>194</v>
      </c>
      <c r="Q41" s="884" t="s">
        <v>194</v>
      </c>
      <c r="R41" s="884" t="s">
        <v>194</v>
      </c>
      <c r="S41" s="884" t="s">
        <v>194</v>
      </c>
      <c r="T41" s="884" t="s">
        <v>194</v>
      </c>
      <c r="U41" s="884" t="s">
        <v>194</v>
      </c>
      <c r="V41" s="884" t="s">
        <v>194</v>
      </c>
      <c r="W41" s="884" t="s">
        <v>194</v>
      </c>
      <c r="X41" s="884" t="s">
        <v>194</v>
      </c>
      <c r="Y41" s="884" t="s">
        <v>194</v>
      </c>
      <c r="Z41" s="884">
        <v>0.0</v>
      </c>
      <c r="AA41" s="884">
        <v>0.0</v>
      </c>
      <c r="AB41" s="884">
        <v>0.0</v>
      </c>
      <c r="AC41" s="884">
        <v>36.0</v>
      </c>
      <c r="AD41" s="884">
        <v>-24.0</v>
      </c>
      <c r="AE41" s="884">
        <v>17.0</v>
      </c>
      <c r="AF41" s="884">
        <v>-246.0</v>
      </c>
      <c r="AG41" s="884">
        <v>-262.0</v>
      </c>
      <c r="AH41" s="884">
        <v>-202.0</v>
      </c>
      <c r="AI41" s="884">
        <v>148.0</v>
      </c>
      <c r="AJ41" s="884">
        <v>-119.0</v>
      </c>
      <c r="AK41" s="15"/>
      <c r="AL41" s="851" t="s">
        <v>194</v>
      </c>
      <c r="AM41" s="846" t="s">
        <v>194</v>
      </c>
      <c r="AN41" s="846" t="s">
        <v>194</v>
      </c>
      <c r="AO41" s="846" t="s">
        <v>194</v>
      </c>
      <c r="AP41" s="846" t="s">
        <v>194</v>
      </c>
      <c r="AQ41" s="846" t="s">
        <v>194</v>
      </c>
      <c r="AR41" s="846" t="s">
        <v>194</v>
      </c>
      <c r="AS41" s="846" t="s">
        <v>194</v>
      </c>
      <c r="AT41" s="846" t="s">
        <v>194</v>
      </c>
      <c r="AU41" s="846" t="s">
        <v>194</v>
      </c>
      <c r="AV41" s="846" t="s">
        <v>194</v>
      </c>
      <c r="AW41" s="846" t="s">
        <v>194</v>
      </c>
      <c r="AX41" s="846" t="s">
        <v>194</v>
      </c>
      <c r="AY41" s="846" t="s">
        <v>194</v>
      </c>
      <c r="AZ41" s="846" t="s">
        <v>194</v>
      </c>
      <c r="BA41" s="846" t="s">
        <v>194</v>
      </c>
      <c r="BB41" s="846" t="s">
        <v>194</v>
      </c>
      <c r="BC41" s="846" t="s">
        <v>194</v>
      </c>
      <c r="BD41" s="846" t="s">
        <v>194</v>
      </c>
      <c r="BE41" s="846" t="s">
        <v>194</v>
      </c>
      <c r="BF41" s="846" t="s">
        <v>194</v>
      </c>
      <c r="BG41" s="846" t="s">
        <v>194</v>
      </c>
    </row>
    <row r="42" ht="15.75" hidden="1" customHeight="1" outlineLevel="1">
      <c r="A42" s="849">
        <v>1.0</v>
      </c>
      <c r="B42" s="15"/>
      <c r="C42" s="869" t="str">
        <f>"    Other Income/(Expense), Non-Operating"</f>
        <v>    Other Income/(Expense), Non-Operating</v>
      </c>
      <c r="D42" s="870">
        <f t="shared" si="9"/>
        <v>-60.5</v>
      </c>
      <c r="E42" s="870">
        <f t="shared" si="10"/>
        <v>35.58333333</v>
      </c>
      <c r="F42" s="870">
        <f t="shared" si="11"/>
        <v>-696</v>
      </c>
      <c r="G42" s="870">
        <f t="shared" si="12"/>
        <v>1538</v>
      </c>
      <c r="H42" s="870">
        <f t="shared" si="13"/>
        <v>-228</v>
      </c>
      <c r="I42" s="870">
        <f t="shared" si="14"/>
        <v>56.5</v>
      </c>
      <c r="J42" s="870">
        <f t="shared" si="15"/>
        <v>499.4682317</v>
      </c>
      <c r="K42" s="871">
        <f t="shared" si="16"/>
        <v>14.03657794</v>
      </c>
      <c r="L42" s="872" t="s">
        <v>194</v>
      </c>
      <c r="M42" s="872">
        <v>-696.0</v>
      </c>
      <c r="N42" s="872">
        <v>-289.0</v>
      </c>
      <c r="O42" s="872">
        <v>-33.0</v>
      </c>
      <c r="P42" s="872">
        <v>1538.0</v>
      </c>
      <c r="Q42" s="872">
        <v>1301.0</v>
      </c>
      <c r="R42" s="872">
        <v>587.0</v>
      </c>
      <c r="S42" s="872">
        <v>315.0</v>
      </c>
      <c r="T42" s="872">
        <v>-219.0</v>
      </c>
      <c r="U42" s="872">
        <v>-329.0</v>
      </c>
      <c r="V42" s="872">
        <v>-111.0</v>
      </c>
      <c r="W42" s="872">
        <v>-162.0</v>
      </c>
      <c r="X42" s="872">
        <v>-202.0</v>
      </c>
      <c r="Y42" s="872">
        <v>-404.0</v>
      </c>
      <c r="Z42" s="872">
        <v>-315.0</v>
      </c>
      <c r="AA42" s="872">
        <v>-255.0</v>
      </c>
      <c r="AB42" s="872">
        <v>-200.0</v>
      </c>
      <c r="AC42" s="872">
        <v>-88.0</v>
      </c>
      <c r="AD42" s="872">
        <v>-1.0</v>
      </c>
      <c r="AE42" s="872">
        <v>-2.0</v>
      </c>
      <c r="AF42" s="872">
        <v>-6.0</v>
      </c>
      <c r="AG42" s="872">
        <v>196.0</v>
      </c>
      <c r="AH42" s="872">
        <v>219.0</v>
      </c>
      <c r="AI42" s="872">
        <v>10.0</v>
      </c>
      <c r="AJ42" s="872">
        <v>0.0</v>
      </c>
      <c r="AK42" s="15"/>
      <c r="AL42" s="851" t="s">
        <v>194</v>
      </c>
      <c r="AM42" s="846" t="s">
        <v>194</v>
      </c>
      <c r="AN42" s="846" t="s">
        <v>194</v>
      </c>
      <c r="AO42" s="846" t="s">
        <v>194</v>
      </c>
      <c r="AP42" s="846" t="s">
        <v>194</v>
      </c>
      <c r="AQ42" s="846" t="s">
        <v>194</v>
      </c>
      <c r="AR42" s="846" t="s">
        <v>194</v>
      </c>
      <c r="AS42" s="846" t="s">
        <v>194</v>
      </c>
      <c r="AT42" s="846" t="s">
        <v>194</v>
      </c>
      <c r="AU42" s="846" t="s">
        <v>194</v>
      </c>
      <c r="AV42" s="846" t="s">
        <v>194</v>
      </c>
      <c r="AW42" s="846" t="s">
        <v>194</v>
      </c>
      <c r="AX42" s="846" t="s">
        <v>194</v>
      </c>
      <c r="AY42" s="846" t="s">
        <v>194</v>
      </c>
      <c r="AZ42" s="846" t="s">
        <v>194</v>
      </c>
      <c r="BA42" s="846" t="s">
        <v>194</v>
      </c>
      <c r="BB42" s="846" t="s">
        <v>194</v>
      </c>
      <c r="BC42" s="846" t="s">
        <v>194</v>
      </c>
      <c r="BD42" s="846" t="s">
        <v>194</v>
      </c>
      <c r="BE42" s="846" t="s">
        <v>194</v>
      </c>
      <c r="BF42" s="846" t="s">
        <v>194</v>
      </c>
      <c r="BG42" s="846" t="s">
        <v>194</v>
      </c>
    </row>
    <row r="43" ht="15.75" hidden="1" customHeight="1" outlineLevel="1">
      <c r="A43" s="849">
        <v>1.0</v>
      </c>
      <c r="B43" s="15"/>
      <c r="C43" s="855" t="str">
        <f>"    Total Non-Operating Income/(Expenses), Total"</f>
        <v>    Total Non-Operating Income/(Expenses), Total</v>
      </c>
      <c r="D43" s="882">
        <f t="shared" si="9"/>
        <v>-193</v>
      </c>
      <c r="E43" s="882">
        <f t="shared" si="10"/>
        <v>303.1666667</v>
      </c>
      <c r="F43" s="882">
        <f t="shared" si="11"/>
        <v>-828</v>
      </c>
      <c r="G43" s="882">
        <f t="shared" si="12"/>
        <v>2745</v>
      </c>
      <c r="H43" s="882">
        <f t="shared" si="13"/>
        <v>-410.25</v>
      </c>
      <c r="I43" s="882">
        <f t="shared" si="14"/>
        <v>800.25</v>
      </c>
      <c r="J43" s="882">
        <f t="shared" si="15"/>
        <v>1109.206636</v>
      </c>
      <c r="K43" s="883">
        <f t="shared" si="16"/>
        <v>3.658735469</v>
      </c>
      <c r="L43" s="882" t="s">
        <v>194</v>
      </c>
      <c r="M43" s="882">
        <v>2563.0</v>
      </c>
      <c r="N43" s="882">
        <v>2119.0</v>
      </c>
      <c r="O43" s="882">
        <v>1701.0</v>
      </c>
      <c r="P43" s="882">
        <v>2745.0</v>
      </c>
      <c r="Q43" s="882">
        <v>2066.0</v>
      </c>
      <c r="R43" s="882">
        <v>1125.0</v>
      </c>
      <c r="S43" s="882">
        <v>692.0</v>
      </c>
      <c r="T43" s="882">
        <v>46.0</v>
      </c>
      <c r="U43" s="882">
        <v>-139.0</v>
      </c>
      <c r="V43" s="882">
        <v>41.0</v>
      </c>
      <c r="W43" s="882">
        <v>-47.0</v>
      </c>
      <c r="X43" s="882">
        <v>-101.0</v>
      </c>
      <c r="Y43" s="882">
        <v>-324.0</v>
      </c>
      <c r="Z43" s="882">
        <v>-262.0</v>
      </c>
      <c r="AA43" s="882">
        <v>-319.0</v>
      </c>
      <c r="AB43" s="882">
        <v>-475.0</v>
      </c>
      <c r="AC43" s="882">
        <v>-459.0</v>
      </c>
      <c r="AD43" s="882">
        <v>-684.0</v>
      </c>
      <c r="AE43" s="882">
        <v>-660.0</v>
      </c>
      <c r="AF43" s="882">
        <v>-828.0</v>
      </c>
      <c r="AG43" s="882">
        <v>-616.0</v>
      </c>
      <c r="AH43" s="882">
        <v>-394.0</v>
      </c>
      <c r="AI43" s="882">
        <v>-247.0</v>
      </c>
      <c r="AJ43" s="882">
        <v>-267.0</v>
      </c>
      <c r="AK43" s="15"/>
      <c r="AL43" s="851" t="s">
        <v>194</v>
      </c>
      <c r="AM43" s="846" t="s">
        <v>194</v>
      </c>
      <c r="AN43" s="846" t="s">
        <v>194</v>
      </c>
      <c r="AO43" s="846" t="s">
        <v>194</v>
      </c>
      <c r="AP43" s="846" t="s">
        <v>194</v>
      </c>
      <c r="AQ43" s="846" t="s">
        <v>194</v>
      </c>
      <c r="AR43" s="846" t="s">
        <v>194</v>
      </c>
      <c r="AS43" s="846" t="s">
        <v>194</v>
      </c>
      <c r="AT43" s="846" t="s">
        <v>194</v>
      </c>
      <c r="AU43" s="846" t="s">
        <v>194</v>
      </c>
      <c r="AV43" s="846" t="s">
        <v>194</v>
      </c>
      <c r="AW43" s="846" t="s">
        <v>194</v>
      </c>
      <c r="AX43" s="846" t="s">
        <v>194</v>
      </c>
      <c r="AY43" s="846" t="s">
        <v>194</v>
      </c>
      <c r="AZ43" s="846" t="s">
        <v>194</v>
      </c>
      <c r="BA43" s="846" t="s">
        <v>194</v>
      </c>
      <c r="BB43" s="846" t="s">
        <v>194</v>
      </c>
      <c r="BC43" s="846" t="s">
        <v>194</v>
      </c>
      <c r="BD43" s="846" t="s">
        <v>194</v>
      </c>
      <c r="BE43" s="846" t="s">
        <v>194</v>
      </c>
      <c r="BF43" s="846" t="s">
        <v>194</v>
      </c>
      <c r="BG43" s="846" t="s">
        <v>194</v>
      </c>
    </row>
    <row r="44" ht="15.75" customHeight="1">
      <c r="A44" s="849">
        <v>1.0</v>
      </c>
      <c r="B44" s="15"/>
      <c r="C44" s="855" t="str">
        <f>"Pretax Income"</f>
        <v>Pretax Income</v>
      </c>
      <c r="D44" s="866">
        <f t="shared" si="9"/>
        <v>15218</v>
      </c>
      <c r="E44" s="866">
        <f t="shared" si="10"/>
        <v>17803.29167</v>
      </c>
      <c r="F44" s="866">
        <f t="shared" si="11"/>
        <v>-1989</v>
      </c>
      <c r="G44" s="866">
        <f t="shared" si="12"/>
        <v>40455</v>
      </c>
      <c r="H44" s="866">
        <f t="shared" si="13"/>
        <v>8283.75</v>
      </c>
      <c r="I44" s="866">
        <f t="shared" si="14"/>
        <v>27160</v>
      </c>
      <c r="J44" s="866">
        <f t="shared" si="15"/>
        <v>12780.52996</v>
      </c>
      <c r="K44" s="867">
        <f t="shared" si="16"/>
        <v>0.7178745481</v>
      </c>
      <c r="L44" s="866" t="s">
        <v>194</v>
      </c>
      <c r="M44" s="866">
        <v>40455.0</v>
      </c>
      <c r="N44" s="866">
        <v>40426.0</v>
      </c>
      <c r="O44" s="866">
        <v>37944.0</v>
      </c>
      <c r="P44" s="866">
        <v>33464.0</v>
      </c>
      <c r="Q44" s="866">
        <v>29656.0</v>
      </c>
      <c r="R44" s="866">
        <v>29696.0</v>
      </c>
      <c r="S44" s="866">
        <v>26328.0</v>
      </c>
      <c r="T44" s="866">
        <v>25204.0</v>
      </c>
      <c r="U44" s="866">
        <v>22725.0</v>
      </c>
      <c r="V44" s="866">
        <v>20208.0</v>
      </c>
      <c r="W44" s="866">
        <v>18437.0</v>
      </c>
      <c r="X44" s="866">
        <v>15709.0</v>
      </c>
      <c r="Y44" s="866">
        <v>14727.0</v>
      </c>
      <c r="Z44" s="866">
        <v>12747.0</v>
      </c>
      <c r="AA44" s="866">
        <v>12543.0</v>
      </c>
      <c r="AB44" s="866">
        <v>11005.0</v>
      </c>
      <c r="AC44" s="866">
        <v>10052.0</v>
      </c>
      <c r="AD44" s="866">
        <v>8948.0</v>
      </c>
      <c r="AE44" s="866">
        <v>6291.0</v>
      </c>
      <c r="AF44" s="866">
        <v>4552.0</v>
      </c>
      <c r="AG44" s="866">
        <v>3848.0</v>
      </c>
      <c r="AH44" s="866">
        <v>3721.0</v>
      </c>
      <c r="AI44" s="866">
        <v>582.0</v>
      </c>
      <c r="AJ44" s="866">
        <v>-1989.0</v>
      </c>
      <c r="AK44" s="15"/>
      <c r="AL44" s="851" t="s">
        <v>194</v>
      </c>
      <c r="AM44" s="846" t="s">
        <v>194</v>
      </c>
      <c r="AN44" s="846" t="s">
        <v>194</v>
      </c>
      <c r="AO44" s="846" t="s">
        <v>194</v>
      </c>
      <c r="AP44" s="846" t="s">
        <v>194</v>
      </c>
      <c r="AQ44" s="846" t="s">
        <v>194</v>
      </c>
      <c r="AR44" s="846" t="s">
        <v>194</v>
      </c>
      <c r="AS44" s="846" t="s">
        <v>194</v>
      </c>
      <c r="AT44" s="846" t="s">
        <v>194</v>
      </c>
      <c r="AU44" s="846" t="s">
        <v>194</v>
      </c>
      <c r="AV44" s="846" t="s">
        <v>194</v>
      </c>
      <c r="AW44" s="846" t="s">
        <v>194</v>
      </c>
      <c r="AX44" s="846" t="s">
        <v>194</v>
      </c>
      <c r="AY44" s="846" t="s">
        <v>194</v>
      </c>
      <c r="AZ44" s="846" t="s">
        <v>194</v>
      </c>
      <c r="BA44" s="846" t="s">
        <v>194</v>
      </c>
      <c r="BB44" s="846" t="s">
        <v>194</v>
      </c>
      <c r="BC44" s="846" t="s">
        <v>194</v>
      </c>
      <c r="BD44" s="846" t="s">
        <v>194</v>
      </c>
      <c r="BE44" s="846" t="s">
        <v>194</v>
      </c>
      <c r="BF44" s="846" t="s">
        <v>194</v>
      </c>
      <c r="BG44" s="846" t="s">
        <v>194</v>
      </c>
    </row>
    <row r="45" ht="15.75" customHeight="1">
      <c r="A45" s="849">
        <v>1.0</v>
      </c>
      <c r="B45" s="15"/>
      <c r="C45" s="855" t="str">
        <f>"Provision for Income Tax"</f>
        <v>Provision for Income Tax</v>
      </c>
      <c r="D45" s="866">
        <f t="shared" si="9"/>
        <v>1711</v>
      </c>
      <c r="E45" s="866">
        <f t="shared" si="10"/>
        <v>-1633.75</v>
      </c>
      <c r="F45" s="866">
        <f t="shared" si="11"/>
        <v>-21587</v>
      </c>
      <c r="G45" s="866">
        <f t="shared" si="12"/>
        <v>8654</v>
      </c>
      <c r="H45" s="866">
        <f t="shared" si="13"/>
        <v>-182.25</v>
      </c>
      <c r="I45" s="866">
        <f t="shared" si="14"/>
        <v>3293.25</v>
      </c>
      <c r="J45" s="866">
        <f t="shared" si="15"/>
        <v>9219.360146</v>
      </c>
      <c r="K45" s="867">
        <f t="shared" si="16"/>
        <v>-5.643066654</v>
      </c>
      <c r="L45" s="866" t="s">
        <v>194</v>
      </c>
      <c r="M45" s="866">
        <v>-11390.0</v>
      </c>
      <c r="N45" s="866">
        <v>-768.0</v>
      </c>
      <c r="O45" s="866">
        <v>5844.0</v>
      </c>
      <c r="P45" s="866">
        <v>7636.0</v>
      </c>
      <c r="Q45" s="866">
        <v>8654.0</v>
      </c>
      <c r="R45" s="866">
        <v>2828.0</v>
      </c>
      <c r="S45" s="866">
        <v>1552.0</v>
      </c>
      <c r="T45" s="866">
        <v>1274.0</v>
      </c>
      <c r="U45" s="866">
        <v>2206.0</v>
      </c>
      <c r="V45" s="866">
        <v>1091.0</v>
      </c>
      <c r="W45" s="866">
        <v>1870.0</v>
      </c>
      <c r="X45" s="866">
        <v>3175.0</v>
      </c>
      <c r="Y45" s="866">
        <v>3142.0</v>
      </c>
      <c r="Z45" s="866">
        <v>3501.0</v>
      </c>
      <c r="AA45" s="866">
        <v>3860.0</v>
      </c>
      <c r="AB45" s="866">
        <v>3495.0</v>
      </c>
      <c r="AC45" s="866">
        <v>3226.0</v>
      </c>
      <c r="AD45" s="866">
        <v>-18330.0</v>
      </c>
      <c r="AE45" s="866">
        <v>-19628.0</v>
      </c>
      <c r="AF45" s="866">
        <v>-21041.0</v>
      </c>
      <c r="AG45" s="866">
        <v>-21587.0</v>
      </c>
      <c r="AH45" s="866">
        <v>149.0</v>
      </c>
      <c r="AI45" s="866">
        <v>18.0</v>
      </c>
      <c r="AJ45" s="866">
        <v>13.0</v>
      </c>
      <c r="AK45" s="15"/>
      <c r="AL45" s="851" t="s">
        <v>194</v>
      </c>
      <c r="AM45" s="846" t="s">
        <v>194</v>
      </c>
      <c r="AN45" s="846" t="s">
        <v>194</v>
      </c>
      <c r="AO45" s="846" t="s">
        <v>194</v>
      </c>
      <c r="AP45" s="846" t="s">
        <v>194</v>
      </c>
      <c r="AQ45" s="846" t="s">
        <v>194</v>
      </c>
      <c r="AR45" s="846" t="s">
        <v>194</v>
      </c>
      <c r="AS45" s="846" t="s">
        <v>194</v>
      </c>
      <c r="AT45" s="846" t="s">
        <v>194</v>
      </c>
      <c r="AU45" s="846" t="s">
        <v>194</v>
      </c>
      <c r="AV45" s="846" t="s">
        <v>194</v>
      </c>
      <c r="AW45" s="846" t="s">
        <v>194</v>
      </c>
      <c r="AX45" s="846" t="s">
        <v>194</v>
      </c>
      <c r="AY45" s="846" t="s">
        <v>194</v>
      </c>
      <c r="AZ45" s="846" t="s">
        <v>194</v>
      </c>
      <c r="BA45" s="846" t="s">
        <v>194</v>
      </c>
      <c r="BB45" s="846" t="s">
        <v>194</v>
      </c>
      <c r="BC45" s="846" t="s">
        <v>194</v>
      </c>
      <c r="BD45" s="846" t="s">
        <v>194</v>
      </c>
      <c r="BE45" s="846" t="s">
        <v>194</v>
      </c>
      <c r="BF45" s="846" t="s">
        <v>194</v>
      </c>
      <c r="BG45" s="846" t="s">
        <v>194</v>
      </c>
    </row>
    <row r="46" ht="15.75" customHeight="1">
      <c r="A46" s="849">
        <v>1.0</v>
      </c>
      <c r="B46" s="15"/>
      <c r="C46" s="855" t="str">
        <f>"Net Income from Continuing Operations"</f>
        <v>Net Income from Continuing Operations</v>
      </c>
      <c r="D46" s="866">
        <f t="shared" si="9"/>
        <v>20760.5</v>
      </c>
      <c r="E46" s="866">
        <f t="shared" si="10"/>
        <v>19437.04167</v>
      </c>
      <c r="F46" s="866">
        <f t="shared" si="11"/>
        <v>-2002</v>
      </c>
      <c r="G46" s="866">
        <f t="shared" si="12"/>
        <v>51845</v>
      </c>
      <c r="H46" s="866">
        <f t="shared" si="13"/>
        <v>9105.25</v>
      </c>
      <c r="I46" s="866">
        <f t="shared" si="14"/>
        <v>25850.75</v>
      </c>
      <c r="J46" s="866">
        <f t="shared" si="15"/>
        <v>12710.32262</v>
      </c>
      <c r="K46" s="867">
        <f t="shared" si="16"/>
        <v>0.6539226922</v>
      </c>
      <c r="L46" s="866" t="s">
        <v>194</v>
      </c>
      <c r="M46" s="866">
        <v>51845.0</v>
      </c>
      <c r="N46" s="866">
        <v>41194.0</v>
      </c>
      <c r="O46" s="866">
        <v>32100.0</v>
      </c>
      <c r="P46" s="866">
        <v>25828.0</v>
      </c>
      <c r="Q46" s="866">
        <v>21002.0</v>
      </c>
      <c r="R46" s="866">
        <v>26868.0</v>
      </c>
      <c r="S46" s="866">
        <v>24776.0</v>
      </c>
      <c r="T46" s="866">
        <v>23930.0</v>
      </c>
      <c r="U46" s="866">
        <v>20519.0</v>
      </c>
      <c r="V46" s="866">
        <v>19117.0</v>
      </c>
      <c r="W46" s="866">
        <v>16567.0</v>
      </c>
      <c r="X46" s="866">
        <v>12534.0</v>
      </c>
      <c r="Y46" s="866">
        <v>11585.0</v>
      </c>
      <c r="Z46" s="866">
        <v>9246.0</v>
      </c>
      <c r="AA46" s="866">
        <v>8683.0</v>
      </c>
      <c r="AB46" s="866">
        <v>7510.0</v>
      </c>
      <c r="AC46" s="866">
        <v>6826.0</v>
      </c>
      <c r="AD46" s="866">
        <v>27278.0</v>
      </c>
      <c r="AE46" s="866">
        <v>25919.0</v>
      </c>
      <c r="AF46" s="866">
        <v>25593.0</v>
      </c>
      <c r="AG46" s="866">
        <v>25435.0</v>
      </c>
      <c r="AH46" s="866">
        <v>3572.0</v>
      </c>
      <c r="AI46" s="866">
        <v>564.0</v>
      </c>
      <c r="AJ46" s="866">
        <v>-2002.0</v>
      </c>
      <c r="AK46" s="15"/>
      <c r="AL46" s="851" t="s">
        <v>194</v>
      </c>
      <c r="AM46" s="846" t="s">
        <v>194</v>
      </c>
      <c r="AN46" s="846" t="s">
        <v>194</v>
      </c>
      <c r="AO46" s="846" t="s">
        <v>194</v>
      </c>
      <c r="AP46" s="846" t="s">
        <v>194</v>
      </c>
      <c r="AQ46" s="846" t="s">
        <v>194</v>
      </c>
      <c r="AR46" s="846" t="s">
        <v>194</v>
      </c>
      <c r="AS46" s="846" t="s">
        <v>194</v>
      </c>
      <c r="AT46" s="846" t="s">
        <v>194</v>
      </c>
      <c r="AU46" s="846" t="s">
        <v>194</v>
      </c>
      <c r="AV46" s="846" t="s">
        <v>194</v>
      </c>
      <c r="AW46" s="846" t="s">
        <v>194</v>
      </c>
      <c r="AX46" s="846" t="s">
        <v>194</v>
      </c>
      <c r="AY46" s="846" t="s">
        <v>194</v>
      </c>
      <c r="AZ46" s="846" t="s">
        <v>194</v>
      </c>
      <c r="BA46" s="846" t="s">
        <v>194</v>
      </c>
      <c r="BB46" s="846" t="s">
        <v>194</v>
      </c>
      <c r="BC46" s="846" t="s">
        <v>194</v>
      </c>
      <c r="BD46" s="846" t="s">
        <v>194</v>
      </c>
      <c r="BE46" s="846" t="s">
        <v>194</v>
      </c>
      <c r="BF46" s="846" t="s">
        <v>194</v>
      </c>
      <c r="BG46" s="846" t="s">
        <v>194</v>
      </c>
    </row>
    <row r="47" ht="15.75" customHeight="1">
      <c r="A47" s="849">
        <v>1.0</v>
      </c>
      <c r="B47" s="15"/>
      <c r="C47" s="855" t="str">
        <f>"Net Income after Extraordinary Items and Discontinued Operations"</f>
        <v>Net Income after Extraordinary Items and Discontinued Operations</v>
      </c>
      <c r="D47" s="866">
        <f t="shared" si="9"/>
        <v>20760.5</v>
      </c>
      <c r="E47" s="866">
        <f t="shared" si="10"/>
        <v>19437.04167</v>
      </c>
      <c r="F47" s="866">
        <f t="shared" si="11"/>
        <v>-2002</v>
      </c>
      <c r="G47" s="866">
        <f t="shared" si="12"/>
        <v>51845</v>
      </c>
      <c r="H47" s="866">
        <f t="shared" si="13"/>
        <v>9105.25</v>
      </c>
      <c r="I47" s="866">
        <f t="shared" si="14"/>
        <v>25850.75</v>
      </c>
      <c r="J47" s="866">
        <f t="shared" si="15"/>
        <v>12710.32262</v>
      </c>
      <c r="K47" s="867">
        <f t="shared" si="16"/>
        <v>0.6539226922</v>
      </c>
      <c r="L47" s="866" t="s">
        <v>194</v>
      </c>
      <c r="M47" s="866">
        <v>51845.0</v>
      </c>
      <c r="N47" s="866">
        <v>41194.0</v>
      </c>
      <c r="O47" s="866">
        <v>32100.0</v>
      </c>
      <c r="P47" s="866">
        <v>25828.0</v>
      </c>
      <c r="Q47" s="866">
        <v>21002.0</v>
      </c>
      <c r="R47" s="866">
        <v>26868.0</v>
      </c>
      <c r="S47" s="866">
        <v>24776.0</v>
      </c>
      <c r="T47" s="866">
        <v>23930.0</v>
      </c>
      <c r="U47" s="866">
        <v>20519.0</v>
      </c>
      <c r="V47" s="866">
        <v>19117.0</v>
      </c>
      <c r="W47" s="866">
        <v>16567.0</v>
      </c>
      <c r="X47" s="866">
        <v>12534.0</v>
      </c>
      <c r="Y47" s="866">
        <v>11585.0</v>
      </c>
      <c r="Z47" s="866">
        <v>9246.0</v>
      </c>
      <c r="AA47" s="866">
        <v>8683.0</v>
      </c>
      <c r="AB47" s="866">
        <v>7510.0</v>
      </c>
      <c r="AC47" s="866">
        <v>6826.0</v>
      </c>
      <c r="AD47" s="866">
        <v>27278.0</v>
      </c>
      <c r="AE47" s="866">
        <v>25919.0</v>
      </c>
      <c r="AF47" s="866">
        <v>25593.0</v>
      </c>
      <c r="AG47" s="866">
        <v>25435.0</v>
      </c>
      <c r="AH47" s="866">
        <v>3572.0</v>
      </c>
      <c r="AI47" s="866">
        <v>564.0</v>
      </c>
      <c r="AJ47" s="866">
        <v>-2002.0</v>
      </c>
      <c r="AK47" s="15"/>
      <c r="AL47" s="851" t="s">
        <v>194</v>
      </c>
      <c r="AM47" s="846" t="s">
        <v>194</v>
      </c>
      <c r="AN47" s="846" t="s">
        <v>194</v>
      </c>
      <c r="AO47" s="846" t="s">
        <v>194</v>
      </c>
      <c r="AP47" s="846" t="s">
        <v>194</v>
      </c>
      <c r="AQ47" s="846" t="s">
        <v>194</v>
      </c>
      <c r="AR47" s="846" t="s">
        <v>194</v>
      </c>
      <c r="AS47" s="846" t="s">
        <v>194</v>
      </c>
      <c r="AT47" s="846" t="s">
        <v>194</v>
      </c>
      <c r="AU47" s="846" t="s">
        <v>194</v>
      </c>
      <c r="AV47" s="846" t="s">
        <v>194</v>
      </c>
      <c r="AW47" s="846" t="s">
        <v>194</v>
      </c>
      <c r="AX47" s="846" t="s">
        <v>194</v>
      </c>
      <c r="AY47" s="846" t="s">
        <v>194</v>
      </c>
      <c r="AZ47" s="846" t="s">
        <v>194</v>
      </c>
      <c r="BA47" s="846" t="s">
        <v>194</v>
      </c>
      <c r="BB47" s="846" t="s">
        <v>194</v>
      </c>
      <c r="BC47" s="846" t="s">
        <v>194</v>
      </c>
      <c r="BD47" s="846" t="s">
        <v>194</v>
      </c>
      <c r="BE47" s="846" t="s">
        <v>194</v>
      </c>
      <c r="BF47" s="846" t="s">
        <v>194</v>
      </c>
      <c r="BG47" s="846" t="s">
        <v>194</v>
      </c>
    </row>
    <row r="48" ht="15.75" customHeight="1">
      <c r="A48" s="849">
        <v>1.0</v>
      </c>
      <c r="B48" s="15"/>
      <c r="C48" s="855" t="str">
        <f>"Net Income after Non-Controlling/Minority Interests"</f>
        <v>Net Income after Non-Controlling/Minority Interests</v>
      </c>
      <c r="D48" s="866">
        <f t="shared" si="9"/>
        <v>20760.5</v>
      </c>
      <c r="E48" s="866">
        <f t="shared" si="10"/>
        <v>19437.04167</v>
      </c>
      <c r="F48" s="866">
        <f t="shared" si="11"/>
        <v>-2002</v>
      </c>
      <c r="G48" s="866">
        <f t="shared" si="12"/>
        <v>51845</v>
      </c>
      <c r="H48" s="866">
        <f t="shared" si="13"/>
        <v>9105.25</v>
      </c>
      <c r="I48" s="866">
        <f t="shared" si="14"/>
        <v>25850.75</v>
      </c>
      <c r="J48" s="866">
        <f t="shared" si="15"/>
        <v>12710.32262</v>
      </c>
      <c r="K48" s="867">
        <f t="shared" si="16"/>
        <v>0.6539226922</v>
      </c>
      <c r="L48" s="866" t="s">
        <v>194</v>
      </c>
      <c r="M48" s="866">
        <v>51845.0</v>
      </c>
      <c r="N48" s="866">
        <v>41194.0</v>
      </c>
      <c r="O48" s="866">
        <v>32100.0</v>
      </c>
      <c r="P48" s="866">
        <v>25828.0</v>
      </c>
      <c r="Q48" s="866">
        <v>21002.0</v>
      </c>
      <c r="R48" s="866">
        <v>26868.0</v>
      </c>
      <c r="S48" s="866">
        <v>24776.0</v>
      </c>
      <c r="T48" s="866">
        <v>23930.0</v>
      </c>
      <c r="U48" s="866">
        <v>20519.0</v>
      </c>
      <c r="V48" s="866">
        <v>19117.0</v>
      </c>
      <c r="W48" s="866">
        <v>16567.0</v>
      </c>
      <c r="X48" s="866">
        <v>12534.0</v>
      </c>
      <c r="Y48" s="866">
        <v>11585.0</v>
      </c>
      <c r="Z48" s="866">
        <v>9246.0</v>
      </c>
      <c r="AA48" s="866">
        <v>8683.0</v>
      </c>
      <c r="AB48" s="866">
        <v>7510.0</v>
      </c>
      <c r="AC48" s="866">
        <v>6826.0</v>
      </c>
      <c r="AD48" s="866">
        <v>27278.0</v>
      </c>
      <c r="AE48" s="866">
        <v>25919.0</v>
      </c>
      <c r="AF48" s="866">
        <v>25593.0</v>
      </c>
      <c r="AG48" s="866">
        <v>25435.0</v>
      </c>
      <c r="AH48" s="866">
        <v>3572.0</v>
      </c>
      <c r="AI48" s="866">
        <v>564.0</v>
      </c>
      <c r="AJ48" s="866">
        <v>-2002.0</v>
      </c>
      <c r="AK48" s="15"/>
      <c r="AL48" s="851" t="s">
        <v>194</v>
      </c>
      <c r="AM48" s="846" t="s">
        <v>194</v>
      </c>
      <c r="AN48" s="846" t="s">
        <v>194</v>
      </c>
      <c r="AO48" s="846" t="s">
        <v>194</v>
      </c>
      <c r="AP48" s="846" t="s">
        <v>194</v>
      </c>
      <c r="AQ48" s="846" t="s">
        <v>194</v>
      </c>
      <c r="AR48" s="846" t="s">
        <v>194</v>
      </c>
      <c r="AS48" s="846" t="s">
        <v>194</v>
      </c>
      <c r="AT48" s="846" t="s">
        <v>194</v>
      </c>
      <c r="AU48" s="846" t="s">
        <v>194</v>
      </c>
      <c r="AV48" s="846" t="s">
        <v>194</v>
      </c>
      <c r="AW48" s="846" t="s">
        <v>194</v>
      </c>
      <c r="AX48" s="846" t="s">
        <v>194</v>
      </c>
      <c r="AY48" s="846" t="s">
        <v>194</v>
      </c>
      <c r="AZ48" s="846" t="s">
        <v>194</v>
      </c>
      <c r="BA48" s="846" t="s">
        <v>194</v>
      </c>
      <c r="BB48" s="846" t="s">
        <v>194</v>
      </c>
      <c r="BC48" s="846" t="s">
        <v>194</v>
      </c>
      <c r="BD48" s="846" t="s">
        <v>194</v>
      </c>
      <c r="BE48" s="846" t="s">
        <v>194</v>
      </c>
      <c r="BF48" s="846" t="s">
        <v>194</v>
      </c>
      <c r="BG48" s="846" t="s">
        <v>194</v>
      </c>
    </row>
    <row r="49" ht="15.75" customHeight="1">
      <c r="A49" s="849">
        <v>1.0</v>
      </c>
      <c r="B49" s="15"/>
      <c r="C49" s="855" t="str">
        <f>IF(SUBTOTAL(109,A50)=A50,"Preferred/Other Stock Distribution","Preferred/Other Stock Distribution")</f>
        <v>Preferred/Other Stock Distribution</v>
      </c>
      <c r="D49" s="866" t="str">
        <f t="shared" si="9"/>
        <v/>
      </c>
      <c r="E49" s="866" t="str">
        <f t="shared" si="10"/>
        <v/>
      </c>
      <c r="F49" s="866" t="str">
        <f t="shared" si="11"/>
        <v/>
      </c>
      <c r="G49" s="866" t="str">
        <f t="shared" si="12"/>
        <v/>
      </c>
      <c r="H49" s="866" t="str">
        <f t="shared" si="13"/>
        <v/>
      </c>
      <c r="I49" s="866" t="str">
        <f t="shared" si="14"/>
        <v/>
      </c>
      <c r="J49" s="866" t="str">
        <f t="shared" si="15"/>
        <v/>
      </c>
      <c r="K49" s="867" t="str">
        <f t="shared" si="16"/>
        <v/>
      </c>
      <c r="L49" s="866" t="s">
        <v>194</v>
      </c>
      <c r="M49" s="866" t="str">
        <f>IF(SUBTOTAL(109,A50)=A50,"","")</f>
        <v/>
      </c>
      <c r="N49" s="866" t="str">
        <f>IF(SUBTOTAL(109,A50)=A50,"","")</f>
        <v/>
      </c>
      <c r="O49" s="866" t="str">
        <f>IF(SUBTOTAL(109,A50)=A50,"","")</f>
        <v/>
      </c>
      <c r="P49" s="866" t="str">
        <f>IF(SUBTOTAL(109,A50)=A50,"","")</f>
        <v/>
      </c>
      <c r="Q49" s="866" t="str">
        <f>IF(SUBTOTAL(109,A50)=A50,"","")</f>
        <v/>
      </c>
      <c r="R49" s="866" t="str">
        <f>IF(SUBTOTAL(109,A50)=A50,"","")</f>
        <v/>
      </c>
      <c r="S49" s="866" t="str">
        <f>IF(SUBTOTAL(109,A50)=A50,"","")</f>
        <v/>
      </c>
      <c r="T49" s="866" t="str">
        <f>IF(SUBTOTAL(109,A50)=A50,"","")</f>
        <v/>
      </c>
      <c r="U49" s="866" t="str">
        <f>IF(SUBTOTAL(109,A50)=A50,"","")</f>
        <v/>
      </c>
      <c r="V49" s="866" t="str">
        <f>IF(SUBTOTAL(109,A50)=A50,"",0)</f>
        <v/>
      </c>
      <c r="W49" s="866" t="str">
        <f>IF(SUBTOTAL(109,A50)=A50,"",0)</f>
        <v/>
      </c>
      <c r="X49" s="866" t="str">
        <f>IF(SUBTOTAL(109,A50)=A50,"",0)</f>
        <v/>
      </c>
      <c r="Y49" s="866" t="str">
        <f>IF(SUBTOTAL(109,A50)=A50,"",0)</f>
        <v/>
      </c>
      <c r="Z49" s="866" t="str">
        <f>IF(SUBTOTAL(109,A50)=A50,"",4)</f>
        <v/>
      </c>
      <c r="AA49" s="866" t="str">
        <f>IF(SUBTOTAL(109,A50)=A50,"",4)</f>
        <v/>
      </c>
      <c r="AB49" s="866" t="str">
        <f>IF(SUBTOTAL(109,A50)=A50,"",4)</f>
        <v/>
      </c>
      <c r="AC49" s="866" t="str">
        <f>IF(SUBTOTAL(109,A50)=A50,"",1554)</f>
        <v/>
      </c>
      <c r="AD49" s="866" t="str">
        <f>IF(SUBTOTAL(109,A50)=A50,"",21415)</f>
        <v/>
      </c>
      <c r="AE49" s="866" t="str">
        <f>IF(SUBTOTAL(109,A50)=A50,"",23141)</f>
        <v/>
      </c>
      <c r="AF49" s="866" t="str">
        <f>IF(SUBTOTAL(109,A50)=A50,"",24663)</f>
        <v/>
      </c>
      <c r="AG49" s="866" t="str">
        <f>IF(SUBTOTAL(109,A50)=A50,"",25224)</f>
        <v/>
      </c>
      <c r="AH49" s="866" t="str">
        <f>IF(SUBTOTAL(109,A50)=A50,"",11140)</f>
        <v/>
      </c>
      <c r="AI49" s="866" t="str">
        <f>IF(SUBTOTAL(109,A50)=A50,"",5781)</f>
        <v/>
      </c>
      <c r="AJ49" s="866" t="str">
        <f>IF(SUBTOTAL(109,A50)=A50,"",3027)</f>
        <v/>
      </c>
      <c r="AK49" s="15"/>
      <c r="AL49" s="851" t="s">
        <v>194</v>
      </c>
      <c r="AM49" s="846" t="s">
        <v>194</v>
      </c>
      <c r="AN49" s="846" t="s">
        <v>194</v>
      </c>
      <c r="AO49" s="846" t="s">
        <v>194</v>
      </c>
      <c r="AP49" s="846" t="s">
        <v>194</v>
      </c>
      <c r="AQ49" s="846" t="s">
        <v>194</v>
      </c>
      <c r="AR49" s="846" t="s">
        <v>194</v>
      </c>
      <c r="AS49" s="846" t="s">
        <v>194</v>
      </c>
      <c r="AT49" s="846" t="s">
        <v>194</v>
      </c>
      <c r="AU49" s="846" t="s">
        <v>194</v>
      </c>
      <c r="AV49" s="846" t="s">
        <v>194</v>
      </c>
      <c r="AW49" s="846" t="s">
        <v>194</v>
      </c>
      <c r="AX49" s="846" t="s">
        <v>194</v>
      </c>
      <c r="AY49" s="846" t="s">
        <v>194</v>
      </c>
      <c r="AZ49" s="846" t="s">
        <v>194</v>
      </c>
      <c r="BA49" s="846" t="s">
        <v>194</v>
      </c>
      <c r="BB49" s="846" t="s">
        <v>194</v>
      </c>
      <c r="BC49" s="846" t="s">
        <v>194</v>
      </c>
      <c r="BD49" s="846" t="s">
        <v>194</v>
      </c>
      <c r="BE49" s="846" t="s">
        <v>194</v>
      </c>
      <c r="BF49" s="846" t="s">
        <v>194</v>
      </c>
      <c r="BG49" s="846" t="s">
        <v>194</v>
      </c>
    </row>
    <row r="50" ht="15.75" customHeight="1" outlineLevel="1">
      <c r="A50" s="849">
        <v>1.0</v>
      </c>
      <c r="B50" s="15"/>
      <c r="C50" s="869" t="str">
        <f>"    Preferred Stock Dividends"</f>
        <v>    Preferred Stock Dividends</v>
      </c>
      <c r="D50" s="870">
        <f t="shared" si="9"/>
        <v>4</v>
      </c>
      <c r="E50" s="870">
        <f t="shared" si="10"/>
        <v>2980.266667</v>
      </c>
      <c r="F50" s="870">
        <f t="shared" si="11"/>
        <v>0</v>
      </c>
      <c r="G50" s="870">
        <f t="shared" si="12"/>
        <v>11344</v>
      </c>
      <c r="H50" s="870">
        <f t="shared" si="13"/>
        <v>0</v>
      </c>
      <c r="I50" s="870">
        <f t="shared" si="14"/>
        <v>5674</v>
      </c>
      <c r="J50" s="870">
        <f t="shared" si="15"/>
        <v>5029.228249</v>
      </c>
      <c r="K50" s="871">
        <f t="shared" si="16"/>
        <v>1.687509479</v>
      </c>
      <c r="L50" s="872" t="s">
        <v>194</v>
      </c>
      <c r="M50" s="872" t="s">
        <v>194</v>
      </c>
      <c r="N50" s="872" t="s">
        <v>194</v>
      </c>
      <c r="O50" s="872" t="s">
        <v>194</v>
      </c>
      <c r="P50" s="872" t="s">
        <v>194</v>
      </c>
      <c r="Q50" s="872" t="s">
        <v>194</v>
      </c>
      <c r="R50" s="872" t="s">
        <v>194</v>
      </c>
      <c r="S50" s="872" t="s">
        <v>194</v>
      </c>
      <c r="T50" s="872" t="s">
        <v>194</v>
      </c>
      <c r="U50" s="872" t="s">
        <v>194</v>
      </c>
      <c r="V50" s="872">
        <v>0.0</v>
      </c>
      <c r="W50" s="872">
        <v>0.0</v>
      </c>
      <c r="X50" s="872">
        <v>0.0</v>
      </c>
      <c r="Y50" s="872">
        <v>0.0</v>
      </c>
      <c r="Z50" s="872">
        <v>4.0</v>
      </c>
      <c r="AA50" s="872">
        <v>4.0</v>
      </c>
      <c r="AB50" s="872">
        <v>4.0</v>
      </c>
      <c r="AC50" s="872">
        <v>567.0</v>
      </c>
      <c r="AD50" s="872">
        <v>11344.0</v>
      </c>
      <c r="AE50" s="872">
        <v>11219.0</v>
      </c>
      <c r="AF50" s="872">
        <v>10781.0</v>
      </c>
      <c r="AG50" s="872">
        <v>10781.0</v>
      </c>
      <c r="AH50" s="872">
        <v>0.0</v>
      </c>
      <c r="AI50" s="872">
        <v>0.0</v>
      </c>
      <c r="AJ50" s="872">
        <v>0.0</v>
      </c>
      <c r="AK50" s="15"/>
      <c r="AL50" s="851" t="s">
        <v>194</v>
      </c>
      <c r="AM50" s="846" t="s">
        <v>194</v>
      </c>
      <c r="AN50" s="846" t="s">
        <v>194</v>
      </c>
      <c r="AO50" s="846" t="s">
        <v>194</v>
      </c>
      <c r="AP50" s="846" t="s">
        <v>194</v>
      </c>
      <c r="AQ50" s="846" t="s">
        <v>194</v>
      </c>
      <c r="AR50" s="846" t="s">
        <v>194</v>
      </c>
      <c r="AS50" s="846" t="s">
        <v>194</v>
      </c>
      <c r="AT50" s="846" t="s">
        <v>194</v>
      </c>
      <c r="AU50" s="846" t="s">
        <v>194</v>
      </c>
      <c r="AV50" s="846" t="s">
        <v>194</v>
      </c>
      <c r="AW50" s="846" t="s">
        <v>194</v>
      </c>
      <c r="AX50" s="846" t="s">
        <v>194</v>
      </c>
      <c r="AY50" s="846" t="s">
        <v>194</v>
      </c>
      <c r="AZ50" s="846" t="s">
        <v>194</v>
      </c>
      <c r="BA50" s="846" t="s">
        <v>194</v>
      </c>
      <c r="BB50" s="846" t="s">
        <v>194</v>
      </c>
      <c r="BC50" s="846" t="s">
        <v>194</v>
      </c>
      <c r="BD50" s="846" t="s">
        <v>194</v>
      </c>
      <c r="BE50" s="846" t="s">
        <v>194</v>
      </c>
      <c r="BF50" s="846" t="s">
        <v>194</v>
      </c>
      <c r="BG50" s="846" t="s">
        <v>194</v>
      </c>
    </row>
    <row r="51" ht="15.75" customHeight="1" outlineLevel="1">
      <c r="A51" s="849">
        <v>1.0</v>
      </c>
      <c r="B51" s="15"/>
      <c r="C51" s="869" t="str">
        <f>"    Convertible Preferred Stock Dividends"</f>
        <v>    Convertible Preferred Stock Dividends</v>
      </c>
      <c r="D51" s="870">
        <f t="shared" si="9"/>
        <v>987</v>
      </c>
      <c r="E51" s="870">
        <f t="shared" si="10"/>
        <v>2827.866667</v>
      </c>
      <c r="F51" s="870">
        <f t="shared" si="11"/>
        <v>0</v>
      </c>
      <c r="G51" s="870">
        <f t="shared" si="12"/>
        <v>11140</v>
      </c>
      <c r="H51" s="870">
        <f t="shared" si="13"/>
        <v>0</v>
      </c>
      <c r="I51" s="870">
        <f t="shared" si="14"/>
        <v>5269</v>
      </c>
      <c r="J51" s="870">
        <f t="shared" si="15"/>
        <v>3530.934151</v>
      </c>
      <c r="K51" s="871">
        <f t="shared" si="16"/>
        <v>1.248621158</v>
      </c>
      <c r="L51" s="872" t="s">
        <v>194</v>
      </c>
      <c r="M51" s="872" t="s">
        <v>194</v>
      </c>
      <c r="N51" s="872" t="s">
        <v>194</v>
      </c>
      <c r="O51" s="872" t="s">
        <v>194</v>
      </c>
      <c r="P51" s="872" t="s">
        <v>194</v>
      </c>
      <c r="Q51" s="872" t="s">
        <v>194</v>
      </c>
      <c r="R51" s="872" t="s">
        <v>194</v>
      </c>
      <c r="S51" s="872" t="s">
        <v>194</v>
      </c>
      <c r="T51" s="872" t="s">
        <v>194</v>
      </c>
      <c r="U51" s="872" t="s">
        <v>194</v>
      </c>
      <c r="V51" s="872">
        <v>0.0</v>
      </c>
      <c r="W51" s="872">
        <v>0.0</v>
      </c>
      <c r="X51" s="872">
        <v>0.0</v>
      </c>
      <c r="Y51" s="872">
        <v>0.0</v>
      </c>
      <c r="Z51" s="872">
        <v>0.0</v>
      </c>
      <c r="AA51" s="872">
        <v>0.0</v>
      </c>
      <c r="AB51" s="872">
        <v>0.0</v>
      </c>
      <c r="AC51" s="872">
        <v>987.0</v>
      </c>
      <c r="AD51" s="872">
        <v>2906.0</v>
      </c>
      <c r="AE51" s="872">
        <v>4757.0</v>
      </c>
      <c r="AF51" s="872">
        <v>6542.0</v>
      </c>
      <c r="AG51" s="872">
        <v>7278.0</v>
      </c>
      <c r="AH51" s="872">
        <v>11140.0</v>
      </c>
      <c r="AI51" s="872">
        <v>5781.0</v>
      </c>
      <c r="AJ51" s="872">
        <v>3027.0</v>
      </c>
      <c r="AK51" s="15"/>
      <c r="AL51" s="851" t="s">
        <v>194</v>
      </c>
      <c r="AM51" s="846" t="s">
        <v>194</v>
      </c>
      <c r="AN51" s="846" t="s">
        <v>194</v>
      </c>
      <c r="AO51" s="846" t="s">
        <v>194</v>
      </c>
      <c r="AP51" s="846" t="s">
        <v>194</v>
      </c>
      <c r="AQ51" s="846" t="s">
        <v>194</v>
      </c>
      <c r="AR51" s="846" t="s">
        <v>194</v>
      </c>
      <c r="AS51" s="846" t="s">
        <v>194</v>
      </c>
      <c r="AT51" s="846" t="s">
        <v>194</v>
      </c>
      <c r="AU51" s="846" t="s">
        <v>194</v>
      </c>
      <c r="AV51" s="846" t="s">
        <v>194</v>
      </c>
      <c r="AW51" s="846" t="s">
        <v>194</v>
      </c>
      <c r="AX51" s="846" t="s">
        <v>194</v>
      </c>
      <c r="AY51" s="846" t="s">
        <v>194</v>
      </c>
      <c r="AZ51" s="846" t="s">
        <v>194</v>
      </c>
      <c r="BA51" s="846" t="s">
        <v>194</v>
      </c>
      <c r="BB51" s="846" t="s">
        <v>194</v>
      </c>
      <c r="BC51" s="846" t="s">
        <v>194</v>
      </c>
      <c r="BD51" s="846" t="s">
        <v>194</v>
      </c>
      <c r="BE51" s="846" t="s">
        <v>194</v>
      </c>
      <c r="BF51" s="846" t="s">
        <v>194</v>
      </c>
      <c r="BG51" s="846" t="s">
        <v>194</v>
      </c>
    </row>
    <row r="52" ht="15.75" customHeight="1" outlineLevel="1">
      <c r="A52" s="849">
        <v>1.0</v>
      </c>
      <c r="B52" s="15"/>
      <c r="C52" s="869" t="str">
        <f>"    Other Distributions"</f>
        <v>    Other Distributions</v>
      </c>
      <c r="D52" s="870">
        <f t="shared" si="9"/>
        <v>0</v>
      </c>
      <c r="E52" s="870">
        <f t="shared" si="10"/>
        <v>2621.363636</v>
      </c>
      <c r="F52" s="870">
        <f t="shared" si="11"/>
        <v>0</v>
      </c>
      <c r="G52" s="870">
        <f t="shared" si="12"/>
        <v>7340</v>
      </c>
      <c r="H52" s="870">
        <f t="shared" si="13"/>
        <v>0</v>
      </c>
      <c r="I52" s="870">
        <f t="shared" si="14"/>
        <v>7165</v>
      </c>
      <c r="J52" s="870">
        <f t="shared" si="15"/>
        <v>3637.310195</v>
      </c>
      <c r="K52" s="871">
        <f t="shared" si="16"/>
        <v>1.387564146</v>
      </c>
      <c r="L52" s="872" t="s">
        <v>194</v>
      </c>
      <c r="M52" s="872" t="s">
        <v>194</v>
      </c>
      <c r="N52" s="872" t="s">
        <v>194</v>
      </c>
      <c r="O52" s="872" t="s">
        <v>194</v>
      </c>
      <c r="P52" s="872" t="s">
        <v>194</v>
      </c>
      <c r="Q52" s="872" t="s">
        <v>194</v>
      </c>
      <c r="R52" s="872" t="s">
        <v>194</v>
      </c>
      <c r="S52" s="872" t="s">
        <v>194</v>
      </c>
      <c r="T52" s="872" t="s">
        <v>194</v>
      </c>
      <c r="U52" s="872" t="s">
        <v>194</v>
      </c>
      <c r="V52" s="872">
        <v>0.0</v>
      </c>
      <c r="W52" s="872">
        <v>0.0</v>
      </c>
      <c r="X52" s="872">
        <v>0.0</v>
      </c>
      <c r="Y52" s="872">
        <v>0.0</v>
      </c>
      <c r="Z52" s="872" t="s">
        <v>194</v>
      </c>
      <c r="AA52" s="872" t="s">
        <v>194</v>
      </c>
      <c r="AB52" s="872" t="s">
        <v>194</v>
      </c>
      <c r="AC52" s="872" t="s">
        <v>194</v>
      </c>
      <c r="AD52" s="872">
        <v>7165.0</v>
      </c>
      <c r="AE52" s="872">
        <v>7165.0</v>
      </c>
      <c r="AF52" s="872">
        <v>7340.0</v>
      </c>
      <c r="AG52" s="872">
        <v>7165.0</v>
      </c>
      <c r="AH52" s="872">
        <v>0.0</v>
      </c>
      <c r="AI52" s="872">
        <v>0.0</v>
      </c>
      <c r="AJ52" s="872">
        <v>0.0</v>
      </c>
      <c r="AK52" s="15"/>
      <c r="AL52" s="851" t="s">
        <v>194</v>
      </c>
      <c r="AM52" s="846" t="s">
        <v>194</v>
      </c>
      <c r="AN52" s="846" t="s">
        <v>194</v>
      </c>
      <c r="AO52" s="846" t="s">
        <v>194</v>
      </c>
      <c r="AP52" s="846" t="s">
        <v>194</v>
      </c>
      <c r="AQ52" s="846" t="s">
        <v>194</v>
      </c>
      <c r="AR52" s="846" t="s">
        <v>194</v>
      </c>
      <c r="AS52" s="846" t="s">
        <v>194</v>
      </c>
      <c r="AT52" s="846" t="s">
        <v>194</v>
      </c>
      <c r="AU52" s="846" t="s">
        <v>194</v>
      </c>
      <c r="AV52" s="846" t="s">
        <v>194</v>
      </c>
      <c r="AW52" s="846" t="s">
        <v>194</v>
      </c>
      <c r="AX52" s="846" t="s">
        <v>194</v>
      </c>
      <c r="AY52" s="846" t="s">
        <v>194</v>
      </c>
      <c r="AZ52" s="846" t="s">
        <v>194</v>
      </c>
      <c r="BA52" s="846" t="s">
        <v>194</v>
      </c>
      <c r="BB52" s="846" t="s">
        <v>194</v>
      </c>
      <c r="BC52" s="846" t="s">
        <v>194</v>
      </c>
      <c r="BD52" s="846" t="s">
        <v>194</v>
      </c>
      <c r="BE52" s="846" t="s">
        <v>194</v>
      </c>
      <c r="BF52" s="846" t="s">
        <v>194</v>
      </c>
      <c r="BG52" s="846" t="s">
        <v>194</v>
      </c>
    </row>
    <row r="53" ht="15.75" customHeight="1" outlineLevel="1">
      <c r="A53" s="849">
        <v>1.0</v>
      </c>
      <c r="B53" s="15"/>
      <c r="C53" s="855" t="str">
        <f>"    Total Preferred/Other Stock Distribution"</f>
        <v>    Total Preferred/Other Stock Distribution</v>
      </c>
      <c r="D53" s="882">
        <f t="shared" si="9"/>
        <v>1554</v>
      </c>
      <c r="E53" s="882">
        <f t="shared" si="10"/>
        <v>7730.466667</v>
      </c>
      <c r="F53" s="882">
        <f t="shared" si="11"/>
        <v>0</v>
      </c>
      <c r="G53" s="882">
        <f t="shared" si="12"/>
        <v>25224</v>
      </c>
      <c r="H53" s="882">
        <f t="shared" si="13"/>
        <v>2</v>
      </c>
      <c r="I53" s="882">
        <f t="shared" si="14"/>
        <v>16277.5</v>
      </c>
      <c r="J53" s="882">
        <f t="shared" si="15"/>
        <v>10389.95869</v>
      </c>
      <c r="K53" s="883">
        <f t="shared" si="16"/>
        <v>1.344027358</v>
      </c>
      <c r="L53" s="882" t="s">
        <v>194</v>
      </c>
      <c r="M53" s="882" t="s">
        <v>194</v>
      </c>
      <c r="N53" s="882" t="s">
        <v>194</v>
      </c>
      <c r="O53" s="882" t="s">
        <v>194</v>
      </c>
      <c r="P53" s="882" t="s">
        <v>194</v>
      </c>
      <c r="Q53" s="882" t="s">
        <v>194</v>
      </c>
      <c r="R53" s="882" t="s">
        <v>194</v>
      </c>
      <c r="S53" s="882" t="s">
        <v>194</v>
      </c>
      <c r="T53" s="882" t="s">
        <v>194</v>
      </c>
      <c r="U53" s="882" t="s">
        <v>194</v>
      </c>
      <c r="V53" s="882">
        <v>0.0</v>
      </c>
      <c r="W53" s="882">
        <v>0.0</v>
      </c>
      <c r="X53" s="882">
        <v>0.0</v>
      </c>
      <c r="Y53" s="882">
        <v>0.0</v>
      </c>
      <c r="Z53" s="882">
        <v>4.0</v>
      </c>
      <c r="AA53" s="882">
        <v>4.0</v>
      </c>
      <c r="AB53" s="882">
        <v>4.0</v>
      </c>
      <c r="AC53" s="882">
        <v>1554.0</v>
      </c>
      <c r="AD53" s="882">
        <v>21415.0</v>
      </c>
      <c r="AE53" s="882">
        <v>23141.0</v>
      </c>
      <c r="AF53" s="882">
        <v>24663.0</v>
      </c>
      <c r="AG53" s="882">
        <v>25224.0</v>
      </c>
      <c r="AH53" s="882">
        <v>11140.0</v>
      </c>
      <c r="AI53" s="882">
        <v>5781.0</v>
      </c>
      <c r="AJ53" s="882">
        <v>3027.0</v>
      </c>
      <c r="AK53" s="15"/>
      <c r="AL53" s="851" t="s">
        <v>194</v>
      </c>
      <c r="AM53" s="846" t="s">
        <v>194</v>
      </c>
      <c r="AN53" s="846" t="s">
        <v>194</v>
      </c>
      <c r="AO53" s="846" t="s">
        <v>194</v>
      </c>
      <c r="AP53" s="846" t="s">
        <v>194</v>
      </c>
      <c r="AQ53" s="846" t="s">
        <v>194</v>
      </c>
      <c r="AR53" s="846" t="s">
        <v>194</v>
      </c>
      <c r="AS53" s="846" t="s">
        <v>194</v>
      </c>
      <c r="AT53" s="846" t="s">
        <v>194</v>
      </c>
      <c r="AU53" s="846" t="s">
        <v>194</v>
      </c>
      <c r="AV53" s="846" t="s">
        <v>194</v>
      </c>
      <c r="AW53" s="846" t="s">
        <v>194</v>
      </c>
      <c r="AX53" s="846" t="s">
        <v>194</v>
      </c>
      <c r="AY53" s="846" t="s">
        <v>194</v>
      </c>
      <c r="AZ53" s="846" t="s">
        <v>194</v>
      </c>
      <c r="BA53" s="846" t="s">
        <v>194</v>
      </c>
      <c r="BB53" s="846" t="s">
        <v>194</v>
      </c>
      <c r="BC53" s="846" t="s">
        <v>194</v>
      </c>
      <c r="BD53" s="846" t="s">
        <v>194</v>
      </c>
      <c r="BE53" s="846" t="s">
        <v>194</v>
      </c>
      <c r="BF53" s="846" t="s">
        <v>194</v>
      </c>
      <c r="BG53" s="846" t="s">
        <v>194</v>
      </c>
    </row>
    <row r="54" ht="15.75" customHeight="1">
      <c r="A54" s="849">
        <v>1.0</v>
      </c>
      <c r="B54" s="15"/>
      <c r="C54" s="855" t="str">
        <f>"Net Income Available to Common Stockholders"</f>
        <v>Net Income Available to Common Stockholders</v>
      </c>
      <c r="D54" s="866">
        <f t="shared" si="9"/>
        <v>12059.5</v>
      </c>
      <c r="E54" s="866">
        <f t="shared" si="10"/>
        <v>14605.5</v>
      </c>
      <c r="F54" s="866">
        <f t="shared" si="11"/>
        <v>-7568</v>
      </c>
      <c r="G54" s="866">
        <f t="shared" si="12"/>
        <v>51845</v>
      </c>
      <c r="H54" s="866">
        <f t="shared" si="13"/>
        <v>4648.5</v>
      </c>
      <c r="I54" s="866">
        <f t="shared" si="14"/>
        <v>24141.5</v>
      </c>
      <c r="J54" s="866">
        <f t="shared" si="15"/>
        <v>14835.39275</v>
      </c>
      <c r="K54" s="867">
        <f t="shared" si="16"/>
        <v>1.015740149</v>
      </c>
      <c r="L54" s="866" t="s">
        <v>194</v>
      </c>
      <c r="M54" s="866">
        <v>51845.0</v>
      </c>
      <c r="N54" s="866">
        <v>41194.0</v>
      </c>
      <c r="O54" s="866">
        <v>32100.0</v>
      </c>
      <c r="P54" s="866">
        <v>25828.0</v>
      </c>
      <c r="Q54" s="866">
        <v>21002.0</v>
      </c>
      <c r="R54" s="866">
        <v>26868.0</v>
      </c>
      <c r="S54" s="866">
        <v>24776.0</v>
      </c>
      <c r="T54" s="866">
        <v>23930.0</v>
      </c>
      <c r="U54" s="866">
        <v>20519.0</v>
      </c>
      <c r="V54" s="866">
        <v>19117.0</v>
      </c>
      <c r="W54" s="866">
        <v>16567.0</v>
      </c>
      <c r="X54" s="866">
        <v>12534.0</v>
      </c>
      <c r="Y54" s="866">
        <v>11585.0</v>
      </c>
      <c r="Z54" s="866">
        <v>9242.0</v>
      </c>
      <c r="AA54" s="866">
        <v>8679.0</v>
      </c>
      <c r="AB54" s="866">
        <v>7506.0</v>
      </c>
      <c r="AC54" s="866">
        <v>5272.0</v>
      </c>
      <c r="AD54" s="866">
        <v>5863.0</v>
      </c>
      <c r="AE54" s="866">
        <v>2778.0</v>
      </c>
      <c r="AF54" s="866">
        <v>930.0</v>
      </c>
      <c r="AG54" s="866">
        <v>211.0</v>
      </c>
      <c r="AH54" s="866">
        <v>-7568.0</v>
      </c>
      <c r="AI54" s="866">
        <v>-5217.0</v>
      </c>
      <c r="AJ54" s="866">
        <v>-5029.0</v>
      </c>
      <c r="AK54" s="15"/>
      <c r="AL54" s="851" t="s">
        <v>194</v>
      </c>
      <c r="AM54" s="846" t="s">
        <v>194</v>
      </c>
      <c r="AN54" s="846" t="s">
        <v>194</v>
      </c>
      <c r="AO54" s="846" t="s">
        <v>194</v>
      </c>
      <c r="AP54" s="846" t="s">
        <v>194</v>
      </c>
      <c r="AQ54" s="846" t="s">
        <v>194</v>
      </c>
      <c r="AR54" s="846" t="s">
        <v>194</v>
      </c>
      <c r="AS54" s="846" t="s">
        <v>194</v>
      </c>
      <c r="AT54" s="846" t="s">
        <v>194</v>
      </c>
      <c r="AU54" s="846" t="s">
        <v>194</v>
      </c>
      <c r="AV54" s="846" t="s">
        <v>194</v>
      </c>
      <c r="AW54" s="846" t="s">
        <v>194</v>
      </c>
      <c r="AX54" s="846" t="s">
        <v>194</v>
      </c>
      <c r="AY54" s="846" t="s">
        <v>194</v>
      </c>
      <c r="AZ54" s="846" t="s">
        <v>194</v>
      </c>
      <c r="BA54" s="846" t="s">
        <v>194</v>
      </c>
      <c r="BB54" s="846" t="s">
        <v>194</v>
      </c>
      <c r="BC54" s="846" t="s">
        <v>194</v>
      </c>
      <c r="BD54" s="846" t="s">
        <v>194</v>
      </c>
      <c r="BE54" s="846" t="s">
        <v>194</v>
      </c>
      <c r="BF54" s="846" t="s">
        <v>194</v>
      </c>
      <c r="BG54" s="846" t="s">
        <v>194</v>
      </c>
    </row>
    <row r="55" ht="15.75" customHeight="1">
      <c r="A55" s="849">
        <v>1.0</v>
      </c>
      <c r="B55" s="15"/>
      <c r="C55" s="855" t="str">
        <f>"Dilution to Earnings"</f>
        <v>Dilution to Earnings</v>
      </c>
      <c r="D55" s="866">
        <f t="shared" si="9"/>
        <v>0</v>
      </c>
      <c r="E55" s="866">
        <f t="shared" si="10"/>
        <v>317.9333333</v>
      </c>
      <c r="F55" s="866">
        <f t="shared" si="11"/>
        <v>-3</v>
      </c>
      <c r="G55" s="866">
        <f t="shared" si="12"/>
        <v>1212</v>
      </c>
      <c r="H55" s="866">
        <f t="shared" si="13"/>
        <v>0</v>
      </c>
      <c r="I55" s="866">
        <f t="shared" si="14"/>
        <v>604.5</v>
      </c>
      <c r="J55" s="866">
        <f t="shared" si="15"/>
        <v>539.2209283</v>
      </c>
      <c r="K55" s="867">
        <f t="shared" si="16"/>
        <v>1.696018856</v>
      </c>
      <c r="L55" s="866" t="s">
        <v>194</v>
      </c>
      <c r="M55" s="866" t="s">
        <v>194</v>
      </c>
      <c r="N55" s="866" t="s">
        <v>194</v>
      </c>
      <c r="O55" s="866" t="s">
        <v>194</v>
      </c>
      <c r="P55" s="866" t="s">
        <v>194</v>
      </c>
      <c r="Q55" s="866" t="s">
        <v>194</v>
      </c>
      <c r="R55" s="866" t="s">
        <v>194</v>
      </c>
      <c r="S55" s="866" t="s">
        <v>194</v>
      </c>
      <c r="T55" s="866" t="s">
        <v>194</v>
      </c>
      <c r="U55" s="866" t="s">
        <v>194</v>
      </c>
      <c r="V55" s="866">
        <v>0.0</v>
      </c>
      <c r="W55" s="866">
        <v>0.0</v>
      </c>
      <c r="X55" s="866">
        <v>0.0</v>
      </c>
      <c r="Y55" s="866">
        <v>0.0</v>
      </c>
      <c r="Z55" s="866">
        <v>-3.0</v>
      </c>
      <c r="AA55" s="866">
        <v>-3.0</v>
      </c>
      <c r="AB55" s="866">
        <v>-3.0</v>
      </c>
      <c r="AC55" s="866">
        <v>53.0</v>
      </c>
      <c r="AD55" s="866">
        <v>1212.0</v>
      </c>
      <c r="AE55" s="866">
        <v>1201.0</v>
      </c>
      <c r="AF55" s="866">
        <v>1156.0</v>
      </c>
      <c r="AG55" s="866">
        <v>1156.0</v>
      </c>
      <c r="AH55" s="866">
        <v>0.0</v>
      </c>
      <c r="AI55" s="866">
        <v>0.0</v>
      </c>
      <c r="AJ55" s="866">
        <v>0.0</v>
      </c>
      <c r="AK55" s="15"/>
      <c r="AL55" s="851" t="s">
        <v>194</v>
      </c>
      <c r="AM55" s="846" t="s">
        <v>194</v>
      </c>
      <c r="AN55" s="846" t="s">
        <v>194</v>
      </c>
      <c r="AO55" s="846" t="s">
        <v>194</v>
      </c>
      <c r="AP55" s="846" t="s">
        <v>194</v>
      </c>
      <c r="AQ55" s="846" t="s">
        <v>194</v>
      </c>
      <c r="AR55" s="846" t="s">
        <v>194</v>
      </c>
      <c r="AS55" s="846" t="s">
        <v>194</v>
      </c>
      <c r="AT55" s="846" t="s">
        <v>194</v>
      </c>
      <c r="AU55" s="846" t="s">
        <v>194</v>
      </c>
      <c r="AV55" s="846" t="s">
        <v>194</v>
      </c>
      <c r="AW55" s="846" t="s">
        <v>194</v>
      </c>
      <c r="AX55" s="846" t="s">
        <v>194</v>
      </c>
      <c r="AY55" s="846" t="s">
        <v>194</v>
      </c>
      <c r="AZ55" s="846" t="s">
        <v>194</v>
      </c>
      <c r="BA55" s="846" t="s">
        <v>194</v>
      </c>
      <c r="BB55" s="846" t="s">
        <v>194</v>
      </c>
      <c r="BC55" s="846" t="s">
        <v>194</v>
      </c>
      <c r="BD55" s="846" t="s">
        <v>194</v>
      </c>
      <c r="BE55" s="846" t="s">
        <v>194</v>
      </c>
      <c r="BF55" s="846" t="s">
        <v>194</v>
      </c>
      <c r="BG55" s="846" t="s">
        <v>194</v>
      </c>
    </row>
    <row r="56" ht="15.75" customHeight="1">
      <c r="A56" s="849">
        <v>1.0</v>
      </c>
      <c r="B56" s="15"/>
      <c r="C56" s="855" t="str">
        <f>"Diluted Net Income Available to Common Stockholders"</f>
        <v>Diluted Net Income Available to Common Stockholders</v>
      </c>
      <c r="D56" s="866">
        <f t="shared" si="9"/>
        <v>12059.5</v>
      </c>
      <c r="E56" s="866">
        <f t="shared" si="10"/>
        <v>14804.20833</v>
      </c>
      <c r="F56" s="866">
        <f t="shared" si="11"/>
        <v>-7568</v>
      </c>
      <c r="G56" s="866">
        <f t="shared" si="12"/>
        <v>51845</v>
      </c>
      <c r="H56" s="866">
        <f t="shared" si="13"/>
        <v>4988.5</v>
      </c>
      <c r="I56" s="866">
        <f t="shared" si="14"/>
        <v>24141.5</v>
      </c>
      <c r="J56" s="866">
        <f t="shared" si="15"/>
        <v>14672.22321</v>
      </c>
      <c r="K56" s="867">
        <f t="shared" si="16"/>
        <v>0.9910846213</v>
      </c>
      <c r="L56" s="866" t="s">
        <v>194</v>
      </c>
      <c r="M56" s="866">
        <v>51845.0</v>
      </c>
      <c r="N56" s="866">
        <v>41194.0</v>
      </c>
      <c r="O56" s="866">
        <v>32100.0</v>
      </c>
      <c r="P56" s="866">
        <v>25828.0</v>
      </c>
      <c r="Q56" s="866">
        <v>21002.0</v>
      </c>
      <c r="R56" s="866">
        <v>26868.0</v>
      </c>
      <c r="S56" s="866">
        <v>24776.0</v>
      </c>
      <c r="T56" s="866">
        <v>23930.0</v>
      </c>
      <c r="U56" s="866">
        <v>20519.0</v>
      </c>
      <c r="V56" s="866">
        <v>19117.0</v>
      </c>
      <c r="W56" s="866">
        <v>16567.0</v>
      </c>
      <c r="X56" s="866">
        <v>12534.0</v>
      </c>
      <c r="Y56" s="866">
        <v>11585.0</v>
      </c>
      <c r="Z56" s="866">
        <v>9239.0</v>
      </c>
      <c r="AA56" s="866">
        <v>8676.0</v>
      </c>
      <c r="AB56" s="866">
        <v>7503.0</v>
      </c>
      <c r="AC56" s="866">
        <v>5325.0</v>
      </c>
      <c r="AD56" s="866">
        <v>7075.0</v>
      </c>
      <c r="AE56" s="866">
        <v>3979.0</v>
      </c>
      <c r="AF56" s="866">
        <v>2086.0</v>
      </c>
      <c r="AG56" s="866">
        <v>1367.0</v>
      </c>
      <c r="AH56" s="866">
        <v>-7568.0</v>
      </c>
      <c r="AI56" s="866">
        <v>-5217.0</v>
      </c>
      <c r="AJ56" s="866">
        <v>-5029.0</v>
      </c>
      <c r="AK56" s="15"/>
      <c r="AL56" s="851" t="s">
        <v>194</v>
      </c>
      <c r="AM56" s="846" t="s">
        <v>194</v>
      </c>
      <c r="AN56" s="846" t="s">
        <v>194</v>
      </c>
      <c r="AO56" s="846" t="s">
        <v>194</v>
      </c>
      <c r="AP56" s="846" t="s">
        <v>194</v>
      </c>
      <c r="AQ56" s="846" t="s">
        <v>194</v>
      </c>
      <c r="AR56" s="846" t="s">
        <v>194</v>
      </c>
      <c r="AS56" s="846" t="s">
        <v>194</v>
      </c>
      <c r="AT56" s="846" t="s">
        <v>194</v>
      </c>
      <c r="AU56" s="846" t="s">
        <v>194</v>
      </c>
      <c r="AV56" s="846" t="s">
        <v>194</v>
      </c>
      <c r="AW56" s="846" t="s">
        <v>194</v>
      </c>
      <c r="AX56" s="846" t="s">
        <v>194</v>
      </c>
      <c r="AY56" s="846" t="s">
        <v>194</v>
      </c>
      <c r="AZ56" s="846" t="s">
        <v>194</v>
      </c>
      <c r="BA56" s="846" t="s">
        <v>194</v>
      </c>
      <c r="BB56" s="846" t="s">
        <v>194</v>
      </c>
      <c r="BC56" s="846" t="s">
        <v>194</v>
      </c>
      <c r="BD56" s="846" t="s">
        <v>194</v>
      </c>
      <c r="BE56" s="846" t="s">
        <v>194</v>
      </c>
      <c r="BF56" s="846" t="s">
        <v>194</v>
      </c>
      <c r="BG56" s="846" t="s">
        <v>194</v>
      </c>
    </row>
    <row r="57" ht="15.75" customHeight="1">
      <c r="A57" s="849">
        <v>1.0</v>
      </c>
      <c r="B57" s="15"/>
      <c r="C57" s="855" t="str">
        <f>IF(SUBTOTAL(109,A58)=A58,"Basic EPS","Basic EPS")</f>
        <v>Basic EPS</v>
      </c>
      <c r="D57" s="867" t="str">
        <f t="shared" si="9"/>
        <v/>
      </c>
      <c r="E57" s="867" t="str">
        <f t="shared" si="10"/>
        <v/>
      </c>
      <c r="F57" s="867" t="str">
        <f t="shared" si="11"/>
        <v/>
      </c>
      <c r="G57" s="867" t="str">
        <f t="shared" si="12"/>
        <v/>
      </c>
      <c r="H57" s="867" t="str">
        <f t="shared" si="13"/>
        <v/>
      </c>
      <c r="I57" s="867" t="str">
        <f t="shared" si="14"/>
        <v/>
      </c>
      <c r="J57" s="867" t="str">
        <f t="shared" si="15"/>
        <v/>
      </c>
      <c r="K57" s="867" t="str">
        <f t="shared" si="16"/>
        <v/>
      </c>
      <c r="L57" s="867" t="s">
        <v>194</v>
      </c>
      <c r="M57" s="867" t="str">
        <f>IF(SUBTOTAL(109,A58)=A58,"",2.44)</f>
        <v/>
      </c>
      <c r="N57" s="867" t="str">
        <f>IF(SUBTOTAL(109,A58)=A58,"",1.94)</f>
        <v/>
      </c>
      <c r="O57" s="867" t="str">
        <f>IF(SUBTOTAL(109,A58)=A58,"",1.52)</f>
        <v/>
      </c>
      <c r="P57" s="867" t="str">
        <f>IF(SUBTOTAL(109,A58)=A58,"",1.23)</f>
        <v/>
      </c>
      <c r="Q57" s="867" t="str">
        <f>IF(SUBTOTAL(109,A58)=A58,"",1.02)</f>
        <v/>
      </c>
      <c r="R57" s="867" t="str">
        <f>IF(SUBTOTAL(109,A58)=A58,"",1.31)</f>
        <v/>
      </c>
      <c r="S57" s="867" t="str">
        <f>IF(SUBTOTAL(109,A58)=A58,"",1.21)</f>
        <v/>
      </c>
      <c r="T57" s="867" t="str">
        <f>IF(SUBTOTAL(109,A58)=A58,"",1.19)</f>
        <v/>
      </c>
      <c r="U57" s="867" t="str">
        <f>IF(SUBTOTAL(109,A58)=A58,"",1.02)</f>
        <v/>
      </c>
      <c r="V57" s="867" t="str">
        <f>IF(SUBTOTAL(109,A58)=A58,"",0.96)</f>
        <v/>
      </c>
      <c r="W57" s="867" t="str">
        <f>IF(SUBTOTAL(109,A58)=A58,"",0.84)</f>
        <v/>
      </c>
      <c r="X57" s="867" t="str">
        <f>IF(SUBTOTAL(109,A58)=A58,"",0.65)</f>
        <v/>
      </c>
      <c r="Y57" s="867" t="str">
        <f>IF(SUBTOTAL(109,A58)=A58,"",0.6)</f>
        <v/>
      </c>
      <c r="Z57" s="867" t="str">
        <f>IF(SUBTOTAL(109,A58)=A58,"",0.49)</f>
        <v/>
      </c>
      <c r="AA57" s="867" t="str">
        <f>IF(SUBTOTAL(109,A58)=A58,"",0.47)</f>
        <v/>
      </c>
      <c r="AB57" s="867" t="str">
        <f>IF(SUBTOTAL(109,A58)=A58,"",0.42)</f>
        <v/>
      </c>
      <c r="AC57" s="867" t="str">
        <f>IF(SUBTOTAL(109,A58)=A58,"",0.33)</f>
        <v/>
      </c>
      <c r="AD57" s="867" t="str">
        <f>IF(SUBTOTAL(109,A58)=A58,"",0.014535)</f>
        <v/>
      </c>
      <c r="AE57" s="867" t="str">
        <f>IF(SUBTOTAL(109,A58)=A58,"",0.152302)</f>
        <v/>
      </c>
      <c r="AF57" s="867" t="str">
        <f>IF(SUBTOTAL(109,A58)=A58,"",0.051235)</f>
        <v/>
      </c>
      <c r="AG57" s="867" t="str">
        <f>IF(SUBTOTAL(109,A58)=A58,"",0.014535)</f>
        <v/>
      </c>
      <c r="AH57" s="867" t="str">
        <f>IF(SUBTOTAL(109,A58)=A58,"",0.248588)</f>
        <v/>
      </c>
      <c r="AI57" s="867" t="str">
        <f>IF(SUBTOTAL(109,A58)=A58,"",0.04)</f>
        <v/>
      </c>
      <c r="AJ57" s="867" t="str">
        <f>IF(SUBTOTAL(109,A58)=A58,"","")</f>
        <v/>
      </c>
      <c r="AK57" s="15"/>
      <c r="AL57" s="851" t="s">
        <v>194</v>
      </c>
      <c r="AM57" s="846" t="s">
        <v>194</v>
      </c>
      <c r="AN57" s="846" t="s">
        <v>194</v>
      </c>
      <c r="AO57" s="846" t="s">
        <v>194</v>
      </c>
      <c r="AP57" s="846" t="s">
        <v>194</v>
      </c>
      <c r="AQ57" s="846" t="s">
        <v>194</v>
      </c>
      <c r="AR57" s="846" t="s">
        <v>194</v>
      </c>
      <c r="AS57" s="846" t="s">
        <v>194</v>
      </c>
      <c r="AT57" s="846" t="s">
        <v>194</v>
      </c>
      <c r="AU57" s="846" t="s">
        <v>194</v>
      </c>
      <c r="AV57" s="846" t="s">
        <v>194</v>
      </c>
      <c r="AW57" s="846" t="s">
        <v>194</v>
      </c>
      <c r="AX57" s="846" t="s">
        <v>194</v>
      </c>
      <c r="AY57" s="846" t="s">
        <v>194</v>
      </c>
      <c r="AZ57" s="846" t="s">
        <v>194</v>
      </c>
      <c r="BA57" s="846" t="s">
        <v>194</v>
      </c>
      <c r="BB57" s="846" t="s">
        <v>194</v>
      </c>
      <c r="BC57" s="846" t="s">
        <v>194</v>
      </c>
      <c r="BD57" s="846" t="s">
        <v>194</v>
      </c>
      <c r="BE57" s="846" t="s">
        <v>194</v>
      </c>
      <c r="BF57" s="846" t="s">
        <v>194</v>
      </c>
      <c r="BG57" s="846" t="s">
        <v>194</v>
      </c>
    </row>
    <row r="58" ht="15.75" customHeight="1" outlineLevel="1">
      <c r="A58" s="849">
        <v>1.0</v>
      </c>
      <c r="B58" s="15"/>
      <c r="C58" s="869" t="str">
        <f>"    Basic EPS from Continuing Operations"</f>
        <v>    Basic EPS from Continuing Operations</v>
      </c>
      <c r="D58" s="871">
        <f t="shared" si="9"/>
        <v>0.65</v>
      </c>
      <c r="E58" s="871">
        <f t="shared" si="10"/>
        <v>0.7896171739</v>
      </c>
      <c r="F58" s="871">
        <f t="shared" si="11"/>
        <v>0.014535</v>
      </c>
      <c r="G58" s="871">
        <f t="shared" si="12"/>
        <v>2.44</v>
      </c>
      <c r="H58" s="871">
        <f t="shared" si="13"/>
        <v>0.289294</v>
      </c>
      <c r="I58" s="871">
        <f t="shared" si="14"/>
        <v>1.2</v>
      </c>
      <c r="J58" s="871">
        <f t="shared" si="15"/>
        <v>0.6439525667</v>
      </c>
      <c r="K58" s="871">
        <f t="shared" si="16"/>
        <v>0.8155250265</v>
      </c>
      <c r="L58" s="928" t="s">
        <v>194</v>
      </c>
      <c r="M58" s="928">
        <v>2.44</v>
      </c>
      <c r="N58" s="928">
        <v>1.94</v>
      </c>
      <c r="O58" s="928">
        <v>1.52</v>
      </c>
      <c r="P58" s="928">
        <v>1.23</v>
      </c>
      <c r="Q58" s="928">
        <v>1.02</v>
      </c>
      <c r="R58" s="928">
        <v>1.31</v>
      </c>
      <c r="S58" s="928">
        <v>1.21</v>
      </c>
      <c r="T58" s="928">
        <v>1.19</v>
      </c>
      <c r="U58" s="928">
        <v>1.02</v>
      </c>
      <c r="V58" s="928">
        <v>0.96</v>
      </c>
      <c r="W58" s="928">
        <v>0.84</v>
      </c>
      <c r="X58" s="928">
        <v>0.65</v>
      </c>
      <c r="Y58" s="928">
        <v>0.6</v>
      </c>
      <c r="Z58" s="928">
        <v>0.49</v>
      </c>
      <c r="AA58" s="928">
        <v>0.47</v>
      </c>
      <c r="AB58" s="928">
        <v>0.42</v>
      </c>
      <c r="AC58" s="928">
        <v>0.33</v>
      </c>
      <c r="AD58" s="928">
        <v>0.014535</v>
      </c>
      <c r="AE58" s="928">
        <v>0.152302</v>
      </c>
      <c r="AF58" s="928">
        <v>0.051235</v>
      </c>
      <c r="AG58" s="928">
        <v>0.014535</v>
      </c>
      <c r="AH58" s="928">
        <v>0.248588</v>
      </c>
      <c r="AI58" s="928">
        <v>0.04</v>
      </c>
      <c r="AJ58" s="928" t="s">
        <v>194</v>
      </c>
      <c r="AK58" s="15"/>
      <c r="AL58" s="851" t="s">
        <v>194</v>
      </c>
      <c r="AM58" s="846" t="s">
        <v>194</v>
      </c>
      <c r="AN58" s="846" t="s">
        <v>194</v>
      </c>
      <c r="AO58" s="846" t="s">
        <v>194</v>
      </c>
      <c r="AP58" s="846" t="s">
        <v>194</v>
      </c>
      <c r="AQ58" s="846" t="s">
        <v>194</v>
      </c>
      <c r="AR58" s="846" t="s">
        <v>194</v>
      </c>
      <c r="AS58" s="846" t="s">
        <v>194</v>
      </c>
      <c r="AT58" s="846" t="s">
        <v>194</v>
      </c>
      <c r="AU58" s="846" t="s">
        <v>194</v>
      </c>
      <c r="AV58" s="846" t="s">
        <v>194</v>
      </c>
      <c r="AW58" s="846" t="s">
        <v>194</v>
      </c>
      <c r="AX58" s="846" t="s">
        <v>194</v>
      </c>
      <c r="AY58" s="846" t="s">
        <v>194</v>
      </c>
      <c r="AZ58" s="846" t="s">
        <v>194</v>
      </c>
      <c r="BA58" s="846" t="s">
        <v>194</v>
      </c>
      <c r="BB58" s="846" t="s">
        <v>194</v>
      </c>
      <c r="BC58" s="846" t="s">
        <v>194</v>
      </c>
      <c r="BD58" s="846" t="s">
        <v>194</v>
      </c>
      <c r="BE58" s="846" t="s">
        <v>194</v>
      </c>
      <c r="BF58" s="846" t="s">
        <v>194</v>
      </c>
      <c r="BG58" s="846" t="s">
        <v>194</v>
      </c>
    </row>
    <row r="59" ht="15.75" customHeight="1" outlineLevel="1">
      <c r="A59" s="849">
        <v>1.0</v>
      </c>
      <c r="B59" s="15"/>
      <c r="C59" s="855" t="str">
        <f>"    Total Basic EPS"</f>
        <v>    Total Basic EPS</v>
      </c>
      <c r="D59" s="883">
        <f t="shared" si="9"/>
        <v>0.65</v>
      </c>
      <c r="E59" s="883">
        <f t="shared" si="10"/>
        <v>0.7896171739</v>
      </c>
      <c r="F59" s="883">
        <f t="shared" si="11"/>
        <v>0.014535</v>
      </c>
      <c r="G59" s="883">
        <f t="shared" si="12"/>
        <v>2.44</v>
      </c>
      <c r="H59" s="883">
        <f t="shared" si="13"/>
        <v>0.289294</v>
      </c>
      <c r="I59" s="883">
        <f t="shared" si="14"/>
        <v>1.2</v>
      </c>
      <c r="J59" s="883">
        <f t="shared" si="15"/>
        <v>0.6439525667</v>
      </c>
      <c r="K59" s="883">
        <f t="shared" si="16"/>
        <v>0.8155250265</v>
      </c>
      <c r="L59" s="883" t="s">
        <v>194</v>
      </c>
      <c r="M59" s="883">
        <v>2.44</v>
      </c>
      <c r="N59" s="883">
        <v>1.94</v>
      </c>
      <c r="O59" s="883">
        <v>1.52</v>
      </c>
      <c r="P59" s="883">
        <v>1.23</v>
      </c>
      <c r="Q59" s="883">
        <v>1.02</v>
      </c>
      <c r="R59" s="883">
        <v>1.31</v>
      </c>
      <c r="S59" s="883">
        <v>1.21</v>
      </c>
      <c r="T59" s="883">
        <v>1.19</v>
      </c>
      <c r="U59" s="883">
        <v>1.02</v>
      </c>
      <c r="V59" s="883">
        <v>0.96</v>
      </c>
      <c r="W59" s="883">
        <v>0.84</v>
      </c>
      <c r="X59" s="883">
        <v>0.65</v>
      </c>
      <c r="Y59" s="883">
        <v>0.6</v>
      </c>
      <c r="Z59" s="883">
        <v>0.49</v>
      </c>
      <c r="AA59" s="883">
        <v>0.47</v>
      </c>
      <c r="AB59" s="883">
        <v>0.42</v>
      </c>
      <c r="AC59" s="883">
        <v>0.33</v>
      </c>
      <c r="AD59" s="883">
        <v>0.014535</v>
      </c>
      <c r="AE59" s="883">
        <v>0.152302</v>
      </c>
      <c r="AF59" s="883">
        <v>0.051235</v>
      </c>
      <c r="AG59" s="883">
        <v>0.014535</v>
      </c>
      <c r="AH59" s="883">
        <v>0.248588</v>
      </c>
      <c r="AI59" s="883">
        <v>0.04</v>
      </c>
      <c r="AJ59" s="883" t="s">
        <v>194</v>
      </c>
      <c r="AK59" s="15"/>
      <c r="AL59" s="851" t="s">
        <v>194</v>
      </c>
      <c r="AM59" s="846" t="s">
        <v>194</v>
      </c>
      <c r="AN59" s="846" t="s">
        <v>194</v>
      </c>
      <c r="AO59" s="846" t="s">
        <v>194</v>
      </c>
      <c r="AP59" s="846" t="s">
        <v>194</v>
      </c>
      <c r="AQ59" s="846" t="s">
        <v>194</v>
      </c>
      <c r="AR59" s="846" t="s">
        <v>194</v>
      </c>
      <c r="AS59" s="846" t="s">
        <v>194</v>
      </c>
      <c r="AT59" s="846" t="s">
        <v>194</v>
      </c>
      <c r="AU59" s="846" t="s">
        <v>194</v>
      </c>
      <c r="AV59" s="846" t="s">
        <v>194</v>
      </c>
      <c r="AW59" s="846" t="s">
        <v>194</v>
      </c>
      <c r="AX59" s="846" t="s">
        <v>194</v>
      </c>
      <c r="AY59" s="846" t="s">
        <v>194</v>
      </c>
      <c r="AZ59" s="846" t="s">
        <v>194</v>
      </c>
      <c r="BA59" s="846" t="s">
        <v>194</v>
      </c>
      <c r="BB59" s="846" t="s">
        <v>194</v>
      </c>
      <c r="BC59" s="846" t="s">
        <v>194</v>
      </c>
      <c r="BD59" s="846" t="s">
        <v>194</v>
      </c>
      <c r="BE59" s="846" t="s">
        <v>194</v>
      </c>
      <c r="BF59" s="846" t="s">
        <v>194</v>
      </c>
      <c r="BG59" s="846" t="s">
        <v>194</v>
      </c>
    </row>
    <row r="60" ht="15.75" customHeight="1">
      <c r="A60" s="849">
        <v>1.0</v>
      </c>
      <c r="B60" s="15"/>
      <c r="C60" s="855" t="str">
        <f>IF(SUBTOTAL(109,A61)=A61,"Diluted EPS","Diluted EPS")</f>
        <v>Diluted EPS</v>
      </c>
      <c r="D60" s="867" t="str">
        <f t="shared" si="9"/>
        <v/>
      </c>
      <c r="E60" s="867" t="str">
        <f t="shared" si="10"/>
        <v/>
      </c>
      <c r="F60" s="867" t="str">
        <f t="shared" si="11"/>
        <v/>
      </c>
      <c r="G60" s="867" t="str">
        <f t="shared" si="12"/>
        <v/>
      </c>
      <c r="H60" s="867" t="str">
        <f t="shared" si="13"/>
        <v/>
      </c>
      <c r="I60" s="867" t="str">
        <f t="shared" si="14"/>
        <v/>
      </c>
      <c r="J60" s="867" t="str">
        <f t="shared" si="15"/>
        <v/>
      </c>
      <c r="K60" s="867" t="str">
        <f t="shared" si="16"/>
        <v/>
      </c>
      <c r="L60" s="867" t="s">
        <v>194</v>
      </c>
      <c r="M60" s="867" t="str">
        <f>IF(SUBTOTAL(109,A61)=A61,"",2.3)</f>
        <v/>
      </c>
      <c r="N60" s="867" t="str">
        <f>IF(SUBTOTAL(109,A61)=A61,"",1.83)</f>
        <v/>
      </c>
      <c r="O60" s="867" t="str">
        <f>IF(SUBTOTAL(109,A61)=A61,"",1.43)</f>
        <v/>
      </c>
      <c r="P60" s="867" t="str">
        <f>IF(SUBTOTAL(109,A61)=A61,"",1.16)</f>
        <v/>
      </c>
      <c r="Q60" s="867" t="str">
        <f>IF(SUBTOTAL(109,A61)=A61,"",0.96)</f>
        <v/>
      </c>
      <c r="R60" s="867" t="str">
        <f>IF(SUBTOTAL(109,A61)=A61,"",1.23)</f>
        <v/>
      </c>
      <c r="S60" s="867" t="str">
        <f>IF(SUBTOTAL(109,A61)=A61,"",1.15)</f>
        <v/>
      </c>
      <c r="T60" s="867" t="str">
        <f>IF(SUBTOTAL(109,A61)=A61,"",1.12)</f>
        <v/>
      </c>
      <c r="U60" s="867" t="str">
        <f>IF(SUBTOTAL(109,A61)=A61,"",0.97)</f>
        <v/>
      </c>
      <c r="V60" s="867" t="str">
        <f>IF(SUBTOTAL(109,A61)=A61,"",0.92)</f>
        <v/>
      </c>
      <c r="W60" s="867" t="str">
        <f>IF(SUBTOTAL(109,A61)=A61,"",0.8)</f>
        <v/>
      </c>
      <c r="X60" s="867" t="str">
        <f>IF(SUBTOTAL(109,A61)=A61,"",0.61)</f>
        <v/>
      </c>
      <c r="Y60" s="867" t="str">
        <f>IF(SUBTOTAL(109,A61)=A61,"",0.56)</f>
        <v/>
      </c>
      <c r="Z60" s="867" t="str">
        <f>IF(SUBTOTAL(109,A61)=A61,"",0.45)</f>
        <v/>
      </c>
      <c r="AA60" s="867" t="str">
        <f>IF(SUBTOTAL(109,A61)=A61,"",0.43)</f>
        <v/>
      </c>
      <c r="AB60" s="867" t="str">
        <f>IF(SUBTOTAL(109,A61)=A61,"",0.38)</f>
        <v/>
      </c>
      <c r="AC60" s="867" t="str">
        <f>IF(SUBTOTAL(109,A61)=A61,"",0.3)</f>
        <v/>
      </c>
      <c r="AD60" s="867" t="str">
        <f>IF(SUBTOTAL(109,A61)=A61,"",0.024535)</f>
        <v/>
      </c>
      <c r="AE60" s="867" t="str">
        <f>IF(SUBTOTAL(109,A61)=A61,"",0.152302)</f>
        <v/>
      </c>
      <c r="AF60" s="867" t="str">
        <f>IF(SUBTOTAL(109,A61)=A61,"",0.051235)</f>
        <v/>
      </c>
      <c r="AG60" s="867" t="str">
        <f>IF(SUBTOTAL(109,A61)=A61,"",0.014535)</f>
        <v/>
      </c>
      <c r="AH60" s="867" t="str">
        <f>IF(SUBTOTAL(109,A61)=A61,"",0.218588)</f>
        <v/>
      </c>
      <c r="AI60" s="867" t="str">
        <f>IF(SUBTOTAL(109,A61)=A61,"",0.04)</f>
        <v/>
      </c>
      <c r="AJ60" s="867" t="str">
        <f>IF(SUBTOTAL(109,A61)=A61,"","")</f>
        <v/>
      </c>
      <c r="AK60" s="15"/>
      <c r="AL60" s="851" t="s">
        <v>194</v>
      </c>
      <c r="AM60" s="846" t="s">
        <v>194</v>
      </c>
      <c r="AN60" s="846" t="s">
        <v>194</v>
      </c>
      <c r="AO60" s="846" t="s">
        <v>194</v>
      </c>
      <c r="AP60" s="846" t="s">
        <v>194</v>
      </c>
      <c r="AQ60" s="846" t="s">
        <v>194</v>
      </c>
      <c r="AR60" s="846" t="s">
        <v>194</v>
      </c>
      <c r="AS60" s="846" t="s">
        <v>194</v>
      </c>
      <c r="AT60" s="846" t="s">
        <v>194</v>
      </c>
      <c r="AU60" s="846" t="s">
        <v>194</v>
      </c>
      <c r="AV60" s="846" t="s">
        <v>194</v>
      </c>
      <c r="AW60" s="846" t="s">
        <v>194</v>
      </c>
      <c r="AX60" s="846" t="s">
        <v>194</v>
      </c>
      <c r="AY60" s="846" t="s">
        <v>194</v>
      </c>
      <c r="AZ60" s="846" t="s">
        <v>194</v>
      </c>
      <c r="BA60" s="846" t="s">
        <v>194</v>
      </c>
      <c r="BB60" s="846" t="s">
        <v>194</v>
      </c>
      <c r="BC60" s="846" t="s">
        <v>194</v>
      </c>
      <c r="BD60" s="846" t="s">
        <v>194</v>
      </c>
      <c r="BE60" s="846" t="s">
        <v>194</v>
      </c>
      <c r="BF60" s="846" t="s">
        <v>194</v>
      </c>
      <c r="BG60" s="846" t="s">
        <v>194</v>
      </c>
    </row>
    <row r="61" ht="15.75" customHeight="1" outlineLevel="1">
      <c r="A61" s="849">
        <v>1.0</v>
      </c>
      <c r="B61" s="15"/>
      <c r="C61" s="869" t="str">
        <f>"    Diluted EPS from Continuing Operations"</f>
        <v>    Diluted EPS from Continuing Operations</v>
      </c>
      <c r="D61" s="871">
        <f t="shared" si="9"/>
        <v>0.61</v>
      </c>
      <c r="E61" s="871">
        <f t="shared" si="10"/>
        <v>0.7435302174</v>
      </c>
      <c r="F61" s="871">
        <f t="shared" si="11"/>
        <v>0.014535</v>
      </c>
      <c r="G61" s="871">
        <f t="shared" si="12"/>
        <v>2.3</v>
      </c>
      <c r="H61" s="871">
        <f t="shared" si="13"/>
        <v>0.259294</v>
      </c>
      <c r="I61" s="871">
        <f t="shared" si="14"/>
        <v>1.135</v>
      </c>
      <c r="J61" s="871">
        <f t="shared" si="15"/>
        <v>0.6081402214</v>
      </c>
      <c r="K61" s="871">
        <f t="shared" si="16"/>
        <v>0.8179092216</v>
      </c>
      <c r="L61" s="928" t="s">
        <v>194</v>
      </c>
      <c r="M61" s="928">
        <v>2.3</v>
      </c>
      <c r="N61" s="928">
        <v>1.83</v>
      </c>
      <c r="O61" s="928">
        <v>1.43</v>
      </c>
      <c r="P61" s="928">
        <v>1.16</v>
      </c>
      <c r="Q61" s="928">
        <v>0.96</v>
      </c>
      <c r="R61" s="928">
        <v>1.23</v>
      </c>
      <c r="S61" s="928">
        <v>1.15</v>
      </c>
      <c r="T61" s="928">
        <v>1.12</v>
      </c>
      <c r="U61" s="928">
        <v>0.97</v>
      </c>
      <c r="V61" s="928">
        <v>0.92</v>
      </c>
      <c r="W61" s="928">
        <v>0.8</v>
      </c>
      <c r="X61" s="928">
        <v>0.61</v>
      </c>
      <c r="Y61" s="928">
        <v>0.56</v>
      </c>
      <c r="Z61" s="928">
        <v>0.45</v>
      </c>
      <c r="AA61" s="928">
        <v>0.43</v>
      </c>
      <c r="AB61" s="928">
        <v>0.38</v>
      </c>
      <c r="AC61" s="928">
        <v>0.3</v>
      </c>
      <c r="AD61" s="928">
        <v>0.024535</v>
      </c>
      <c r="AE61" s="928">
        <v>0.152302</v>
      </c>
      <c r="AF61" s="928">
        <v>0.051235</v>
      </c>
      <c r="AG61" s="928">
        <v>0.014535</v>
      </c>
      <c r="AH61" s="928">
        <v>0.218588</v>
      </c>
      <c r="AI61" s="928">
        <v>0.04</v>
      </c>
      <c r="AJ61" s="928" t="s">
        <v>194</v>
      </c>
      <c r="AK61" s="15"/>
      <c r="AL61" s="851" t="s">
        <v>194</v>
      </c>
      <c r="AM61" s="846" t="s">
        <v>194</v>
      </c>
      <c r="AN61" s="846" t="s">
        <v>194</v>
      </c>
      <c r="AO61" s="846" t="s">
        <v>194</v>
      </c>
      <c r="AP61" s="846" t="s">
        <v>194</v>
      </c>
      <c r="AQ61" s="846" t="s">
        <v>194</v>
      </c>
      <c r="AR61" s="846" t="s">
        <v>194</v>
      </c>
      <c r="AS61" s="846" t="s">
        <v>194</v>
      </c>
      <c r="AT61" s="846" t="s">
        <v>194</v>
      </c>
      <c r="AU61" s="846" t="s">
        <v>194</v>
      </c>
      <c r="AV61" s="846" t="s">
        <v>194</v>
      </c>
      <c r="AW61" s="846" t="s">
        <v>194</v>
      </c>
      <c r="AX61" s="846" t="s">
        <v>194</v>
      </c>
      <c r="AY61" s="846" t="s">
        <v>194</v>
      </c>
      <c r="AZ61" s="846" t="s">
        <v>194</v>
      </c>
      <c r="BA61" s="846" t="s">
        <v>194</v>
      </c>
      <c r="BB61" s="846" t="s">
        <v>194</v>
      </c>
      <c r="BC61" s="846" t="s">
        <v>194</v>
      </c>
      <c r="BD61" s="846" t="s">
        <v>194</v>
      </c>
      <c r="BE61" s="846" t="s">
        <v>194</v>
      </c>
      <c r="BF61" s="846" t="s">
        <v>194</v>
      </c>
      <c r="BG61" s="846" t="s">
        <v>194</v>
      </c>
    </row>
    <row r="62" ht="15.75" customHeight="1" outlineLevel="1">
      <c r="A62" s="849">
        <v>1.0</v>
      </c>
      <c r="B62" s="15"/>
      <c r="C62" s="855" t="str">
        <f>"    Total Diluted EPS"</f>
        <v>    Total Diluted EPS</v>
      </c>
      <c r="D62" s="883">
        <f t="shared" si="9"/>
        <v>0.61</v>
      </c>
      <c r="E62" s="883">
        <f t="shared" si="10"/>
        <v>0.7435302174</v>
      </c>
      <c r="F62" s="883">
        <f t="shared" si="11"/>
        <v>0.014535</v>
      </c>
      <c r="G62" s="883">
        <f t="shared" si="12"/>
        <v>2.3</v>
      </c>
      <c r="H62" s="883">
        <f t="shared" si="13"/>
        <v>0.259294</v>
      </c>
      <c r="I62" s="883">
        <f t="shared" si="14"/>
        <v>1.135</v>
      </c>
      <c r="J62" s="883">
        <f t="shared" si="15"/>
        <v>0.6081402214</v>
      </c>
      <c r="K62" s="883">
        <f t="shared" si="16"/>
        <v>0.8179092216</v>
      </c>
      <c r="L62" s="883" t="s">
        <v>194</v>
      </c>
      <c r="M62" s="883">
        <v>2.3</v>
      </c>
      <c r="N62" s="883">
        <v>1.83</v>
      </c>
      <c r="O62" s="883">
        <v>1.43</v>
      </c>
      <c r="P62" s="883">
        <v>1.16</v>
      </c>
      <c r="Q62" s="883">
        <v>0.96</v>
      </c>
      <c r="R62" s="883">
        <v>1.23</v>
      </c>
      <c r="S62" s="883">
        <v>1.15</v>
      </c>
      <c r="T62" s="883">
        <v>1.12</v>
      </c>
      <c r="U62" s="883">
        <v>0.97</v>
      </c>
      <c r="V62" s="883">
        <v>0.92</v>
      </c>
      <c r="W62" s="883">
        <v>0.8</v>
      </c>
      <c r="X62" s="883">
        <v>0.61</v>
      </c>
      <c r="Y62" s="883">
        <v>0.56</v>
      </c>
      <c r="Z62" s="883">
        <v>0.45</v>
      </c>
      <c r="AA62" s="883">
        <v>0.43</v>
      </c>
      <c r="AB62" s="883">
        <v>0.38</v>
      </c>
      <c r="AC62" s="883">
        <v>0.3</v>
      </c>
      <c r="AD62" s="883">
        <v>0.024535</v>
      </c>
      <c r="AE62" s="883">
        <v>0.152302</v>
      </c>
      <c r="AF62" s="883">
        <v>0.051235</v>
      </c>
      <c r="AG62" s="883">
        <v>0.014535</v>
      </c>
      <c r="AH62" s="883">
        <v>0.218588</v>
      </c>
      <c r="AI62" s="883">
        <v>0.04</v>
      </c>
      <c r="AJ62" s="883" t="s">
        <v>194</v>
      </c>
      <c r="AK62" s="15"/>
      <c r="AL62" s="851" t="s">
        <v>194</v>
      </c>
      <c r="AM62" s="846" t="s">
        <v>194</v>
      </c>
      <c r="AN62" s="846" t="s">
        <v>194</v>
      </c>
      <c r="AO62" s="846" t="s">
        <v>194</v>
      </c>
      <c r="AP62" s="846" t="s">
        <v>194</v>
      </c>
      <c r="AQ62" s="846" t="s">
        <v>194</v>
      </c>
      <c r="AR62" s="846" t="s">
        <v>194</v>
      </c>
      <c r="AS62" s="846" t="s">
        <v>194</v>
      </c>
      <c r="AT62" s="846" t="s">
        <v>194</v>
      </c>
      <c r="AU62" s="846" t="s">
        <v>194</v>
      </c>
      <c r="AV62" s="846" t="s">
        <v>194</v>
      </c>
      <c r="AW62" s="846" t="s">
        <v>194</v>
      </c>
      <c r="AX62" s="846" t="s">
        <v>194</v>
      </c>
      <c r="AY62" s="846" t="s">
        <v>194</v>
      </c>
      <c r="AZ62" s="846" t="s">
        <v>194</v>
      </c>
      <c r="BA62" s="846" t="s">
        <v>194</v>
      </c>
      <c r="BB62" s="846" t="s">
        <v>194</v>
      </c>
      <c r="BC62" s="846" t="s">
        <v>194</v>
      </c>
      <c r="BD62" s="846" t="s">
        <v>194</v>
      </c>
      <c r="BE62" s="846" t="s">
        <v>194</v>
      </c>
      <c r="BF62" s="846" t="s">
        <v>194</v>
      </c>
      <c r="BG62" s="846" t="s">
        <v>194</v>
      </c>
    </row>
    <row r="63" ht="15.75" customHeight="1">
      <c r="A63" s="849">
        <v>1.0</v>
      </c>
      <c r="B63" s="15"/>
      <c r="C63" s="855" t="str">
        <f>"Basic Weighted Average Shares Outstanding"</f>
        <v>Basic Weighted Average Shares Outstanding</v>
      </c>
      <c r="D63" s="866">
        <f t="shared" si="9"/>
        <v>19729398</v>
      </c>
      <c r="E63" s="866">
        <f t="shared" si="10"/>
        <v>18873935.76</v>
      </c>
      <c r="F63" s="866">
        <f t="shared" si="11"/>
        <v>14516523</v>
      </c>
      <c r="G63" s="866">
        <f t="shared" si="12"/>
        <v>21266696</v>
      </c>
      <c r="H63" s="866">
        <f t="shared" si="13"/>
        <v>18615084</v>
      </c>
      <c r="I63" s="866">
        <f t="shared" si="14"/>
        <v>20544380</v>
      </c>
      <c r="J63" s="866">
        <f t="shared" si="15"/>
        <v>2343646.767</v>
      </c>
      <c r="K63" s="867">
        <f t="shared" si="16"/>
        <v>0.1241737175</v>
      </c>
      <c r="L63" s="866" t="s">
        <v>194</v>
      </c>
      <c r="M63" s="866">
        <v>2.1266696E7</v>
      </c>
      <c r="N63" s="866">
        <v>2.10981355E7</v>
      </c>
      <c r="O63" s="866">
        <v>2.09554435E7</v>
      </c>
      <c r="P63" s="866">
        <v>2.08179625E7</v>
      </c>
      <c r="Q63" s="866">
        <v>2.0683807E7</v>
      </c>
      <c r="R63" s="866">
        <v>2.054438E7</v>
      </c>
      <c r="S63" s="866">
        <v>2.03952825E7</v>
      </c>
      <c r="T63" s="866">
        <v>2.023261775E7</v>
      </c>
      <c r="U63" s="866">
        <v>2.0067152E7</v>
      </c>
      <c r="V63" s="866">
        <v>1.991160625E7</v>
      </c>
      <c r="W63" s="866">
        <v>1.9729398E7</v>
      </c>
      <c r="X63" s="866">
        <v>1.9564012E7</v>
      </c>
      <c r="Y63" s="866">
        <v>1.9398991E7</v>
      </c>
      <c r="Z63" s="866">
        <v>1.9154204E7</v>
      </c>
      <c r="AA63" s="866">
        <v>1.88802765E7</v>
      </c>
      <c r="AB63" s="866">
        <v>1.8615084E7</v>
      </c>
      <c r="AC63" s="866">
        <v>1.6182569E7</v>
      </c>
      <c r="AD63" s="866">
        <v>1.51347885E7</v>
      </c>
      <c r="AE63" s="866" t="s">
        <v>194</v>
      </c>
      <c r="AF63" s="866" t="s">
        <v>194</v>
      </c>
      <c r="AG63" s="866">
        <v>1.4516523E7</v>
      </c>
      <c r="AH63" s="866">
        <v>1.4601861E7</v>
      </c>
      <c r="AI63" s="866">
        <v>1.4601861E7</v>
      </c>
      <c r="AJ63" s="866" t="s">
        <v>194</v>
      </c>
      <c r="AK63" s="15"/>
      <c r="AL63" s="851" t="s">
        <v>194</v>
      </c>
      <c r="AM63" s="846" t="s">
        <v>194</v>
      </c>
      <c r="AN63" s="846" t="s">
        <v>194</v>
      </c>
      <c r="AO63" s="846" t="s">
        <v>194</v>
      </c>
      <c r="AP63" s="846" t="s">
        <v>194</v>
      </c>
      <c r="AQ63" s="846" t="s">
        <v>194</v>
      </c>
      <c r="AR63" s="846" t="s">
        <v>194</v>
      </c>
      <c r="AS63" s="846" t="s">
        <v>194</v>
      </c>
      <c r="AT63" s="846" t="s">
        <v>194</v>
      </c>
      <c r="AU63" s="846" t="s">
        <v>194</v>
      </c>
      <c r="AV63" s="846" t="s">
        <v>194</v>
      </c>
      <c r="AW63" s="846" t="s">
        <v>194</v>
      </c>
      <c r="AX63" s="846" t="s">
        <v>194</v>
      </c>
      <c r="AY63" s="846" t="s">
        <v>194</v>
      </c>
      <c r="AZ63" s="846" t="s">
        <v>194</v>
      </c>
      <c r="BA63" s="846" t="s">
        <v>194</v>
      </c>
      <c r="BB63" s="846" t="s">
        <v>194</v>
      </c>
      <c r="BC63" s="846" t="s">
        <v>194</v>
      </c>
      <c r="BD63" s="846" t="s">
        <v>194</v>
      </c>
      <c r="BE63" s="846" t="s">
        <v>194</v>
      </c>
      <c r="BF63" s="846" t="s">
        <v>194</v>
      </c>
      <c r="BG63" s="846" t="s">
        <v>194</v>
      </c>
    </row>
    <row r="64" ht="15.75" customHeight="1">
      <c r="A64" s="849">
        <v>1.0</v>
      </c>
      <c r="B64" s="15"/>
      <c r="C64" s="855" t="str">
        <f>"Diluted Weighted Average Shares Outstanding"</f>
        <v>Diluted Weighted Average Shares Outstanding</v>
      </c>
      <c r="D64" s="866">
        <f t="shared" si="9"/>
        <v>20865400</v>
      </c>
      <c r="E64" s="866">
        <f t="shared" si="10"/>
        <v>20268994.52</v>
      </c>
      <c r="F64" s="866">
        <f t="shared" si="11"/>
        <v>15486487</v>
      </c>
      <c r="G64" s="866">
        <f t="shared" si="12"/>
        <v>22514513</v>
      </c>
      <c r="H64" s="866">
        <f t="shared" si="13"/>
        <v>20432792</v>
      </c>
      <c r="I64" s="866">
        <f t="shared" si="14"/>
        <v>21719566.25</v>
      </c>
      <c r="J64" s="866">
        <f t="shared" si="15"/>
        <v>2139378.503</v>
      </c>
      <c r="K64" s="867">
        <f t="shared" si="16"/>
        <v>0.1055493157</v>
      </c>
      <c r="L64" s="866" t="s">
        <v>194</v>
      </c>
      <c r="M64" s="866">
        <v>2.2514513E7</v>
      </c>
      <c r="N64" s="866">
        <v>2.240767375E7</v>
      </c>
      <c r="O64" s="866">
        <v>2.22366975E7</v>
      </c>
      <c r="P64" s="866">
        <v>2.2076861E7</v>
      </c>
      <c r="Q64" s="866">
        <v>2.1897988E7</v>
      </c>
      <c r="R64" s="866">
        <v>2.171956625E7</v>
      </c>
      <c r="S64" s="866">
        <v>2.1495762E7</v>
      </c>
      <c r="T64" s="866">
        <v>2.12807055E7</v>
      </c>
      <c r="U64" s="866">
        <v>2.1095867E7</v>
      </c>
      <c r="V64" s="866">
        <v>2.09410045E7</v>
      </c>
      <c r="W64" s="866">
        <v>2.08654E7</v>
      </c>
      <c r="X64" s="866">
        <v>2.077775175E7</v>
      </c>
      <c r="Y64" s="866">
        <v>2.070817E7</v>
      </c>
      <c r="Z64" s="866">
        <v>2.05849975E7</v>
      </c>
      <c r="AA64" s="866">
        <v>2.0432792E7</v>
      </c>
      <c r="AB64" s="866">
        <v>2.081862675E7</v>
      </c>
      <c r="AC64" s="866">
        <v>1.8037498E7</v>
      </c>
      <c r="AD64" s="866">
        <v>1.70580065E7</v>
      </c>
      <c r="AE64" s="866" t="s">
        <v>194</v>
      </c>
      <c r="AF64" s="866" t="s">
        <v>194</v>
      </c>
      <c r="AG64" s="866">
        <v>1.6350527E7</v>
      </c>
      <c r="AH64" s="866">
        <v>1.686199E7</v>
      </c>
      <c r="AI64" s="866">
        <v>1.5486487E7</v>
      </c>
      <c r="AJ64" s="866" t="s">
        <v>194</v>
      </c>
      <c r="AK64" s="15"/>
      <c r="AL64" s="851" t="s">
        <v>194</v>
      </c>
      <c r="AM64" s="846" t="s">
        <v>194</v>
      </c>
      <c r="AN64" s="846" t="s">
        <v>194</v>
      </c>
      <c r="AO64" s="846" t="s">
        <v>194</v>
      </c>
      <c r="AP64" s="846" t="s">
        <v>194</v>
      </c>
      <c r="AQ64" s="846" t="s">
        <v>194</v>
      </c>
      <c r="AR64" s="846" t="s">
        <v>194</v>
      </c>
      <c r="AS64" s="846" t="s">
        <v>194</v>
      </c>
      <c r="AT64" s="846" t="s">
        <v>194</v>
      </c>
      <c r="AU64" s="846" t="s">
        <v>194</v>
      </c>
      <c r="AV64" s="846" t="s">
        <v>194</v>
      </c>
      <c r="AW64" s="846" t="s">
        <v>194</v>
      </c>
      <c r="AX64" s="846" t="s">
        <v>194</v>
      </c>
      <c r="AY64" s="846" t="s">
        <v>194</v>
      </c>
      <c r="AZ64" s="846" t="s">
        <v>194</v>
      </c>
      <c r="BA64" s="846" t="s">
        <v>194</v>
      </c>
      <c r="BB64" s="846" t="s">
        <v>194</v>
      </c>
      <c r="BC64" s="846" t="s">
        <v>194</v>
      </c>
      <c r="BD64" s="846" t="s">
        <v>194</v>
      </c>
      <c r="BE64" s="846" t="s">
        <v>194</v>
      </c>
      <c r="BF64" s="846" t="s">
        <v>194</v>
      </c>
      <c r="BG64" s="846" t="s">
        <v>194</v>
      </c>
    </row>
    <row r="65" ht="15.75" customHeight="1">
      <c r="A65" s="849">
        <v>1.0</v>
      </c>
      <c r="B65" s="15"/>
      <c r="C65" s="855" t="str">
        <f>"Income Statement Supplemental Section"</f>
        <v>Income Statement Supplemental Section</v>
      </c>
      <c r="D65" s="867" t="s">
        <v>194</v>
      </c>
      <c r="E65" s="867" t="s">
        <v>194</v>
      </c>
      <c r="F65" s="867" t="s">
        <v>194</v>
      </c>
      <c r="G65" s="867" t="s">
        <v>194</v>
      </c>
      <c r="H65" s="867" t="s">
        <v>194</v>
      </c>
      <c r="I65" s="867" t="s">
        <v>194</v>
      </c>
      <c r="J65" s="867" t="s">
        <v>194</v>
      </c>
      <c r="K65" s="867" t="s">
        <v>194</v>
      </c>
      <c r="L65" s="867" t="s">
        <v>194</v>
      </c>
      <c r="M65" s="867" t="s">
        <v>194</v>
      </c>
      <c r="N65" s="867" t="s">
        <v>194</v>
      </c>
      <c r="O65" s="867" t="s">
        <v>194</v>
      </c>
      <c r="P65" s="867" t="s">
        <v>194</v>
      </c>
      <c r="Q65" s="867" t="s">
        <v>194</v>
      </c>
      <c r="R65" s="867" t="s">
        <v>194</v>
      </c>
      <c r="S65" s="867" t="s">
        <v>194</v>
      </c>
      <c r="T65" s="867" t="s">
        <v>194</v>
      </c>
      <c r="U65" s="867" t="s">
        <v>194</v>
      </c>
      <c r="V65" s="867" t="s">
        <v>194</v>
      </c>
      <c r="W65" s="867" t="s">
        <v>194</v>
      </c>
      <c r="X65" s="867" t="s">
        <v>194</v>
      </c>
      <c r="Y65" s="867" t="s">
        <v>194</v>
      </c>
      <c r="Z65" s="867" t="s">
        <v>194</v>
      </c>
      <c r="AA65" s="867" t="s">
        <v>194</v>
      </c>
      <c r="AB65" s="867" t="s">
        <v>194</v>
      </c>
      <c r="AC65" s="867" t="s">
        <v>194</v>
      </c>
      <c r="AD65" s="867" t="s">
        <v>194</v>
      </c>
      <c r="AE65" s="867" t="s">
        <v>194</v>
      </c>
      <c r="AF65" s="867" t="s">
        <v>194</v>
      </c>
      <c r="AG65" s="867" t="s">
        <v>194</v>
      </c>
      <c r="AH65" s="867" t="s">
        <v>194</v>
      </c>
      <c r="AI65" s="867" t="s">
        <v>194</v>
      </c>
      <c r="AJ65" s="867" t="s">
        <v>194</v>
      </c>
      <c r="AK65" s="15"/>
      <c r="AL65" s="851" t="s">
        <v>194</v>
      </c>
      <c r="AM65" s="846" t="s">
        <v>194</v>
      </c>
      <c r="AN65" s="846" t="s">
        <v>194</v>
      </c>
      <c r="AO65" s="846" t="s">
        <v>194</v>
      </c>
      <c r="AP65" s="846" t="s">
        <v>194</v>
      </c>
      <c r="AQ65" s="846" t="s">
        <v>194</v>
      </c>
      <c r="AR65" s="846" t="s">
        <v>194</v>
      </c>
      <c r="AS65" s="846" t="s">
        <v>194</v>
      </c>
      <c r="AT65" s="846" t="s">
        <v>194</v>
      </c>
      <c r="AU65" s="846" t="s">
        <v>194</v>
      </c>
      <c r="AV65" s="846" t="s">
        <v>194</v>
      </c>
      <c r="AW65" s="846" t="s">
        <v>194</v>
      </c>
      <c r="AX65" s="846" t="s">
        <v>194</v>
      </c>
      <c r="AY65" s="846" t="s">
        <v>194</v>
      </c>
      <c r="AZ65" s="846" t="s">
        <v>194</v>
      </c>
      <c r="BA65" s="846" t="s">
        <v>194</v>
      </c>
      <c r="BB65" s="846" t="s">
        <v>194</v>
      </c>
      <c r="BC65" s="846" t="s">
        <v>194</v>
      </c>
      <c r="BD65" s="846" t="s">
        <v>194</v>
      </c>
      <c r="BE65" s="846" t="s">
        <v>194</v>
      </c>
      <c r="BF65" s="846" t="s">
        <v>194</v>
      </c>
      <c r="BG65" s="846" t="s">
        <v>194</v>
      </c>
    </row>
    <row r="66" ht="15.75" customHeight="1" outlineLevel="1">
      <c r="A66" s="849">
        <v>1.0</v>
      </c>
      <c r="B66" s="15"/>
      <c r="C66" s="869" t="str">
        <f>"    Reported Normalized and Operating Income/Expense Supplemental Section"</f>
        <v>    Reported Normalized and Operating Income/Expense Supplemental Section</v>
      </c>
      <c r="D66" s="889" t="s">
        <v>194</v>
      </c>
      <c r="E66" s="889" t="s">
        <v>194</v>
      </c>
      <c r="F66" s="889" t="s">
        <v>194</v>
      </c>
      <c r="G66" s="889" t="s">
        <v>194</v>
      </c>
      <c r="H66" s="889" t="s">
        <v>194</v>
      </c>
      <c r="I66" s="889" t="s">
        <v>194</v>
      </c>
      <c r="J66" s="889" t="s">
        <v>194</v>
      </c>
      <c r="K66" s="889" t="s">
        <v>194</v>
      </c>
      <c r="L66" s="890" t="s">
        <v>194</v>
      </c>
      <c r="M66" s="890" t="s">
        <v>194</v>
      </c>
      <c r="N66" s="890" t="s">
        <v>194</v>
      </c>
      <c r="O66" s="890" t="s">
        <v>194</v>
      </c>
      <c r="P66" s="890" t="s">
        <v>194</v>
      </c>
      <c r="Q66" s="890" t="s">
        <v>194</v>
      </c>
      <c r="R66" s="890" t="s">
        <v>194</v>
      </c>
      <c r="S66" s="890" t="s">
        <v>194</v>
      </c>
      <c r="T66" s="890" t="s">
        <v>194</v>
      </c>
      <c r="U66" s="890" t="s">
        <v>194</v>
      </c>
      <c r="V66" s="890" t="s">
        <v>194</v>
      </c>
      <c r="W66" s="890" t="s">
        <v>194</v>
      </c>
      <c r="X66" s="890" t="s">
        <v>194</v>
      </c>
      <c r="Y66" s="890" t="s">
        <v>194</v>
      </c>
      <c r="Z66" s="890" t="s">
        <v>194</v>
      </c>
      <c r="AA66" s="890" t="s">
        <v>194</v>
      </c>
      <c r="AB66" s="890" t="s">
        <v>194</v>
      </c>
      <c r="AC66" s="890" t="s">
        <v>194</v>
      </c>
      <c r="AD66" s="890" t="s">
        <v>194</v>
      </c>
      <c r="AE66" s="890" t="s">
        <v>194</v>
      </c>
      <c r="AF66" s="890" t="s">
        <v>194</v>
      </c>
      <c r="AG66" s="890" t="s">
        <v>194</v>
      </c>
      <c r="AH66" s="890" t="s">
        <v>194</v>
      </c>
      <c r="AI66" s="890" t="s">
        <v>194</v>
      </c>
      <c r="AJ66" s="890" t="s">
        <v>194</v>
      </c>
      <c r="AK66" s="15"/>
      <c r="AL66" s="851" t="s">
        <v>194</v>
      </c>
      <c r="AM66" s="846" t="s">
        <v>194</v>
      </c>
      <c r="AN66" s="846" t="s">
        <v>194</v>
      </c>
      <c r="AO66" s="846" t="s">
        <v>194</v>
      </c>
      <c r="AP66" s="846" t="s">
        <v>194</v>
      </c>
      <c r="AQ66" s="846" t="s">
        <v>194</v>
      </c>
      <c r="AR66" s="846" t="s">
        <v>194</v>
      </c>
      <c r="AS66" s="846" t="s">
        <v>194</v>
      </c>
      <c r="AT66" s="846" t="s">
        <v>194</v>
      </c>
      <c r="AU66" s="846" t="s">
        <v>194</v>
      </c>
      <c r="AV66" s="846" t="s">
        <v>194</v>
      </c>
      <c r="AW66" s="846" t="s">
        <v>194</v>
      </c>
      <c r="AX66" s="846" t="s">
        <v>194</v>
      </c>
      <c r="AY66" s="846" t="s">
        <v>194</v>
      </c>
      <c r="AZ66" s="846" t="s">
        <v>194</v>
      </c>
      <c r="BA66" s="846" t="s">
        <v>194</v>
      </c>
      <c r="BB66" s="846" t="s">
        <v>194</v>
      </c>
      <c r="BC66" s="846" t="s">
        <v>194</v>
      </c>
      <c r="BD66" s="846" t="s">
        <v>194</v>
      </c>
      <c r="BE66" s="846" t="s">
        <v>194</v>
      </c>
      <c r="BF66" s="846" t="s">
        <v>194</v>
      </c>
      <c r="BG66" s="846" t="s">
        <v>194</v>
      </c>
    </row>
    <row r="67" ht="15.75" customHeight="1" outlineLevel="2">
      <c r="A67" s="849">
        <v>1.0</v>
      </c>
      <c r="B67" s="15"/>
      <c r="C67" s="869" t="str">
        <f>"        Reported Total Revenue"</f>
        <v>        Reported Total Revenue</v>
      </c>
      <c r="D67" s="870">
        <f t="shared" ref="D67:D72" si="65">IF(COUNT(M67:AJ67)&gt;0,MEDIAN(M67:AJ67),"")</f>
        <v>163623.5</v>
      </c>
      <c r="E67" s="870">
        <f t="shared" ref="E67:E72" si="66">IF(COUNT(M67:AJ67)&gt;0,AVERAGE(M67:AJ67),"")</f>
        <v>171809.9583</v>
      </c>
      <c r="F67" s="870">
        <f t="shared" ref="F67:F72" si="67">IF(COUNT(M67:AJ67)&gt;0,MIN(M67:AJ67),"")</f>
        <v>30634</v>
      </c>
      <c r="G67" s="870">
        <f t="shared" ref="G67:G72" si="68">IF(COUNT(M67:AJ67)&gt;0,MAX(M67:AJ67),"")</f>
        <v>358111</v>
      </c>
      <c r="H67" s="870">
        <f t="shared" ref="H67:H72" si="69">IF(COUNT(M67:AJ67)&gt;0,QUARTILE(M67:AJ67,1),"")</f>
        <v>100777</v>
      </c>
      <c r="I67" s="870">
        <f t="shared" ref="I67:I72" si="70">IF(COUNT(M67:AJ67)&gt;0,QUARTILE(M67:AJ67,3),"")</f>
        <v>225546</v>
      </c>
      <c r="J67" s="870">
        <f t="shared" ref="J67:J72" si="71">IF(COUNT(M67:AJ67)&gt;1,STDEV(M67:AJ67),"")</f>
        <v>90515.00266</v>
      </c>
      <c r="K67" s="871">
        <f t="shared" ref="K67:K72" si="72">IF(COUNT(M67:AJ67)&gt;1,STDEV(M67:AJ67)/AVERAGE(M67:AJ67),"")</f>
        <v>0.5268321088</v>
      </c>
      <c r="L67" s="872" t="s">
        <v>194</v>
      </c>
      <c r="M67" s="872">
        <v>358111.0</v>
      </c>
      <c r="N67" s="872">
        <v>335367.0</v>
      </c>
      <c r="O67" s="872">
        <v>309106.0</v>
      </c>
      <c r="P67" s="872">
        <v>275989.0</v>
      </c>
      <c r="Q67" s="872">
        <v>249438.0</v>
      </c>
      <c r="R67" s="872">
        <v>236502.0</v>
      </c>
      <c r="S67" s="872">
        <v>221894.0</v>
      </c>
      <c r="T67" s="872">
        <v>212340.0</v>
      </c>
      <c r="U67" s="872">
        <v>202829.0</v>
      </c>
      <c r="V67" s="872">
        <v>192424.0</v>
      </c>
      <c r="W67" s="872">
        <v>178780.0</v>
      </c>
      <c r="X67" s="872">
        <v>168242.0</v>
      </c>
      <c r="Y67" s="872">
        <v>159005.0</v>
      </c>
      <c r="Z67" s="872">
        <v>147677.0</v>
      </c>
      <c r="AA67" s="872">
        <v>136292.0</v>
      </c>
      <c r="AB67" s="872">
        <v>122656.0</v>
      </c>
      <c r="AC67" s="872">
        <v>112537.0</v>
      </c>
      <c r="AD67" s="872">
        <v>103181.0</v>
      </c>
      <c r="AE67" s="872">
        <v>93565.0</v>
      </c>
      <c r="AF67" s="872">
        <v>83329.0</v>
      </c>
      <c r="AG67" s="872">
        <v>75443.0</v>
      </c>
      <c r="AH67" s="872">
        <v>69522.0</v>
      </c>
      <c r="AI67" s="872">
        <v>48576.0</v>
      </c>
      <c r="AJ67" s="872">
        <v>30634.0</v>
      </c>
      <c r="AK67" s="15"/>
      <c r="AL67" s="851" t="s">
        <v>194</v>
      </c>
      <c r="AM67" s="846" t="s">
        <v>194</v>
      </c>
      <c r="AN67" s="846" t="s">
        <v>194</v>
      </c>
      <c r="AO67" s="846" t="s">
        <v>194</v>
      </c>
      <c r="AP67" s="846" t="s">
        <v>194</v>
      </c>
      <c r="AQ67" s="846" t="s">
        <v>194</v>
      </c>
      <c r="AR67" s="846" t="s">
        <v>194</v>
      </c>
      <c r="AS67" s="846" t="s">
        <v>194</v>
      </c>
      <c r="AT67" s="846" t="s">
        <v>194</v>
      </c>
      <c r="AU67" s="846" t="s">
        <v>194</v>
      </c>
      <c r="AV67" s="846" t="s">
        <v>194</v>
      </c>
      <c r="AW67" s="846" t="s">
        <v>194</v>
      </c>
      <c r="AX67" s="846" t="s">
        <v>194</v>
      </c>
      <c r="AY67" s="846" t="s">
        <v>194</v>
      </c>
      <c r="AZ67" s="846" t="s">
        <v>194</v>
      </c>
      <c r="BA67" s="846" t="s">
        <v>194</v>
      </c>
      <c r="BB67" s="846" t="s">
        <v>194</v>
      </c>
      <c r="BC67" s="846" t="s">
        <v>194</v>
      </c>
      <c r="BD67" s="846" t="s">
        <v>194</v>
      </c>
      <c r="BE67" s="846" t="s">
        <v>194</v>
      </c>
      <c r="BF67" s="846" t="s">
        <v>194</v>
      </c>
      <c r="BG67" s="846" t="s">
        <v>194</v>
      </c>
    </row>
    <row r="68" ht="15.75" customHeight="1" outlineLevel="2">
      <c r="A68" s="849">
        <v>1.0</v>
      </c>
      <c r="B68" s="15"/>
      <c r="C68" s="869" t="str">
        <f>"        Reported Operating Expense"</f>
        <v>        Reported Operating Expense</v>
      </c>
      <c r="D68" s="870">
        <f t="shared" si="65"/>
        <v>-63455.5</v>
      </c>
      <c r="E68" s="870">
        <f t="shared" si="66"/>
        <v>-66381.66667</v>
      </c>
      <c r="F68" s="870">
        <f t="shared" si="67"/>
        <v>-140688</v>
      </c>
      <c r="G68" s="870">
        <f t="shared" si="68"/>
        <v>-16426</v>
      </c>
      <c r="H68" s="870">
        <f t="shared" si="69"/>
        <v>-82767.75</v>
      </c>
      <c r="I68" s="870">
        <f t="shared" si="70"/>
        <v>-41662.5</v>
      </c>
      <c r="J68" s="870">
        <f t="shared" si="71"/>
        <v>32441.73187</v>
      </c>
      <c r="K68" s="871">
        <f t="shared" si="72"/>
        <v>-0.4887152357</v>
      </c>
      <c r="L68" s="872" t="s">
        <v>194</v>
      </c>
      <c r="M68" s="872">
        <v>-140688.0</v>
      </c>
      <c r="N68" s="872">
        <v>-127459.0</v>
      </c>
      <c r="O68" s="872">
        <v>-113880.0</v>
      </c>
      <c r="P68" s="872">
        <v>-102501.0</v>
      </c>
      <c r="Q68" s="872">
        <v>-93647.0</v>
      </c>
      <c r="R68" s="872">
        <v>-86598.0</v>
      </c>
      <c r="S68" s="872">
        <v>-81491.0</v>
      </c>
      <c r="T68" s="872">
        <v>-76617.0</v>
      </c>
      <c r="U68" s="872">
        <v>-74446.0</v>
      </c>
      <c r="V68" s="872">
        <v>-72493.0</v>
      </c>
      <c r="W68" s="872">
        <v>-68423.0</v>
      </c>
      <c r="X68" s="872">
        <v>-65704.0</v>
      </c>
      <c r="Y68" s="872">
        <v>-61207.0</v>
      </c>
      <c r="Z68" s="872">
        <v>-57027.0</v>
      </c>
      <c r="AA68" s="872">
        <v>-52448.0</v>
      </c>
      <c r="AB68" s="872">
        <v>-48122.0</v>
      </c>
      <c r="AC68" s="872">
        <v>-45006.0</v>
      </c>
      <c r="AD68" s="872">
        <v>-42244.0</v>
      </c>
      <c r="AE68" s="872">
        <v>-39918.0</v>
      </c>
      <c r="AF68" s="872">
        <v>-37432.0</v>
      </c>
      <c r="AG68" s="872">
        <v>-34527.0</v>
      </c>
      <c r="AH68" s="872">
        <v>-31736.0</v>
      </c>
      <c r="AI68" s="872">
        <v>-23120.0</v>
      </c>
      <c r="AJ68" s="872">
        <v>-16426.0</v>
      </c>
      <c r="AK68" s="15"/>
      <c r="AL68" s="851" t="s">
        <v>194</v>
      </c>
      <c r="AM68" s="846" t="s">
        <v>194</v>
      </c>
      <c r="AN68" s="846" t="s">
        <v>194</v>
      </c>
      <c r="AO68" s="846" t="s">
        <v>194</v>
      </c>
      <c r="AP68" s="846" t="s">
        <v>194</v>
      </c>
      <c r="AQ68" s="846" t="s">
        <v>194</v>
      </c>
      <c r="AR68" s="846" t="s">
        <v>194</v>
      </c>
      <c r="AS68" s="846" t="s">
        <v>194</v>
      </c>
      <c r="AT68" s="846" t="s">
        <v>194</v>
      </c>
      <c r="AU68" s="846" t="s">
        <v>194</v>
      </c>
      <c r="AV68" s="846" t="s">
        <v>194</v>
      </c>
      <c r="AW68" s="846" t="s">
        <v>194</v>
      </c>
      <c r="AX68" s="846" t="s">
        <v>194</v>
      </c>
      <c r="AY68" s="846" t="s">
        <v>194</v>
      </c>
      <c r="AZ68" s="846" t="s">
        <v>194</v>
      </c>
      <c r="BA68" s="846" t="s">
        <v>194</v>
      </c>
      <c r="BB68" s="846" t="s">
        <v>194</v>
      </c>
      <c r="BC68" s="846" t="s">
        <v>194</v>
      </c>
      <c r="BD68" s="846" t="s">
        <v>194</v>
      </c>
      <c r="BE68" s="846" t="s">
        <v>194</v>
      </c>
      <c r="BF68" s="846" t="s">
        <v>194</v>
      </c>
      <c r="BG68" s="846" t="s">
        <v>194</v>
      </c>
    </row>
    <row r="69" ht="15.75" customHeight="1" outlineLevel="2">
      <c r="A69" s="849">
        <v>1.0</v>
      </c>
      <c r="B69" s="15"/>
      <c r="C69" s="869" t="str">
        <f>"        Reported Total Operating Profit/Loss"</f>
        <v>        Reported Total Operating Profit/Loss</v>
      </c>
      <c r="D69" s="870">
        <f t="shared" si="65"/>
        <v>15430.5</v>
      </c>
      <c r="E69" s="870">
        <f t="shared" si="66"/>
        <v>17500.125</v>
      </c>
      <c r="F69" s="870">
        <f t="shared" si="67"/>
        <v>-1722</v>
      </c>
      <c r="G69" s="870">
        <f t="shared" si="68"/>
        <v>38307</v>
      </c>
      <c r="H69" s="870">
        <f t="shared" si="69"/>
        <v>8961.75</v>
      </c>
      <c r="I69" s="870">
        <f t="shared" si="70"/>
        <v>26124.5</v>
      </c>
      <c r="J69" s="870">
        <f t="shared" si="71"/>
        <v>11819.43827</v>
      </c>
      <c r="K69" s="871">
        <f t="shared" si="72"/>
        <v>0.6753916483</v>
      </c>
      <c r="L69" s="872" t="s">
        <v>194</v>
      </c>
      <c r="M69" s="872">
        <v>37892.0</v>
      </c>
      <c r="N69" s="872">
        <v>38307.0</v>
      </c>
      <c r="O69" s="872">
        <v>36243.0</v>
      </c>
      <c r="P69" s="872">
        <v>30719.0</v>
      </c>
      <c r="Q69" s="872">
        <v>27590.0</v>
      </c>
      <c r="R69" s="872">
        <v>28571.0</v>
      </c>
      <c r="S69" s="872">
        <v>25636.0</v>
      </c>
      <c r="T69" s="872">
        <v>25158.0</v>
      </c>
      <c r="U69" s="872">
        <v>22864.0</v>
      </c>
      <c r="V69" s="872">
        <v>20167.0</v>
      </c>
      <c r="W69" s="872">
        <v>18484.0</v>
      </c>
      <c r="X69" s="872">
        <v>15810.0</v>
      </c>
      <c r="Y69" s="872">
        <v>15051.0</v>
      </c>
      <c r="Z69" s="872">
        <v>13009.0</v>
      </c>
      <c r="AA69" s="872">
        <v>12862.0</v>
      </c>
      <c r="AB69" s="872">
        <v>11480.0</v>
      </c>
      <c r="AC69" s="872">
        <v>10511.0</v>
      </c>
      <c r="AD69" s="872">
        <v>9632.0</v>
      </c>
      <c r="AE69" s="872">
        <v>6951.0</v>
      </c>
      <c r="AF69" s="872">
        <v>5380.0</v>
      </c>
      <c r="AG69" s="872">
        <v>4464.0</v>
      </c>
      <c r="AH69" s="872">
        <v>4115.0</v>
      </c>
      <c r="AI69" s="872">
        <v>829.0</v>
      </c>
      <c r="AJ69" s="872">
        <v>-1722.0</v>
      </c>
      <c r="AK69" s="15"/>
      <c r="AL69" s="851" t="s">
        <v>194</v>
      </c>
      <c r="AM69" s="846" t="s">
        <v>194</v>
      </c>
      <c r="AN69" s="846" t="s">
        <v>194</v>
      </c>
      <c r="AO69" s="846" t="s">
        <v>194</v>
      </c>
      <c r="AP69" s="846" t="s">
        <v>194</v>
      </c>
      <c r="AQ69" s="846" t="s">
        <v>194</v>
      </c>
      <c r="AR69" s="846" t="s">
        <v>194</v>
      </c>
      <c r="AS69" s="846" t="s">
        <v>194</v>
      </c>
      <c r="AT69" s="846" t="s">
        <v>194</v>
      </c>
      <c r="AU69" s="846" t="s">
        <v>194</v>
      </c>
      <c r="AV69" s="846" t="s">
        <v>194</v>
      </c>
      <c r="AW69" s="846" t="s">
        <v>194</v>
      </c>
      <c r="AX69" s="846" t="s">
        <v>194</v>
      </c>
      <c r="AY69" s="846" t="s">
        <v>194</v>
      </c>
      <c r="AZ69" s="846" t="s">
        <v>194</v>
      </c>
      <c r="BA69" s="846" t="s">
        <v>194</v>
      </c>
      <c r="BB69" s="846" t="s">
        <v>194</v>
      </c>
      <c r="BC69" s="846" t="s">
        <v>194</v>
      </c>
      <c r="BD69" s="846" t="s">
        <v>194</v>
      </c>
      <c r="BE69" s="846" t="s">
        <v>194</v>
      </c>
      <c r="BF69" s="846" t="s">
        <v>194</v>
      </c>
      <c r="BG69" s="846" t="s">
        <v>194</v>
      </c>
    </row>
    <row r="70" ht="15.75" customHeight="1" outlineLevel="2">
      <c r="A70" s="849">
        <v>1.0</v>
      </c>
      <c r="B70" s="15"/>
      <c r="C70" s="869" t="str">
        <f>"        Reported Normalized Income"</f>
        <v>        Reported Normalized Income</v>
      </c>
      <c r="D70" s="870">
        <f t="shared" si="65"/>
        <v>13001.5</v>
      </c>
      <c r="E70" s="870">
        <f t="shared" si="66"/>
        <v>16880.58333</v>
      </c>
      <c r="F70" s="870">
        <f t="shared" si="67"/>
        <v>-2002</v>
      </c>
      <c r="G70" s="870">
        <f t="shared" si="68"/>
        <v>51845</v>
      </c>
      <c r="H70" s="870">
        <f t="shared" si="69"/>
        <v>3628</v>
      </c>
      <c r="I70" s="870">
        <f t="shared" si="70"/>
        <v>25299</v>
      </c>
      <c r="J70" s="870">
        <f t="shared" si="71"/>
        <v>15188.19694</v>
      </c>
      <c r="K70" s="871">
        <f t="shared" si="72"/>
        <v>0.8997436071</v>
      </c>
      <c r="L70" s="872" t="s">
        <v>194</v>
      </c>
      <c r="M70" s="872">
        <v>51845.0</v>
      </c>
      <c r="N70" s="872">
        <v>48772.0</v>
      </c>
      <c r="O70" s="872">
        <v>39678.0</v>
      </c>
      <c r="P70" s="872">
        <v>33406.0</v>
      </c>
      <c r="Q70" s="872">
        <v>28580.0</v>
      </c>
      <c r="R70" s="872">
        <v>26868.0</v>
      </c>
      <c r="S70" s="872">
        <v>24776.0</v>
      </c>
      <c r="T70" s="872">
        <v>23930.0</v>
      </c>
      <c r="U70" s="872">
        <v>20519.0</v>
      </c>
      <c r="V70" s="872">
        <v>17547.0</v>
      </c>
      <c r="W70" s="872">
        <v>14441.0</v>
      </c>
      <c r="X70" s="872">
        <v>6949.0</v>
      </c>
      <c r="Y70" s="872">
        <v>10015.0</v>
      </c>
      <c r="Z70" s="872">
        <v>14295.0</v>
      </c>
      <c r="AA70" s="872">
        <v>11599.0</v>
      </c>
      <c r="AB70" s="872">
        <v>11708.0</v>
      </c>
      <c r="AC70" s="872">
        <v>6568.0</v>
      </c>
      <c r="AD70" s="872">
        <v>3628.0</v>
      </c>
      <c r="AE70" s="872">
        <v>3628.0</v>
      </c>
      <c r="AF70" s="872">
        <v>3628.0</v>
      </c>
      <c r="AG70" s="872">
        <v>3628.0</v>
      </c>
      <c r="AH70" s="872">
        <v>564.0</v>
      </c>
      <c r="AI70" s="872">
        <v>564.0</v>
      </c>
      <c r="AJ70" s="872">
        <v>-2002.0</v>
      </c>
      <c r="AK70" s="15"/>
      <c r="AL70" s="851" t="s">
        <v>194</v>
      </c>
      <c r="AM70" s="846" t="s">
        <v>194</v>
      </c>
      <c r="AN70" s="846" t="s">
        <v>194</v>
      </c>
      <c r="AO70" s="846" t="s">
        <v>194</v>
      </c>
      <c r="AP70" s="846" t="s">
        <v>194</v>
      </c>
      <c r="AQ70" s="846" t="s">
        <v>194</v>
      </c>
      <c r="AR70" s="846" t="s">
        <v>194</v>
      </c>
      <c r="AS70" s="846" t="s">
        <v>194</v>
      </c>
      <c r="AT70" s="846" t="s">
        <v>194</v>
      </c>
      <c r="AU70" s="846" t="s">
        <v>194</v>
      </c>
      <c r="AV70" s="846" t="s">
        <v>194</v>
      </c>
      <c r="AW70" s="846" t="s">
        <v>194</v>
      </c>
      <c r="AX70" s="846" t="s">
        <v>194</v>
      </c>
      <c r="AY70" s="846" t="s">
        <v>194</v>
      </c>
      <c r="AZ70" s="846" t="s">
        <v>194</v>
      </c>
      <c r="BA70" s="846" t="s">
        <v>194</v>
      </c>
      <c r="BB70" s="846" t="s">
        <v>194</v>
      </c>
      <c r="BC70" s="846" t="s">
        <v>194</v>
      </c>
      <c r="BD70" s="846" t="s">
        <v>194</v>
      </c>
      <c r="BE70" s="846" t="s">
        <v>194</v>
      </c>
      <c r="BF70" s="846" t="s">
        <v>194</v>
      </c>
      <c r="BG70" s="846" t="s">
        <v>194</v>
      </c>
    </row>
    <row r="71" ht="15.75" customHeight="1" outlineLevel="2">
      <c r="A71" s="849">
        <v>1.0</v>
      </c>
      <c r="B71" s="15"/>
      <c r="C71" s="869" t="str">
        <f>"        Reported Effective Tax Rate"</f>
        <v>        Reported Effective Tax Rate</v>
      </c>
      <c r="D71" s="938">
        <f t="shared" si="65"/>
        <v>0.097</v>
      </c>
      <c r="E71" s="938">
        <f t="shared" si="66"/>
        <v>0.09675714286</v>
      </c>
      <c r="F71" s="938">
        <f t="shared" si="67"/>
        <v>-0.282</v>
      </c>
      <c r="G71" s="938">
        <f t="shared" si="68"/>
        <v>0.321</v>
      </c>
      <c r="H71" s="938">
        <f t="shared" si="69"/>
        <v>0.018</v>
      </c>
      <c r="I71" s="938">
        <f t="shared" si="70"/>
        <v>0.25265</v>
      </c>
      <c r="J71" s="938">
        <f t="shared" si="71"/>
        <v>0.2074195736</v>
      </c>
      <c r="K71" s="871">
        <f t="shared" si="72"/>
        <v>2.143713296</v>
      </c>
      <c r="L71" s="939" t="s">
        <v>194</v>
      </c>
      <c r="M71" s="939">
        <v>-0.282</v>
      </c>
      <c r="N71" s="939" t="s">
        <v>194</v>
      </c>
      <c r="O71" s="939" t="s">
        <v>194</v>
      </c>
      <c r="P71" s="939" t="s">
        <v>194</v>
      </c>
      <c r="Q71" s="939">
        <v>0.292</v>
      </c>
      <c r="R71" s="939" t="s">
        <v>194</v>
      </c>
      <c r="S71" s="939" t="s">
        <v>194</v>
      </c>
      <c r="T71" s="939" t="s">
        <v>194</v>
      </c>
      <c r="U71" s="939">
        <v>0.097</v>
      </c>
      <c r="V71" s="939" t="s">
        <v>194</v>
      </c>
      <c r="W71" s="939" t="s">
        <v>194</v>
      </c>
      <c r="X71" s="939" t="s">
        <v>194</v>
      </c>
      <c r="Y71" s="939">
        <v>0.2133</v>
      </c>
      <c r="Z71" s="939" t="s">
        <v>194</v>
      </c>
      <c r="AA71" s="939" t="s">
        <v>194</v>
      </c>
      <c r="AB71" s="939" t="s">
        <v>194</v>
      </c>
      <c r="AC71" s="939">
        <v>0.321</v>
      </c>
      <c r="AD71" s="939" t="s">
        <v>194</v>
      </c>
      <c r="AE71" s="939" t="s">
        <v>194</v>
      </c>
      <c r="AF71" s="939" t="s">
        <v>194</v>
      </c>
      <c r="AG71" s="939" t="s">
        <v>194</v>
      </c>
      <c r="AH71" s="939" t="s">
        <v>194</v>
      </c>
      <c r="AI71" s="939">
        <v>0.03</v>
      </c>
      <c r="AJ71" s="939">
        <v>0.006</v>
      </c>
      <c r="AK71" s="15"/>
      <c r="AL71" s="851" t="s">
        <v>194</v>
      </c>
      <c r="AM71" s="846" t="s">
        <v>194</v>
      </c>
      <c r="AN71" s="846" t="s">
        <v>194</v>
      </c>
      <c r="AO71" s="846" t="s">
        <v>194</v>
      </c>
      <c r="AP71" s="846" t="s">
        <v>194</v>
      </c>
      <c r="AQ71" s="846" t="s">
        <v>194</v>
      </c>
      <c r="AR71" s="846" t="s">
        <v>194</v>
      </c>
      <c r="AS71" s="846" t="s">
        <v>194</v>
      </c>
      <c r="AT71" s="846" t="s">
        <v>194</v>
      </c>
      <c r="AU71" s="846" t="s">
        <v>194</v>
      </c>
      <c r="AV71" s="846" t="s">
        <v>194</v>
      </c>
      <c r="AW71" s="846" t="s">
        <v>194</v>
      </c>
      <c r="AX71" s="846" t="s">
        <v>194</v>
      </c>
      <c r="AY71" s="846" t="s">
        <v>194</v>
      </c>
      <c r="AZ71" s="846" t="s">
        <v>194</v>
      </c>
      <c r="BA71" s="846" t="s">
        <v>194</v>
      </c>
      <c r="BB71" s="846" t="s">
        <v>194</v>
      </c>
      <c r="BC71" s="846" t="s">
        <v>194</v>
      </c>
      <c r="BD71" s="846" t="s">
        <v>194</v>
      </c>
      <c r="BE71" s="846" t="s">
        <v>194</v>
      </c>
      <c r="BF71" s="846" t="s">
        <v>194</v>
      </c>
      <c r="BG71" s="846" t="s">
        <v>194</v>
      </c>
    </row>
    <row r="72" ht="15.75" customHeight="1" outlineLevel="2">
      <c r="A72" s="849">
        <v>1.0</v>
      </c>
      <c r="B72" s="15"/>
      <c r="C72" s="869" t="str">
        <f>"        Reported Normalized EBITDA"</f>
        <v>        Reported Normalized EBITDA</v>
      </c>
      <c r="D72" s="870">
        <f t="shared" si="65"/>
        <v>35181.5</v>
      </c>
      <c r="E72" s="870">
        <f t="shared" si="66"/>
        <v>34231.875</v>
      </c>
      <c r="F72" s="870">
        <f t="shared" si="67"/>
        <v>1620</v>
      </c>
      <c r="G72" s="870">
        <f t="shared" si="68"/>
        <v>62377</v>
      </c>
      <c r="H72" s="870">
        <f t="shared" si="69"/>
        <v>21214.75</v>
      </c>
      <c r="I72" s="870">
        <f t="shared" si="70"/>
        <v>47730.25</v>
      </c>
      <c r="J72" s="870">
        <f t="shared" si="71"/>
        <v>17968.80278</v>
      </c>
      <c r="K72" s="871">
        <f t="shared" si="72"/>
        <v>0.5249143608</v>
      </c>
      <c r="L72" s="872" t="s">
        <v>194</v>
      </c>
      <c r="M72" s="872">
        <v>61281.0</v>
      </c>
      <c r="N72" s="872">
        <v>62377.0</v>
      </c>
      <c r="O72" s="872">
        <v>60100.0</v>
      </c>
      <c r="P72" s="872">
        <v>55478.0</v>
      </c>
      <c r="Q72" s="872">
        <v>50833.0</v>
      </c>
      <c r="R72" s="872">
        <v>50203.0</v>
      </c>
      <c r="S72" s="872">
        <v>46906.0</v>
      </c>
      <c r="T72" s="872">
        <v>46143.0</v>
      </c>
      <c r="U72" s="872">
        <v>43387.0</v>
      </c>
      <c r="V72" s="872">
        <v>40591.0</v>
      </c>
      <c r="W72" s="872">
        <v>38064.0</v>
      </c>
      <c r="X72" s="872">
        <v>38064.0</v>
      </c>
      <c r="Y72" s="872">
        <v>32299.0</v>
      </c>
      <c r="Z72" s="872">
        <v>29134.0</v>
      </c>
      <c r="AA72" s="872">
        <v>28121.0</v>
      </c>
      <c r="AB72" s="872">
        <v>25984.0</v>
      </c>
      <c r="AC72" s="872">
        <v>23954.0</v>
      </c>
      <c r="AD72" s="872">
        <v>22196.0</v>
      </c>
      <c r="AE72" s="872">
        <v>18271.0</v>
      </c>
      <c r="AF72" s="872">
        <v>15252.0</v>
      </c>
      <c r="AG72" s="872">
        <v>13434.0</v>
      </c>
      <c r="AH72" s="872">
        <v>11990.0</v>
      </c>
      <c r="AI72" s="872">
        <v>5883.0</v>
      </c>
      <c r="AJ72" s="872">
        <v>1620.0</v>
      </c>
      <c r="AK72" s="15"/>
      <c r="AL72" s="851" t="s">
        <v>194</v>
      </c>
      <c r="AM72" s="846" t="s">
        <v>194</v>
      </c>
      <c r="AN72" s="846" t="s">
        <v>194</v>
      </c>
      <c r="AO72" s="846" t="s">
        <v>194</v>
      </c>
      <c r="AP72" s="846" t="s">
        <v>194</v>
      </c>
      <c r="AQ72" s="846" t="s">
        <v>194</v>
      </c>
      <c r="AR72" s="846" t="s">
        <v>194</v>
      </c>
      <c r="AS72" s="846" t="s">
        <v>194</v>
      </c>
      <c r="AT72" s="846" t="s">
        <v>194</v>
      </c>
      <c r="AU72" s="846" t="s">
        <v>194</v>
      </c>
      <c r="AV72" s="846" t="s">
        <v>194</v>
      </c>
      <c r="AW72" s="846" t="s">
        <v>194</v>
      </c>
      <c r="AX72" s="846" t="s">
        <v>194</v>
      </c>
      <c r="AY72" s="846" t="s">
        <v>194</v>
      </c>
      <c r="AZ72" s="846" t="s">
        <v>194</v>
      </c>
      <c r="BA72" s="846" t="s">
        <v>194</v>
      </c>
      <c r="BB72" s="846" t="s">
        <v>194</v>
      </c>
      <c r="BC72" s="846" t="s">
        <v>194</v>
      </c>
      <c r="BD72" s="846" t="s">
        <v>194</v>
      </c>
      <c r="BE72" s="846" t="s">
        <v>194</v>
      </c>
      <c r="BF72" s="846" t="s">
        <v>194</v>
      </c>
      <c r="BG72" s="846" t="s">
        <v>194</v>
      </c>
    </row>
    <row r="73" ht="15.75" customHeight="1">
      <c r="A73" s="849">
        <v>1.0</v>
      </c>
      <c r="B73" s="15"/>
      <c r="C73" s="855" t="str">
        <f>"Profitability Metrics"</f>
        <v>Profitability Metrics</v>
      </c>
      <c r="D73" s="867" t="s">
        <v>194</v>
      </c>
      <c r="E73" s="867" t="s">
        <v>194</v>
      </c>
      <c r="F73" s="867" t="s">
        <v>194</v>
      </c>
      <c r="G73" s="867" t="s">
        <v>194</v>
      </c>
      <c r="H73" s="867" t="s">
        <v>194</v>
      </c>
      <c r="I73" s="867" t="s">
        <v>194</v>
      </c>
      <c r="J73" s="867" t="s">
        <v>194</v>
      </c>
      <c r="K73" s="867" t="s">
        <v>194</v>
      </c>
      <c r="L73" s="867" t="s">
        <v>194</v>
      </c>
      <c r="M73" s="867" t="s">
        <v>194</v>
      </c>
      <c r="N73" s="867" t="s">
        <v>194</v>
      </c>
      <c r="O73" s="867" t="s">
        <v>194</v>
      </c>
      <c r="P73" s="867" t="s">
        <v>194</v>
      </c>
      <c r="Q73" s="867" t="s">
        <v>194</v>
      </c>
      <c r="R73" s="867" t="s">
        <v>194</v>
      </c>
      <c r="S73" s="867" t="s">
        <v>194</v>
      </c>
      <c r="T73" s="867" t="s">
        <v>194</v>
      </c>
      <c r="U73" s="867" t="s">
        <v>194</v>
      </c>
      <c r="V73" s="867" t="s">
        <v>194</v>
      </c>
      <c r="W73" s="867" t="s">
        <v>194</v>
      </c>
      <c r="X73" s="867" t="s">
        <v>194</v>
      </c>
      <c r="Y73" s="867" t="s">
        <v>194</v>
      </c>
      <c r="Z73" s="867" t="s">
        <v>194</v>
      </c>
      <c r="AA73" s="867" t="s">
        <v>194</v>
      </c>
      <c r="AB73" s="867" t="s">
        <v>194</v>
      </c>
      <c r="AC73" s="867" t="s">
        <v>194</v>
      </c>
      <c r="AD73" s="867" t="s">
        <v>194</v>
      </c>
      <c r="AE73" s="867" t="s">
        <v>194</v>
      </c>
      <c r="AF73" s="867" t="s">
        <v>194</v>
      </c>
      <c r="AG73" s="867" t="s">
        <v>194</v>
      </c>
      <c r="AH73" s="867" t="s">
        <v>194</v>
      </c>
      <c r="AI73" s="867" t="s">
        <v>194</v>
      </c>
      <c r="AJ73" s="867" t="s">
        <v>194</v>
      </c>
      <c r="AK73" s="15"/>
      <c r="AL73" s="851" t="s">
        <v>194</v>
      </c>
      <c r="AM73" s="846" t="s">
        <v>194</v>
      </c>
      <c r="AN73" s="846" t="s">
        <v>194</v>
      </c>
      <c r="AO73" s="846" t="s">
        <v>194</v>
      </c>
      <c r="AP73" s="846" t="s">
        <v>194</v>
      </c>
      <c r="AQ73" s="846" t="s">
        <v>194</v>
      </c>
      <c r="AR73" s="846" t="s">
        <v>194</v>
      </c>
      <c r="AS73" s="846" t="s">
        <v>194</v>
      </c>
      <c r="AT73" s="846" t="s">
        <v>194</v>
      </c>
      <c r="AU73" s="846" t="s">
        <v>194</v>
      </c>
      <c r="AV73" s="846" t="s">
        <v>194</v>
      </c>
      <c r="AW73" s="846" t="s">
        <v>194</v>
      </c>
      <c r="AX73" s="846" t="s">
        <v>194</v>
      </c>
      <c r="AY73" s="846" t="s">
        <v>194</v>
      </c>
      <c r="AZ73" s="846" t="s">
        <v>194</v>
      </c>
      <c r="BA73" s="846" t="s">
        <v>194</v>
      </c>
      <c r="BB73" s="846" t="s">
        <v>194</v>
      </c>
      <c r="BC73" s="846" t="s">
        <v>194</v>
      </c>
      <c r="BD73" s="846" t="s">
        <v>194</v>
      </c>
      <c r="BE73" s="846" t="s">
        <v>194</v>
      </c>
      <c r="BF73" s="846" t="s">
        <v>194</v>
      </c>
      <c r="BG73" s="846" t="s">
        <v>194</v>
      </c>
    </row>
    <row r="74" ht="15.75" customHeight="1" outlineLevel="1">
      <c r="A74" s="849">
        <v>1.0</v>
      </c>
      <c r="B74" s="15"/>
      <c r="C74" s="869" t="str">
        <f>"    Earnings Before Interest, Tax, Depreciation, &amp; Amortization (EBITDA)"</f>
        <v>    Earnings Before Interest, Tax, Depreciation, &amp; Amortization (EBITDA)</v>
      </c>
      <c r="D74" s="870">
        <f t="shared" ref="D74:D91" si="73">IF(COUNT(M74:AJ74)&gt;0,MEDIAN(M74:AJ74),"")</f>
        <v>29141.5</v>
      </c>
      <c r="E74" s="870">
        <f t="shared" ref="E74:E91" si="74">IF(COUNT(M74:AJ74)&gt;0,AVERAGE(M74:AJ74),"")</f>
        <v>28967</v>
      </c>
      <c r="F74" s="870">
        <f t="shared" ref="F74:F91" si="75">IF(COUNT(M74:AJ74)&gt;0,MIN(M74:AJ74),"")</f>
        <v>1357</v>
      </c>
      <c r="G74" s="870">
        <f t="shared" ref="G74:G91" si="76">IF(COUNT(M74:AJ74)&gt;0,MAX(M74:AJ74),"")</f>
        <v>49584</v>
      </c>
      <c r="H74" s="870">
        <f t="shared" ref="H74:H91" si="77">IF(COUNT(M74:AJ74)&gt;0,QUARTILE(M74:AJ74,1),"")</f>
        <v>20062</v>
      </c>
      <c r="I74" s="870">
        <f t="shared" ref="I74:I91" si="78">IF(COUNT(M74:AJ74)&gt;0,QUARTILE(M74:AJ74,3),"")</f>
        <v>39515.25</v>
      </c>
      <c r="J74" s="870">
        <f t="shared" ref="J74:J91" si="79">IF(COUNT(M74:AJ74)&gt;1,STDEV(M74:AJ74),"")</f>
        <v>13701.3182</v>
      </c>
      <c r="K74" s="871">
        <f t="shared" ref="K74:K91" si="80">IF(COUNT(M74:AJ74)&gt;1,STDEV(M74:AJ74)/AVERAGE(M74:AJ74),"")</f>
        <v>0.4729974868</v>
      </c>
      <c r="L74" s="872" t="s">
        <v>194</v>
      </c>
      <c r="M74" s="872">
        <v>48491.0</v>
      </c>
      <c r="N74" s="872">
        <v>49584.0</v>
      </c>
      <c r="O74" s="872">
        <v>48000.0</v>
      </c>
      <c r="P74" s="872">
        <v>44348.0</v>
      </c>
      <c r="Q74" s="872">
        <v>41193.0</v>
      </c>
      <c r="R74" s="872">
        <v>41683.0</v>
      </c>
      <c r="S74" s="872">
        <v>38956.0</v>
      </c>
      <c r="T74" s="872">
        <v>38253.0</v>
      </c>
      <c r="U74" s="872">
        <v>36093.0</v>
      </c>
      <c r="V74" s="872">
        <v>33890.0</v>
      </c>
      <c r="W74" s="872">
        <v>32300.0</v>
      </c>
      <c r="X74" s="872">
        <v>29624.0</v>
      </c>
      <c r="Y74" s="872">
        <v>28659.0</v>
      </c>
      <c r="Z74" s="872">
        <v>26463.0</v>
      </c>
      <c r="AA74" s="872">
        <v>26009.0</v>
      </c>
      <c r="AB74" s="872">
        <v>24146.0</v>
      </c>
      <c r="AC74" s="872">
        <v>22539.0</v>
      </c>
      <c r="AD74" s="872">
        <v>20935.0</v>
      </c>
      <c r="AE74" s="872">
        <v>17443.0</v>
      </c>
      <c r="AF74" s="872">
        <v>14669.0</v>
      </c>
      <c r="AG74" s="872">
        <v>12942.0</v>
      </c>
      <c r="AH74" s="872">
        <v>11660.0</v>
      </c>
      <c r="AI74" s="872">
        <v>5971.0</v>
      </c>
      <c r="AJ74" s="872">
        <v>1357.0</v>
      </c>
      <c r="AK74" s="15"/>
      <c r="AL74" s="851" t="s">
        <v>194</v>
      </c>
      <c r="AM74" s="846" t="s">
        <v>194</v>
      </c>
      <c r="AN74" s="846" t="s">
        <v>194</v>
      </c>
      <c r="AO74" s="846" t="s">
        <v>194</v>
      </c>
      <c r="AP74" s="846" t="s">
        <v>194</v>
      </c>
      <c r="AQ74" s="846" t="s">
        <v>194</v>
      </c>
      <c r="AR74" s="846" t="s">
        <v>194</v>
      </c>
      <c r="AS74" s="846" t="s">
        <v>194</v>
      </c>
      <c r="AT74" s="846" t="s">
        <v>194</v>
      </c>
      <c r="AU74" s="846" t="s">
        <v>194</v>
      </c>
      <c r="AV74" s="846" t="s">
        <v>194</v>
      </c>
      <c r="AW74" s="846" t="s">
        <v>194</v>
      </c>
      <c r="AX74" s="846" t="s">
        <v>194</v>
      </c>
      <c r="AY74" s="846" t="s">
        <v>194</v>
      </c>
      <c r="AZ74" s="846" t="s">
        <v>194</v>
      </c>
      <c r="BA74" s="846" t="s">
        <v>194</v>
      </c>
      <c r="BB74" s="846" t="s">
        <v>194</v>
      </c>
      <c r="BC74" s="846" t="s">
        <v>194</v>
      </c>
      <c r="BD74" s="846" t="s">
        <v>194</v>
      </c>
      <c r="BE74" s="846" t="s">
        <v>194</v>
      </c>
      <c r="BF74" s="846" t="s">
        <v>194</v>
      </c>
      <c r="BG74" s="846" t="s">
        <v>194</v>
      </c>
    </row>
    <row r="75" ht="15.75" customHeight="1" outlineLevel="1">
      <c r="A75" s="849">
        <v>1.0</v>
      </c>
      <c r="B75" s="15"/>
      <c r="C75" s="869" t="str">
        <f>"    Normalized EBITDA"</f>
        <v>    Normalized EBITDA</v>
      </c>
      <c r="D75" s="870">
        <f t="shared" si="73"/>
        <v>30406</v>
      </c>
      <c r="E75" s="870">
        <f t="shared" si="74"/>
        <v>29956.45833</v>
      </c>
      <c r="F75" s="870">
        <f t="shared" si="75"/>
        <v>1559</v>
      </c>
      <c r="G75" s="870">
        <f t="shared" si="76"/>
        <v>50223</v>
      </c>
      <c r="H75" s="870">
        <f t="shared" si="77"/>
        <v>21176</v>
      </c>
      <c r="I75" s="870">
        <f t="shared" si="78"/>
        <v>40623.25</v>
      </c>
      <c r="J75" s="870">
        <f t="shared" si="79"/>
        <v>13773.88472</v>
      </c>
      <c r="K75" s="871">
        <f t="shared" si="80"/>
        <v>0.4597968348</v>
      </c>
      <c r="L75" s="872" t="s">
        <v>194</v>
      </c>
      <c r="M75" s="872">
        <v>49235.0</v>
      </c>
      <c r="N75" s="872">
        <v>50223.0</v>
      </c>
      <c r="O75" s="872">
        <v>48642.0</v>
      </c>
      <c r="P75" s="872">
        <v>45015.0</v>
      </c>
      <c r="Q75" s="872">
        <v>42265.0</v>
      </c>
      <c r="R75" s="872">
        <v>42818.0</v>
      </c>
      <c r="S75" s="872">
        <v>40076.0</v>
      </c>
      <c r="T75" s="872">
        <v>39165.0</v>
      </c>
      <c r="U75" s="872">
        <v>37023.0</v>
      </c>
      <c r="V75" s="872">
        <v>34882.0</v>
      </c>
      <c r="W75" s="872">
        <v>33230.0</v>
      </c>
      <c r="X75" s="872">
        <v>30939.0</v>
      </c>
      <c r="Y75" s="872">
        <v>29873.0</v>
      </c>
      <c r="Z75" s="872">
        <v>28046.0</v>
      </c>
      <c r="AA75" s="872">
        <v>27633.0</v>
      </c>
      <c r="AB75" s="872">
        <v>25910.0</v>
      </c>
      <c r="AC75" s="872">
        <v>24400.0</v>
      </c>
      <c r="AD75" s="872">
        <v>22068.0</v>
      </c>
      <c r="AE75" s="872">
        <v>18500.0</v>
      </c>
      <c r="AF75" s="872">
        <v>15501.0</v>
      </c>
      <c r="AG75" s="872">
        <v>13525.0</v>
      </c>
      <c r="AH75" s="872">
        <v>12341.0</v>
      </c>
      <c r="AI75" s="872">
        <v>6086.0</v>
      </c>
      <c r="AJ75" s="872">
        <v>1559.0</v>
      </c>
      <c r="AK75" s="15"/>
      <c r="AL75" s="851" t="s">
        <v>194</v>
      </c>
      <c r="AM75" s="846" t="s">
        <v>194</v>
      </c>
      <c r="AN75" s="846" t="s">
        <v>194</v>
      </c>
      <c r="AO75" s="846" t="s">
        <v>194</v>
      </c>
      <c r="AP75" s="846" t="s">
        <v>194</v>
      </c>
      <c r="AQ75" s="846" t="s">
        <v>194</v>
      </c>
      <c r="AR75" s="846" t="s">
        <v>194</v>
      </c>
      <c r="AS75" s="846" t="s">
        <v>194</v>
      </c>
      <c r="AT75" s="846" t="s">
        <v>194</v>
      </c>
      <c r="AU75" s="846" t="s">
        <v>194</v>
      </c>
      <c r="AV75" s="846" t="s">
        <v>194</v>
      </c>
      <c r="AW75" s="846" t="s">
        <v>194</v>
      </c>
      <c r="AX75" s="846" t="s">
        <v>194</v>
      </c>
      <c r="AY75" s="846" t="s">
        <v>194</v>
      </c>
      <c r="AZ75" s="846" t="s">
        <v>194</v>
      </c>
      <c r="BA75" s="846" t="s">
        <v>194</v>
      </c>
      <c r="BB75" s="846" t="s">
        <v>194</v>
      </c>
      <c r="BC75" s="846" t="s">
        <v>194</v>
      </c>
      <c r="BD75" s="846" t="s">
        <v>194</v>
      </c>
      <c r="BE75" s="846" t="s">
        <v>194</v>
      </c>
      <c r="BF75" s="846" t="s">
        <v>194</v>
      </c>
      <c r="BG75" s="846" t="s">
        <v>194</v>
      </c>
    </row>
    <row r="76" ht="15.75" customHeight="1" outlineLevel="1">
      <c r="A76" s="849">
        <v>1.0</v>
      </c>
      <c r="B76" s="15"/>
      <c r="C76" s="869" t="str">
        <f>"    Earnings Before Interest, Tax and Amortization (EBITA)"</f>
        <v>    Earnings Before Interest, Tax and Amortization (EBITA)</v>
      </c>
      <c r="D76" s="870">
        <f t="shared" si="73"/>
        <v>29141.5</v>
      </c>
      <c r="E76" s="870">
        <f t="shared" si="74"/>
        <v>28967</v>
      </c>
      <c r="F76" s="870">
        <f t="shared" si="75"/>
        <v>1357</v>
      </c>
      <c r="G76" s="870">
        <f t="shared" si="76"/>
        <v>49584</v>
      </c>
      <c r="H76" s="870">
        <f t="shared" si="77"/>
        <v>20062</v>
      </c>
      <c r="I76" s="870">
        <f t="shared" si="78"/>
        <v>39515.25</v>
      </c>
      <c r="J76" s="870">
        <f t="shared" si="79"/>
        <v>13701.3182</v>
      </c>
      <c r="K76" s="871">
        <f t="shared" si="80"/>
        <v>0.4729974868</v>
      </c>
      <c r="L76" s="872" t="s">
        <v>194</v>
      </c>
      <c r="M76" s="872">
        <v>48491.0</v>
      </c>
      <c r="N76" s="872">
        <v>49584.0</v>
      </c>
      <c r="O76" s="872">
        <v>48000.0</v>
      </c>
      <c r="P76" s="872">
        <v>44348.0</v>
      </c>
      <c r="Q76" s="872">
        <v>41193.0</v>
      </c>
      <c r="R76" s="872">
        <v>41683.0</v>
      </c>
      <c r="S76" s="872">
        <v>38956.0</v>
      </c>
      <c r="T76" s="872">
        <v>38253.0</v>
      </c>
      <c r="U76" s="872">
        <v>36093.0</v>
      </c>
      <c r="V76" s="872">
        <v>33890.0</v>
      </c>
      <c r="W76" s="872">
        <v>32300.0</v>
      </c>
      <c r="X76" s="872">
        <v>29624.0</v>
      </c>
      <c r="Y76" s="872">
        <v>28659.0</v>
      </c>
      <c r="Z76" s="872">
        <v>26463.0</v>
      </c>
      <c r="AA76" s="872">
        <v>26009.0</v>
      </c>
      <c r="AB76" s="872">
        <v>24146.0</v>
      </c>
      <c r="AC76" s="872">
        <v>22539.0</v>
      </c>
      <c r="AD76" s="872">
        <v>20935.0</v>
      </c>
      <c r="AE76" s="872">
        <v>17443.0</v>
      </c>
      <c r="AF76" s="872">
        <v>14669.0</v>
      </c>
      <c r="AG76" s="872">
        <v>12942.0</v>
      </c>
      <c r="AH76" s="872">
        <v>11660.0</v>
      </c>
      <c r="AI76" s="872">
        <v>5971.0</v>
      </c>
      <c r="AJ76" s="872">
        <v>1357.0</v>
      </c>
      <c r="AK76" s="15"/>
      <c r="AL76" s="851" t="s">
        <v>194</v>
      </c>
      <c r="AM76" s="846" t="s">
        <v>194</v>
      </c>
      <c r="AN76" s="846" t="s">
        <v>194</v>
      </c>
      <c r="AO76" s="846" t="s">
        <v>194</v>
      </c>
      <c r="AP76" s="846" t="s">
        <v>194</v>
      </c>
      <c r="AQ76" s="846" t="s">
        <v>194</v>
      </c>
      <c r="AR76" s="846" t="s">
        <v>194</v>
      </c>
      <c r="AS76" s="846" t="s">
        <v>194</v>
      </c>
      <c r="AT76" s="846" t="s">
        <v>194</v>
      </c>
      <c r="AU76" s="846" t="s">
        <v>194</v>
      </c>
      <c r="AV76" s="846" t="s">
        <v>194</v>
      </c>
      <c r="AW76" s="846" t="s">
        <v>194</v>
      </c>
      <c r="AX76" s="846" t="s">
        <v>194</v>
      </c>
      <c r="AY76" s="846" t="s">
        <v>194</v>
      </c>
      <c r="AZ76" s="846" t="s">
        <v>194</v>
      </c>
      <c r="BA76" s="846" t="s">
        <v>194</v>
      </c>
      <c r="BB76" s="846" t="s">
        <v>194</v>
      </c>
      <c r="BC76" s="846" t="s">
        <v>194</v>
      </c>
      <c r="BD76" s="846" t="s">
        <v>194</v>
      </c>
      <c r="BE76" s="846" t="s">
        <v>194</v>
      </c>
      <c r="BF76" s="846" t="s">
        <v>194</v>
      </c>
      <c r="BG76" s="846" t="s">
        <v>194</v>
      </c>
    </row>
    <row r="77" ht="15.75" customHeight="1" outlineLevel="1">
      <c r="A77" s="849">
        <v>1.0</v>
      </c>
      <c r="B77" s="15"/>
      <c r="C77" s="869" t="str">
        <f>"    Earnings Before Interest and Tax (EBIT)"</f>
        <v>    Earnings Before Interest and Tax (EBIT)</v>
      </c>
      <c r="D77" s="870">
        <f t="shared" si="73"/>
        <v>15127.5</v>
      </c>
      <c r="E77" s="870">
        <f t="shared" si="74"/>
        <v>17508.54167</v>
      </c>
      <c r="F77" s="870">
        <f t="shared" si="75"/>
        <v>-1841</v>
      </c>
      <c r="G77" s="870">
        <f t="shared" si="76"/>
        <v>38018</v>
      </c>
      <c r="H77" s="870">
        <f t="shared" si="77"/>
        <v>8946.75</v>
      </c>
      <c r="I77" s="870">
        <f t="shared" si="78"/>
        <v>26686</v>
      </c>
      <c r="J77" s="870">
        <f t="shared" si="79"/>
        <v>11927.69313</v>
      </c>
      <c r="K77" s="871">
        <f t="shared" si="80"/>
        <v>0.6812499495</v>
      </c>
      <c r="L77" s="872" t="s">
        <v>194</v>
      </c>
      <c r="M77" s="872">
        <v>37196.0</v>
      </c>
      <c r="N77" s="872">
        <v>38018.0</v>
      </c>
      <c r="O77" s="872">
        <v>36210.0</v>
      </c>
      <c r="P77" s="872">
        <v>32257.0</v>
      </c>
      <c r="Q77" s="872">
        <v>28891.0</v>
      </c>
      <c r="R77" s="872">
        <v>29158.0</v>
      </c>
      <c r="S77" s="872">
        <v>25951.0</v>
      </c>
      <c r="T77" s="872">
        <v>24939.0</v>
      </c>
      <c r="U77" s="872">
        <v>22535.0</v>
      </c>
      <c r="V77" s="872">
        <v>20056.0</v>
      </c>
      <c r="W77" s="872">
        <v>18322.0</v>
      </c>
      <c r="X77" s="872">
        <v>15608.0</v>
      </c>
      <c r="Y77" s="872">
        <v>14647.0</v>
      </c>
      <c r="Z77" s="872">
        <v>12694.0</v>
      </c>
      <c r="AA77" s="872">
        <v>12607.0</v>
      </c>
      <c r="AB77" s="872">
        <v>11280.0</v>
      </c>
      <c r="AC77" s="872">
        <v>10459.0</v>
      </c>
      <c r="AD77" s="872">
        <v>9607.0</v>
      </c>
      <c r="AE77" s="872">
        <v>6966.0</v>
      </c>
      <c r="AF77" s="872">
        <v>5128.0</v>
      </c>
      <c r="AG77" s="872">
        <v>4398.0</v>
      </c>
      <c r="AH77" s="872">
        <v>4132.0</v>
      </c>
      <c r="AI77" s="872">
        <v>987.0</v>
      </c>
      <c r="AJ77" s="872">
        <v>-1841.0</v>
      </c>
      <c r="AK77" s="15"/>
      <c r="AL77" s="851" t="s">
        <v>194</v>
      </c>
      <c r="AM77" s="846" t="s">
        <v>194</v>
      </c>
      <c r="AN77" s="846" t="s">
        <v>194</v>
      </c>
      <c r="AO77" s="846" t="s">
        <v>194</v>
      </c>
      <c r="AP77" s="846" t="s">
        <v>194</v>
      </c>
      <c r="AQ77" s="846" t="s">
        <v>194</v>
      </c>
      <c r="AR77" s="846" t="s">
        <v>194</v>
      </c>
      <c r="AS77" s="846" t="s">
        <v>194</v>
      </c>
      <c r="AT77" s="846" t="s">
        <v>194</v>
      </c>
      <c r="AU77" s="846" t="s">
        <v>194</v>
      </c>
      <c r="AV77" s="846" t="s">
        <v>194</v>
      </c>
      <c r="AW77" s="846" t="s">
        <v>194</v>
      </c>
      <c r="AX77" s="846" t="s">
        <v>194</v>
      </c>
      <c r="AY77" s="846" t="s">
        <v>194</v>
      </c>
      <c r="AZ77" s="846" t="s">
        <v>194</v>
      </c>
      <c r="BA77" s="846" t="s">
        <v>194</v>
      </c>
      <c r="BB77" s="846" t="s">
        <v>194</v>
      </c>
      <c r="BC77" s="846" t="s">
        <v>194</v>
      </c>
      <c r="BD77" s="846" t="s">
        <v>194</v>
      </c>
      <c r="BE77" s="846" t="s">
        <v>194</v>
      </c>
      <c r="BF77" s="846" t="s">
        <v>194</v>
      </c>
      <c r="BG77" s="846" t="s">
        <v>194</v>
      </c>
    </row>
    <row r="78" ht="15.75" customHeight="1" outlineLevel="1">
      <c r="A78" s="849">
        <v>1.0</v>
      </c>
      <c r="B78" s="15"/>
      <c r="C78" s="869" t="str">
        <f>"    Normalized EBIT"</f>
        <v>    Normalized EBIT</v>
      </c>
      <c r="D78" s="870">
        <f t="shared" si="73"/>
        <v>16392</v>
      </c>
      <c r="E78" s="870">
        <f t="shared" si="74"/>
        <v>18498</v>
      </c>
      <c r="F78" s="870">
        <f t="shared" si="75"/>
        <v>-1639</v>
      </c>
      <c r="G78" s="870">
        <f t="shared" si="76"/>
        <v>38657</v>
      </c>
      <c r="H78" s="870">
        <f t="shared" si="77"/>
        <v>10060.75</v>
      </c>
      <c r="I78" s="870">
        <f t="shared" si="78"/>
        <v>27794</v>
      </c>
      <c r="J78" s="870">
        <f t="shared" si="79"/>
        <v>11937.9242</v>
      </c>
      <c r="K78" s="871">
        <f t="shared" si="80"/>
        <v>0.6453629689</v>
      </c>
      <c r="L78" s="872" t="s">
        <v>194</v>
      </c>
      <c r="M78" s="872">
        <v>37940.0</v>
      </c>
      <c r="N78" s="872">
        <v>38657.0</v>
      </c>
      <c r="O78" s="872">
        <v>36852.0</v>
      </c>
      <c r="P78" s="872">
        <v>32924.0</v>
      </c>
      <c r="Q78" s="872">
        <v>29963.0</v>
      </c>
      <c r="R78" s="872">
        <v>30293.0</v>
      </c>
      <c r="S78" s="872">
        <v>27071.0</v>
      </c>
      <c r="T78" s="872">
        <v>25851.0</v>
      </c>
      <c r="U78" s="872">
        <v>23465.0</v>
      </c>
      <c r="V78" s="872">
        <v>21048.0</v>
      </c>
      <c r="W78" s="872">
        <v>19252.0</v>
      </c>
      <c r="X78" s="872">
        <v>16923.0</v>
      </c>
      <c r="Y78" s="872">
        <v>15861.0</v>
      </c>
      <c r="Z78" s="872">
        <v>14277.0</v>
      </c>
      <c r="AA78" s="872">
        <v>14231.0</v>
      </c>
      <c r="AB78" s="872">
        <v>13044.0</v>
      </c>
      <c r="AC78" s="872">
        <v>12320.0</v>
      </c>
      <c r="AD78" s="872">
        <v>10740.0</v>
      </c>
      <c r="AE78" s="872">
        <v>8023.0</v>
      </c>
      <c r="AF78" s="872">
        <v>5960.0</v>
      </c>
      <c r="AG78" s="872">
        <v>4981.0</v>
      </c>
      <c r="AH78" s="872">
        <v>4813.0</v>
      </c>
      <c r="AI78" s="872">
        <v>1102.0</v>
      </c>
      <c r="AJ78" s="872">
        <v>-1639.0</v>
      </c>
      <c r="AK78" s="15"/>
      <c r="AL78" s="851" t="s">
        <v>194</v>
      </c>
      <c r="AM78" s="846" t="s">
        <v>194</v>
      </c>
      <c r="AN78" s="846" t="s">
        <v>194</v>
      </c>
      <c r="AO78" s="846" t="s">
        <v>194</v>
      </c>
      <c r="AP78" s="846" t="s">
        <v>194</v>
      </c>
      <c r="AQ78" s="846" t="s">
        <v>194</v>
      </c>
      <c r="AR78" s="846" t="s">
        <v>194</v>
      </c>
      <c r="AS78" s="846" t="s">
        <v>194</v>
      </c>
      <c r="AT78" s="846" t="s">
        <v>194</v>
      </c>
      <c r="AU78" s="846" t="s">
        <v>194</v>
      </c>
      <c r="AV78" s="846" t="s">
        <v>194</v>
      </c>
      <c r="AW78" s="846" t="s">
        <v>194</v>
      </c>
      <c r="AX78" s="846" t="s">
        <v>194</v>
      </c>
      <c r="AY78" s="846" t="s">
        <v>194</v>
      </c>
      <c r="AZ78" s="846" t="s">
        <v>194</v>
      </c>
      <c r="BA78" s="846" t="s">
        <v>194</v>
      </c>
      <c r="BB78" s="846" t="s">
        <v>194</v>
      </c>
      <c r="BC78" s="846" t="s">
        <v>194</v>
      </c>
      <c r="BD78" s="846" t="s">
        <v>194</v>
      </c>
      <c r="BE78" s="846" t="s">
        <v>194</v>
      </c>
      <c r="BF78" s="846" t="s">
        <v>194</v>
      </c>
      <c r="BG78" s="846" t="s">
        <v>194</v>
      </c>
    </row>
    <row r="79" ht="15.75" customHeight="1" outlineLevel="1">
      <c r="A79" s="849">
        <v>1.0</v>
      </c>
      <c r="B79" s="15"/>
      <c r="C79" s="869" t="str">
        <f>"    Earnings Before Interest, Tax, Depreciation, Amortization and Rent Expenses (EBITDAR)"</f>
        <v>    Earnings Before Interest, Tax, Depreciation, Amortization and Rent Expenses (EBITDAR)</v>
      </c>
      <c r="D79" s="870">
        <f t="shared" si="73"/>
        <v>29141.5</v>
      </c>
      <c r="E79" s="870">
        <f t="shared" si="74"/>
        <v>28967</v>
      </c>
      <c r="F79" s="870">
        <f t="shared" si="75"/>
        <v>1357</v>
      </c>
      <c r="G79" s="870">
        <f t="shared" si="76"/>
        <v>49584</v>
      </c>
      <c r="H79" s="870">
        <f t="shared" si="77"/>
        <v>20062</v>
      </c>
      <c r="I79" s="870">
        <f t="shared" si="78"/>
        <v>39515.25</v>
      </c>
      <c r="J79" s="870">
        <f t="shared" si="79"/>
        <v>13701.3182</v>
      </c>
      <c r="K79" s="871">
        <f t="shared" si="80"/>
        <v>0.4729974868</v>
      </c>
      <c r="L79" s="872" t="s">
        <v>194</v>
      </c>
      <c r="M79" s="872">
        <v>48491.0</v>
      </c>
      <c r="N79" s="872">
        <v>49584.0</v>
      </c>
      <c r="O79" s="872">
        <v>48000.0</v>
      </c>
      <c r="P79" s="872">
        <v>44348.0</v>
      </c>
      <c r="Q79" s="872">
        <v>41193.0</v>
      </c>
      <c r="R79" s="872">
        <v>41683.0</v>
      </c>
      <c r="S79" s="872">
        <v>38956.0</v>
      </c>
      <c r="T79" s="872">
        <v>38253.0</v>
      </c>
      <c r="U79" s="872">
        <v>36093.0</v>
      </c>
      <c r="V79" s="872">
        <v>33890.0</v>
      </c>
      <c r="W79" s="872">
        <v>32300.0</v>
      </c>
      <c r="X79" s="872">
        <v>29624.0</v>
      </c>
      <c r="Y79" s="872">
        <v>28659.0</v>
      </c>
      <c r="Z79" s="872">
        <v>26463.0</v>
      </c>
      <c r="AA79" s="872">
        <v>26009.0</v>
      </c>
      <c r="AB79" s="872">
        <v>24146.0</v>
      </c>
      <c r="AC79" s="872">
        <v>22539.0</v>
      </c>
      <c r="AD79" s="872">
        <v>20935.0</v>
      </c>
      <c r="AE79" s="872">
        <v>17443.0</v>
      </c>
      <c r="AF79" s="872">
        <v>14669.0</v>
      </c>
      <c r="AG79" s="872">
        <v>12942.0</v>
      </c>
      <c r="AH79" s="872">
        <v>11660.0</v>
      </c>
      <c r="AI79" s="872">
        <v>5971.0</v>
      </c>
      <c r="AJ79" s="872">
        <v>1357.0</v>
      </c>
      <c r="AK79" s="15"/>
      <c r="AL79" s="851" t="s">
        <v>194</v>
      </c>
      <c r="AM79" s="846" t="s">
        <v>194</v>
      </c>
      <c r="AN79" s="846" t="s">
        <v>194</v>
      </c>
      <c r="AO79" s="846" t="s">
        <v>194</v>
      </c>
      <c r="AP79" s="846" t="s">
        <v>194</v>
      </c>
      <c r="AQ79" s="846" t="s">
        <v>194</v>
      </c>
      <c r="AR79" s="846" t="s">
        <v>194</v>
      </c>
      <c r="AS79" s="846" t="s">
        <v>194</v>
      </c>
      <c r="AT79" s="846" t="s">
        <v>194</v>
      </c>
      <c r="AU79" s="846" t="s">
        <v>194</v>
      </c>
      <c r="AV79" s="846" t="s">
        <v>194</v>
      </c>
      <c r="AW79" s="846" t="s">
        <v>194</v>
      </c>
      <c r="AX79" s="846" t="s">
        <v>194</v>
      </c>
      <c r="AY79" s="846" t="s">
        <v>194</v>
      </c>
      <c r="AZ79" s="846" t="s">
        <v>194</v>
      </c>
      <c r="BA79" s="846" t="s">
        <v>194</v>
      </c>
      <c r="BB79" s="846" t="s">
        <v>194</v>
      </c>
      <c r="BC79" s="846" t="s">
        <v>194</v>
      </c>
      <c r="BD79" s="846" t="s">
        <v>194</v>
      </c>
      <c r="BE79" s="846" t="s">
        <v>194</v>
      </c>
      <c r="BF79" s="846" t="s">
        <v>194</v>
      </c>
      <c r="BG79" s="846" t="s">
        <v>194</v>
      </c>
    </row>
    <row r="80" ht="15.75" customHeight="1" outlineLevel="1">
      <c r="A80" s="849">
        <v>1.0</v>
      </c>
      <c r="B80" s="15"/>
      <c r="C80" s="869" t="str">
        <f>"    Normalized EBITDAR"</f>
        <v>    Normalized EBITDAR</v>
      </c>
      <c r="D80" s="870">
        <f t="shared" si="73"/>
        <v>30406</v>
      </c>
      <c r="E80" s="870">
        <f t="shared" si="74"/>
        <v>29956.45833</v>
      </c>
      <c r="F80" s="870">
        <f t="shared" si="75"/>
        <v>1559</v>
      </c>
      <c r="G80" s="870">
        <f t="shared" si="76"/>
        <v>50223</v>
      </c>
      <c r="H80" s="870">
        <f t="shared" si="77"/>
        <v>21176</v>
      </c>
      <c r="I80" s="870">
        <f t="shared" si="78"/>
        <v>40623.25</v>
      </c>
      <c r="J80" s="870">
        <f t="shared" si="79"/>
        <v>13773.88472</v>
      </c>
      <c r="K80" s="871">
        <f t="shared" si="80"/>
        <v>0.4597968348</v>
      </c>
      <c r="L80" s="872" t="s">
        <v>194</v>
      </c>
      <c r="M80" s="872">
        <v>49235.0</v>
      </c>
      <c r="N80" s="872">
        <v>50223.0</v>
      </c>
      <c r="O80" s="872">
        <v>48642.0</v>
      </c>
      <c r="P80" s="872">
        <v>45015.0</v>
      </c>
      <c r="Q80" s="872">
        <v>42265.0</v>
      </c>
      <c r="R80" s="872">
        <v>42818.0</v>
      </c>
      <c r="S80" s="872">
        <v>40076.0</v>
      </c>
      <c r="T80" s="872">
        <v>39165.0</v>
      </c>
      <c r="U80" s="872">
        <v>37023.0</v>
      </c>
      <c r="V80" s="872">
        <v>34882.0</v>
      </c>
      <c r="W80" s="872">
        <v>33230.0</v>
      </c>
      <c r="X80" s="872">
        <v>30939.0</v>
      </c>
      <c r="Y80" s="872">
        <v>29873.0</v>
      </c>
      <c r="Z80" s="872">
        <v>28046.0</v>
      </c>
      <c r="AA80" s="872">
        <v>27633.0</v>
      </c>
      <c r="AB80" s="872">
        <v>25910.0</v>
      </c>
      <c r="AC80" s="872">
        <v>24400.0</v>
      </c>
      <c r="AD80" s="872">
        <v>22068.0</v>
      </c>
      <c r="AE80" s="872">
        <v>18500.0</v>
      </c>
      <c r="AF80" s="872">
        <v>15501.0</v>
      </c>
      <c r="AG80" s="872">
        <v>13525.0</v>
      </c>
      <c r="AH80" s="872">
        <v>12341.0</v>
      </c>
      <c r="AI80" s="872">
        <v>6086.0</v>
      </c>
      <c r="AJ80" s="872">
        <v>1559.0</v>
      </c>
      <c r="AK80" s="15"/>
      <c r="AL80" s="851" t="s">
        <v>194</v>
      </c>
      <c r="AM80" s="846" t="s">
        <v>194</v>
      </c>
      <c r="AN80" s="846" t="s">
        <v>194</v>
      </c>
      <c r="AO80" s="846" t="s">
        <v>194</v>
      </c>
      <c r="AP80" s="846" t="s">
        <v>194</v>
      </c>
      <c r="AQ80" s="846" t="s">
        <v>194</v>
      </c>
      <c r="AR80" s="846" t="s">
        <v>194</v>
      </c>
      <c r="AS80" s="846" t="s">
        <v>194</v>
      </c>
      <c r="AT80" s="846" t="s">
        <v>194</v>
      </c>
      <c r="AU80" s="846" t="s">
        <v>194</v>
      </c>
      <c r="AV80" s="846" t="s">
        <v>194</v>
      </c>
      <c r="AW80" s="846" t="s">
        <v>194</v>
      </c>
      <c r="AX80" s="846" t="s">
        <v>194</v>
      </c>
      <c r="AY80" s="846" t="s">
        <v>194</v>
      </c>
      <c r="AZ80" s="846" t="s">
        <v>194</v>
      </c>
      <c r="BA80" s="846" t="s">
        <v>194</v>
      </c>
      <c r="BB80" s="846" t="s">
        <v>194</v>
      </c>
      <c r="BC80" s="846" t="s">
        <v>194</v>
      </c>
      <c r="BD80" s="846" t="s">
        <v>194</v>
      </c>
      <c r="BE80" s="846" t="s">
        <v>194</v>
      </c>
      <c r="BF80" s="846" t="s">
        <v>194</v>
      </c>
      <c r="BG80" s="846" t="s">
        <v>194</v>
      </c>
    </row>
    <row r="81" ht="15.75" customHeight="1" outlineLevel="1">
      <c r="A81" s="849">
        <v>1.0</v>
      </c>
      <c r="B81" s="15"/>
      <c r="C81" s="869" t="str">
        <f>"    Interest and Dividend Income"</f>
        <v>    Interest and Dividend Income</v>
      </c>
      <c r="D81" s="870">
        <f t="shared" si="73"/>
        <v>116</v>
      </c>
      <c r="E81" s="870">
        <f t="shared" si="74"/>
        <v>491.375</v>
      </c>
      <c r="F81" s="870">
        <f t="shared" si="75"/>
        <v>12</v>
      </c>
      <c r="G81" s="870">
        <f t="shared" si="76"/>
        <v>3259</v>
      </c>
      <c r="H81" s="870">
        <f t="shared" si="77"/>
        <v>46.5</v>
      </c>
      <c r="I81" s="870">
        <f t="shared" si="78"/>
        <v>418</v>
      </c>
      <c r="J81" s="870">
        <f t="shared" si="79"/>
        <v>842.3700422</v>
      </c>
      <c r="K81" s="871">
        <f t="shared" si="80"/>
        <v>1.714311966</v>
      </c>
      <c r="L81" s="872" t="s">
        <v>194</v>
      </c>
      <c r="M81" s="872">
        <v>3259.0</v>
      </c>
      <c r="N81" s="872">
        <v>2408.0</v>
      </c>
      <c r="O81" s="872">
        <v>1734.0</v>
      </c>
      <c r="P81" s="872">
        <v>1207.0</v>
      </c>
      <c r="Q81" s="872">
        <v>765.0</v>
      </c>
      <c r="R81" s="872">
        <v>538.0</v>
      </c>
      <c r="S81" s="872">
        <v>378.0</v>
      </c>
      <c r="T81" s="872">
        <v>268.0</v>
      </c>
      <c r="U81" s="872">
        <v>196.0</v>
      </c>
      <c r="V81" s="872">
        <v>162.0</v>
      </c>
      <c r="W81" s="872">
        <v>129.0</v>
      </c>
      <c r="X81" s="872">
        <v>119.0</v>
      </c>
      <c r="Y81" s="872">
        <v>102.0</v>
      </c>
      <c r="Z81" s="872">
        <v>80.0</v>
      </c>
      <c r="AA81" s="872">
        <v>62.0</v>
      </c>
      <c r="AB81" s="872">
        <v>48.0</v>
      </c>
      <c r="AC81" s="872">
        <v>42.0</v>
      </c>
      <c r="AD81" s="872">
        <v>31.0</v>
      </c>
      <c r="AE81" s="872">
        <v>24.0</v>
      </c>
      <c r="AF81" s="872">
        <v>15.0</v>
      </c>
      <c r="AG81" s="872">
        <v>12.0</v>
      </c>
      <c r="AH81" s="872">
        <v>13.0</v>
      </c>
      <c r="AI81" s="872">
        <v>88.0</v>
      </c>
      <c r="AJ81" s="872">
        <v>113.0</v>
      </c>
      <c r="AK81" s="15"/>
      <c r="AL81" s="851" t="s">
        <v>194</v>
      </c>
      <c r="AM81" s="846" t="s">
        <v>194</v>
      </c>
      <c r="AN81" s="846" t="s">
        <v>194</v>
      </c>
      <c r="AO81" s="846" t="s">
        <v>194</v>
      </c>
      <c r="AP81" s="846" t="s">
        <v>194</v>
      </c>
      <c r="AQ81" s="846" t="s">
        <v>194</v>
      </c>
      <c r="AR81" s="846" t="s">
        <v>194</v>
      </c>
      <c r="AS81" s="846" t="s">
        <v>194</v>
      </c>
      <c r="AT81" s="846" t="s">
        <v>194</v>
      </c>
      <c r="AU81" s="846" t="s">
        <v>194</v>
      </c>
      <c r="AV81" s="846" t="s">
        <v>194</v>
      </c>
      <c r="AW81" s="846" t="s">
        <v>194</v>
      </c>
      <c r="AX81" s="846" t="s">
        <v>194</v>
      </c>
      <c r="AY81" s="846" t="s">
        <v>194</v>
      </c>
      <c r="AZ81" s="846" t="s">
        <v>194</v>
      </c>
      <c r="BA81" s="846" t="s">
        <v>194</v>
      </c>
      <c r="BB81" s="846" t="s">
        <v>194</v>
      </c>
      <c r="BC81" s="846" t="s">
        <v>194</v>
      </c>
      <c r="BD81" s="846" t="s">
        <v>194</v>
      </c>
      <c r="BE81" s="846" t="s">
        <v>194</v>
      </c>
      <c r="BF81" s="846" t="s">
        <v>194</v>
      </c>
      <c r="BG81" s="846" t="s">
        <v>194</v>
      </c>
    </row>
    <row r="82" ht="15.75" customHeight="1" outlineLevel="1">
      <c r="A82" s="849">
        <v>1.0</v>
      </c>
      <c r="B82" s="15"/>
      <c r="C82" s="869" t="str">
        <f>"    Normalized Basic EPS"</f>
        <v>    Normalized Basic EPS</v>
      </c>
      <c r="D82" s="871">
        <f t="shared" si="73"/>
        <v>0.7036301465</v>
      </c>
      <c r="E82" s="871">
        <f t="shared" si="74"/>
        <v>0.8288808652</v>
      </c>
      <c r="F82" s="871">
        <f t="shared" si="75"/>
        <v>0.04063973596</v>
      </c>
      <c r="G82" s="871">
        <f t="shared" si="76"/>
        <v>2.465538523</v>
      </c>
      <c r="H82" s="871">
        <f t="shared" si="77"/>
        <v>0.3507217807</v>
      </c>
      <c r="I82" s="871">
        <f t="shared" si="78"/>
        <v>1.24376296</v>
      </c>
      <c r="J82" s="871">
        <f t="shared" si="79"/>
        <v>0.6434924935</v>
      </c>
      <c r="K82" s="871">
        <f t="shared" si="80"/>
        <v>0.7763389415</v>
      </c>
      <c r="L82" s="928" t="s">
        <v>194</v>
      </c>
      <c r="M82" s="928">
        <v>2.4655385227681816</v>
      </c>
      <c r="N82" s="928">
        <v>1.9621095366460226</v>
      </c>
      <c r="O82" s="928">
        <v>1.545917916847011</v>
      </c>
      <c r="P82" s="928">
        <v>1.2547286574259686</v>
      </c>
      <c r="Q82" s="928">
        <v>1.0566942120471343</v>
      </c>
      <c r="R82" s="928">
        <v>1.359985058786192</v>
      </c>
      <c r="S82" s="928">
        <v>1.261677514858316</v>
      </c>
      <c r="T82" s="928">
        <v>1.2327972623903483</v>
      </c>
      <c r="U82" s="928">
        <v>1.0618489878384336</v>
      </c>
      <c r="V82" s="928">
        <v>1.0071304713931317</v>
      </c>
      <c r="W82" s="928">
        <v>0.8823567599068759</v>
      </c>
      <c r="X82" s="928">
        <v>0.703630146455862</v>
      </c>
      <c r="Y82" s="928">
        <v>0.6492321378983061</v>
      </c>
      <c r="Z82" s="928">
        <v>0.5499463451165747</v>
      </c>
      <c r="AA82" s="928">
        <v>0.5295451033583245</v>
      </c>
      <c r="AB82" s="928">
        <v>0.484667112684856</v>
      </c>
      <c r="AC82" s="928">
        <v>0.40808519154159023</v>
      </c>
      <c r="AD82" s="928">
        <v>0.06319441800243855</v>
      </c>
      <c r="AE82" s="928">
        <v>0.152302</v>
      </c>
      <c r="AF82" s="928">
        <v>0.051235</v>
      </c>
      <c r="AG82" s="928">
        <v>0.040639735961910436</v>
      </c>
      <c r="AH82" s="928">
        <v>0.2933583698555305</v>
      </c>
      <c r="AI82" s="928">
        <v>0.04763943719228665</v>
      </c>
      <c r="AJ82" s="928" t="s">
        <v>194</v>
      </c>
      <c r="AK82" s="15"/>
      <c r="AL82" s="851" t="s">
        <v>194</v>
      </c>
      <c r="AM82" s="846" t="s">
        <v>194</v>
      </c>
      <c r="AN82" s="846" t="s">
        <v>194</v>
      </c>
      <c r="AO82" s="846" t="s">
        <v>194</v>
      </c>
      <c r="AP82" s="846" t="s">
        <v>194</v>
      </c>
      <c r="AQ82" s="846" t="s">
        <v>194</v>
      </c>
      <c r="AR82" s="846" t="s">
        <v>194</v>
      </c>
      <c r="AS82" s="846" t="s">
        <v>194</v>
      </c>
      <c r="AT82" s="846" t="s">
        <v>194</v>
      </c>
      <c r="AU82" s="846" t="s">
        <v>194</v>
      </c>
      <c r="AV82" s="846" t="s">
        <v>194</v>
      </c>
      <c r="AW82" s="846" t="s">
        <v>194</v>
      </c>
      <c r="AX82" s="846" t="s">
        <v>194</v>
      </c>
      <c r="AY82" s="846" t="s">
        <v>194</v>
      </c>
      <c r="AZ82" s="846" t="s">
        <v>194</v>
      </c>
      <c r="BA82" s="846" t="s">
        <v>194</v>
      </c>
      <c r="BB82" s="846" t="s">
        <v>194</v>
      </c>
      <c r="BC82" s="846" t="s">
        <v>194</v>
      </c>
      <c r="BD82" s="846" t="s">
        <v>194</v>
      </c>
      <c r="BE82" s="846" t="s">
        <v>194</v>
      </c>
      <c r="BF82" s="846" t="s">
        <v>194</v>
      </c>
      <c r="BG82" s="846" t="s">
        <v>194</v>
      </c>
    </row>
    <row r="83" ht="15.75" customHeight="1" outlineLevel="1">
      <c r="A83" s="849">
        <v>1.0</v>
      </c>
      <c r="B83" s="15"/>
      <c r="C83" s="869" t="str">
        <f>"    Recommended Normalized Basic EPS"</f>
        <v>    Recommended Normalized Basic EPS</v>
      </c>
      <c r="D83" s="871">
        <f t="shared" si="73"/>
        <v>0.7036301465</v>
      </c>
      <c r="E83" s="871">
        <f t="shared" si="74"/>
        <v>0.8288808652</v>
      </c>
      <c r="F83" s="871">
        <f t="shared" si="75"/>
        <v>0.04063973596</v>
      </c>
      <c r="G83" s="871">
        <f t="shared" si="76"/>
        <v>2.465538523</v>
      </c>
      <c r="H83" s="871">
        <f t="shared" si="77"/>
        <v>0.3507217807</v>
      </c>
      <c r="I83" s="871">
        <f t="shared" si="78"/>
        <v>1.24376296</v>
      </c>
      <c r="J83" s="871">
        <f t="shared" si="79"/>
        <v>0.6434924935</v>
      </c>
      <c r="K83" s="871">
        <f t="shared" si="80"/>
        <v>0.7763389415</v>
      </c>
      <c r="L83" s="928" t="s">
        <v>194</v>
      </c>
      <c r="M83" s="928">
        <v>2.4655385227681816</v>
      </c>
      <c r="N83" s="928">
        <v>1.9621095366460226</v>
      </c>
      <c r="O83" s="928">
        <v>1.545917916847011</v>
      </c>
      <c r="P83" s="928">
        <v>1.2547286574259686</v>
      </c>
      <c r="Q83" s="928">
        <v>1.0566942120471343</v>
      </c>
      <c r="R83" s="928">
        <v>1.359985058786192</v>
      </c>
      <c r="S83" s="928">
        <v>1.261677514858316</v>
      </c>
      <c r="T83" s="928">
        <v>1.2327972623903483</v>
      </c>
      <c r="U83" s="928">
        <v>1.0618489878384336</v>
      </c>
      <c r="V83" s="928">
        <v>1.0071304713931317</v>
      </c>
      <c r="W83" s="928">
        <v>0.8823567599068759</v>
      </c>
      <c r="X83" s="928">
        <v>0.703630146455862</v>
      </c>
      <c r="Y83" s="928">
        <v>0.6492321378983061</v>
      </c>
      <c r="Z83" s="928">
        <v>0.5499463451165747</v>
      </c>
      <c r="AA83" s="928">
        <v>0.5295451033583245</v>
      </c>
      <c r="AB83" s="928">
        <v>0.484667112684856</v>
      </c>
      <c r="AC83" s="928">
        <v>0.40808519154159023</v>
      </c>
      <c r="AD83" s="928">
        <v>0.06319441800243855</v>
      </c>
      <c r="AE83" s="928">
        <v>0.152302</v>
      </c>
      <c r="AF83" s="928">
        <v>0.051235</v>
      </c>
      <c r="AG83" s="928">
        <v>0.040639735961910436</v>
      </c>
      <c r="AH83" s="928">
        <v>0.2933583698555305</v>
      </c>
      <c r="AI83" s="928">
        <v>0.04763943719228665</v>
      </c>
      <c r="AJ83" s="928" t="s">
        <v>194</v>
      </c>
      <c r="AK83" s="15"/>
      <c r="AL83" s="851" t="s">
        <v>194</v>
      </c>
      <c r="AM83" s="846" t="s">
        <v>194</v>
      </c>
      <c r="AN83" s="846" t="s">
        <v>194</v>
      </c>
      <c r="AO83" s="846" t="s">
        <v>194</v>
      </c>
      <c r="AP83" s="846" t="s">
        <v>194</v>
      </c>
      <c r="AQ83" s="846" t="s">
        <v>194</v>
      </c>
      <c r="AR83" s="846" t="s">
        <v>194</v>
      </c>
      <c r="AS83" s="846" t="s">
        <v>194</v>
      </c>
      <c r="AT83" s="846" t="s">
        <v>194</v>
      </c>
      <c r="AU83" s="846" t="s">
        <v>194</v>
      </c>
      <c r="AV83" s="846" t="s">
        <v>194</v>
      </c>
      <c r="AW83" s="846" t="s">
        <v>194</v>
      </c>
      <c r="AX83" s="846" t="s">
        <v>194</v>
      </c>
      <c r="AY83" s="846" t="s">
        <v>194</v>
      </c>
      <c r="AZ83" s="846" t="s">
        <v>194</v>
      </c>
      <c r="BA83" s="846" t="s">
        <v>194</v>
      </c>
      <c r="BB83" s="846" t="s">
        <v>194</v>
      </c>
      <c r="BC83" s="846" t="s">
        <v>194</v>
      </c>
      <c r="BD83" s="846" t="s">
        <v>194</v>
      </c>
      <c r="BE83" s="846" t="s">
        <v>194</v>
      </c>
      <c r="BF83" s="846" t="s">
        <v>194</v>
      </c>
      <c r="BG83" s="846" t="s">
        <v>194</v>
      </c>
    </row>
    <row r="84" ht="15.75" customHeight="1" outlineLevel="1">
      <c r="A84" s="849">
        <v>1.0</v>
      </c>
      <c r="B84" s="15"/>
      <c r="C84" s="869" t="str">
        <f>"    Normalized Diluted EPS"</f>
        <v>    Normalized Diluted EPS</v>
      </c>
      <c r="D84" s="871">
        <f t="shared" si="73"/>
        <v>0.6604973224</v>
      </c>
      <c r="E84" s="871">
        <f t="shared" si="74"/>
        <v>0.7799056587</v>
      </c>
      <c r="F84" s="871">
        <f t="shared" si="75"/>
        <v>0.03771162299</v>
      </c>
      <c r="G84" s="871">
        <f t="shared" si="76"/>
        <v>2.324123107</v>
      </c>
      <c r="H84" s="871">
        <f t="shared" si="77"/>
        <v>0.3137063015</v>
      </c>
      <c r="I84" s="871">
        <f t="shared" si="78"/>
        <v>1.172004008</v>
      </c>
      <c r="J84" s="871">
        <f t="shared" si="79"/>
        <v>0.6082164495</v>
      </c>
      <c r="K84" s="871">
        <f t="shared" si="80"/>
        <v>0.7798590031</v>
      </c>
      <c r="L84" s="928" t="s">
        <v>194</v>
      </c>
      <c r="M84" s="928">
        <v>2.3241231067267587</v>
      </c>
      <c r="N84" s="928">
        <v>1.85081742197804</v>
      </c>
      <c r="O84" s="928">
        <v>1.4544245550457857</v>
      </c>
      <c r="P84" s="928">
        <v>1.1833185443786216</v>
      </c>
      <c r="Q84" s="928">
        <v>0.9946596226100772</v>
      </c>
      <c r="R84" s="928">
        <v>1.2772805041410926</v>
      </c>
      <c r="S84" s="928">
        <v>1.1990318749543887</v>
      </c>
      <c r="T84" s="928">
        <v>1.1606894710652507</v>
      </c>
      <c r="U84" s="928">
        <v>1.0098082714495686</v>
      </c>
      <c r="V84" s="928">
        <v>0.9648136759035093</v>
      </c>
      <c r="W84" s="928">
        <v>0.8400506759608346</v>
      </c>
      <c r="X84" s="928">
        <v>0.6604973223979462</v>
      </c>
      <c r="Y84" s="928">
        <v>0.6061196619498488</v>
      </c>
      <c r="Z84" s="928">
        <v>0.5057796775742759</v>
      </c>
      <c r="AA84" s="928">
        <v>0.48502077325635407</v>
      </c>
      <c r="AB84" s="928">
        <v>0.4378224370474417</v>
      </c>
      <c r="AC84" s="928">
        <v>0.37005511518282636</v>
      </c>
      <c r="AD84" s="928">
        <v>0.06770827467309853</v>
      </c>
      <c r="AE84" s="928">
        <v>0.152302</v>
      </c>
      <c r="AF84" s="928">
        <v>0.051235</v>
      </c>
      <c r="AG84" s="928">
        <v>0.037711622992029556</v>
      </c>
      <c r="AH84" s="928">
        <v>0.25735748791625696</v>
      </c>
      <c r="AI84" s="928">
        <v>0.04720305386237692</v>
      </c>
      <c r="AJ84" s="928" t="s">
        <v>194</v>
      </c>
      <c r="AK84" s="15"/>
      <c r="AL84" s="851" t="s">
        <v>194</v>
      </c>
      <c r="AM84" s="846" t="s">
        <v>194</v>
      </c>
      <c r="AN84" s="846" t="s">
        <v>194</v>
      </c>
      <c r="AO84" s="846" t="s">
        <v>194</v>
      </c>
      <c r="AP84" s="846" t="s">
        <v>194</v>
      </c>
      <c r="AQ84" s="846" t="s">
        <v>194</v>
      </c>
      <c r="AR84" s="846" t="s">
        <v>194</v>
      </c>
      <c r="AS84" s="846" t="s">
        <v>194</v>
      </c>
      <c r="AT84" s="846" t="s">
        <v>194</v>
      </c>
      <c r="AU84" s="846" t="s">
        <v>194</v>
      </c>
      <c r="AV84" s="846" t="s">
        <v>194</v>
      </c>
      <c r="AW84" s="846" t="s">
        <v>194</v>
      </c>
      <c r="AX84" s="846" t="s">
        <v>194</v>
      </c>
      <c r="AY84" s="846" t="s">
        <v>194</v>
      </c>
      <c r="AZ84" s="846" t="s">
        <v>194</v>
      </c>
      <c r="BA84" s="846" t="s">
        <v>194</v>
      </c>
      <c r="BB84" s="846" t="s">
        <v>194</v>
      </c>
      <c r="BC84" s="846" t="s">
        <v>194</v>
      </c>
      <c r="BD84" s="846" t="s">
        <v>194</v>
      </c>
      <c r="BE84" s="846" t="s">
        <v>194</v>
      </c>
      <c r="BF84" s="846" t="s">
        <v>194</v>
      </c>
      <c r="BG84" s="846" t="s">
        <v>194</v>
      </c>
    </row>
    <row r="85" ht="15.75" customHeight="1" outlineLevel="1">
      <c r="A85" s="849">
        <v>1.0</v>
      </c>
      <c r="B85" s="15"/>
      <c r="C85" s="869" t="str">
        <f>"    Recommended Normalized Diluted EPS"</f>
        <v>    Recommended Normalized Diluted EPS</v>
      </c>
      <c r="D85" s="871">
        <f t="shared" si="73"/>
        <v>0.6604973224</v>
      </c>
      <c r="E85" s="871">
        <f t="shared" si="74"/>
        <v>0.7799056587</v>
      </c>
      <c r="F85" s="871">
        <f t="shared" si="75"/>
        <v>0.03771162299</v>
      </c>
      <c r="G85" s="871">
        <f t="shared" si="76"/>
        <v>2.324123107</v>
      </c>
      <c r="H85" s="871">
        <f t="shared" si="77"/>
        <v>0.3137063015</v>
      </c>
      <c r="I85" s="871">
        <f t="shared" si="78"/>
        <v>1.172004008</v>
      </c>
      <c r="J85" s="871">
        <f t="shared" si="79"/>
        <v>0.6082164495</v>
      </c>
      <c r="K85" s="871">
        <f t="shared" si="80"/>
        <v>0.7798590031</v>
      </c>
      <c r="L85" s="928" t="s">
        <v>194</v>
      </c>
      <c r="M85" s="928">
        <v>2.3241231067267587</v>
      </c>
      <c r="N85" s="928">
        <v>1.85081742197804</v>
      </c>
      <c r="O85" s="928">
        <v>1.4544245550457857</v>
      </c>
      <c r="P85" s="928">
        <v>1.1833185443786216</v>
      </c>
      <c r="Q85" s="928">
        <v>0.9946596226100772</v>
      </c>
      <c r="R85" s="928">
        <v>1.2772805041410926</v>
      </c>
      <c r="S85" s="928">
        <v>1.1990318749543887</v>
      </c>
      <c r="T85" s="928">
        <v>1.1606894710652507</v>
      </c>
      <c r="U85" s="928">
        <v>1.0098082714495686</v>
      </c>
      <c r="V85" s="928">
        <v>0.9648136759035093</v>
      </c>
      <c r="W85" s="928">
        <v>0.8400506759608346</v>
      </c>
      <c r="X85" s="928">
        <v>0.6604973223979462</v>
      </c>
      <c r="Y85" s="928">
        <v>0.6061196619498488</v>
      </c>
      <c r="Z85" s="928">
        <v>0.5057796775742759</v>
      </c>
      <c r="AA85" s="928">
        <v>0.48502077325635407</v>
      </c>
      <c r="AB85" s="928">
        <v>0.4378224370474417</v>
      </c>
      <c r="AC85" s="928">
        <v>0.37005511518282636</v>
      </c>
      <c r="AD85" s="928">
        <v>0.06770827467309853</v>
      </c>
      <c r="AE85" s="928">
        <v>0.152302</v>
      </c>
      <c r="AF85" s="928">
        <v>0.051235</v>
      </c>
      <c r="AG85" s="928">
        <v>0.037711622992029556</v>
      </c>
      <c r="AH85" s="928">
        <v>0.25735748791625696</v>
      </c>
      <c r="AI85" s="928">
        <v>0.04720305386237692</v>
      </c>
      <c r="AJ85" s="928" t="s">
        <v>194</v>
      </c>
      <c r="AK85" s="15"/>
      <c r="AL85" s="851" t="s">
        <v>194</v>
      </c>
      <c r="AM85" s="846" t="s">
        <v>194</v>
      </c>
      <c r="AN85" s="846" t="s">
        <v>194</v>
      </c>
      <c r="AO85" s="846" t="s">
        <v>194</v>
      </c>
      <c r="AP85" s="846" t="s">
        <v>194</v>
      </c>
      <c r="AQ85" s="846" t="s">
        <v>194</v>
      </c>
      <c r="AR85" s="846" t="s">
        <v>194</v>
      </c>
      <c r="AS85" s="846" t="s">
        <v>194</v>
      </c>
      <c r="AT85" s="846" t="s">
        <v>194</v>
      </c>
      <c r="AU85" s="846" t="s">
        <v>194</v>
      </c>
      <c r="AV85" s="846" t="s">
        <v>194</v>
      </c>
      <c r="AW85" s="846" t="s">
        <v>194</v>
      </c>
      <c r="AX85" s="846" t="s">
        <v>194</v>
      </c>
      <c r="AY85" s="846" t="s">
        <v>194</v>
      </c>
      <c r="AZ85" s="846" t="s">
        <v>194</v>
      </c>
      <c r="BA85" s="846" t="s">
        <v>194</v>
      </c>
      <c r="BB85" s="846" t="s">
        <v>194</v>
      </c>
      <c r="BC85" s="846" t="s">
        <v>194</v>
      </c>
      <c r="BD85" s="846" t="s">
        <v>194</v>
      </c>
      <c r="BE85" s="846" t="s">
        <v>194</v>
      </c>
      <c r="BF85" s="846" t="s">
        <v>194</v>
      </c>
      <c r="BG85" s="846" t="s">
        <v>194</v>
      </c>
    </row>
    <row r="86" ht="15.75" customHeight="1" outlineLevel="1">
      <c r="A86" s="849">
        <v>1.0</v>
      </c>
      <c r="B86" s="15"/>
      <c r="C86" s="869" t="str">
        <f>"    Normalized Income"</f>
        <v>    Normalized Income</v>
      </c>
      <c r="D86" s="870">
        <f t="shared" si="73"/>
        <v>21559.883</v>
      </c>
      <c r="E86" s="870">
        <f t="shared" si="74"/>
        <v>20202.50605</v>
      </c>
      <c r="F86" s="870">
        <f t="shared" si="75"/>
        <v>-1870.7</v>
      </c>
      <c r="G86" s="870">
        <f t="shared" si="76"/>
        <v>52388.12</v>
      </c>
      <c r="H86" s="870">
        <f t="shared" si="77"/>
        <v>10247.4754</v>
      </c>
      <c r="I86" s="870">
        <f t="shared" si="78"/>
        <v>26408.6127</v>
      </c>
      <c r="J86" s="870">
        <f t="shared" si="79"/>
        <v>12666.95234</v>
      </c>
      <c r="K86" s="871">
        <f t="shared" si="80"/>
        <v>0.6269990617</v>
      </c>
      <c r="L86" s="872" t="s">
        <v>194</v>
      </c>
      <c r="M86" s="872">
        <v>52388.12</v>
      </c>
      <c r="N86" s="872">
        <v>41660.47</v>
      </c>
      <c r="O86" s="872">
        <v>32643.121442125237</v>
      </c>
      <c r="P86" s="872">
        <v>26342.800262969162</v>
      </c>
      <c r="Q86" s="872">
        <v>21760.976</v>
      </c>
      <c r="R86" s="872">
        <v>27894.91204202586</v>
      </c>
      <c r="S86" s="872">
        <v>25829.977514433303</v>
      </c>
      <c r="T86" s="872">
        <v>24795.900650690364</v>
      </c>
      <c r="U86" s="872">
        <v>21358.79</v>
      </c>
      <c r="V86" s="872">
        <v>20055.44338875693</v>
      </c>
      <c r="W86" s="872">
        <v>17402.6733741932</v>
      </c>
      <c r="X86" s="872">
        <v>13583.22082882424</v>
      </c>
      <c r="Y86" s="872">
        <v>12540.053800000002</v>
      </c>
      <c r="Z86" s="872">
        <v>10394.224523417275</v>
      </c>
      <c r="AA86" s="872">
        <v>9807.228015626246</v>
      </c>
      <c r="AB86" s="872">
        <v>8713.78373466606</v>
      </c>
      <c r="AC86" s="872">
        <v>8089.619</v>
      </c>
      <c r="AD86" s="872">
        <v>28014.45</v>
      </c>
      <c r="AE86" s="872">
        <v>26606.05</v>
      </c>
      <c r="AF86" s="872">
        <v>26133.8</v>
      </c>
      <c r="AG86" s="872">
        <v>25813.95</v>
      </c>
      <c r="AH86" s="872">
        <v>4225.730717549046</v>
      </c>
      <c r="AI86" s="872">
        <v>675.55</v>
      </c>
      <c r="AJ86" s="872">
        <v>-1870.7</v>
      </c>
      <c r="AK86" s="15"/>
      <c r="AL86" s="851" t="s">
        <v>194</v>
      </c>
      <c r="AM86" s="846" t="s">
        <v>194</v>
      </c>
      <c r="AN86" s="846" t="s">
        <v>194</v>
      </c>
      <c r="AO86" s="846" t="s">
        <v>194</v>
      </c>
      <c r="AP86" s="846" t="s">
        <v>194</v>
      </c>
      <c r="AQ86" s="846" t="s">
        <v>194</v>
      </c>
      <c r="AR86" s="846" t="s">
        <v>194</v>
      </c>
      <c r="AS86" s="846" t="s">
        <v>194</v>
      </c>
      <c r="AT86" s="846" t="s">
        <v>194</v>
      </c>
      <c r="AU86" s="846" t="s">
        <v>194</v>
      </c>
      <c r="AV86" s="846" t="s">
        <v>194</v>
      </c>
      <c r="AW86" s="846" t="s">
        <v>194</v>
      </c>
      <c r="AX86" s="846" t="s">
        <v>194</v>
      </c>
      <c r="AY86" s="846" t="s">
        <v>194</v>
      </c>
      <c r="AZ86" s="846" t="s">
        <v>194</v>
      </c>
      <c r="BA86" s="846" t="s">
        <v>194</v>
      </c>
      <c r="BB86" s="846" t="s">
        <v>194</v>
      </c>
      <c r="BC86" s="846" t="s">
        <v>194</v>
      </c>
      <c r="BD86" s="846" t="s">
        <v>194</v>
      </c>
      <c r="BE86" s="846" t="s">
        <v>194</v>
      </c>
      <c r="BF86" s="846" t="s">
        <v>194</v>
      </c>
      <c r="BG86" s="846" t="s">
        <v>194</v>
      </c>
    </row>
    <row r="87" ht="15.75" customHeight="1" outlineLevel="1">
      <c r="A87" s="849">
        <v>1.0</v>
      </c>
      <c r="B87" s="15"/>
      <c r="C87" s="869" t="str">
        <f>"    Tax Effect of Unusual Items"</f>
        <v>    Tax Effect of Unusual Items</v>
      </c>
      <c r="D87" s="870">
        <f t="shared" si="73"/>
        <v>186.705</v>
      </c>
      <c r="E87" s="870">
        <f t="shared" si="74"/>
        <v>223.993946</v>
      </c>
      <c r="F87" s="870">
        <f t="shared" si="75"/>
        <v>3.45</v>
      </c>
      <c r="G87" s="870">
        <f t="shared" si="76"/>
        <v>597.381</v>
      </c>
      <c r="H87" s="870">
        <f t="shared" si="77"/>
        <v>85.3325</v>
      </c>
      <c r="I87" s="870">
        <f t="shared" si="78"/>
        <v>327.2555</v>
      </c>
      <c r="J87" s="870">
        <f t="shared" si="79"/>
        <v>175.5066632</v>
      </c>
      <c r="K87" s="871">
        <f t="shared" si="80"/>
        <v>0.7835330657</v>
      </c>
      <c r="L87" s="872" t="s">
        <v>194</v>
      </c>
      <c r="M87" s="872">
        <v>200.88</v>
      </c>
      <c r="N87" s="872">
        <v>172.53</v>
      </c>
      <c r="O87" s="872">
        <v>98.87855787476282</v>
      </c>
      <c r="P87" s="872">
        <v>152.19973703083912</v>
      </c>
      <c r="Q87" s="872">
        <v>313.024</v>
      </c>
      <c r="R87" s="872">
        <v>108.08795797413794</v>
      </c>
      <c r="S87" s="872">
        <v>66.02248556669706</v>
      </c>
      <c r="T87" s="872">
        <v>46.09934930963339</v>
      </c>
      <c r="U87" s="872">
        <v>90.21</v>
      </c>
      <c r="V87" s="872">
        <v>53.55661124307205</v>
      </c>
      <c r="W87" s="872">
        <v>94.32662580680154</v>
      </c>
      <c r="X87" s="872">
        <v>265.77917117575913</v>
      </c>
      <c r="Y87" s="872">
        <v>258.9462</v>
      </c>
      <c r="Z87" s="872">
        <v>434.77547658272533</v>
      </c>
      <c r="AA87" s="872">
        <v>499.7719843737544</v>
      </c>
      <c r="AB87" s="872">
        <v>560.2162653339391</v>
      </c>
      <c r="AC87" s="872">
        <v>597.381</v>
      </c>
      <c r="AD87" s="872">
        <v>396.55</v>
      </c>
      <c r="AE87" s="872">
        <v>369.95</v>
      </c>
      <c r="AF87" s="872">
        <v>291.2</v>
      </c>
      <c r="AG87" s="872">
        <v>204.05</v>
      </c>
      <c r="AH87" s="872">
        <v>27.269282450954044</v>
      </c>
      <c r="AI87" s="872">
        <v>3.45</v>
      </c>
      <c r="AJ87" s="872">
        <v>70.7</v>
      </c>
      <c r="AK87" s="15"/>
      <c r="AL87" s="851" t="s">
        <v>194</v>
      </c>
      <c r="AM87" s="846" t="s">
        <v>194</v>
      </c>
      <c r="AN87" s="846" t="s">
        <v>194</v>
      </c>
      <c r="AO87" s="846" t="s">
        <v>194</v>
      </c>
      <c r="AP87" s="846" t="s">
        <v>194</v>
      </c>
      <c r="AQ87" s="846" t="s">
        <v>194</v>
      </c>
      <c r="AR87" s="846" t="s">
        <v>194</v>
      </c>
      <c r="AS87" s="846" t="s">
        <v>194</v>
      </c>
      <c r="AT87" s="846" t="s">
        <v>194</v>
      </c>
      <c r="AU87" s="846" t="s">
        <v>194</v>
      </c>
      <c r="AV87" s="846" t="s">
        <v>194</v>
      </c>
      <c r="AW87" s="846" t="s">
        <v>194</v>
      </c>
      <c r="AX87" s="846" t="s">
        <v>194</v>
      </c>
      <c r="AY87" s="846" t="s">
        <v>194</v>
      </c>
      <c r="AZ87" s="846" t="s">
        <v>194</v>
      </c>
      <c r="BA87" s="846" t="s">
        <v>194</v>
      </c>
      <c r="BB87" s="846" t="s">
        <v>194</v>
      </c>
      <c r="BC87" s="846" t="s">
        <v>194</v>
      </c>
      <c r="BD87" s="846" t="s">
        <v>194</v>
      </c>
      <c r="BE87" s="846" t="s">
        <v>194</v>
      </c>
      <c r="BF87" s="846" t="s">
        <v>194</v>
      </c>
      <c r="BG87" s="846" t="s">
        <v>194</v>
      </c>
    </row>
    <row r="88" ht="15.75" customHeight="1" outlineLevel="1">
      <c r="A88" s="849">
        <v>1.0</v>
      </c>
      <c r="B88" s="15"/>
      <c r="C88" s="869" t="str">
        <f>"    Total Unusual Items"</f>
        <v>    Total Unusual Items</v>
      </c>
      <c r="D88" s="870">
        <f t="shared" si="73"/>
        <v>961</v>
      </c>
      <c r="E88" s="870">
        <f t="shared" si="74"/>
        <v>989.4583333</v>
      </c>
      <c r="F88" s="870">
        <f t="shared" si="75"/>
        <v>115</v>
      </c>
      <c r="G88" s="870">
        <f t="shared" si="76"/>
        <v>1861</v>
      </c>
      <c r="H88" s="870">
        <f t="shared" si="77"/>
        <v>677.5</v>
      </c>
      <c r="I88" s="870">
        <f t="shared" si="78"/>
        <v>1154.75</v>
      </c>
      <c r="J88" s="870">
        <f t="shared" si="79"/>
        <v>438.9614204</v>
      </c>
      <c r="K88" s="871">
        <f t="shared" si="80"/>
        <v>0.4436381055</v>
      </c>
      <c r="L88" s="872" t="s">
        <v>194</v>
      </c>
      <c r="M88" s="872">
        <v>744.0</v>
      </c>
      <c r="N88" s="872">
        <v>639.0</v>
      </c>
      <c r="O88" s="872">
        <v>642.0</v>
      </c>
      <c r="P88" s="872">
        <v>667.0</v>
      </c>
      <c r="Q88" s="872">
        <v>1072.0</v>
      </c>
      <c r="R88" s="872">
        <v>1135.0</v>
      </c>
      <c r="S88" s="872">
        <v>1120.0</v>
      </c>
      <c r="T88" s="872">
        <v>912.0</v>
      </c>
      <c r="U88" s="872">
        <v>930.0</v>
      </c>
      <c r="V88" s="872">
        <v>992.0</v>
      </c>
      <c r="W88" s="872">
        <v>930.0</v>
      </c>
      <c r="X88" s="872">
        <v>1315.0</v>
      </c>
      <c r="Y88" s="872">
        <v>1214.0</v>
      </c>
      <c r="Z88" s="872">
        <v>1583.0</v>
      </c>
      <c r="AA88" s="872">
        <v>1624.0</v>
      </c>
      <c r="AB88" s="872">
        <v>1764.0</v>
      </c>
      <c r="AC88" s="872">
        <v>1861.0</v>
      </c>
      <c r="AD88" s="872">
        <v>1133.0</v>
      </c>
      <c r="AE88" s="872">
        <v>1057.0</v>
      </c>
      <c r="AF88" s="872">
        <v>832.0</v>
      </c>
      <c r="AG88" s="872">
        <v>583.0</v>
      </c>
      <c r="AH88" s="872">
        <v>681.0</v>
      </c>
      <c r="AI88" s="872">
        <v>115.0</v>
      </c>
      <c r="AJ88" s="872">
        <v>202.0</v>
      </c>
      <c r="AK88" s="15"/>
      <c r="AL88" s="851" t="s">
        <v>194</v>
      </c>
      <c r="AM88" s="846" t="s">
        <v>194</v>
      </c>
      <c r="AN88" s="846" t="s">
        <v>194</v>
      </c>
      <c r="AO88" s="846" t="s">
        <v>194</v>
      </c>
      <c r="AP88" s="846" t="s">
        <v>194</v>
      </c>
      <c r="AQ88" s="846" t="s">
        <v>194</v>
      </c>
      <c r="AR88" s="846" t="s">
        <v>194</v>
      </c>
      <c r="AS88" s="846" t="s">
        <v>194</v>
      </c>
      <c r="AT88" s="846" t="s">
        <v>194</v>
      </c>
      <c r="AU88" s="846" t="s">
        <v>194</v>
      </c>
      <c r="AV88" s="846" t="s">
        <v>194</v>
      </c>
      <c r="AW88" s="846" t="s">
        <v>194</v>
      </c>
      <c r="AX88" s="846" t="s">
        <v>194</v>
      </c>
      <c r="AY88" s="846" t="s">
        <v>194</v>
      </c>
      <c r="AZ88" s="846" t="s">
        <v>194</v>
      </c>
      <c r="BA88" s="846" t="s">
        <v>194</v>
      </c>
      <c r="BB88" s="846" t="s">
        <v>194</v>
      </c>
      <c r="BC88" s="846" t="s">
        <v>194</v>
      </c>
      <c r="BD88" s="846" t="s">
        <v>194</v>
      </c>
      <c r="BE88" s="846" t="s">
        <v>194</v>
      </c>
      <c r="BF88" s="846" t="s">
        <v>194</v>
      </c>
      <c r="BG88" s="846" t="s">
        <v>194</v>
      </c>
    </row>
    <row r="89" ht="15.75" customHeight="1" outlineLevel="1">
      <c r="A89" s="849">
        <v>1.0</v>
      </c>
      <c r="B89" s="15"/>
      <c r="C89" s="869" t="str">
        <f>"    Total Unusual Items Excluding Goodwill"</f>
        <v>    Total Unusual Items Excluding Goodwill</v>
      </c>
      <c r="D89" s="870">
        <f t="shared" si="73"/>
        <v>961</v>
      </c>
      <c r="E89" s="870">
        <f t="shared" si="74"/>
        <v>989.4583333</v>
      </c>
      <c r="F89" s="870">
        <f t="shared" si="75"/>
        <v>115</v>
      </c>
      <c r="G89" s="870">
        <f t="shared" si="76"/>
        <v>1861</v>
      </c>
      <c r="H89" s="870">
        <f t="shared" si="77"/>
        <v>677.5</v>
      </c>
      <c r="I89" s="870">
        <f t="shared" si="78"/>
        <v>1154.75</v>
      </c>
      <c r="J89" s="870">
        <f t="shared" si="79"/>
        <v>438.9614204</v>
      </c>
      <c r="K89" s="871">
        <f t="shared" si="80"/>
        <v>0.4436381055</v>
      </c>
      <c r="L89" s="872" t="s">
        <v>194</v>
      </c>
      <c r="M89" s="872">
        <v>744.0</v>
      </c>
      <c r="N89" s="872">
        <v>639.0</v>
      </c>
      <c r="O89" s="872">
        <v>642.0</v>
      </c>
      <c r="P89" s="872">
        <v>667.0</v>
      </c>
      <c r="Q89" s="872">
        <v>1072.0</v>
      </c>
      <c r="R89" s="872">
        <v>1135.0</v>
      </c>
      <c r="S89" s="872">
        <v>1120.0</v>
      </c>
      <c r="T89" s="872">
        <v>912.0</v>
      </c>
      <c r="U89" s="872">
        <v>930.0</v>
      </c>
      <c r="V89" s="872">
        <v>992.0</v>
      </c>
      <c r="W89" s="872">
        <v>930.0</v>
      </c>
      <c r="X89" s="872">
        <v>1315.0</v>
      </c>
      <c r="Y89" s="872">
        <v>1214.0</v>
      </c>
      <c r="Z89" s="872">
        <v>1583.0</v>
      </c>
      <c r="AA89" s="872">
        <v>1624.0</v>
      </c>
      <c r="AB89" s="872">
        <v>1764.0</v>
      </c>
      <c r="AC89" s="872">
        <v>1861.0</v>
      </c>
      <c r="AD89" s="872">
        <v>1133.0</v>
      </c>
      <c r="AE89" s="872">
        <v>1057.0</v>
      </c>
      <c r="AF89" s="872">
        <v>832.0</v>
      </c>
      <c r="AG89" s="872">
        <v>583.0</v>
      </c>
      <c r="AH89" s="872">
        <v>681.0</v>
      </c>
      <c r="AI89" s="872">
        <v>115.0</v>
      </c>
      <c r="AJ89" s="872">
        <v>202.0</v>
      </c>
      <c r="AK89" s="15"/>
      <c r="AL89" s="851" t="s">
        <v>194</v>
      </c>
      <c r="AM89" s="846" t="s">
        <v>194</v>
      </c>
      <c r="AN89" s="846" t="s">
        <v>194</v>
      </c>
      <c r="AO89" s="846" t="s">
        <v>194</v>
      </c>
      <c r="AP89" s="846" t="s">
        <v>194</v>
      </c>
      <c r="AQ89" s="846" t="s">
        <v>194</v>
      </c>
      <c r="AR89" s="846" t="s">
        <v>194</v>
      </c>
      <c r="AS89" s="846" t="s">
        <v>194</v>
      </c>
      <c r="AT89" s="846" t="s">
        <v>194</v>
      </c>
      <c r="AU89" s="846" t="s">
        <v>194</v>
      </c>
      <c r="AV89" s="846" t="s">
        <v>194</v>
      </c>
      <c r="AW89" s="846" t="s">
        <v>194</v>
      </c>
      <c r="AX89" s="846" t="s">
        <v>194</v>
      </c>
      <c r="AY89" s="846" t="s">
        <v>194</v>
      </c>
      <c r="AZ89" s="846" t="s">
        <v>194</v>
      </c>
      <c r="BA89" s="846" t="s">
        <v>194</v>
      </c>
      <c r="BB89" s="846" t="s">
        <v>194</v>
      </c>
      <c r="BC89" s="846" t="s">
        <v>194</v>
      </c>
      <c r="BD89" s="846" t="s">
        <v>194</v>
      </c>
      <c r="BE89" s="846" t="s">
        <v>194</v>
      </c>
      <c r="BF89" s="846" t="s">
        <v>194</v>
      </c>
      <c r="BG89" s="846" t="s">
        <v>194</v>
      </c>
    </row>
    <row r="90" ht="15.75" customHeight="1" outlineLevel="1">
      <c r="A90" s="849">
        <v>1.0</v>
      </c>
      <c r="B90" s="15"/>
      <c r="C90" s="869" t="str">
        <f>"    Cost of Revenue and Operating Expense"</f>
        <v>    Cost of Revenue and Operating Expense</v>
      </c>
      <c r="D90" s="870">
        <f t="shared" si="73"/>
        <v>148193</v>
      </c>
      <c r="E90" s="870">
        <f t="shared" si="74"/>
        <v>154309.8333</v>
      </c>
      <c r="F90" s="870">
        <f t="shared" si="75"/>
        <v>32356</v>
      </c>
      <c r="G90" s="870">
        <f t="shared" si="76"/>
        <v>320219</v>
      </c>
      <c r="H90" s="870">
        <f t="shared" si="77"/>
        <v>91815.25</v>
      </c>
      <c r="I90" s="870">
        <f t="shared" si="78"/>
        <v>199176.25</v>
      </c>
      <c r="J90" s="870">
        <f t="shared" si="79"/>
        <v>78781.75995</v>
      </c>
      <c r="K90" s="871">
        <f t="shared" si="80"/>
        <v>0.5105427065</v>
      </c>
      <c r="L90" s="872" t="s">
        <v>194</v>
      </c>
      <c r="M90" s="872">
        <v>320219.0</v>
      </c>
      <c r="N90" s="872">
        <v>297060.0</v>
      </c>
      <c r="O90" s="872">
        <v>272863.0</v>
      </c>
      <c r="P90" s="872">
        <v>245270.0</v>
      </c>
      <c r="Q90" s="872">
        <v>221848.0</v>
      </c>
      <c r="R90" s="872">
        <v>207931.0</v>
      </c>
      <c r="S90" s="872">
        <v>196258.0</v>
      </c>
      <c r="T90" s="872">
        <v>187182.0</v>
      </c>
      <c r="U90" s="872">
        <v>179965.0</v>
      </c>
      <c r="V90" s="872">
        <v>172257.0</v>
      </c>
      <c r="W90" s="872">
        <v>160296.0</v>
      </c>
      <c r="X90" s="872">
        <v>152432.0</v>
      </c>
      <c r="Y90" s="872">
        <v>143954.0</v>
      </c>
      <c r="Z90" s="872">
        <v>134668.0</v>
      </c>
      <c r="AA90" s="872">
        <v>123430.0</v>
      </c>
      <c r="AB90" s="872">
        <v>111176.0</v>
      </c>
      <c r="AC90" s="872">
        <v>102026.0</v>
      </c>
      <c r="AD90" s="872">
        <v>93549.0</v>
      </c>
      <c r="AE90" s="872">
        <v>86614.0</v>
      </c>
      <c r="AF90" s="872">
        <v>77949.0</v>
      </c>
      <c r="AG90" s="872">
        <v>70979.0</v>
      </c>
      <c r="AH90" s="872">
        <v>65407.0</v>
      </c>
      <c r="AI90" s="872">
        <v>47747.0</v>
      </c>
      <c r="AJ90" s="872">
        <v>32356.0</v>
      </c>
      <c r="AK90" s="15"/>
      <c r="AL90" s="851" t="s">
        <v>194</v>
      </c>
      <c r="AM90" s="846" t="s">
        <v>194</v>
      </c>
      <c r="AN90" s="846" t="s">
        <v>194</v>
      </c>
      <c r="AO90" s="846" t="s">
        <v>194</v>
      </c>
      <c r="AP90" s="846" t="s">
        <v>194</v>
      </c>
      <c r="AQ90" s="846" t="s">
        <v>194</v>
      </c>
      <c r="AR90" s="846" t="s">
        <v>194</v>
      </c>
      <c r="AS90" s="846" t="s">
        <v>194</v>
      </c>
      <c r="AT90" s="846" t="s">
        <v>194</v>
      </c>
      <c r="AU90" s="846" t="s">
        <v>194</v>
      </c>
      <c r="AV90" s="846" t="s">
        <v>194</v>
      </c>
      <c r="AW90" s="846" t="s">
        <v>194</v>
      </c>
      <c r="AX90" s="846" t="s">
        <v>194</v>
      </c>
      <c r="AY90" s="846" t="s">
        <v>194</v>
      </c>
      <c r="AZ90" s="846" t="s">
        <v>194</v>
      </c>
      <c r="BA90" s="846" t="s">
        <v>194</v>
      </c>
      <c r="BB90" s="846" t="s">
        <v>194</v>
      </c>
      <c r="BC90" s="846" t="s">
        <v>194</v>
      </c>
      <c r="BD90" s="846" t="s">
        <v>194</v>
      </c>
      <c r="BE90" s="846" t="s">
        <v>194</v>
      </c>
      <c r="BF90" s="846" t="s">
        <v>194</v>
      </c>
      <c r="BG90" s="846" t="s">
        <v>194</v>
      </c>
    </row>
    <row r="91" ht="15.75" customHeight="1" outlineLevel="1">
      <c r="A91" s="849">
        <v>1.0</v>
      </c>
      <c r="B91" s="15"/>
      <c r="C91" s="869" t="str">
        <f>"    Net Operating Profit After Tax (NOPAT)"</f>
        <v>    Net Operating Profit After Tax (NOPAT)</v>
      </c>
      <c r="D91" s="870">
        <f t="shared" si="73"/>
        <v>20403.905</v>
      </c>
      <c r="E91" s="870">
        <f t="shared" si="74"/>
        <v>19196.2107</v>
      </c>
      <c r="F91" s="870">
        <f t="shared" si="75"/>
        <v>-1905.8</v>
      </c>
      <c r="G91" s="870">
        <f t="shared" si="76"/>
        <v>49465.93</v>
      </c>
      <c r="H91" s="870">
        <f t="shared" si="77"/>
        <v>9087.493589</v>
      </c>
      <c r="I91" s="870">
        <f t="shared" si="78"/>
        <v>26064.9875</v>
      </c>
      <c r="J91" s="870">
        <f t="shared" si="79"/>
        <v>12183.11346</v>
      </c>
      <c r="K91" s="871">
        <f t="shared" si="80"/>
        <v>0.634662416</v>
      </c>
      <c r="L91" s="872" t="s">
        <v>194</v>
      </c>
      <c r="M91" s="872">
        <v>49465.93</v>
      </c>
      <c r="N91" s="872">
        <v>39436.16</v>
      </c>
      <c r="O91" s="872">
        <v>30633.06451612903</v>
      </c>
      <c r="P91" s="872">
        <v>24896.419913937363</v>
      </c>
      <c r="Q91" s="872">
        <v>20460.38</v>
      </c>
      <c r="R91" s="872">
        <v>26381.23464439655</v>
      </c>
      <c r="S91" s="872">
        <v>24421.22364023093</v>
      </c>
      <c r="T91" s="872">
        <v>23678.395096016502</v>
      </c>
      <c r="U91" s="872">
        <v>20347.43</v>
      </c>
      <c r="V91" s="872">
        <v>18973.206254948534</v>
      </c>
      <c r="W91" s="872">
        <v>16463.664045126647</v>
      </c>
      <c r="X91" s="872">
        <v>12453.413457253804</v>
      </c>
      <c r="Y91" s="872">
        <v>11522.064</v>
      </c>
      <c r="Z91" s="872">
        <v>9207.556601553306</v>
      </c>
      <c r="AA91" s="872">
        <v>8727.30455233995</v>
      </c>
      <c r="AB91" s="872">
        <v>7697.664697864607</v>
      </c>
      <c r="AC91" s="872">
        <v>7102.353</v>
      </c>
      <c r="AD91" s="872">
        <v>27706.35</v>
      </c>
      <c r="AE91" s="872">
        <v>26357.75</v>
      </c>
      <c r="AF91" s="872">
        <v>25967.4</v>
      </c>
      <c r="AG91" s="872">
        <v>25792.5</v>
      </c>
      <c r="AH91" s="872">
        <v>3966.5423273313622</v>
      </c>
      <c r="AI91" s="872">
        <v>956.85</v>
      </c>
      <c r="AJ91" s="872">
        <v>-1905.8</v>
      </c>
      <c r="AK91" s="15"/>
      <c r="AL91" s="851" t="s">
        <v>194</v>
      </c>
      <c r="AM91" s="846" t="s">
        <v>194</v>
      </c>
      <c r="AN91" s="846" t="s">
        <v>194</v>
      </c>
      <c r="AO91" s="846" t="s">
        <v>194</v>
      </c>
      <c r="AP91" s="846" t="s">
        <v>194</v>
      </c>
      <c r="AQ91" s="846" t="s">
        <v>194</v>
      </c>
      <c r="AR91" s="846" t="s">
        <v>194</v>
      </c>
      <c r="AS91" s="846" t="s">
        <v>194</v>
      </c>
      <c r="AT91" s="846" t="s">
        <v>194</v>
      </c>
      <c r="AU91" s="846" t="s">
        <v>194</v>
      </c>
      <c r="AV91" s="846" t="s">
        <v>194</v>
      </c>
      <c r="AW91" s="846" t="s">
        <v>194</v>
      </c>
      <c r="AX91" s="846" t="s">
        <v>194</v>
      </c>
      <c r="AY91" s="846" t="s">
        <v>194</v>
      </c>
      <c r="AZ91" s="846" t="s">
        <v>194</v>
      </c>
      <c r="BA91" s="846" t="s">
        <v>194</v>
      </c>
      <c r="BB91" s="846" t="s">
        <v>194</v>
      </c>
      <c r="BC91" s="846" t="s">
        <v>194</v>
      </c>
      <c r="BD91" s="846" t="s">
        <v>194</v>
      </c>
      <c r="BE91" s="846" t="s">
        <v>194</v>
      </c>
      <c r="BF91" s="846" t="s">
        <v>194</v>
      </c>
      <c r="BG91" s="846" t="s">
        <v>194</v>
      </c>
    </row>
    <row r="92" ht="15.75" customHeight="1">
      <c r="A92" s="849">
        <v>1.0</v>
      </c>
      <c r="B92" s="15"/>
      <c r="C92" s="855" t="str">
        <f>"Data Origination"</f>
        <v>Data Origination</v>
      </c>
      <c r="D92" s="867" t="s">
        <v>194</v>
      </c>
      <c r="E92" s="867" t="s">
        <v>194</v>
      </c>
      <c r="F92" s="867" t="s">
        <v>194</v>
      </c>
      <c r="G92" s="867" t="s">
        <v>194</v>
      </c>
      <c r="H92" s="867" t="s">
        <v>194</v>
      </c>
      <c r="I92" s="867" t="s">
        <v>194</v>
      </c>
      <c r="J92" s="867" t="s">
        <v>194</v>
      </c>
      <c r="K92" s="867" t="s">
        <v>194</v>
      </c>
      <c r="L92" s="867" t="s">
        <v>194</v>
      </c>
      <c r="M92" s="867" t="s">
        <v>194</v>
      </c>
      <c r="N92" s="867" t="s">
        <v>194</v>
      </c>
      <c r="O92" s="867" t="s">
        <v>194</v>
      </c>
      <c r="P92" s="867" t="s">
        <v>194</v>
      </c>
      <c r="Q92" s="867" t="s">
        <v>194</v>
      </c>
      <c r="R92" s="867" t="s">
        <v>194</v>
      </c>
      <c r="S92" s="867" t="s">
        <v>194</v>
      </c>
      <c r="T92" s="867" t="s">
        <v>194</v>
      </c>
      <c r="U92" s="867" t="s">
        <v>194</v>
      </c>
      <c r="V92" s="867" t="s">
        <v>194</v>
      </c>
      <c r="W92" s="867" t="s">
        <v>194</v>
      </c>
      <c r="X92" s="867" t="s">
        <v>194</v>
      </c>
      <c r="Y92" s="867" t="s">
        <v>194</v>
      </c>
      <c r="Z92" s="867" t="s">
        <v>194</v>
      </c>
      <c r="AA92" s="867" t="s">
        <v>194</v>
      </c>
      <c r="AB92" s="867" t="s">
        <v>194</v>
      </c>
      <c r="AC92" s="867" t="s">
        <v>194</v>
      </c>
      <c r="AD92" s="867" t="s">
        <v>194</v>
      </c>
      <c r="AE92" s="867" t="s">
        <v>194</v>
      </c>
      <c r="AF92" s="867" t="s">
        <v>194</v>
      </c>
      <c r="AG92" s="867" t="s">
        <v>194</v>
      </c>
      <c r="AH92" s="867" t="s">
        <v>194</v>
      </c>
      <c r="AI92" s="867" t="s">
        <v>194</v>
      </c>
      <c r="AJ92" s="867" t="s">
        <v>194</v>
      </c>
      <c r="AK92" s="15"/>
      <c r="AL92" s="851" t="s">
        <v>194</v>
      </c>
      <c r="AM92" s="846" t="s">
        <v>194</v>
      </c>
      <c r="AN92" s="846" t="s">
        <v>194</v>
      </c>
      <c r="AO92" s="846" t="s">
        <v>194</v>
      </c>
      <c r="AP92" s="846" t="s">
        <v>194</v>
      </c>
      <c r="AQ92" s="846" t="s">
        <v>194</v>
      </c>
      <c r="AR92" s="846" t="s">
        <v>194</v>
      </c>
      <c r="AS92" s="846" t="s">
        <v>194</v>
      </c>
      <c r="AT92" s="846" t="s">
        <v>194</v>
      </c>
      <c r="AU92" s="846" t="s">
        <v>194</v>
      </c>
      <c r="AV92" s="846" t="s">
        <v>194</v>
      </c>
      <c r="AW92" s="846" t="s">
        <v>194</v>
      </c>
      <c r="AX92" s="846" t="s">
        <v>194</v>
      </c>
      <c r="AY92" s="846" t="s">
        <v>194</v>
      </c>
      <c r="AZ92" s="846" t="s">
        <v>194</v>
      </c>
      <c r="BA92" s="846" t="s">
        <v>194</v>
      </c>
      <c r="BB92" s="846" t="s">
        <v>194</v>
      </c>
      <c r="BC92" s="846" t="s">
        <v>194</v>
      </c>
      <c r="BD92" s="846" t="s">
        <v>194</v>
      </c>
      <c r="BE92" s="846" t="s">
        <v>194</v>
      </c>
      <c r="BF92" s="846" t="s">
        <v>194</v>
      </c>
      <c r="BG92" s="846" t="s">
        <v>194</v>
      </c>
    </row>
    <row r="93" ht="15.75" customHeight="1">
      <c r="A93" s="849">
        <v>1.0</v>
      </c>
      <c r="B93" s="15"/>
      <c r="C93" s="869" t="str">
        <f>"    Preliminary"</f>
        <v>    Preliminary</v>
      </c>
      <c r="D93" s="889" t="s">
        <v>194</v>
      </c>
      <c r="E93" s="889" t="s">
        <v>194</v>
      </c>
      <c r="F93" s="889" t="s">
        <v>194</v>
      </c>
      <c r="G93" s="889" t="s">
        <v>194</v>
      </c>
      <c r="H93" s="889" t="s">
        <v>194</v>
      </c>
      <c r="I93" s="889" t="s">
        <v>194</v>
      </c>
      <c r="J93" s="889" t="s">
        <v>194</v>
      </c>
      <c r="K93" s="889" t="s">
        <v>194</v>
      </c>
      <c r="L93" s="890" t="s">
        <v>194</v>
      </c>
      <c r="M93" s="890" t="s">
        <v>340</v>
      </c>
      <c r="N93" s="890" t="s">
        <v>340</v>
      </c>
      <c r="O93" s="890" t="s">
        <v>340</v>
      </c>
      <c r="P93" s="890" t="s">
        <v>340</v>
      </c>
      <c r="Q93" s="890" t="s">
        <v>340</v>
      </c>
      <c r="R93" s="890" t="s">
        <v>340</v>
      </c>
      <c r="S93" s="890" t="s">
        <v>340</v>
      </c>
      <c r="T93" s="890" t="s">
        <v>340</v>
      </c>
      <c r="U93" s="890" t="s">
        <v>340</v>
      </c>
      <c r="V93" s="890" t="s">
        <v>340</v>
      </c>
      <c r="W93" s="890" t="s">
        <v>340</v>
      </c>
      <c r="X93" s="890" t="s">
        <v>340</v>
      </c>
      <c r="Y93" s="890" t="s">
        <v>340</v>
      </c>
      <c r="Z93" s="890" t="s">
        <v>340</v>
      </c>
      <c r="AA93" s="890" t="s">
        <v>340</v>
      </c>
      <c r="AB93" s="890" t="s">
        <v>340</v>
      </c>
      <c r="AC93" s="890" t="s">
        <v>340</v>
      </c>
      <c r="AD93" s="890" t="s">
        <v>340</v>
      </c>
      <c r="AE93" s="890" t="s">
        <v>340</v>
      </c>
      <c r="AF93" s="890" t="s">
        <v>340</v>
      </c>
      <c r="AG93" s="890" t="s">
        <v>340</v>
      </c>
      <c r="AH93" s="890" t="s">
        <v>340</v>
      </c>
      <c r="AI93" s="890" t="s">
        <v>340</v>
      </c>
      <c r="AJ93" s="890" t="s">
        <v>340</v>
      </c>
      <c r="AK93" s="15"/>
      <c r="AL93" s="851" t="s">
        <v>194</v>
      </c>
      <c r="AM93" s="846" t="s">
        <v>194</v>
      </c>
      <c r="AN93" s="846" t="s">
        <v>194</v>
      </c>
      <c r="AO93" s="846" t="s">
        <v>194</v>
      </c>
      <c r="AP93" s="846" t="s">
        <v>194</v>
      </c>
      <c r="AQ93" s="846" t="s">
        <v>194</v>
      </c>
      <c r="AR93" s="846" t="s">
        <v>194</v>
      </c>
      <c r="AS93" s="846" t="s">
        <v>194</v>
      </c>
      <c r="AT93" s="846" t="s">
        <v>194</v>
      </c>
      <c r="AU93" s="846" t="s">
        <v>194</v>
      </c>
      <c r="AV93" s="846" t="s">
        <v>194</v>
      </c>
      <c r="AW93" s="846" t="s">
        <v>194</v>
      </c>
      <c r="AX93" s="846" t="s">
        <v>194</v>
      </c>
      <c r="AY93" s="846" t="s">
        <v>194</v>
      </c>
      <c r="AZ93" s="846" t="s">
        <v>194</v>
      </c>
      <c r="BA93" s="846" t="s">
        <v>194</v>
      </c>
      <c r="BB93" s="846" t="s">
        <v>194</v>
      </c>
      <c r="BC93" s="846" t="s">
        <v>194</v>
      </c>
      <c r="BD93" s="846" t="s">
        <v>194</v>
      </c>
      <c r="BE93" s="846" t="s">
        <v>194</v>
      </c>
      <c r="BF93" s="846" t="s">
        <v>194</v>
      </c>
      <c r="BG93" s="846" t="s">
        <v>194</v>
      </c>
    </row>
    <row r="94" ht="15.75" customHeight="1">
      <c r="A94" s="849">
        <v>1.0</v>
      </c>
      <c r="B94" s="15"/>
      <c r="C94" s="869" t="str">
        <f>"    Original"</f>
        <v>    Original</v>
      </c>
      <c r="D94" s="889" t="s">
        <v>194</v>
      </c>
      <c r="E94" s="889" t="s">
        <v>194</v>
      </c>
      <c r="F94" s="889" t="s">
        <v>194</v>
      </c>
      <c r="G94" s="889" t="s">
        <v>194</v>
      </c>
      <c r="H94" s="889" t="s">
        <v>194</v>
      </c>
      <c r="I94" s="889" t="s">
        <v>194</v>
      </c>
      <c r="J94" s="889" t="s">
        <v>194</v>
      </c>
      <c r="K94" s="889" t="s">
        <v>194</v>
      </c>
      <c r="L94" s="890" t="s">
        <v>194</v>
      </c>
      <c r="M94" s="890" t="s">
        <v>340</v>
      </c>
      <c r="N94" s="890" t="s">
        <v>340</v>
      </c>
      <c r="O94" s="890" t="s">
        <v>340</v>
      </c>
      <c r="P94" s="890" t="s">
        <v>340</v>
      </c>
      <c r="Q94" s="890" t="s">
        <v>340</v>
      </c>
      <c r="R94" s="890" t="s">
        <v>340</v>
      </c>
      <c r="S94" s="890" t="s">
        <v>340</v>
      </c>
      <c r="T94" s="890" t="s">
        <v>340</v>
      </c>
      <c r="U94" s="890" t="s">
        <v>340</v>
      </c>
      <c r="V94" s="890" t="s">
        <v>340</v>
      </c>
      <c r="W94" s="890" t="s">
        <v>340</v>
      </c>
      <c r="X94" s="890" t="s">
        <v>340</v>
      </c>
      <c r="Y94" s="890" t="s">
        <v>340</v>
      </c>
      <c r="Z94" s="890" t="s">
        <v>340</v>
      </c>
      <c r="AA94" s="890" t="s">
        <v>340</v>
      </c>
      <c r="AB94" s="890" t="s">
        <v>340</v>
      </c>
      <c r="AC94" s="890" t="s">
        <v>340</v>
      </c>
      <c r="AD94" s="890" t="s">
        <v>340</v>
      </c>
      <c r="AE94" s="890" t="s">
        <v>340</v>
      </c>
      <c r="AF94" s="890" t="s">
        <v>340</v>
      </c>
      <c r="AG94" s="890" t="s">
        <v>340</v>
      </c>
      <c r="AH94" s="890" t="s">
        <v>340</v>
      </c>
      <c r="AI94" s="890" t="s">
        <v>340</v>
      </c>
      <c r="AJ94" s="890" t="s">
        <v>340</v>
      </c>
      <c r="AK94" s="15"/>
      <c r="AL94" s="851" t="s">
        <v>194</v>
      </c>
      <c r="AM94" s="846" t="s">
        <v>194</v>
      </c>
      <c r="AN94" s="846" t="s">
        <v>194</v>
      </c>
      <c r="AO94" s="846" t="s">
        <v>194</v>
      </c>
      <c r="AP94" s="846" t="s">
        <v>194</v>
      </c>
      <c r="AQ94" s="846" t="s">
        <v>194</v>
      </c>
      <c r="AR94" s="846" t="s">
        <v>194</v>
      </c>
      <c r="AS94" s="846" t="s">
        <v>194</v>
      </c>
      <c r="AT94" s="846" t="s">
        <v>194</v>
      </c>
      <c r="AU94" s="846" t="s">
        <v>194</v>
      </c>
      <c r="AV94" s="846" t="s">
        <v>194</v>
      </c>
      <c r="AW94" s="846" t="s">
        <v>194</v>
      </c>
      <c r="AX94" s="846" t="s">
        <v>194</v>
      </c>
      <c r="AY94" s="846" t="s">
        <v>194</v>
      </c>
      <c r="AZ94" s="846" t="s">
        <v>194</v>
      </c>
      <c r="BA94" s="846" t="s">
        <v>194</v>
      </c>
      <c r="BB94" s="846" t="s">
        <v>194</v>
      </c>
      <c r="BC94" s="846" t="s">
        <v>194</v>
      </c>
      <c r="BD94" s="846" t="s">
        <v>194</v>
      </c>
      <c r="BE94" s="846" t="s">
        <v>194</v>
      </c>
      <c r="BF94" s="846" t="s">
        <v>194</v>
      </c>
      <c r="BG94" s="846" t="s">
        <v>194</v>
      </c>
    </row>
    <row r="95" ht="15.75" customHeight="1">
      <c r="A95" s="849">
        <v>1.0</v>
      </c>
      <c r="B95" s="15"/>
      <c r="C95" s="869" t="str">
        <f>"    Restated"</f>
        <v>    Restated</v>
      </c>
      <c r="D95" s="889" t="s">
        <v>194</v>
      </c>
      <c r="E95" s="889" t="s">
        <v>194</v>
      </c>
      <c r="F95" s="889" t="s">
        <v>194</v>
      </c>
      <c r="G95" s="889" t="s">
        <v>194</v>
      </c>
      <c r="H95" s="889" t="s">
        <v>194</v>
      </c>
      <c r="I95" s="889" t="s">
        <v>194</v>
      </c>
      <c r="J95" s="889" t="s">
        <v>194</v>
      </c>
      <c r="K95" s="889" t="s">
        <v>194</v>
      </c>
      <c r="L95" s="890" t="s">
        <v>194</v>
      </c>
      <c r="M95" s="890" t="s">
        <v>340</v>
      </c>
      <c r="N95" s="890" t="s">
        <v>340</v>
      </c>
      <c r="O95" s="890" t="s">
        <v>340</v>
      </c>
      <c r="P95" s="890" t="s">
        <v>340</v>
      </c>
      <c r="Q95" s="890" t="s">
        <v>340</v>
      </c>
      <c r="R95" s="890" t="s">
        <v>340</v>
      </c>
      <c r="S95" s="890" t="s">
        <v>340</v>
      </c>
      <c r="T95" s="890" t="s">
        <v>340</v>
      </c>
      <c r="U95" s="890" t="s">
        <v>340</v>
      </c>
      <c r="V95" s="890" t="s">
        <v>340</v>
      </c>
      <c r="W95" s="890" t="s">
        <v>340</v>
      </c>
      <c r="X95" s="890" t="s">
        <v>340</v>
      </c>
      <c r="Y95" s="890" t="s">
        <v>340</v>
      </c>
      <c r="Z95" s="890" t="s">
        <v>340</v>
      </c>
      <c r="AA95" s="890" t="s">
        <v>340</v>
      </c>
      <c r="AB95" s="890" t="s">
        <v>340</v>
      </c>
      <c r="AC95" s="890" t="s">
        <v>340</v>
      </c>
      <c r="AD95" s="890" t="s">
        <v>340</v>
      </c>
      <c r="AE95" s="890" t="s">
        <v>340</v>
      </c>
      <c r="AF95" s="890" t="s">
        <v>340</v>
      </c>
      <c r="AG95" s="890" t="s">
        <v>340</v>
      </c>
      <c r="AH95" s="890" t="s">
        <v>340</v>
      </c>
      <c r="AI95" s="890" t="s">
        <v>340</v>
      </c>
      <c r="AJ95" s="890" t="s">
        <v>340</v>
      </c>
      <c r="AK95" s="15"/>
      <c r="AL95" s="851" t="s">
        <v>194</v>
      </c>
      <c r="AM95" s="846" t="s">
        <v>194</v>
      </c>
      <c r="AN95" s="846" t="s">
        <v>194</v>
      </c>
      <c r="AO95" s="846" t="s">
        <v>194</v>
      </c>
      <c r="AP95" s="846" t="s">
        <v>194</v>
      </c>
      <c r="AQ95" s="846" t="s">
        <v>194</v>
      </c>
      <c r="AR95" s="846" t="s">
        <v>194</v>
      </c>
      <c r="AS95" s="846" t="s">
        <v>194</v>
      </c>
      <c r="AT95" s="846" t="s">
        <v>194</v>
      </c>
      <c r="AU95" s="846" t="s">
        <v>194</v>
      </c>
      <c r="AV95" s="846" t="s">
        <v>194</v>
      </c>
      <c r="AW95" s="846" t="s">
        <v>194</v>
      </c>
      <c r="AX95" s="846" t="s">
        <v>194</v>
      </c>
      <c r="AY95" s="846" t="s">
        <v>194</v>
      </c>
      <c r="AZ95" s="846" t="s">
        <v>194</v>
      </c>
      <c r="BA95" s="846" t="s">
        <v>194</v>
      </c>
      <c r="BB95" s="846" t="s">
        <v>194</v>
      </c>
      <c r="BC95" s="846" t="s">
        <v>194</v>
      </c>
      <c r="BD95" s="846" t="s">
        <v>194</v>
      </c>
      <c r="BE95" s="846" t="s">
        <v>194</v>
      </c>
      <c r="BF95" s="846" t="s">
        <v>194</v>
      </c>
      <c r="BG95" s="846" t="s">
        <v>194</v>
      </c>
    </row>
    <row r="96" ht="15.75" customHeight="1">
      <c r="A96" s="849">
        <v>1.0</v>
      </c>
      <c r="B96" s="15"/>
      <c r="C96" s="869" t="str">
        <f>"    Calculated"</f>
        <v>    Calculated</v>
      </c>
      <c r="D96" s="889" t="s">
        <v>194</v>
      </c>
      <c r="E96" s="889" t="s">
        <v>194</v>
      </c>
      <c r="F96" s="889" t="s">
        <v>194</v>
      </c>
      <c r="G96" s="889" t="s">
        <v>194</v>
      </c>
      <c r="H96" s="889" t="s">
        <v>194</v>
      </c>
      <c r="I96" s="889" t="s">
        <v>194</v>
      </c>
      <c r="J96" s="889" t="s">
        <v>194</v>
      </c>
      <c r="K96" s="889" t="s">
        <v>194</v>
      </c>
      <c r="L96" s="890" t="s">
        <v>194</v>
      </c>
      <c r="M96" s="890" t="s">
        <v>366</v>
      </c>
      <c r="N96" s="890" t="s">
        <v>366</v>
      </c>
      <c r="O96" s="890" t="s">
        <v>366</v>
      </c>
      <c r="P96" s="890" t="s">
        <v>366</v>
      </c>
      <c r="Q96" s="890" t="s">
        <v>366</v>
      </c>
      <c r="R96" s="890" t="s">
        <v>366</v>
      </c>
      <c r="S96" s="890" t="s">
        <v>366</v>
      </c>
      <c r="T96" s="890" t="s">
        <v>366</v>
      </c>
      <c r="U96" s="890" t="s">
        <v>366</v>
      </c>
      <c r="V96" s="890" t="s">
        <v>366</v>
      </c>
      <c r="W96" s="890" t="s">
        <v>366</v>
      </c>
      <c r="X96" s="890" t="s">
        <v>366</v>
      </c>
      <c r="Y96" s="890" t="s">
        <v>366</v>
      </c>
      <c r="Z96" s="890" t="s">
        <v>366</v>
      </c>
      <c r="AA96" s="890" t="s">
        <v>366</v>
      </c>
      <c r="AB96" s="890" t="s">
        <v>366</v>
      </c>
      <c r="AC96" s="890" t="s">
        <v>366</v>
      </c>
      <c r="AD96" s="890" t="s">
        <v>366</v>
      </c>
      <c r="AE96" s="890" t="s">
        <v>366</v>
      </c>
      <c r="AF96" s="890" t="s">
        <v>366</v>
      </c>
      <c r="AG96" s="890" t="s">
        <v>366</v>
      </c>
      <c r="AH96" s="890" t="s">
        <v>366</v>
      </c>
      <c r="AI96" s="890" t="s">
        <v>366</v>
      </c>
      <c r="AJ96" s="890" t="s">
        <v>366</v>
      </c>
      <c r="AK96" s="15"/>
      <c r="AL96" s="851" t="s">
        <v>194</v>
      </c>
      <c r="AM96" s="846" t="s">
        <v>194</v>
      </c>
      <c r="AN96" s="846" t="s">
        <v>194</v>
      </c>
      <c r="AO96" s="846" t="s">
        <v>194</v>
      </c>
      <c r="AP96" s="846" t="s">
        <v>194</v>
      </c>
      <c r="AQ96" s="846" t="s">
        <v>194</v>
      </c>
      <c r="AR96" s="846" t="s">
        <v>194</v>
      </c>
      <c r="AS96" s="846" t="s">
        <v>194</v>
      </c>
      <c r="AT96" s="846" t="s">
        <v>194</v>
      </c>
      <c r="AU96" s="846" t="s">
        <v>194</v>
      </c>
      <c r="AV96" s="846" t="s">
        <v>194</v>
      </c>
      <c r="AW96" s="846" t="s">
        <v>194</v>
      </c>
      <c r="AX96" s="846" t="s">
        <v>194</v>
      </c>
      <c r="AY96" s="846" t="s">
        <v>194</v>
      </c>
      <c r="AZ96" s="846" t="s">
        <v>194</v>
      </c>
      <c r="BA96" s="846" t="s">
        <v>194</v>
      </c>
      <c r="BB96" s="846" t="s">
        <v>194</v>
      </c>
      <c r="BC96" s="846" t="s">
        <v>194</v>
      </c>
      <c r="BD96" s="846" t="s">
        <v>194</v>
      </c>
      <c r="BE96" s="846" t="s">
        <v>194</v>
      </c>
      <c r="BF96" s="846" t="s">
        <v>194</v>
      </c>
      <c r="BG96" s="846" t="s">
        <v>194</v>
      </c>
    </row>
    <row r="97" ht="15.75" customHeight="1">
      <c r="A97" s="849" t="s">
        <v>194</v>
      </c>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851" t="s">
        <v>194</v>
      </c>
      <c r="AM97" s="846" t="s">
        <v>194</v>
      </c>
      <c r="AN97" s="846" t="s">
        <v>194</v>
      </c>
      <c r="AO97" s="846" t="s">
        <v>194</v>
      </c>
      <c r="AP97" s="846" t="s">
        <v>194</v>
      </c>
      <c r="AQ97" s="846" t="s">
        <v>194</v>
      </c>
      <c r="AR97" s="846" t="s">
        <v>194</v>
      </c>
      <c r="AS97" s="846" t="s">
        <v>194</v>
      </c>
      <c r="AT97" s="846" t="s">
        <v>194</v>
      </c>
      <c r="AU97" s="846" t="s">
        <v>194</v>
      </c>
      <c r="AV97" s="846" t="s">
        <v>194</v>
      </c>
      <c r="AW97" s="846" t="s">
        <v>194</v>
      </c>
      <c r="AX97" s="846" t="s">
        <v>194</v>
      </c>
      <c r="AY97" s="846" t="s">
        <v>194</v>
      </c>
      <c r="AZ97" s="846" t="s">
        <v>194</v>
      </c>
      <c r="BA97" s="846" t="s">
        <v>194</v>
      </c>
      <c r="BB97" s="846" t="s">
        <v>194</v>
      </c>
      <c r="BC97" s="846" t="s">
        <v>194</v>
      </c>
      <c r="BD97" s="846" t="s">
        <v>194</v>
      </c>
      <c r="BE97" s="846" t="s">
        <v>194</v>
      </c>
      <c r="BF97" s="846" t="s">
        <v>194</v>
      </c>
      <c r="BG97" s="846" t="s">
        <v>194</v>
      </c>
    </row>
    <row r="98" ht="15.75" customHeight="1">
      <c r="A98" s="849" t="s">
        <v>194</v>
      </c>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851" t="s">
        <v>194</v>
      </c>
      <c r="AM98" s="846" t="s">
        <v>194</v>
      </c>
      <c r="AN98" s="846" t="s">
        <v>194</v>
      </c>
      <c r="AO98" s="846" t="s">
        <v>194</v>
      </c>
      <c r="AP98" s="846" t="s">
        <v>194</v>
      </c>
      <c r="AQ98" s="846" t="s">
        <v>194</v>
      </c>
      <c r="AR98" s="846" t="s">
        <v>194</v>
      </c>
      <c r="AS98" s="846" t="s">
        <v>194</v>
      </c>
      <c r="AT98" s="846" t="s">
        <v>194</v>
      </c>
      <c r="AU98" s="846" t="s">
        <v>194</v>
      </c>
      <c r="AV98" s="846" t="s">
        <v>194</v>
      </c>
      <c r="AW98" s="846" t="s">
        <v>194</v>
      </c>
      <c r="AX98" s="846" t="s">
        <v>194</v>
      </c>
      <c r="AY98" s="846" t="s">
        <v>194</v>
      </c>
      <c r="AZ98" s="846" t="s">
        <v>194</v>
      </c>
      <c r="BA98" s="846" t="s">
        <v>194</v>
      </c>
      <c r="BB98" s="846" t="s">
        <v>194</v>
      </c>
      <c r="BC98" s="846" t="s">
        <v>194</v>
      </c>
      <c r="BD98" s="846" t="s">
        <v>194</v>
      </c>
      <c r="BE98" s="846" t="s">
        <v>194</v>
      </c>
      <c r="BF98" s="846" t="s">
        <v>194</v>
      </c>
      <c r="BG98" s="846" t="s">
        <v>194</v>
      </c>
    </row>
    <row r="99" ht="15.75" customHeight="1">
      <c r="A99" s="849" t="s">
        <v>194</v>
      </c>
      <c r="B99" s="15"/>
      <c r="C99" s="892" t="s">
        <v>344</v>
      </c>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851" t="s">
        <v>194</v>
      </c>
      <c r="AM99" s="846" t="s">
        <v>194</v>
      </c>
      <c r="AN99" s="846" t="s">
        <v>194</v>
      </c>
      <c r="AO99" s="846" t="s">
        <v>194</v>
      </c>
      <c r="AP99" s="846" t="s">
        <v>194</v>
      </c>
      <c r="AQ99" s="846" t="s">
        <v>194</v>
      </c>
      <c r="AR99" s="846" t="s">
        <v>194</v>
      </c>
      <c r="AS99" s="846" t="s">
        <v>194</v>
      </c>
      <c r="AT99" s="846" t="s">
        <v>194</v>
      </c>
      <c r="AU99" s="846" t="s">
        <v>194</v>
      </c>
      <c r="AV99" s="846" t="s">
        <v>194</v>
      </c>
      <c r="AW99" s="846" t="s">
        <v>194</v>
      </c>
      <c r="AX99" s="846" t="s">
        <v>194</v>
      </c>
      <c r="AY99" s="846" t="s">
        <v>194</v>
      </c>
      <c r="AZ99" s="846" t="s">
        <v>194</v>
      </c>
      <c r="BA99" s="846" t="s">
        <v>194</v>
      </c>
      <c r="BB99" s="846" t="s">
        <v>194</v>
      </c>
      <c r="BC99" s="846" t="s">
        <v>194</v>
      </c>
      <c r="BD99" s="846" t="s">
        <v>194</v>
      </c>
      <c r="BE99" s="846" t="s">
        <v>194</v>
      </c>
      <c r="BF99" s="846" t="s">
        <v>194</v>
      </c>
      <c r="BG99" s="846" t="s">
        <v>194</v>
      </c>
    </row>
    <row r="100" ht="15.75" customHeight="1">
      <c r="A100" s="849" t="s">
        <v>194</v>
      </c>
      <c r="B100" s="15"/>
      <c r="C100" s="892" t="s">
        <v>345</v>
      </c>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851" t="s">
        <v>194</v>
      </c>
      <c r="AM100" s="846" t="s">
        <v>194</v>
      </c>
      <c r="AN100" s="846" t="s">
        <v>194</v>
      </c>
      <c r="AO100" s="846" t="s">
        <v>194</v>
      </c>
      <c r="AP100" s="846" t="s">
        <v>194</v>
      </c>
      <c r="AQ100" s="846" t="s">
        <v>194</v>
      </c>
      <c r="AR100" s="846" t="s">
        <v>194</v>
      </c>
      <c r="AS100" s="846" t="s">
        <v>194</v>
      </c>
      <c r="AT100" s="846" t="s">
        <v>194</v>
      </c>
      <c r="AU100" s="846" t="s">
        <v>194</v>
      </c>
      <c r="AV100" s="846" t="s">
        <v>194</v>
      </c>
      <c r="AW100" s="846" t="s">
        <v>194</v>
      </c>
      <c r="AX100" s="846" t="s">
        <v>194</v>
      </c>
      <c r="AY100" s="846" t="s">
        <v>194</v>
      </c>
      <c r="AZ100" s="846" t="s">
        <v>194</v>
      </c>
      <c r="BA100" s="846" t="s">
        <v>194</v>
      </c>
      <c r="BB100" s="846" t="s">
        <v>194</v>
      </c>
      <c r="BC100" s="846" t="s">
        <v>194</v>
      </c>
      <c r="BD100" s="846" t="s">
        <v>194</v>
      </c>
      <c r="BE100" s="846" t="s">
        <v>194</v>
      </c>
      <c r="BF100" s="846" t="s">
        <v>194</v>
      </c>
      <c r="BG100" s="846" t="s">
        <v>194</v>
      </c>
    </row>
    <row r="101" ht="15.75" customHeight="1">
      <c r="A101" s="849" t="s">
        <v>194</v>
      </c>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851" t="s">
        <v>194</v>
      </c>
      <c r="AM101" s="846" t="s">
        <v>194</v>
      </c>
      <c r="AN101" s="846" t="s">
        <v>194</v>
      </c>
      <c r="AO101" s="846" t="s">
        <v>194</v>
      </c>
      <c r="AP101" s="846" t="s">
        <v>194</v>
      </c>
      <c r="AQ101" s="846" t="s">
        <v>194</v>
      </c>
      <c r="AR101" s="846" t="s">
        <v>194</v>
      </c>
      <c r="AS101" s="846" t="s">
        <v>194</v>
      </c>
      <c r="AT101" s="846" t="s">
        <v>194</v>
      </c>
      <c r="AU101" s="846" t="s">
        <v>194</v>
      </c>
      <c r="AV101" s="846" t="s">
        <v>194</v>
      </c>
      <c r="AW101" s="846" t="s">
        <v>194</v>
      </c>
      <c r="AX101" s="846" t="s">
        <v>194</v>
      </c>
      <c r="AY101" s="846" t="s">
        <v>194</v>
      </c>
      <c r="AZ101" s="846" t="s">
        <v>194</v>
      </c>
      <c r="BA101" s="846" t="s">
        <v>194</v>
      </c>
      <c r="BB101" s="846" t="s">
        <v>194</v>
      </c>
      <c r="BC101" s="846" t="s">
        <v>194</v>
      </c>
      <c r="BD101" s="846" t="s">
        <v>194</v>
      </c>
      <c r="BE101" s="846" t="s">
        <v>194</v>
      </c>
      <c r="BF101" s="846" t="s">
        <v>194</v>
      </c>
      <c r="BG101" s="846" t="s">
        <v>194</v>
      </c>
    </row>
    <row r="102" ht="15.75" customHeight="1">
      <c r="A102" s="846" t="s">
        <v>194</v>
      </c>
      <c r="B102" s="893" t="s">
        <v>194</v>
      </c>
      <c r="C102" s="893" t="s">
        <v>194</v>
      </c>
      <c r="D102" s="893" t="s">
        <v>194</v>
      </c>
      <c r="E102" s="893" t="s">
        <v>194</v>
      </c>
      <c r="F102" s="893" t="s">
        <v>194</v>
      </c>
      <c r="G102" s="893" t="s">
        <v>194</v>
      </c>
      <c r="H102" s="893" t="s">
        <v>194</v>
      </c>
      <c r="I102" s="893" t="s">
        <v>194</v>
      </c>
      <c r="J102" s="893" t="s">
        <v>194</v>
      </c>
      <c r="K102" s="893" t="s">
        <v>194</v>
      </c>
      <c r="L102" s="893" t="s">
        <v>194</v>
      </c>
      <c r="M102" s="893" t="s">
        <v>194</v>
      </c>
      <c r="N102" s="893" t="s">
        <v>194</v>
      </c>
      <c r="O102" s="893" t="s">
        <v>194</v>
      </c>
      <c r="P102" s="893" t="s">
        <v>194</v>
      </c>
      <c r="Q102" s="893" t="s">
        <v>194</v>
      </c>
      <c r="R102" s="893" t="s">
        <v>194</v>
      </c>
      <c r="S102" s="893" t="s">
        <v>194</v>
      </c>
      <c r="T102" s="893" t="s">
        <v>194</v>
      </c>
      <c r="U102" s="893" t="s">
        <v>194</v>
      </c>
      <c r="V102" s="893" t="s">
        <v>194</v>
      </c>
      <c r="W102" s="893" t="s">
        <v>194</v>
      </c>
      <c r="X102" s="893" t="s">
        <v>194</v>
      </c>
      <c r="Y102" s="893" t="s">
        <v>194</v>
      </c>
      <c r="Z102" s="893" t="s">
        <v>194</v>
      </c>
      <c r="AA102" s="893" t="s">
        <v>194</v>
      </c>
      <c r="AB102" s="893" t="s">
        <v>194</v>
      </c>
      <c r="AC102" s="893" t="s">
        <v>194</v>
      </c>
      <c r="AD102" s="893" t="s">
        <v>194</v>
      </c>
      <c r="AE102" s="893" t="s">
        <v>194</v>
      </c>
      <c r="AF102" s="893" t="s">
        <v>194</v>
      </c>
      <c r="AG102" s="893" t="s">
        <v>194</v>
      </c>
      <c r="AH102" s="893" t="s">
        <v>194</v>
      </c>
      <c r="AI102" s="893" t="s">
        <v>194</v>
      </c>
      <c r="AJ102" s="893" t="s">
        <v>194</v>
      </c>
      <c r="AK102" s="893" t="s">
        <v>194</v>
      </c>
      <c r="AL102" s="846" t="s">
        <v>194</v>
      </c>
      <c r="AM102" s="846" t="s">
        <v>194</v>
      </c>
      <c r="AN102" s="846" t="s">
        <v>194</v>
      </c>
      <c r="AO102" s="846" t="s">
        <v>194</v>
      </c>
      <c r="AP102" s="846" t="s">
        <v>194</v>
      </c>
      <c r="AQ102" s="846" t="s">
        <v>194</v>
      </c>
      <c r="AR102" s="846" t="s">
        <v>194</v>
      </c>
      <c r="AS102" s="846" t="s">
        <v>194</v>
      </c>
      <c r="AT102" s="846" t="s">
        <v>194</v>
      </c>
      <c r="AU102" s="846" t="s">
        <v>194</v>
      </c>
      <c r="AV102" s="846" t="s">
        <v>194</v>
      </c>
      <c r="AW102" s="846" t="s">
        <v>194</v>
      </c>
      <c r="AX102" s="846" t="s">
        <v>194</v>
      </c>
      <c r="AY102" s="846" t="s">
        <v>194</v>
      </c>
      <c r="AZ102" s="846" t="s">
        <v>194</v>
      </c>
      <c r="BA102" s="846" t="s">
        <v>194</v>
      </c>
      <c r="BB102" s="846" t="s">
        <v>194</v>
      </c>
      <c r="BC102" s="846" t="s">
        <v>194</v>
      </c>
      <c r="BD102" s="846" t="s">
        <v>194</v>
      </c>
      <c r="BE102" s="846" t="s">
        <v>194</v>
      </c>
      <c r="BF102" s="846" t="s">
        <v>194</v>
      </c>
      <c r="BG102" s="846" t="s">
        <v>194</v>
      </c>
    </row>
    <row r="103" ht="15.75" customHeight="1">
      <c r="A103" s="846" t="s">
        <v>194</v>
      </c>
      <c r="B103" s="846" t="s">
        <v>194</v>
      </c>
      <c r="C103" s="846" t="s">
        <v>194</v>
      </c>
      <c r="D103" s="846" t="s">
        <v>194</v>
      </c>
      <c r="E103" s="846" t="s">
        <v>194</v>
      </c>
      <c r="F103" s="846" t="s">
        <v>194</v>
      </c>
      <c r="G103" s="846" t="s">
        <v>194</v>
      </c>
      <c r="H103" s="846" t="s">
        <v>194</v>
      </c>
      <c r="I103" s="846" t="s">
        <v>194</v>
      </c>
      <c r="J103" s="846" t="s">
        <v>194</v>
      </c>
      <c r="K103" s="846" t="s">
        <v>194</v>
      </c>
      <c r="L103" s="846" t="s">
        <v>194</v>
      </c>
      <c r="M103" s="846" t="s">
        <v>194</v>
      </c>
      <c r="N103" s="846" t="s">
        <v>194</v>
      </c>
      <c r="O103" s="846" t="s">
        <v>194</v>
      </c>
      <c r="P103" s="846" t="s">
        <v>194</v>
      </c>
      <c r="Q103" s="846" t="s">
        <v>194</v>
      </c>
      <c r="R103" s="846" t="s">
        <v>194</v>
      </c>
      <c r="S103" s="846" t="s">
        <v>194</v>
      </c>
      <c r="T103" s="846" t="s">
        <v>194</v>
      </c>
      <c r="U103" s="846" t="s">
        <v>194</v>
      </c>
      <c r="V103" s="846" t="s">
        <v>194</v>
      </c>
      <c r="W103" s="846" t="s">
        <v>194</v>
      </c>
      <c r="X103" s="846" t="s">
        <v>194</v>
      </c>
      <c r="Y103" s="846" t="s">
        <v>194</v>
      </c>
      <c r="Z103" s="846" t="s">
        <v>194</v>
      </c>
      <c r="AA103" s="846" t="s">
        <v>194</v>
      </c>
      <c r="AB103" s="846" t="s">
        <v>194</v>
      </c>
      <c r="AC103" s="846" t="s">
        <v>194</v>
      </c>
      <c r="AD103" s="846" t="s">
        <v>194</v>
      </c>
      <c r="AE103" s="846" t="s">
        <v>194</v>
      </c>
      <c r="AF103" s="846" t="s">
        <v>194</v>
      </c>
      <c r="AG103" s="846" t="s">
        <v>194</v>
      </c>
      <c r="AH103" s="846" t="s">
        <v>194</v>
      </c>
      <c r="AI103" s="846" t="s">
        <v>194</v>
      </c>
      <c r="AJ103" s="846" t="s">
        <v>194</v>
      </c>
      <c r="AK103" s="846" t="s">
        <v>194</v>
      </c>
      <c r="AL103" s="846" t="s">
        <v>194</v>
      </c>
      <c r="AM103" s="846" t="s">
        <v>194</v>
      </c>
      <c r="AN103" s="846" t="s">
        <v>194</v>
      </c>
      <c r="AO103" s="846" t="s">
        <v>194</v>
      </c>
      <c r="AP103" s="846" t="s">
        <v>194</v>
      </c>
      <c r="AQ103" s="846" t="s">
        <v>194</v>
      </c>
      <c r="AR103" s="846" t="s">
        <v>194</v>
      </c>
      <c r="AS103" s="846" t="s">
        <v>194</v>
      </c>
      <c r="AT103" s="846" t="s">
        <v>194</v>
      </c>
      <c r="AU103" s="846" t="s">
        <v>194</v>
      </c>
      <c r="AV103" s="846" t="s">
        <v>194</v>
      </c>
      <c r="AW103" s="846" t="s">
        <v>194</v>
      </c>
      <c r="AX103" s="846" t="s">
        <v>194</v>
      </c>
      <c r="AY103" s="846" t="s">
        <v>194</v>
      </c>
      <c r="AZ103" s="846" t="s">
        <v>194</v>
      </c>
      <c r="BA103" s="846" t="s">
        <v>194</v>
      </c>
      <c r="BB103" s="846" t="s">
        <v>194</v>
      </c>
      <c r="BC103" s="846" t="s">
        <v>194</v>
      </c>
      <c r="BD103" s="846" t="s">
        <v>194</v>
      </c>
      <c r="BE103" s="846" t="s">
        <v>194</v>
      </c>
      <c r="BF103" s="846" t="s">
        <v>194</v>
      </c>
      <c r="BG103" s="846" t="s">
        <v>194</v>
      </c>
    </row>
    <row r="104" ht="15.75" customHeight="1">
      <c r="A104" s="846" t="s">
        <v>194</v>
      </c>
      <c r="B104" s="846" t="s">
        <v>194</v>
      </c>
      <c r="C104" s="846" t="s">
        <v>194</v>
      </c>
      <c r="D104" s="846" t="s">
        <v>194</v>
      </c>
      <c r="E104" s="846" t="s">
        <v>194</v>
      </c>
      <c r="F104" s="846" t="s">
        <v>194</v>
      </c>
      <c r="G104" s="846" t="s">
        <v>194</v>
      </c>
      <c r="H104" s="846" t="s">
        <v>194</v>
      </c>
      <c r="I104" s="846" t="s">
        <v>194</v>
      </c>
      <c r="J104" s="846" t="s">
        <v>194</v>
      </c>
      <c r="K104" s="846" t="s">
        <v>194</v>
      </c>
      <c r="L104" s="846" t="s">
        <v>194</v>
      </c>
      <c r="M104" s="846" t="s">
        <v>194</v>
      </c>
      <c r="N104" s="846" t="s">
        <v>194</v>
      </c>
      <c r="O104" s="846" t="s">
        <v>194</v>
      </c>
      <c r="P104" s="846" t="s">
        <v>194</v>
      </c>
      <c r="Q104" s="846" t="s">
        <v>194</v>
      </c>
      <c r="R104" s="846" t="s">
        <v>194</v>
      </c>
      <c r="S104" s="846" t="s">
        <v>194</v>
      </c>
      <c r="T104" s="846" t="s">
        <v>194</v>
      </c>
      <c r="U104" s="846" t="s">
        <v>194</v>
      </c>
      <c r="V104" s="846" t="s">
        <v>194</v>
      </c>
      <c r="W104" s="846" t="s">
        <v>194</v>
      </c>
      <c r="X104" s="846" t="s">
        <v>194</v>
      </c>
      <c r="Y104" s="846" t="s">
        <v>194</v>
      </c>
      <c r="Z104" s="846" t="s">
        <v>194</v>
      </c>
      <c r="AA104" s="846" t="s">
        <v>194</v>
      </c>
      <c r="AB104" s="846" t="s">
        <v>194</v>
      </c>
      <c r="AC104" s="846" t="s">
        <v>194</v>
      </c>
      <c r="AD104" s="846" t="s">
        <v>194</v>
      </c>
      <c r="AE104" s="846" t="s">
        <v>194</v>
      </c>
      <c r="AF104" s="846" t="s">
        <v>194</v>
      </c>
      <c r="AG104" s="846" t="s">
        <v>194</v>
      </c>
      <c r="AH104" s="846" t="s">
        <v>194</v>
      </c>
      <c r="AI104" s="846" t="s">
        <v>194</v>
      </c>
      <c r="AJ104" s="846" t="s">
        <v>194</v>
      </c>
      <c r="AK104" s="846" t="s">
        <v>194</v>
      </c>
      <c r="AL104" s="846" t="s">
        <v>194</v>
      </c>
      <c r="AM104" s="846" t="s">
        <v>194</v>
      </c>
      <c r="AN104" s="846" t="s">
        <v>194</v>
      </c>
      <c r="AO104" s="846" t="s">
        <v>194</v>
      </c>
      <c r="AP104" s="846" t="s">
        <v>194</v>
      </c>
      <c r="AQ104" s="846" t="s">
        <v>194</v>
      </c>
      <c r="AR104" s="846" t="s">
        <v>194</v>
      </c>
      <c r="AS104" s="846" t="s">
        <v>194</v>
      </c>
      <c r="AT104" s="846" t="s">
        <v>194</v>
      </c>
      <c r="AU104" s="846" t="s">
        <v>194</v>
      </c>
      <c r="AV104" s="846" t="s">
        <v>194</v>
      </c>
      <c r="AW104" s="846" t="s">
        <v>194</v>
      </c>
      <c r="AX104" s="846" t="s">
        <v>194</v>
      </c>
      <c r="AY104" s="846" t="s">
        <v>194</v>
      </c>
      <c r="AZ104" s="846" t="s">
        <v>194</v>
      </c>
      <c r="BA104" s="846" t="s">
        <v>194</v>
      </c>
      <c r="BB104" s="846" t="s">
        <v>194</v>
      </c>
      <c r="BC104" s="846" t="s">
        <v>194</v>
      </c>
      <c r="BD104" s="846" t="s">
        <v>194</v>
      </c>
      <c r="BE104" s="846" t="s">
        <v>194</v>
      </c>
      <c r="BF104" s="846" t="s">
        <v>194</v>
      </c>
      <c r="BG104" s="846" t="s">
        <v>194</v>
      </c>
    </row>
    <row r="105" ht="15.75" customHeight="1">
      <c r="A105" s="846" t="s">
        <v>194</v>
      </c>
      <c r="B105" s="846" t="s">
        <v>194</v>
      </c>
      <c r="C105" s="846" t="s">
        <v>194</v>
      </c>
      <c r="D105" s="846" t="s">
        <v>194</v>
      </c>
      <c r="E105" s="846" t="s">
        <v>194</v>
      </c>
      <c r="F105" s="846" t="s">
        <v>194</v>
      </c>
      <c r="G105" s="846" t="s">
        <v>194</v>
      </c>
      <c r="H105" s="846" t="s">
        <v>194</v>
      </c>
      <c r="I105" s="846" t="s">
        <v>194</v>
      </c>
      <c r="J105" s="846" t="s">
        <v>194</v>
      </c>
      <c r="K105" s="846" t="s">
        <v>194</v>
      </c>
      <c r="L105" s="846" t="s">
        <v>194</v>
      </c>
      <c r="M105" s="846" t="s">
        <v>194</v>
      </c>
      <c r="N105" s="846" t="s">
        <v>194</v>
      </c>
      <c r="O105" s="846" t="s">
        <v>194</v>
      </c>
      <c r="P105" s="846" t="s">
        <v>194</v>
      </c>
      <c r="Q105" s="846" t="s">
        <v>194</v>
      </c>
      <c r="R105" s="846" t="s">
        <v>194</v>
      </c>
      <c r="S105" s="846" t="s">
        <v>194</v>
      </c>
      <c r="T105" s="846" t="s">
        <v>194</v>
      </c>
      <c r="U105" s="846" t="s">
        <v>194</v>
      </c>
      <c r="V105" s="846" t="s">
        <v>194</v>
      </c>
      <c r="W105" s="846" t="s">
        <v>194</v>
      </c>
      <c r="X105" s="846" t="s">
        <v>194</v>
      </c>
      <c r="Y105" s="846" t="s">
        <v>194</v>
      </c>
      <c r="Z105" s="846" t="s">
        <v>194</v>
      </c>
      <c r="AA105" s="846" t="s">
        <v>194</v>
      </c>
      <c r="AB105" s="846" t="s">
        <v>194</v>
      </c>
      <c r="AC105" s="846" t="s">
        <v>194</v>
      </c>
      <c r="AD105" s="846" t="s">
        <v>194</v>
      </c>
      <c r="AE105" s="846" t="s">
        <v>194</v>
      </c>
      <c r="AF105" s="846" t="s">
        <v>194</v>
      </c>
      <c r="AG105" s="846" t="s">
        <v>194</v>
      </c>
      <c r="AH105" s="846" t="s">
        <v>194</v>
      </c>
      <c r="AI105" s="846" t="s">
        <v>194</v>
      </c>
      <c r="AJ105" s="846" t="s">
        <v>194</v>
      </c>
      <c r="AK105" s="846" t="s">
        <v>194</v>
      </c>
      <c r="AL105" s="846" t="s">
        <v>194</v>
      </c>
      <c r="AM105" s="846" t="s">
        <v>194</v>
      </c>
      <c r="AN105" s="846" t="s">
        <v>194</v>
      </c>
      <c r="AO105" s="846" t="s">
        <v>194</v>
      </c>
      <c r="AP105" s="846" t="s">
        <v>194</v>
      </c>
      <c r="AQ105" s="846" t="s">
        <v>194</v>
      </c>
      <c r="AR105" s="846" t="s">
        <v>194</v>
      </c>
      <c r="AS105" s="846" t="s">
        <v>194</v>
      </c>
      <c r="AT105" s="846" t="s">
        <v>194</v>
      </c>
      <c r="AU105" s="846" t="s">
        <v>194</v>
      </c>
      <c r="AV105" s="846" t="s">
        <v>194</v>
      </c>
      <c r="AW105" s="846" t="s">
        <v>194</v>
      </c>
      <c r="AX105" s="846" t="s">
        <v>194</v>
      </c>
      <c r="AY105" s="846" t="s">
        <v>194</v>
      </c>
      <c r="AZ105" s="846" t="s">
        <v>194</v>
      </c>
      <c r="BA105" s="846" t="s">
        <v>194</v>
      </c>
      <c r="BB105" s="846" t="s">
        <v>194</v>
      </c>
      <c r="BC105" s="846" t="s">
        <v>194</v>
      </c>
      <c r="BD105" s="846" t="s">
        <v>194</v>
      </c>
      <c r="BE105" s="846" t="s">
        <v>194</v>
      </c>
      <c r="BF105" s="846" t="s">
        <v>194</v>
      </c>
      <c r="BG105" s="846" t="s">
        <v>194</v>
      </c>
    </row>
    <row r="106" ht="15.75" customHeight="1">
      <c r="A106" s="846" t="s">
        <v>194</v>
      </c>
      <c r="B106" s="846" t="s">
        <v>194</v>
      </c>
      <c r="C106" s="846" t="s">
        <v>194</v>
      </c>
      <c r="D106" s="846" t="s">
        <v>194</v>
      </c>
      <c r="E106" s="846" t="s">
        <v>194</v>
      </c>
      <c r="F106" s="846" t="s">
        <v>194</v>
      </c>
      <c r="G106" s="846" t="s">
        <v>194</v>
      </c>
      <c r="H106" s="846" t="s">
        <v>194</v>
      </c>
      <c r="I106" s="846" t="s">
        <v>194</v>
      </c>
      <c r="J106" s="846" t="s">
        <v>194</v>
      </c>
      <c r="K106" s="846" t="s">
        <v>194</v>
      </c>
      <c r="L106" s="846" t="s">
        <v>194</v>
      </c>
      <c r="M106" s="846" t="s">
        <v>194</v>
      </c>
      <c r="N106" s="846" t="s">
        <v>194</v>
      </c>
      <c r="O106" s="846" t="s">
        <v>194</v>
      </c>
      <c r="P106" s="846" t="s">
        <v>194</v>
      </c>
      <c r="Q106" s="846" t="s">
        <v>194</v>
      </c>
      <c r="R106" s="846" t="s">
        <v>194</v>
      </c>
      <c r="S106" s="846" t="s">
        <v>194</v>
      </c>
      <c r="T106" s="846" t="s">
        <v>194</v>
      </c>
      <c r="U106" s="846" t="s">
        <v>194</v>
      </c>
      <c r="V106" s="846" t="s">
        <v>194</v>
      </c>
      <c r="W106" s="846" t="s">
        <v>194</v>
      </c>
      <c r="X106" s="846" t="s">
        <v>194</v>
      </c>
      <c r="Y106" s="846" t="s">
        <v>194</v>
      </c>
      <c r="Z106" s="846" t="s">
        <v>194</v>
      </c>
      <c r="AA106" s="846" t="s">
        <v>194</v>
      </c>
      <c r="AB106" s="846" t="s">
        <v>194</v>
      </c>
      <c r="AC106" s="846" t="s">
        <v>194</v>
      </c>
      <c r="AD106" s="846" t="s">
        <v>194</v>
      </c>
      <c r="AE106" s="846" t="s">
        <v>194</v>
      </c>
      <c r="AF106" s="846" t="s">
        <v>194</v>
      </c>
      <c r="AG106" s="846" t="s">
        <v>194</v>
      </c>
      <c r="AH106" s="846" t="s">
        <v>194</v>
      </c>
      <c r="AI106" s="846" t="s">
        <v>194</v>
      </c>
      <c r="AJ106" s="846" t="s">
        <v>194</v>
      </c>
      <c r="AK106" s="846" t="s">
        <v>194</v>
      </c>
      <c r="AL106" s="846" t="s">
        <v>194</v>
      </c>
      <c r="AM106" s="846" t="s">
        <v>194</v>
      </c>
      <c r="AN106" s="846" t="s">
        <v>194</v>
      </c>
      <c r="AO106" s="846" t="s">
        <v>194</v>
      </c>
      <c r="AP106" s="846" t="s">
        <v>194</v>
      </c>
      <c r="AQ106" s="846" t="s">
        <v>194</v>
      </c>
      <c r="AR106" s="846" t="s">
        <v>194</v>
      </c>
      <c r="AS106" s="846" t="s">
        <v>194</v>
      </c>
      <c r="AT106" s="846" t="s">
        <v>194</v>
      </c>
      <c r="AU106" s="846" t="s">
        <v>194</v>
      </c>
      <c r="AV106" s="846" t="s">
        <v>194</v>
      </c>
      <c r="AW106" s="846" t="s">
        <v>194</v>
      </c>
      <c r="AX106" s="846" t="s">
        <v>194</v>
      </c>
      <c r="AY106" s="846" t="s">
        <v>194</v>
      </c>
      <c r="AZ106" s="846" t="s">
        <v>194</v>
      </c>
      <c r="BA106" s="846" t="s">
        <v>194</v>
      </c>
      <c r="BB106" s="846" t="s">
        <v>194</v>
      </c>
      <c r="BC106" s="846" t="s">
        <v>194</v>
      </c>
      <c r="BD106" s="846" t="s">
        <v>194</v>
      </c>
      <c r="BE106" s="846" t="s">
        <v>194</v>
      </c>
      <c r="BF106" s="846" t="s">
        <v>194</v>
      </c>
      <c r="BG106" s="846" t="s">
        <v>194</v>
      </c>
    </row>
    <row r="107" ht="15.75" customHeight="1">
      <c r="A107" s="846" t="s">
        <v>194</v>
      </c>
      <c r="B107" s="846" t="s">
        <v>194</v>
      </c>
      <c r="C107" s="846" t="s">
        <v>194</v>
      </c>
      <c r="D107" s="846" t="s">
        <v>194</v>
      </c>
      <c r="E107" s="846" t="s">
        <v>194</v>
      </c>
      <c r="F107" s="846" t="s">
        <v>194</v>
      </c>
      <c r="G107" s="846" t="s">
        <v>194</v>
      </c>
      <c r="H107" s="846" t="s">
        <v>194</v>
      </c>
      <c r="I107" s="846" t="s">
        <v>194</v>
      </c>
      <c r="J107" s="846" t="s">
        <v>194</v>
      </c>
      <c r="K107" s="846" t="s">
        <v>194</v>
      </c>
      <c r="L107" s="846" t="s">
        <v>194</v>
      </c>
      <c r="M107" s="846" t="s">
        <v>194</v>
      </c>
      <c r="N107" s="846" t="s">
        <v>194</v>
      </c>
      <c r="O107" s="846" t="s">
        <v>194</v>
      </c>
      <c r="P107" s="846" t="s">
        <v>194</v>
      </c>
      <c r="Q107" s="846" t="s">
        <v>194</v>
      </c>
      <c r="R107" s="846" t="s">
        <v>194</v>
      </c>
      <c r="S107" s="846" t="s">
        <v>194</v>
      </c>
      <c r="T107" s="846" t="s">
        <v>194</v>
      </c>
      <c r="U107" s="846" t="s">
        <v>194</v>
      </c>
      <c r="V107" s="846" t="s">
        <v>194</v>
      </c>
      <c r="W107" s="846" t="s">
        <v>194</v>
      </c>
      <c r="X107" s="846" t="s">
        <v>194</v>
      </c>
      <c r="Y107" s="846" t="s">
        <v>194</v>
      </c>
      <c r="Z107" s="846" t="s">
        <v>194</v>
      </c>
      <c r="AA107" s="846" t="s">
        <v>194</v>
      </c>
      <c r="AB107" s="846" t="s">
        <v>194</v>
      </c>
      <c r="AC107" s="846" t="s">
        <v>194</v>
      </c>
      <c r="AD107" s="846" t="s">
        <v>194</v>
      </c>
      <c r="AE107" s="846" t="s">
        <v>194</v>
      </c>
      <c r="AF107" s="846" t="s">
        <v>194</v>
      </c>
      <c r="AG107" s="846" t="s">
        <v>194</v>
      </c>
      <c r="AH107" s="846" t="s">
        <v>194</v>
      </c>
      <c r="AI107" s="846" t="s">
        <v>194</v>
      </c>
      <c r="AJ107" s="846" t="s">
        <v>194</v>
      </c>
      <c r="AK107" s="846" t="s">
        <v>194</v>
      </c>
      <c r="AL107" s="846" t="s">
        <v>194</v>
      </c>
      <c r="AM107" s="846" t="s">
        <v>194</v>
      </c>
      <c r="AN107" s="846" t="s">
        <v>194</v>
      </c>
      <c r="AO107" s="846" t="s">
        <v>194</v>
      </c>
      <c r="AP107" s="846" t="s">
        <v>194</v>
      </c>
      <c r="AQ107" s="846" t="s">
        <v>194</v>
      </c>
      <c r="AR107" s="846" t="s">
        <v>194</v>
      </c>
      <c r="AS107" s="846" t="s">
        <v>194</v>
      </c>
      <c r="AT107" s="846" t="s">
        <v>194</v>
      </c>
      <c r="AU107" s="846" t="s">
        <v>194</v>
      </c>
      <c r="AV107" s="846" t="s">
        <v>194</v>
      </c>
      <c r="AW107" s="846" t="s">
        <v>194</v>
      </c>
      <c r="AX107" s="846" t="s">
        <v>194</v>
      </c>
      <c r="AY107" s="846" t="s">
        <v>194</v>
      </c>
      <c r="AZ107" s="846" t="s">
        <v>194</v>
      </c>
      <c r="BA107" s="846" t="s">
        <v>194</v>
      </c>
      <c r="BB107" s="846" t="s">
        <v>194</v>
      </c>
      <c r="BC107" s="846" t="s">
        <v>194</v>
      </c>
      <c r="BD107" s="846" t="s">
        <v>194</v>
      </c>
      <c r="BE107" s="846" t="s">
        <v>194</v>
      </c>
      <c r="BF107" s="846" t="s">
        <v>194</v>
      </c>
      <c r="BG107" s="846" t="s">
        <v>194</v>
      </c>
    </row>
    <row r="108" ht="15.75" customHeight="1">
      <c r="A108" s="846" t="s">
        <v>194</v>
      </c>
      <c r="B108" s="846" t="s">
        <v>194</v>
      </c>
      <c r="C108" s="846" t="s">
        <v>194</v>
      </c>
      <c r="D108" s="846" t="s">
        <v>194</v>
      </c>
      <c r="E108" s="846" t="s">
        <v>194</v>
      </c>
      <c r="F108" s="846" t="s">
        <v>194</v>
      </c>
      <c r="G108" s="846" t="s">
        <v>194</v>
      </c>
      <c r="H108" s="846" t="s">
        <v>194</v>
      </c>
      <c r="I108" s="846" t="s">
        <v>194</v>
      </c>
      <c r="J108" s="846" t="s">
        <v>194</v>
      </c>
      <c r="K108" s="846" t="s">
        <v>194</v>
      </c>
      <c r="L108" s="846" t="s">
        <v>194</v>
      </c>
      <c r="M108" s="846" t="s">
        <v>194</v>
      </c>
      <c r="N108" s="846" t="s">
        <v>194</v>
      </c>
      <c r="O108" s="846" t="s">
        <v>194</v>
      </c>
      <c r="P108" s="846" t="s">
        <v>194</v>
      </c>
      <c r="Q108" s="846" t="s">
        <v>194</v>
      </c>
      <c r="R108" s="846" t="s">
        <v>194</v>
      </c>
      <c r="S108" s="846" t="s">
        <v>194</v>
      </c>
      <c r="T108" s="846" t="s">
        <v>194</v>
      </c>
      <c r="U108" s="846" t="s">
        <v>194</v>
      </c>
      <c r="V108" s="846" t="s">
        <v>194</v>
      </c>
      <c r="W108" s="846" t="s">
        <v>194</v>
      </c>
      <c r="X108" s="846" t="s">
        <v>194</v>
      </c>
      <c r="Y108" s="846" t="s">
        <v>194</v>
      </c>
      <c r="Z108" s="846" t="s">
        <v>194</v>
      </c>
      <c r="AA108" s="846" t="s">
        <v>194</v>
      </c>
      <c r="AB108" s="846" t="s">
        <v>194</v>
      </c>
      <c r="AC108" s="846" t="s">
        <v>194</v>
      </c>
      <c r="AD108" s="846" t="s">
        <v>194</v>
      </c>
      <c r="AE108" s="846" t="s">
        <v>194</v>
      </c>
      <c r="AF108" s="846" t="s">
        <v>194</v>
      </c>
      <c r="AG108" s="846" t="s">
        <v>194</v>
      </c>
      <c r="AH108" s="846" t="s">
        <v>194</v>
      </c>
      <c r="AI108" s="846" t="s">
        <v>194</v>
      </c>
      <c r="AJ108" s="846" t="s">
        <v>194</v>
      </c>
      <c r="AK108" s="846" t="s">
        <v>194</v>
      </c>
      <c r="AL108" s="846" t="s">
        <v>194</v>
      </c>
      <c r="AM108" s="846" t="s">
        <v>194</v>
      </c>
      <c r="AN108" s="846" t="s">
        <v>194</v>
      </c>
      <c r="AO108" s="846" t="s">
        <v>194</v>
      </c>
      <c r="AP108" s="846" t="s">
        <v>194</v>
      </c>
      <c r="AQ108" s="846" t="s">
        <v>194</v>
      </c>
      <c r="AR108" s="846" t="s">
        <v>194</v>
      </c>
      <c r="AS108" s="846" t="s">
        <v>194</v>
      </c>
      <c r="AT108" s="846" t="s">
        <v>194</v>
      </c>
      <c r="AU108" s="846" t="s">
        <v>194</v>
      </c>
      <c r="AV108" s="846" t="s">
        <v>194</v>
      </c>
      <c r="AW108" s="846" t="s">
        <v>194</v>
      </c>
      <c r="AX108" s="846" t="s">
        <v>194</v>
      </c>
      <c r="AY108" s="846" t="s">
        <v>194</v>
      </c>
      <c r="AZ108" s="846" t="s">
        <v>194</v>
      </c>
      <c r="BA108" s="846" t="s">
        <v>194</v>
      </c>
      <c r="BB108" s="846" t="s">
        <v>194</v>
      </c>
      <c r="BC108" s="846" t="s">
        <v>194</v>
      </c>
      <c r="BD108" s="846" t="s">
        <v>194</v>
      </c>
      <c r="BE108" s="846" t="s">
        <v>194</v>
      </c>
      <c r="BF108" s="846" t="s">
        <v>194</v>
      </c>
      <c r="BG108" s="846" t="s">
        <v>194</v>
      </c>
    </row>
    <row r="109" ht="15.75" customHeight="1">
      <c r="A109" s="846" t="s">
        <v>194</v>
      </c>
      <c r="B109" s="846" t="s">
        <v>194</v>
      </c>
      <c r="C109" s="846" t="s">
        <v>194</v>
      </c>
      <c r="D109" s="846" t="s">
        <v>194</v>
      </c>
      <c r="E109" s="846" t="s">
        <v>194</v>
      </c>
      <c r="F109" s="846" t="s">
        <v>194</v>
      </c>
      <c r="G109" s="846" t="s">
        <v>194</v>
      </c>
      <c r="H109" s="846" t="s">
        <v>194</v>
      </c>
      <c r="I109" s="846" t="s">
        <v>194</v>
      </c>
      <c r="J109" s="846" t="s">
        <v>194</v>
      </c>
      <c r="K109" s="846" t="s">
        <v>194</v>
      </c>
      <c r="L109" s="846" t="s">
        <v>194</v>
      </c>
      <c r="M109" s="846" t="s">
        <v>194</v>
      </c>
      <c r="N109" s="846" t="s">
        <v>194</v>
      </c>
      <c r="O109" s="846" t="s">
        <v>194</v>
      </c>
      <c r="P109" s="846" t="s">
        <v>194</v>
      </c>
      <c r="Q109" s="846" t="s">
        <v>194</v>
      </c>
      <c r="R109" s="846" t="s">
        <v>194</v>
      </c>
      <c r="S109" s="846" t="s">
        <v>194</v>
      </c>
      <c r="T109" s="846" t="s">
        <v>194</v>
      </c>
      <c r="U109" s="846" t="s">
        <v>194</v>
      </c>
      <c r="V109" s="846" t="s">
        <v>194</v>
      </c>
      <c r="W109" s="846" t="s">
        <v>194</v>
      </c>
      <c r="X109" s="846" t="s">
        <v>194</v>
      </c>
      <c r="Y109" s="846" t="s">
        <v>194</v>
      </c>
      <c r="Z109" s="846" t="s">
        <v>194</v>
      </c>
      <c r="AA109" s="846" t="s">
        <v>194</v>
      </c>
      <c r="AB109" s="846" t="s">
        <v>194</v>
      </c>
      <c r="AC109" s="846" t="s">
        <v>194</v>
      </c>
      <c r="AD109" s="846" t="s">
        <v>194</v>
      </c>
      <c r="AE109" s="846" t="s">
        <v>194</v>
      </c>
      <c r="AF109" s="846" t="s">
        <v>194</v>
      </c>
      <c r="AG109" s="846" t="s">
        <v>194</v>
      </c>
      <c r="AH109" s="846" t="s">
        <v>194</v>
      </c>
      <c r="AI109" s="846" t="s">
        <v>194</v>
      </c>
      <c r="AJ109" s="846" t="s">
        <v>194</v>
      </c>
      <c r="AK109" s="846" t="s">
        <v>194</v>
      </c>
      <c r="AL109" s="846" t="s">
        <v>194</v>
      </c>
      <c r="AM109" s="846" t="s">
        <v>194</v>
      </c>
      <c r="AN109" s="846" t="s">
        <v>194</v>
      </c>
      <c r="AO109" s="846" t="s">
        <v>194</v>
      </c>
      <c r="AP109" s="846" t="s">
        <v>194</v>
      </c>
      <c r="AQ109" s="846" t="s">
        <v>194</v>
      </c>
      <c r="AR109" s="846" t="s">
        <v>194</v>
      </c>
      <c r="AS109" s="846" t="s">
        <v>194</v>
      </c>
      <c r="AT109" s="846" t="s">
        <v>194</v>
      </c>
      <c r="AU109" s="846" t="s">
        <v>194</v>
      </c>
      <c r="AV109" s="846" t="s">
        <v>194</v>
      </c>
      <c r="AW109" s="846" t="s">
        <v>194</v>
      </c>
      <c r="AX109" s="846" t="s">
        <v>194</v>
      </c>
      <c r="AY109" s="846" t="s">
        <v>194</v>
      </c>
      <c r="AZ109" s="846" t="s">
        <v>194</v>
      </c>
      <c r="BA109" s="846" t="s">
        <v>194</v>
      </c>
      <c r="BB109" s="846" t="s">
        <v>194</v>
      </c>
      <c r="BC109" s="846" t="s">
        <v>194</v>
      </c>
      <c r="BD109" s="846" t="s">
        <v>194</v>
      </c>
      <c r="BE109" s="846" t="s">
        <v>194</v>
      </c>
      <c r="BF109" s="846" t="s">
        <v>194</v>
      </c>
      <c r="BG109" s="846" t="s">
        <v>194</v>
      </c>
    </row>
    <row r="110" ht="15.75" customHeight="1">
      <c r="A110" s="846" t="s">
        <v>194</v>
      </c>
      <c r="B110" s="846" t="s">
        <v>194</v>
      </c>
      <c r="C110" s="846" t="s">
        <v>194</v>
      </c>
      <c r="D110" s="846" t="s">
        <v>194</v>
      </c>
      <c r="E110" s="846" t="s">
        <v>194</v>
      </c>
      <c r="F110" s="846" t="s">
        <v>194</v>
      </c>
      <c r="G110" s="846" t="s">
        <v>194</v>
      </c>
      <c r="H110" s="846" t="s">
        <v>194</v>
      </c>
      <c r="I110" s="846" t="s">
        <v>194</v>
      </c>
      <c r="J110" s="846" t="s">
        <v>194</v>
      </c>
      <c r="K110" s="846" t="s">
        <v>194</v>
      </c>
      <c r="L110" s="846" t="s">
        <v>194</v>
      </c>
      <c r="M110" s="846" t="s">
        <v>194</v>
      </c>
      <c r="N110" s="846" t="s">
        <v>194</v>
      </c>
      <c r="O110" s="846" t="s">
        <v>194</v>
      </c>
      <c r="P110" s="846" t="s">
        <v>194</v>
      </c>
      <c r="Q110" s="846" t="s">
        <v>194</v>
      </c>
      <c r="R110" s="846" t="s">
        <v>194</v>
      </c>
      <c r="S110" s="846" t="s">
        <v>194</v>
      </c>
      <c r="T110" s="846" t="s">
        <v>194</v>
      </c>
      <c r="U110" s="846" t="s">
        <v>194</v>
      </c>
      <c r="V110" s="846" t="s">
        <v>194</v>
      </c>
      <c r="W110" s="846" t="s">
        <v>194</v>
      </c>
      <c r="X110" s="846" t="s">
        <v>194</v>
      </c>
      <c r="Y110" s="846" t="s">
        <v>194</v>
      </c>
      <c r="Z110" s="846" t="s">
        <v>194</v>
      </c>
      <c r="AA110" s="846" t="s">
        <v>194</v>
      </c>
      <c r="AB110" s="846" t="s">
        <v>194</v>
      </c>
      <c r="AC110" s="846" t="s">
        <v>194</v>
      </c>
      <c r="AD110" s="846" t="s">
        <v>194</v>
      </c>
      <c r="AE110" s="846" t="s">
        <v>194</v>
      </c>
      <c r="AF110" s="846" t="s">
        <v>194</v>
      </c>
      <c r="AG110" s="846" t="s">
        <v>194</v>
      </c>
      <c r="AH110" s="846" t="s">
        <v>194</v>
      </c>
      <c r="AI110" s="846" t="s">
        <v>194</v>
      </c>
      <c r="AJ110" s="846" t="s">
        <v>194</v>
      </c>
      <c r="AK110" s="846" t="s">
        <v>194</v>
      </c>
      <c r="AL110" s="846" t="s">
        <v>194</v>
      </c>
      <c r="AM110" s="846" t="s">
        <v>194</v>
      </c>
      <c r="AN110" s="846" t="s">
        <v>194</v>
      </c>
      <c r="AO110" s="846" t="s">
        <v>194</v>
      </c>
      <c r="AP110" s="846" t="s">
        <v>194</v>
      </c>
      <c r="AQ110" s="846" t="s">
        <v>194</v>
      </c>
      <c r="AR110" s="846" t="s">
        <v>194</v>
      </c>
      <c r="AS110" s="846" t="s">
        <v>194</v>
      </c>
      <c r="AT110" s="846" t="s">
        <v>194</v>
      </c>
      <c r="AU110" s="846" t="s">
        <v>194</v>
      </c>
      <c r="AV110" s="846" t="s">
        <v>194</v>
      </c>
      <c r="AW110" s="846" t="s">
        <v>194</v>
      </c>
      <c r="AX110" s="846" t="s">
        <v>194</v>
      </c>
      <c r="AY110" s="846" t="s">
        <v>194</v>
      </c>
      <c r="AZ110" s="846" t="s">
        <v>194</v>
      </c>
      <c r="BA110" s="846" t="s">
        <v>194</v>
      </c>
      <c r="BB110" s="846" t="s">
        <v>194</v>
      </c>
      <c r="BC110" s="846" t="s">
        <v>194</v>
      </c>
      <c r="BD110" s="846" t="s">
        <v>194</v>
      </c>
      <c r="BE110" s="846" t="s">
        <v>194</v>
      </c>
      <c r="BF110" s="846" t="s">
        <v>194</v>
      </c>
      <c r="BG110" s="846" t="s">
        <v>194</v>
      </c>
    </row>
    <row r="111" ht="15.75" customHeight="1">
      <c r="A111" s="846" t="s">
        <v>194</v>
      </c>
      <c r="B111" s="846" t="s">
        <v>194</v>
      </c>
      <c r="C111" s="846" t="s">
        <v>194</v>
      </c>
      <c r="D111" s="846" t="s">
        <v>194</v>
      </c>
      <c r="E111" s="846" t="s">
        <v>194</v>
      </c>
      <c r="F111" s="846" t="s">
        <v>194</v>
      </c>
      <c r="G111" s="846" t="s">
        <v>194</v>
      </c>
      <c r="H111" s="846" t="s">
        <v>194</v>
      </c>
      <c r="I111" s="846" t="s">
        <v>194</v>
      </c>
      <c r="J111" s="846" t="s">
        <v>194</v>
      </c>
      <c r="K111" s="846" t="s">
        <v>194</v>
      </c>
      <c r="L111" s="846" t="s">
        <v>194</v>
      </c>
      <c r="M111" s="846" t="s">
        <v>194</v>
      </c>
      <c r="N111" s="846" t="s">
        <v>194</v>
      </c>
      <c r="O111" s="846" t="s">
        <v>194</v>
      </c>
      <c r="P111" s="846" t="s">
        <v>194</v>
      </c>
      <c r="Q111" s="846" t="s">
        <v>194</v>
      </c>
      <c r="R111" s="846" t="s">
        <v>194</v>
      </c>
      <c r="S111" s="846" t="s">
        <v>194</v>
      </c>
      <c r="T111" s="846" t="s">
        <v>194</v>
      </c>
      <c r="U111" s="846" t="s">
        <v>194</v>
      </c>
      <c r="V111" s="846" t="s">
        <v>194</v>
      </c>
      <c r="W111" s="846" t="s">
        <v>194</v>
      </c>
      <c r="X111" s="846" t="s">
        <v>194</v>
      </c>
      <c r="Y111" s="846" t="s">
        <v>194</v>
      </c>
      <c r="Z111" s="846" t="s">
        <v>194</v>
      </c>
      <c r="AA111" s="846" t="s">
        <v>194</v>
      </c>
      <c r="AB111" s="846" t="s">
        <v>194</v>
      </c>
      <c r="AC111" s="846" t="s">
        <v>194</v>
      </c>
      <c r="AD111" s="846" t="s">
        <v>194</v>
      </c>
      <c r="AE111" s="846" t="s">
        <v>194</v>
      </c>
      <c r="AF111" s="846" t="s">
        <v>194</v>
      </c>
      <c r="AG111" s="846" t="s">
        <v>194</v>
      </c>
      <c r="AH111" s="846" t="s">
        <v>194</v>
      </c>
      <c r="AI111" s="846" t="s">
        <v>194</v>
      </c>
      <c r="AJ111" s="846" t="s">
        <v>194</v>
      </c>
      <c r="AK111" s="846" t="s">
        <v>194</v>
      </c>
      <c r="AL111" s="846" t="s">
        <v>194</v>
      </c>
      <c r="AM111" s="846" t="s">
        <v>194</v>
      </c>
      <c r="AN111" s="846" t="s">
        <v>194</v>
      </c>
      <c r="AO111" s="846" t="s">
        <v>194</v>
      </c>
      <c r="AP111" s="846" t="s">
        <v>194</v>
      </c>
      <c r="AQ111" s="846" t="s">
        <v>194</v>
      </c>
      <c r="AR111" s="846" t="s">
        <v>194</v>
      </c>
      <c r="AS111" s="846" t="s">
        <v>194</v>
      </c>
      <c r="AT111" s="846" t="s">
        <v>194</v>
      </c>
      <c r="AU111" s="846" t="s">
        <v>194</v>
      </c>
      <c r="AV111" s="846" t="s">
        <v>194</v>
      </c>
      <c r="AW111" s="846" t="s">
        <v>194</v>
      </c>
      <c r="AX111" s="846" t="s">
        <v>194</v>
      </c>
      <c r="AY111" s="846" t="s">
        <v>194</v>
      </c>
      <c r="AZ111" s="846" t="s">
        <v>194</v>
      </c>
      <c r="BA111" s="846" t="s">
        <v>194</v>
      </c>
      <c r="BB111" s="846" t="s">
        <v>194</v>
      </c>
      <c r="BC111" s="846" t="s">
        <v>194</v>
      </c>
      <c r="BD111" s="846" t="s">
        <v>194</v>
      </c>
      <c r="BE111" s="846" t="s">
        <v>194</v>
      </c>
      <c r="BF111" s="846" t="s">
        <v>194</v>
      </c>
      <c r="BG111" s="846" t="s">
        <v>194</v>
      </c>
    </row>
    <row r="112" ht="15.75" customHeight="1">
      <c r="A112" s="846" t="s">
        <v>194</v>
      </c>
      <c r="B112" s="846" t="s">
        <v>194</v>
      </c>
      <c r="C112" s="846" t="s">
        <v>194</v>
      </c>
      <c r="D112" s="846" t="s">
        <v>194</v>
      </c>
      <c r="E112" s="846" t="s">
        <v>194</v>
      </c>
      <c r="F112" s="846" t="s">
        <v>194</v>
      </c>
      <c r="G112" s="846" t="s">
        <v>194</v>
      </c>
      <c r="H112" s="846" t="s">
        <v>194</v>
      </c>
      <c r="I112" s="846" t="s">
        <v>194</v>
      </c>
      <c r="J112" s="846" t="s">
        <v>194</v>
      </c>
      <c r="K112" s="846" t="s">
        <v>194</v>
      </c>
      <c r="L112" s="846" t="s">
        <v>194</v>
      </c>
      <c r="M112" s="846" t="s">
        <v>194</v>
      </c>
      <c r="N112" s="846" t="s">
        <v>194</v>
      </c>
      <c r="O112" s="846" t="s">
        <v>194</v>
      </c>
      <c r="P112" s="846" t="s">
        <v>194</v>
      </c>
      <c r="Q112" s="846" t="s">
        <v>194</v>
      </c>
      <c r="R112" s="846" t="s">
        <v>194</v>
      </c>
      <c r="S112" s="846" t="s">
        <v>194</v>
      </c>
      <c r="T112" s="846" t="s">
        <v>194</v>
      </c>
      <c r="U112" s="846" t="s">
        <v>194</v>
      </c>
      <c r="V112" s="846" t="s">
        <v>194</v>
      </c>
      <c r="W112" s="846" t="s">
        <v>194</v>
      </c>
      <c r="X112" s="846" t="s">
        <v>194</v>
      </c>
      <c r="Y112" s="846" t="s">
        <v>194</v>
      </c>
      <c r="Z112" s="846" t="s">
        <v>194</v>
      </c>
      <c r="AA112" s="846" t="s">
        <v>194</v>
      </c>
      <c r="AB112" s="846" t="s">
        <v>194</v>
      </c>
      <c r="AC112" s="846" t="s">
        <v>194</v>
      </c>
      <c r="AD112" s="846" t="s">
        <v>194</v>
      </c>
      <c r="AE112" s="846" t="s">
        <v>194</v>
      </c>
      <c r="AF112" s="846" t="s">
        <v>194</v>
      </c>
      <c r="AG112" s="846" t="s">
        <v>194</v>
      </c>
      <c r="AH112" s="846" t="s">
        <v>194</v>
      </c>
      <c r="AI112" s="846" t="s">
        <v>194</v>
      </c>
      <c r="AJ112" s="846" t="s">
        <v>194</v>
      </c>
      <c r="AK112" s="846" t="s">
        <v>194</v>
      </c>
      <c r="AL112" s="846" t="s">
        <v>194</v>
      </c>
      <c r="AM112" s="846" t="s">
        <v>194</v>
      </c>
      <c r="AN112" s="846" t="s">
        <v>194</v>
      </c>
      <c r="AO112" s="846" t="s">
        <v>194</v>
      </c>
      <c r="AP112" s="846" t="s">
        <v>194</v>
      </c>
      <c r="AQ112" s="846" t="s">
        <v>194</v>
      </c>
      <c r="AR112" s="846" t="s">
        <v>194</v>
      </c>
      <c r="AS112" s="846" t="s">
        <v>194</v>
      </c>
      <c r="AT112" s="846" t="s">
        <v>194</v>
      </c>
      <c r="AU112" s="846" t="s">
        <v>194</v>
      </c>
      <c r="AV112" s="846" t="s">
        <v>194</v>
      </c>
      <c r="AW112" s="846" t="s">
        <v>194</v>
      </c>
      <c r="AX112" s="846" t="s">
        <v>194</v>
      </c>
      <c r="AY112" s="846" t="s">
        <v>194</v>
      </c>
      <c r="AZ112" s="846" t="s">
        <v>194</v>
      </c>
      <c r="BA112" s="846" t="s">
        <v>194</v>
      </c>
      <c r="BB112" s="846" t="s">
        <v>194</v>
      </c>
      <c r="BC112" s="846" t="s">
        <v>194</v>
      </c>
      <c r="BD112" s="846" t="s">
        <v>194</v>
      </c>
      <c r="BE112" s="846" t="s">
        <v>194</v>
      </c>
      <c r="BF112" s="846" t="s">
        <v>194</v>
      </c>
      <c r="BG112" s="846" t="s">
        <v>194</v>
      </c>
    </row>
    <row r="113" ht="15.75" customHeight="1">
      <c r="A113" s="846" t="s">
        <v>194</v>
      </c>
      <c r="B113" s="846" t="s">
        <v>194</v>
      </c>
      <c r="C113" s="846" t="s">
        <v>194</v>
      </c>
      <c r="D113" s="846" t="s">
        <v>194</v>
      </c>
      <c r="E113" s="846" t="s">
        <v>194</v>
      </c>
      <c r="F113" s="846" t="s">
        <v>194</v>
      </c>
      <c r="G113" s="846" t="s">
        <v>194</v>
      </c>
      <c r="H113" s="846" t="s">
        <v>194</v>
      </c>
      <c r="I113" s="846" t="s">
        <v>194</v>
      </c>
      <c r="J113" s="846" t="s">
        <v>194</v>
      </c>
      <c r="K113" s="846" t="s">
        <v>194</v>
      </c>
      <c r="L113" s="846" t="s">
        <v>194</v>
      </c>
      <c r="M113" s="846" t="s">
        <v>194</v>
      </c>
      <c r="N113" s="846" t="s">
        <v>194</v>
      </c>
      <c r="O113" s="846" t="s">
        <v>194</v>
      </c>
      <c r="P113" s="846" t="s">
        <v>194</v>
      </c>
      <c r="Q113" s="846" t="s">
        <v>194</v>
      </c>
      <c r="R113" s="846" t="s">
        <v>194</v>
      </c>
      <c r="S113" s="846" t="s">
        <v>194</v>
      </c>
      <c r="T113" s="846" t="s">
        <v>194</v>
      </c>
      <c r="U113" s="846" t="s">
        <v>194</v>
      </c>
      <c r="V113" s="846" t="s">
        <v>194</v>
      </c>
      <c r="W113" s="846" t="s">
        <v>194</v>
      </c>
      <c r="X113" s="846" t="s">
        <v>194</v>
      </c>
      <c r="Y113" s="846" t="s">
        <v>194</v>
      </c>
      <c r="Z113" s="846" t="s">
        <v>194</v>
      </c>
      <c r="AA113" s="846" t="s">
        <v>194</v>
      </c>
      <c r="AB113" s="846" t="s">
        <v>194</v>
      </c>
      <c r="AC113" s="846" t="s">
        <v>194</v>
      </c>
      <c r="AD113" s="846" t="s">
        <v>194</v>
      </c>
      <c r="AE113" s="846" t="s">
        <v>194</v>
      </c>
      <c r="AF113" s="846" t="s">
        <v>194</v>
      </c>
      <c r="AG113" s="846" t="s">
        <v>194</v>
      </c>
      <c r="AH113" s="846" t="s">
        <v>194</v>
      </c>
      <c r="AI113" s="846" t="s">
        <v>194</v>
      </c>
      <c r="AJ113" s="846" t="s">
        <v>194</v>
      </c>
      <c r="AK113" s="846" t="s">
        <v>194</v>
      </c>
      <c r="AL113" s="846" t="s">
        <v>194</v>
      </c>
      <c r="AM113" s="846" t="s">
        <v>194</v>
      </c>
      <c r="AN113" s="846" t="s">
        <v>194</v>
      </c>
      <c r="AO113" s="846" t="s">
        <v>194</v>
      </c>
      <c r="AP113" s="846" t="s">
        <v>194</v>
      </c>
      <c r="AQ113" s="846" t="s">
        <v>194</v>
      </c>
      <c r="AR113" s="846" t="s">
        <v>194</v>
      </c>
      <c r="AS113" s="846" t="s">
        <v>194</v>
      </c>
      <c r="AT113" s="846" t="s">
        <v>194</v>
      </c>
      <c r="AU113" s="846" t="s">
        <v>194</v>
      </c>
      <c r="AV113" s="846" t="s">
        <v>194</v>
      </c>
      <c r="AW113" s="846" t="s">
        <v>194</v>
      </c>
      <c r="AX113" s="846" t="s">
        <v>194</v>
      </c>
      <c r="AY113" s="846" t="s">
        <v>194</v>
      </c>
      <c r="AZ113" s="846" t="s">
        <v>194</v>
      </c>
      <c r="BA113" s="846" t="s">
        <v>194</v>
      </c>
      <c r="BB113" s="846" t="s">
        <v>194</v>
      </c>
      <c r="BC113" s="846" t="s">
        <v>194</v>
      </c>
      <c r="BD113" s="846" t="s">
        <v>194</v>
      </c>
      <c r="BE113" s="846" t="s">
        <v>194</v>
      </c>
      <c r="BF113" s="846" t="s">
        <v>194</v>
      </c>
      <c r="BG113" s="846" t="s">
        <v>194</v>
      </c>
    </row>
    <row r="114" ht="15.75" customHeight="1">
      <c r="A114" s="846" t="s">
        <v>194</v>
      </c>
      <c r="B114" s="846" t="s">
        <v>194</v>
      </c>
      <c r="C114" s="846" t="s">
        <v>194</v>
      </c>
      <c r="D114" s="846" t="s">
        <v>194</v>
      </c>
      <c r="E114" s="846" t="s">
        <v>194</v>
      </c>
      <c r="F114" s="846" t="s">
        <v>194</v>
      </c>
      <c r="G114" s="846" t="s">
        <v>194</v>
      </c>
      <c r="H114" s="846" t="s">
        <v>194</v>
      </c>
      <c r="I114" s="846" t="s">
        <v>194</v>
      </c>
      <c r="J114" s="846" t="s">
        <v>194</v>
      </c>
      <c r="K114" s="846" t="s">
        <v>194</v>
      </c>
      <c r="L114" s="846" t="s">
        <v>194</v>
      </c>
      <c r="M114" s="846" t="s">
        <v>194</v>
      </c>
      <c r="N114" s="846" t="s">
        <v>194</v>
      </c>
      <c r="O114" s="846" t="s">
        <v>194</v>
      </c>
      <c r="P114" s="846" t="s">
        <v>194</v>
      </c>
      <c r="Q114" s="846" t="s">
        <v>194</v>
      </c>
      <c r="R114" s="846" t="s">
        <v>194</v>
      </c>
      <c r="S114" s="846" t="s">
        <v>194</v>
      </c>
      <c r="T114" s="846" t="s">
        <v>194</v>
      </c>
      <c r="U114" s="846" t="s">
        <v>194</v>
      </c>
      <c r="V114" s="846" t="s">
        <v>194</v>
      </c>
      <c r="W114" s="846" t="s">
        <v>194</v>
      </c>
      <c r="X114" s="846" t="s">
        <v>194</v>
      </c>
      <c r="Y114" s="846" t="s">
        <v>194</v>
      </c>
      <c r="Z114" s="846" t="s">
        <v>194</v>
      </c>
      <c r="AA114" s="846" t="s">
        <v>194</v>
      </c>
      <c r="AB114" s="846" t="s">
        <v>194</v>
      </c>
      <c r="AC114" s="846" t="s">
        <v>194</v>
      </c>
      <c r="AD114" s="846" t="s">
        <v>194</v>
      </c>
      <c r="AE114" s="846" t="s">
        <v>194</v>
      </c>
      <c r="AF114" s="846" t="s">
        <v>194</v>
      </c>
      <c r="AG114" s="846" t="s">
        <v>194</v>
      </c>
      <c r="AH114" s="846" t="s">
        <v>194</v>
      </c>
      <c r="AI114" s="846" t="s">
        <v>194</v>
      </c>
      <c r="AJ114" s="846" t="s">
        <v>194</v>
      </c>
      <c r="AK114" s="846" t="s">
        <v>194</v>
      </c>
      <c r="AL114" s="846" t="s">
        <v>194</v>
      </c>
      <c r="AM114" s="846" t="s">
        <v>194</v>
      </c>
      <c r="AN114" s="846" t="s">
        <v>194</v>
      </c>
      <c r="AO114" s="846" t="s">
        <v>194</v>
      </c>
      <c r="AP114" s="846" t="s">
        <v>194</v>
      </c>
      <c r="AQ114" s="846" t="s">
        <v>194</v>
      </c>
      <c r="AR114" s="846" t="s">
        <v>194</v>
      </c>
      <c r="AS114" s="846" t="s">
        <v>194</v>
      </c>
      <c r="AT114" s="846" t="s">
        <v>194</v>
      </c>
      <c r="AU114" s="846" t="s">
        <v>194</v>
      </c>
      <c r="AV114" s="846" t="s">
        <v>194</v>
      </c>
      <c r="AW114" s="846" t="s">
        <v>194</v>
      </c>
      <c r="AX114" s="846" t="s">
        <v>194</v>
      </c>
      <c r="AY114" s="846" t="s">
        <v>194</v>
      </c>
      <c r="AZ114" s="846" t="s">
        <v>194</v>
      </c>
      <c r="BA114" s="846" t="s">
        <v>194</v>
      </c>
      <c r="BB114" s="846" t="s">
        <v>194</v>
      </c>
      <c r="BC114" s="846" t="s">
        <v>194</v>
      </c>
      <c r="BD114" s="846" t="s">
        <v>194</v>
      </c>
      <c r="BE114" s="846" t="s">
        <v>194</v>
      </c>
      <c r="BF114" s="846" t="s">
        <v>194</v>
      </c>
      <c r="BG114" s="846" t="s">
        <v>194</v>
      </c>
    </row>
    <row r="115" ht="15.75" customHeight="1">
      <c r="A115" s="846" t="s">
        <v>194</v>
      </c>
      <c r="B115" s="846" t="s">
        <v>194</v>
      </c>
      <c r="C115" s="846" t="s">
        <v>194</v>
      </c>
      <c r="D115" s="846" t="s">
        <v>194</v>
      </c>
      <c r="E115" s="846" t="s">
        <v>194</v>
      </c>
      <c r="F115" s="846" t="s">
        <v>194</v>
      </c>
      <c r="G115" s="846" t="s">
        <v>194</v>
      </c>
      <c r="H115" s="846" t="s">
        <v>194</v>
      </c>
      <c r="I115" s="846" t="s">
        <v>194</v>
      </c>
      <c r="J115" s="846" t="s">
        <v>194</v>
      </c>
      <c r="K115" s="846" t="s">
        <v>194</v>
      </c>
      <c r="L115" s="846" t="s">
        <v>194</v>
      </c>
      <c r="M115" s="846" t="s">
        <v>194</v>
      </c>
      <c r="N115" s="846" t="s">
        <v>194</v>
      </c>
      <c r="O115" s="846" t="s">
        <v>194</v>
      </c>
      <c r="P115" s="846" t="s">
        <v>194</v>
      </c>
      <c r="Q115" s="846" t="s">
        <v>194</v>
      </c>
      <c r="R115" s="846" t="s">
        <v>194</v>
      </c>
      <c r="S115" s="846" t="s">
        <v>194</v>
      </c>
      <c r="T115" s="846" t="s">
        <v>194</v>
      </c>
      <c r="U115" s="846" t="s">
        <v>194</v>
      </c>
      <c r="V115" s="846" t="s">
        <v>194</v>
      </c>
      <c r="W115" s="846" t="s">
        <v>194</v>
      </c>
      <c r="X115" s="846" t="s">
        <v>194</v>
      </c>
      <c r="Y115" s="846" t="s">
        <v>194</v>
      </c>
      <c r="Z115" s="846" t="s">
        <v>194</v>
      </c>
      <c r="AA115" s="846" t="s">
        <v>194</v>
      </c>
      <c r="AB115" s="846" t="s">
        <v>194</v>
      </c>
      <c r="AC115" s="846" t="s">
        <v>194</v>
      </c>
      <c r="AD115" s="846" t="s">
        <v>194</v>
      </c>
      <c r="AE115" s="846" t="s">
        <v>194</v>
      </c>
      <c r="AF115" s="846" t="s">
        <v>194</v>
      </c>
      <c r="AG115" s="846" t="s">
        <v>194</v>
      </c>
      <c r="AH115" s="846" t="s">
        <v>194</v>
      </c>
      <c r="AI115" s="846" t="s">
        <v>194</v>
      </c>
      <c r="AJ115" s="846" t="s">
        <v>194</v>
      </c>
      <c r="AK115" s="846" t="s">
        <v>194</v>
      </c>
      <c r="AL115" s="846" t="s">
        <v>194</v>
      </c>
      <c r="AM115" s="846" t="s">
        <v>194</v>
      </c>
      <c r="AN115" s="846" t="s">
        <v>194</v>
      </c>
      <c r="AO115" s="846" t="s">
        <v>194</v>
      </c>
      <c r="AP115" s="846" t="s">
        <v>194</v>
      </c>
      <c r="AQ115" s="846" t="s">
        <v>194</v>
      </c>
      <c r="AR115" s="846" t="s">
        <v>194</v>
      </c>
      <c r="AS115" s="846" t="s">
        <v>194</v>
      </c>
      <c r="AT115" s="846" t="s">
        <v>194</v>
      </c>
      <c r="AU115" s="846" t="s">
        <v>194</v>
      </c>
      <c r="AV115" s="846" t="s">
        <v>194</v>
      </c>
      <c r="AW115" s="846" t="s">
        <v>194</v>
      </c>
      <c r="AX115" s="846" t="s">
        <v>194</v>
      </c>
      <c r="AY115" s="846" t="s">
        <v>194</v>
      </c>
      <c r="AZ115" s="846" t="s">
        <v>194</v>
      </c>
      <c r="BA115" s="846" t="s">
        <v>194</v>
      </c>
      <c r="BB115" s="846" t="s">
        <v>194</v>
      </c>
      <c r="BC115" s="846" t="s">
        <v>194</v>
      </c>
      <c r="BD115" s="846" t="s">
        <v>194</v>
      </c>
      <c r="BE115" s="846" t="s">
        <v>194</v>
      </c>
      <c r="BF115" s="846" t="s">
        <v>194</v>
      </c>
      <c r="BG115" s="846" t="s">
        <v>194</v>
      </c>
    </row>
    <row r="116" ht="15.75" customHeight="1">
      <c r="A116" s="846" t="s">
        <v>194</v>
      </c>
      <c r="B116" s="846" t="s">
        <v>194</v>
      </c>
      <c r="C116" s="846" t="s">
        <v>194</v>
      </c>
      <c r="D116" s="846" t="s">
        <v>194</v>
      </c>
      <c r="E116" s="846" t="s">
        <v>194</v>
      </c>
      <c r="F116" s="846" t="s">
        <v>194</v>
      </c>
      <c r="G116" s="846" t="s">
        <v>194</v>
      </c>
      <c r="H116" s="846" t="s">
        <v>194</v>
      </c>
      <c r="I116" s="846" t="s">
        <v>194</v>
      </c>
      <c r="J116" s="846" t="s">
        <v>194</v>
      </c>
      <c r="K116" s="846" t="s">
        <v>194</v>
      </c>
      <c r="L116" s="846" t="s">
        <v>194</v>
      </c>
      <c r="M116" s="846" t="s">
        <v>194</v>
      </c>
      <c r="N116" s="846" t="s">
        <v>194</v>
      </c>
      <c r="O116" s="846" t="s">
        <v>194</v>
      </c>
      <c r="P116" s="846" t="s">
        <v>194</v>
      </c>
      <c r="Q116" s="846" t="s">
        <v>194</v>
      </c>
      <c r="R116" s="846" t="s">
        <v>194</v>
      </c>
      <c r="S116" s="846" t="s">
        <v>194</v>
      </c>
      <c r="T116" s="846" t="s">
        <v>194</v>
      </c>
      <c r="U116" s="846" t="s">
        <v>194</v>
      </c>
      <c r="V116" s="846" t="s">
        <v>194</v>
      </c>
      <c r="W116" s="846" t="s">
        <v>194</v>
      </c>
      <c r="X116" s="846" t="s">
        <v>194</v>
      </c>
      <c r="Y116" s="846" t="s">
        <v>194</v>
      </c>
      <c r="Z116" s="846" t="s">
        <v>194</v>
      </c>
      <c r="AA116" s="846" t="s">
        <v>194</v>
      </c>
      <c r="AB116" s="846" t="s">
        <v>194</v>
      </c>
      <c r="AC116" s="846" t="s">
        <v>194</v>
      </c>
      <c r="AD116" s="846" t="s">
        <v>194</v>
      </c>
      <c r="AE116" s="846" t="s">
        <v>194</v>
      </c>
      <c r="AF116" s="846" t="s">
        <v>194</v>
      </c>
      <c r="AG116" s="846" t="s">
        <v>194</v>
      </c>
      <c r="AH116" s="846" t="s">
        <v>194</v>
      </c>
      <c r="AI116" s="846" t="s">
        <v>194</v>
      </c>
      <c r="AJ116" s="846" t="s">
        <v>194</v>
      </c>
      <c r="AK116" s="846" t="s">
        <v>194</v>
      </c>
      <c r="AL116" s="846" t="s">
        <v>194</v>
      </c>
      <c r="AM116" s="846" t="s">
        <v>194</v>
      </c>
      <c r="AN116" s="846" t="s">
        <v>194</v>
      </c>
      <c r="AO116" s="846" t="s">
        <v>194</v>
      </c>
      <c r="AP116" s="846" t="s">
        <v>194</v>
      </c>
      <c r="AQ116" s="846" t="s">
        <v>194</v>
      </c>
      <c r="AR116" s="846" t="s">
        <v>194</v>
      </c>
      <c r="AS116" s="846" t="s">
        <v>194</v>
      </c>
      <c r="AT116" s="846" t="s">
        <v>194</v>
      </c>
      <c r="AU116" s="846" t="s">
        <v>194</v>
      </c>
      <c r="AV116" s="846" t="s">
        <v>194</v>
      </c>
      <c r="AW116" s="846" t="s">
        <v>194</v>
      </c>
      <c r="AX116" s="846" t="s">
        <v>194</v>
      </c>
      <c r="AY116" s="846" t="s">
        <v>194</v>
      </c>
      <c r="AZ116" s="846" t="s">
        <v>194</v>
      </c>
      <c r="BA116" s="846" t="s">
        <v>194</v>
      </c>
      <c r="BB116" s="846" t="s">
        <v>194</v>
      </c>
      <c r="BC116" s="846" t="s">
        <v>194</v>
      </c>
      <c r="BD116" s="846" t="s">
        <v>194</v>
      </c>
      <c r="BE116" s="846" t="s">
        <v>194</v>
      </c>
      <c r="BF116" s="846" t="s">
        <v>194</v>
      </c>
      <c r="BG116" s="846" t="s">
        <v>194</v>
      </c>
    </row>
    <row r="117" ht="15.75" customHeight="1">
      <c r="A117" s="846" t="s">
        <v>194</v>
      </c>
      <c r="B117" s="846" t="s">
        <v>194</v>
      </c>
      <c r="C117" s="846" t="s">
        <v>194</v>
      </c>
      <c r="D117" s="846" t="s">
        <v>194</v>
      </c>
      <c r="E117" s="846" t="s">
        <v>194</v>
      </c>
      <c r="F117" s="846" t="s">
        <v>194</v>
      </c>
      <c r="G117" s="846" t="s">
        <v>194</v>
      </c>
      <c r="H117" s="846" t="s">
        <v>194</v>
      </c>
      <c r="I117" s="846" t="s">
        <v>194</v>
      </c>
      <c r="J117" s="846" t="s">
        <v>194</v>
      </c>
      <c r="K117" s="846" t="s">
        <v>194</v>
      </c>
      <c r="L117" s="846" t="s">
        <v>194</v>
      </c>
      <c r="M117" s="846" t="s">
        <v>194</v>
      </c>
      <c r="N117" s="846" t="s">
        <v>194</v>
      </c>
      <c r="O117" s="846" t="s">
        <v>194</v>
      </c>
      <c r="P117" s="846" t="s">
        <v>194</v>
      </c>
      <c r="Q117" s="846" t="s">
        <v>194</v>
      </c>
      <c r="R117" s="846" t="s">
        <v>194</v>
      </c>
      <c r="S117" s="846" t="s">
        <v>194</v>
      </c>
      <c r="T117" s="846" t="s">
        <v>194</v>
      </c>
      <c r="U117" s="846" t="s">
        <v>194</v>
      </c>
      <c r="V117" s="846" t="s">
        <v>194</v>
      </c>
      <c r="W117" s="846" t="s">
        <v>194</v>
      </c>
      <c r="X117" s="846" t="s">
        <v>194</v>
      </c>
      <c r="Y117" s="846" t="s">
        <v>194</v>
      </c>
      <c r="Z117" s="846" t="s">
        <v>194</v>
      </c>
      <c r="AA117" s="846" t="s">
        <v>194</v>
      </c>
      <c r="AB117" s="846" t="s">
        <v>194</v>
      </c>
      <c r="AC117" s="846" t="s">
        <v>194</v>
      </c>
      <c r="AD117" s="846" t="s">
        <v>194</v>
      </c>
      <c r="AE117" s="846" t="s">
        <v>194</v>
      </c>
      <c r="AF117" s="846" t="s">
        <v>194</v>
      </c>
      <c r="AG117" s="846" t="s">
        <v>194</v>
      </c>
      <c r="AH117" s="846" t="s">
        <v>194</v>
      </c>
      <c r="AI117" s="846" t="s">
        <v>194</v>
      </c>
      <c r="AJ117" s="846" t="s">
        <v>194</v>
      </c>
      <c r="AK117" s="846" t="s">
        <v>194</v>
      </c>
      <c r="AL117" s="846" t="s">
        <v>194</v>
      </c>
      <c r="AM117" s="846" t="s">
        <v>194</v>
      </c>
      <c r="AN117" s="846" t="s">
        <v>194</v>
      </c>
      <c r="AO117" s="846" t="s">
        <v>194</v>
      </c>
      <c r="AP117" s="846" t="s">
        <v>194</v>
      </c>
      <c r="AQ117" s="846" t="s">
        <v>194</v>
      </c>
      <c r="AR117" s="846" t="s">
        <v>194</v>
      </c>
      <c r="AS117" s="846" t="s">
        <v>194</v>
      </c>
      <c r="AT117" s="846" t="s">
        <v>194</v>
      </c>
      <c r="AU117" s="846" t="s">
        <v>194</v>
      </c>
      <c r="AV117" s="846" t="s">
        <v>194</v>
      </c>
      <c r="AW117" s="846" t="s">
        <v>194</v>
      </c>
      <c r="AX117" s="846" t="s">
        <v>194</v>
      </c>
      <c r="AY117" s="846" t="s">
        <v>194</v>
      </c>
      <c r="AZ117" s="846" t="s">
        <v>194</v>
      </c>
      <c r="BA117" s="846" t="s">
        <v>194</v>
      </c>
      <c r="BB117" s="846" t="s">
        <v>194</v>
      </c>
      <c r="BC117" s="846" t="s">
        <v>194</v>
      </c>
      <c r="BD117" s="846" t="s">
        <v>194</v>
      </c>
      <c r="BE117" s="846" t="s">
        <v>194</v>
      </c>
      <c r="BF117" s="846" t="s">
        <v>194</v>
      </c>
      <c r="BG117" s="846" t="s">
        <v>194</v>
      </c>
    </row>
    <row r="118" ht="15.75" customHeight="1">
      <c r="A118" s="846" t="s">
        <v>194</v>
      </c>
      <c r="B118" s="846" t="s">
        <v>194</v>
      </c>
      <c r="C118" s="846" t="s">
        <v>194</v>
      </c>
      <c r="D118" s="846" t="s">
        <v>194</v>
      </c>
      <c r="E118" s="846" t="s">
        <v>194</v>
      </c>
      <c r="F118" s="846" t="s">
        <v>194</v>
      </c>
      <c r="G118" s="846" t="s">
        <v>194</v>
      </c>
      <c r="H118" s="846" t="s">
        <v>194</v>
      </c>
      <c r="I118" s="846" t="s">
        <v>194</v>
      </c>
      <c r="J118" s="846" t="s">
        <v>194</v>
      </c>
      <c r="K118" s="846" t="s">
        <v>194</v>
      </c>
      <c r="L118" s="846" t="s">
        <v>194</v>
      </c>
      <c r="M118" s="846" t="s">
        <v>194</v>
      </c>
      <c r="N118" s="846" t="s">
        <v>194</v>
      </c>
      <c r="O118" s="846" t="s">
        <v>194</v>
      </c>
      <c r="P118" s="846" t="s">
        <v>194</v>
      </c>
      <c r="Q118" s="846" t="s">
        <v>194</v>
      </c>
      <c r="R118" s="846" t="s">
        <v>194</v>
      </c>
      <c r="S118" s="846" t="s">
        <v>194</v>
      </c>
      <c r="T118" s="846" t="s">
        <v>194</v>
      </c>
      <c r="U118" s="846" t="s">
        <v>194</v>
      </c>
      <c r="V118" s="846" t="s">
        <v>194</v>
      </c>
      <c r="W118" s="846" t="s">
        <v>194</v>
      </c>
      <c r="X118" s="846" t="s">
        <v>194</v>
      </c>
      <c r="Y118" s="846" t="s">
        <v>194</v>
      </c>
      <c r="Z118" s="846" t="s">
        <v>194</v>
      </c>
      <c r="AA118" s="846" t="s">
        <v>194</v>
      </c>
      <c r="AB118" s="846" t="s">
        <v>194</v>
      </c>
      <c r="AC118" s="846" t="s">
        <v>194</v>
      </c>
      <c r="AD118" s="846" t="s">
        <v>194</v>
      </c>
      <c r="AE118" s="846" t="s">
        <v>194</v>
      </c>
      <c r="AF118" s="846" t="s">
        <v>194</v>
      </c>
      <c r="AG118" s="846" t="s">
        <v>194</v>
      </c>
      <c r="AH118" s="846" t="s">
        <v>194</v>
      </c>
      <c r="AI118" s="846" t="s">
        <v>194</v>
      </c>
      <c r="AJ118" s="846" t="s">
        <v>194</v>
      </c>
      <c r="AK118" s="846" t="s">
        <v>194</v>
      </c>
      <c r="AL118" s="846" t="s">
        <v>194</v>
      </c>
      <c r="AM118" s="846" t="s">
        <v>194</v>
      </c>
      <c r="AN118" s="846" t="s">
        <v>194</v>
      </c>
      <c r="AO118" s="846" t="s">
        <v>194</v>
      </c>
      <c r="AP118" s="846" t="s">
        <v>194</v>
      </c>
      <c r="AQ118" s="846" t="s">
        <v>194</v>
      </c>
      <c r="AR118" s="846" t="s">
        <v>194</v>
      </c>
      <c r="AS118" s="846" t="s">
        <v>194</v>
      </c>
      <c r="AT118" s="846" t="s">
        <v>194</v>
      </c>
      <c r="AU118" s="846" t="s">
        <v>194</v>
      </c>
      <c r="AV118" s="846" t="s">
        <v>194</v>
      </c>
      <c r="AW118" s="846" t="s">
        <v>194</v>
      </c>
      <c r="AX118" s="846" t="s">
        <v>194</v>
      </c>
      <c r="AY118" s="846" t="s">
        <v>194</v>
      </c>
      <c r="AZ118" s="846" t="s">
        <v>194</v>
      </c>
      <c r="BA118" s="846" t="s">
        <v>194</v>
      </c>
      <c r="BB118" s="846" t="s">
        <v>194</v>
      </c>
      <c r="BC118" s="846" t="s">
        <v>194</v>
      </c>
      <c r="BD118" s="846" t="s">
        <v>194</v>
      </c>
      <c r="BE118" s="846" t="s">
        <v>194</v>
      </c>
      <c r="BF118" s="846" t="s">
        <v>194</v>
      </c>
      <c r="BG118" s="846" t="s">
        <v>194</v>
      </c>
    </row>
    <row r="119" ht="15.75" customHeight="1">
      <c r="A119" s="846" t="s">
        <v>194</v>
      </c>
      <c r="B119" s="846" t="s">
        <v>194</v>
      </c>
      <c r="C119" s="846" t="s">
        <v>194</v>
      </c>
      <c r="D119" s="846" t="s">
        <v>194</v>
      </c>
      <c r="E119" s="846" t="s">
        <v>194</v>
      </c>
      <c r="F119" s="846" t="s">
        <v>194</v>
      </c>
      <c r="G119" s="846" t="s">
        <v>194</v>
      </c>
      <c r="H119" s="846" t="s">
        <v>194</v>
      </c>
      <c r="I119" s="846" t="s">
        <v>194</v>
      </c>
      <c r="J119" s="846" t="s">
        <v>194</v>
      </c>
      <c r="K119" s="846" t="s">
        <v>194</v>
      </c>
      <c r="L119" s="846" t="s">
        <v>194</v>
      </c>
      <c r="M119" s="846" t="s">
        <v>194</v>
      </c>
      <c r="N119" s="846" t="s">
        <v>194</v>
      </c>
      <c r="O119" s="846" t="s">
        <v>194</v>
      </c>
      <c r="P119" s="846" t="s">
        <v>194</v>
      </c>
      <c r="Q119" s="846" t="s">
        <v>194</v>
      </c>
      <c r="R119" s="846" t="s">
        <v>194</v>
      </c>
      <c r="S119" s="846" t="s">
        <v>194</v>
      </c>
      <c r="T119" s="846" t="s">
        <v>194</v>
      </c>
      <c r="U119" s="846" t="s">
        <v>194</v>
      </c>
      <c r="V119" s="846" t="s">
        <v>194</v>
      </c>
      <c r="W119" s="846" t="s">
        <v>194</v>
      </c>
      <c r="X119" s="846" t="s">
        <v>194</v>
      </c>
      <c r="Y119" s="846" t="s">
        <v>194</v>
      </c>
      <c r="Z119" s="846" t="s">
        <v>194</v>
      </c>
      <c r="AA119" s="846" t="s">
        <v>194</v>
      </c>
      <c r="AB119" s="846" t="s">
        <v>194</v>
      </c>
      <c r="AC119" s="846" t="s">
        <v>194</v>
      </c>
      <c r="AD119" s="846" t="s">
        <v>194</v>
      </c>
      <c r="AE119" s="846" t="s">
        <v>194</v>
      </c>
      <c r="AF119" s="846" t="s">
        <v>194</v>
      </c>
      <c r="AG119" s="846" t="s">
        <v>194</v>
      </c>
      <c r="AH119" s="846" t="s">
        <v>194</v>
      </c>
      <c r="AI119" s="846" t="s">
        <v>194</v>
      </c>
      <c r="AJ119" s="846" t="s">
        <v>194</v>
      </c>
      <c r="AK119" s="846" t="s">
        <v>194</v>
      </c>
      <c r="AL119" s="846" t="s">
        <v>194</v>
      </c>
      <c r="AM119" s="846" t="s">
        <v>194</v>
      </c>
      <c r="AN119" s="846" t="s">
        <v>194</v>
      </c>
      <c r="AO119" s="846" t="s">
        <v>194</v>
      </c>
      <c r="AP119" s="846" t="s">
        <v>194</v>
      </c>
      <c r="AQ119" s="846" t="s">
        <v>194</v>
      </c>
      <c r="AR119" s="846" t="s">
        <v>194</v>
      </c>
      <c r="AS119" s="846" t="s">
        <v>194</v>
      </c>
      <c r="AT119" s="846" t="s">
        <v>194</v>
      </c>
      <c r="AU119" s="846" t="s">
        <v>194</v>
      </c>
      <c r="AV119" s="846" t="s">
        <v>194</v>
      </c>
      <c r="AW119" s="846" t="s">
        <v>194</v>
      </c>
      <c r="AX119" s="846" t="s">
        <v>194</v>
      </c>
      <c r="AY119" s="846" t="s">
        <v>194</v>
      </c>
      <c r="AZ119" s="846" t="s">
        <v>194</v>
      </c>
      <c r="BA119" s="846" t="s">
        <v>194</v>
      </c>
      <c r="BB119" s="846" t="s">
        <v>194</v>
      </c>
      <c r="BC119" s="846" t="s">
        <v>194</v>
      </c>
      <c r="BD119" s="846" t="s">
        <v>194</v>
      </c>
      <c r="BE119" s="846" t="s">
        <v>194</v>
      </c>
      <c r="BF119" s="846" t="s">
        <v>194</v>
      </c>
      <c r="BG119" s="846" t="s">
        <v>194</v>
      </c>
    </row>
    <row r="120" ht="15.75" customHeight="1">
      <c r="A120" s="846" t="s">
        <v>194</v>
      </c>
      <c r="B120" s="846" t="s">
        <v>194</v>
      </c>
      <c r="C120" s="846" t="s">
        <v>194</v>
      </c>
      <c r="D120" s="846" t="s">
        <v>194</v>
      </c>
      <c r="E120" s="846" t="s">
        <v>194</v>
      </c>
      <c r="F120" s="846" t="s">
        <v>194</v>
      </c>
      <c r="G120" s="846" t="s">
        <v>194</v>
      </c>
      <c r="H120" s="846" t="s">
        <v>194</v>
      </c>
      <c r="I120" s="846" t="s">
        <v>194</v>
      </c>
      <c r="J120" s="846" t="s">
        <v>194</v>
      </c>
      <c r="K120" s="846" t="s">
        <v>194</v>
      </c>
      <c r="L120" s="846" t="s">
        <v>194</v>
      </c>
      <c r="M120" s="846" t="s">
        <v>194</v>
      </c>
      <c r="N120" s="846" t="s">
        <v>194</v>
      </c>
      <c r="O120" s="846" t="s">
        <v>194</v>
      </c>
      <c r="P120" s="846" t="s">
        <v>194</v>
      </c>
      <c r="Q120" s="846" t="s">
        <v>194</v>
      </c>
      <c r="R120" s="846" t="s">
        <v>194</v>
      </c>
      <c r="S120" s="846" t="s">
        <v>194</v>
      </c>
      <c r="T120" s="846" t="s">
        <v>194</v>
      </c>
      <c r="U120" s="846" t="s">
        <v>194</v>
      </c>
      <c r="V120" s="846" t="s">
        <v>194</v>
      </c>
      <c r="W120" s="846" t="s">
        <v>194</v>
      </c>
      <c r="X120" s="846" t="s">
        <v>194</v>
      </c>
      <c r="Y120" s="846" t="s">
        <v>194</v>
      </c>
      <c r="Z120" s="846" t="s">
        <v>194</v>
      </c>
      <c r="AA120" s="846" t="s">
        <v>194</v>
      </c>
      <c r="AB120" s="846" t="s">
        <v>194</v>
      </c>
      <c r="AC120" s="846" t="s">
        <v>194</v>
      </c>
      <c r="AD120" s="846" t="s">
        <v>194</v>
      </c>
      <c r="AE120" s="846" t="s">
        <v>194</v>
      </c>
      <c r="AF120" s="846" t="s">
        <v>194</v>
      </c>
      <c r="AG120" s="846" t="s">
        <v>194</v>
      </c>
      <c r="AH120" s="846" t="s">
        <v>194</v>
      </c>
      <c r="AI120" s="846" t="s">
        <v>194</v>
      </c>
      <c r="AJ120" s="846" t="s">
        <v>194</v>
      </c>
      <c r="AK120" s="846" t="s">
        <v>194</v>
      </c>
      <c r="AL120" s="846" t="s">
        <v>194</v>
      </c>
      <c r="AM120" s="846" t="s">
        <v>194</v>
      </c>
      <c r="AN120" s="846" t="s">
        <v>194</v>
      </c>
      <c r="AO120" s="846" t="s">
        <v>194</v>
      </c>
      <c r="AP120" s="846" t="s">
        <v>194</v>
      </c>
      <c r="AQ120" s="846" t="s">
        <v>194</v>
      </c>
      <c r="AR120" s="846" t="s">
        <v>194</v>
      </c>
      <c r="AS120" s="846" t="s">
        <v>194</v>
      </c>
      <c r="AT120" s="846" t="s">
        <v>194</v>
      </c>
      <c r="AU120" s="846" t="s">
        <v>194</v>
      </c>
      <c r="AV120" s="846" t="s">
        <v>194</v>
      </c>
      <c r="AW120" s="846" t="s">
        <v>194</v>
      </c>
      <c r="AX120" s="846" t="s">
        <v>194</v>
      </c>
      <c r="AY120" s="846" t="s">
        <v>194</v>
      </c>
      <c r="AZ120" s="846" t="s">
        <v>194</v>
      </c>
      <c r="BA120" s="846" t="s">
        <v>194</v>
      </c>
      <c r="BB120" s="846" t="s">
        <v>194</v>
      </c>
      <c r="BC120" s="846" t="s">
        <v>194</v>
      </c>
      <c r="BD120" s="846" t="s">
        <v>194</v>
      </c>
      <c r="BE120" s="846" t="s">
        <v>194</v>
      </c>
      <c r="BF120" s="846" t="s">
        <v>194</v>
      </c>
      <c r="BG120" s="846" t="s">
        <v>194</v>
      </c>
    </row>
    <row r="121" ht="15.75" customHeight="1">
      <c r="A121" s="846" t="s">
        <v>194</v>
      </c>
      <c r="B121" s="846" t="s">
        <v>194</v>
      </c>
      <c r="C121" s="846" t="s">
        <v>194</v>
      </c>
      <c r="D121" s="846" t="s">
        <v>194</v>
      </c>
      <c r="E121" s="846" t="s">
        <v>194</v>
      </c>
      <c r="F121" s="846" t="s">
        <v>194</v>
      </c>
      <c r="G121" s="846" t="s">
        <v>194</v>
      </c>
      <c r="H121" s="846" t="s">
        <v>194</v>
      </c>
      <c r="I121" s="846" t="s">
        <v>194</v>
      </c>
      <c r="J121" s="846" t="s">
        <v>194</v>
      </c>
      <c r="K121" s="846" t="s">
        <v>194</v>
      </c>
      <c r="L121" s="846" t="s">
        <v>194</v>
      </c>
      <c r="M121" s="846" t="s">
        <v>194</v>
      </c>
      <c r="N121" s="846" t="s">
        <v>194</v>
      </c>
      <c r="O121" s="846" t="s">
        <v>194</v>
      </c>
      <c r="P121" s="846" t="s">
        <v>194</v>
      </c>
      <c r="Q121" s="846" t="s">
        <v>194</v>
      </c>
      <c r="R121" s="846" t="s">
        <v>194</v>
      </c>
      <c r="S121" s="846" t="s">
        <v>194</v>
      </c>
      <c r="T121" s="846" t="s">
        <v>194</v>
      </c>
      <c r="U121" s="846" t="s">
        <v>194</v>
      </c>
      <c r="V121" s="846" t="s">
        <v>194</v>
      </c>
      <c r="W121" s="846" t="s">
        <v>194</v>
      </c>
      <c r="X121" s="846" t="s">
        <v>194</v>
      </c>
      <c r="Y121" s="846" t="s">
        <v>194</v>
      </c>
      <c r="Z121" s="846" t="s">
        <v>194</v>
      </c>
      <c r="AA121" s="846" t="s">
        <v>194</v>
      </c>
      <c r="AB121" s="846" t="s">
        <v>194</v>
      </c>
      <c r="AC121" s="846" t="s">
        <v>194</v>
      </c>
      <c r="AD121" s="846" t="s">
        <v>194</v>
      </c>
      <c r="AE121" s="846" t="s">
        <v>194</v>
      </c>
      <c r="AF121" s="846" t="s">
        <v>194</v>
      </c>
      <c r="AG121" s="846" t="s">
        <v>194</v>
      </c>
      <c r="AH121" s="846" t="s">
        <v>194</v>
      </c>
      <c r="AI121" s="846" t="s">
        <v>194</v>
      </c>
      <c r="AJ121" s="846" t="s">
        <v>194</v>
      </c>
      <c r="AK121" s="846" t="s">
        <v>194</v>
      </c>
      <c r="AL121" s="846" t="s">
        <v>194</v>
      </c>
      <c r="AM121" s="846" t="s">
        <v>194</v>
      </c>
      <c r="AN121" s="846" t="s">
        <v>194</v>
      </c>
      <c r="AO121" s="846" t="s">
        <v>194</v>
      </c>
      <c r="AP121" s="846" t="s">
        <v>194</v>
      </c>
      <c r="AQ121" s="846" t="s">
        <v>194</v>
      </c>
      <c r="AR121" s="846" t="s">
        <v>194</v>
      </c>
      <c r="AS121" s="846" t="s">
        <v>194</v>
      </c>
      <c r="AT121" s="846" t="s">
        <v>194</v>
      </c>
      <c r="AU121" s="846" t="s">
        <v>194</v>
      </c>
      <c r="AV121" s="846" t="s">
        <v>194</v>
      </c>
      <c r="AW121" s="846" t="s">
        <v>194</v>
      </c>
      <c r="AX121" s="846" t="s">
        <v>194</v>
      </c>
      <c r="AY121" s="846" t="s">
        <v>194</v>
      </c>
      <c r="AZ121" s="846" t="s">
        <v>194</v>
      </c>
      <c r="BA121" s="846" t="s">
        <v>194</v>
      </c>
      <c r="BB121" s="846" t="s">
        <v>194</v>
      </c>
      <c r="BC121" s="846" t="s">
        <v>194</v>
      </c>
      <c r="BD121" s="846" t="s">
        <v>194</v>
      </c>
      <c r="BE121" s="846" t="s">
        <v>194</v>
      </c>
      <c r="BF121" s="846" t="s">
        <v>194</v>
      </c>
      <c r="BG121" s="846" t="s">
        <v>194</v>
      </c>
    </row>
    <row r="122" ht="15.75" customHeight="1">
      <c r="A122" s="846" t="s">
        <v>194</v>
      </c>
      <c r="B122" s="846" t="s">
        <v>194</v>
      </c>
      <c r="C122" s="846" t="s">
        <v>194</v>
      </c>
      <c r="D122" s="846" t="s">
        <v>194</v>
      </c>
      <c r="E122" s="846" t="s">
        <v>194</v>
      </c>
      <c r="F122" s="846" t="s">
        <v>194</v>
      </c>
      <c r="G122" s="846" t="s">
        <v>194</v>
      </c>
      <c r="H122" s="846" t="s">
        <v>194</v>
      </c>
      <c r="I122" s="846" t="s">
        <v>194</v>
      </c>
      <c r="J122" s="846" t="s">
        <v>194</v>
      </c>
      <c r="K122" s="846" t="s">
        <v>194</v>
      </c>
      <c r="L122" s="846" t="s">
        <v>194</v>
      </c>
      <c r="M122" s="846" t="s">
        <v>194</v>
      </c>
      <c r="N122" s="846" t="s">
        <v>194</v>
      </c>
      <c r="O122" s="846" t="s">
        <v>194</v>
      </c>
      <c r="P122" s="846" t="s">
        <v>194</v>
      </c>
      <c r="Q122" s="846" t="s">
        <v>194</v>
      </c>
      <c r="R122" s="846" t="s">
        <v>194</v>
      </c>
      <c r="S122" s="846" t="s">
        <v>194</v>
      </c>
      <c r="T122" s="846" t="s">
        <v>194</v>
      </c>
      <c r="U122" s="846" t="s">
        <v>194</v>
      </c>
      <c r="V122" s="846" t="s">
        <v>194</v>
      </c>
      <c r="W122" s="846" t="s">
        <v>194</v>
      </c>
      <c r="X122" s="846" t="s">
        <v>194</v>
      </c>
      <c r="Y122" s="846" t="s">
        <v>194</v>
      </c>
      <c r="Z122" s="846" t="s">
        <v>194</v>
      </c>
      <c r="AA122" s="846" t="s">
        <v>194</v>
      </c>
      <c r="AB122" s="846" t="s">
        <v>194</v>
      </c>
      <c r="AC122" s="846" t="s">
        <v>194</v>
      </c>
      <c r="AD122" s="846" t="s">
        <v>194</v>
      </c>
      <c r="AE122" s="846" t="s">
        <v>194</v>
      </c>
      <c r="AF122" s="846" t="s">
        <v>194</v>
      </c>
      <c r="AG122" s="846" t="s">
        <v>194</v>
      </c>
      <c r="AH122" s="846" t="s">
        <v>194</v>
      </c>
      <c r="AI122" s="846" t="s">
        <v>194</v>
      </c>
      <c r="AJ122" s="846" t="s">
        <v>194</v>
      </c>
      <c r="AK122" s="846" t="s">
        <v>194</v>
      </c>
      <c r="AL122" s="846" t="s">
        <v>194</v>
      </c>
      <c r="AM122" s="846" t="s">
        <v>194</v>
      </c>
      <c r="AN122" s="846" t="s">
        <v>194</v>
      </c>
      <c r="AO122" s="846" t="s">
        <v>194</v>
      </c>
      <c r="AP122" s="846" t="s">
        <v>194</v>
      </c>
      <c r="AQ122" s="846" t="s">
        <v>194</v>
      </c>
      <c r="AR122" s="846" t="s">
        <v>194</v>
      </c>
      <c r="AS122" s="846" t="s">
        <v>194</v>
      </c>
      <c r="AT122" s="846" t="s">
        <v>194</v>
      </c>
      <c r="AU122" s="846" t="s">
        <v>194</v>
      </c>
      <c r="AV122" s="846" t="s">
        <v>194</v>
      </c>
      <c r="AW122" s="846" t="s">
        <v>194</v>
      </c>
      <c r="AX122" s="846" t="s">
        <v>194</v>
      </c>
      <c r="AY122" s="846" t="s">
        <v>194</v>
      </c>
      <c r="AZ122" s="846" t="s">
        <v>194</v>
      </c>
      <c r="BA122" s="846" t="s">
        <v>194</v>
      </c>
      <c r="BB122" s="846" t="s">
        <v>194</v>
      </c>
      <c r="BC122" s="846" t="s">
        <v>194</v>
      </c>
      <c r="BD122" s="846" t="s">
        <v>194</v>
      </c>
      <c r="BE122" s="846" t="s">
        <v>194</v>
      </c>
      <c r="BF122" s="846" t="s">
        <v>194</v>
      </c>
      <c r="BG122" s="846" t="s">
        <v>194</v>
      </c>
    </row>
    <row r="123" ht="15.75" customHeight="1">
      <c r="A123" s="846" t="s">
        <v>194</v>
      </c>
      <c r="B123" s="846" t="s">
        <v>194</v>
      </c>
      <c r="C123" s="846" t="s">
        <v>194</v>
      </c>
      <c r="D123" s="846" t="s">
        <v>194</v>
      </c>
      <c r="E123" s="846" t="s">
        <v>194</v>
      </c>
      <c r="F123" s="846" t="s">
        <v>194</v>
      </c>
      <c r="G123" s="846" t="s">
        <v>194</v>
      </c>
      <c r="H123" s="846" t="s">
        <v>194</v>
      </c>
      <c r="I123" s="846" t="s">
        <v>194</v>
      </c>
      <c r="J123" s="846" t="s">
        <v>194</v>
      </c>
      <c r="K123" s="846" t="s">
        <v>194</v>
      </c>
      <c r="L123" s="846" t="s">
        <v>194</v>
      </c>
      <c r="M123" s="846" t="s">
        <v>194</v>
      </c>
      <c r="N123" s="846" t="s">
        <v>194</v>
      </c>
      <c r="O123" s="846" t="s">
        <v>194</v>
      </c>
      <c r="P123" s="846" t="s">
        <v>194</v>
      </c>
      <c r="Q123" s="846" t="s">
        <v>194</v>
      </c>
      <c r="R123" s="846" t="s">
        <v>194</v>
      </c>
      <c r="S123" s="846" t="s">
        <v>194</v>
      </c>
      <c r="T123" s="846" t="s">
        <v>194</v>
      </c>
      <c r="U123" s="846" t="s">
        <v>194</v>
      </c>
      <c r="V123" s="846" t="s">
        <v>194</v>
      </c>
      <c r="W123" s="846" t="s">
        <v>194</v>
      </c>
      <c r="X123" s="846" t="s">
        <v>194</v>
      </c>
      <c r="Y123" s="846" t="s">
        <v>194</v>
      </c>
      <c r="Z123" s="846" t="s">
        <v>194</v>
      </c>
      <c r="AA123" s="846" t="s">
        <v>194</v>
      </c>
      <c r="AB123" s="846" t="s">
        <v>194</v>
      </c>
      <c r="AC123" s="846" t="s">
        <v>194</v>
      </c>
      <c r="AD123" s="846" t="s">
        <v>194</v>
      </c>
      <c r="AE123" s="846" t="s">
        <v>194</v>
      </c>
      <c r="AF123" s="846" t="s">
        <v>194</v>
      </c>
      <c r="AG123" s="846" t="s">
        <v>194</v>
      </c>
      <c r="AH123" s="846" t="s">
        <v>194</v>
      </c>
      <c r="AI123" s="846" t="s">
        <v>194</v>
      </c>
      <c r="AJ123" s="846" t="s">
        <v>194</v>
      </c>
      <c r="AK123" s="846" t="s">
        <v>194</v>
      </c>
      <c r="AL123" s="846" t="s">
        <v>194</v>
      </c>
      <c r="AM123" s="846" t="s">
        <v>194</v>
      </c>
      <c r="AN123" s="846" t="s">
        <v>194</v>
      </c>
      <c r="AO123" s="846" t="s">
        <v>194</v>
      </c>
      <c r="AP123" s="846" t="s">
        <v>194</v>
      </c>
      <c r="AQ123" s="846" t="s">
        <v>194</v>
      </c>
      <c r="AR123" s="846" t="s">
        <v>194</v>
      </c>
      <c r="AS123" s="846" t="s">
        <v>194</v>
      </c>
      <c r="AT123" s="846" t="s">
        <v>194</v>
      </c>
      <c r="AU123" s="846" t="s">
        <v>194</v>
      </c>
      <c r="AV123" s="846" t="s">
        <v>194</v>
      </c>
      <c r="AW123" s="846" t="s">
        <v>194</v>
      </c>
      <c r="AX123" s="846" t="s">
        <v>194</v>
      </c>
      <c r="AY123" s="846" t="s">
        <v>194</v>
      </c>
      <c r="AZ123" s="846" t="s">
        <v>194</v>
      </c>
      <c r="BA123" s="846" t="s">
        <v>194</v>
      </c>
      <c r="BB123" s="846" t="s">
        <v>194</v>
      </c>
      <c r="BC123" s="846" t="s">
        <v>194</v>
      </c>
      <c r="BD123" s="846" t="s">
        <v>194</v>
      </c>
      <c r="BE123" s="846" t="s">
        <v>194</v>
      </c>
      <c r="BF123" s="846" t="s">
        <v>194</v>
      </c>
      <c r="BG123" s="846" t="s">
        <v>194</v>
      </c>
    </row>
    <row r="124" ht="15.75" customHeight="1">
      <c r="A124" s="846" t="s">
        <v>194</v>
      </c>
      <c r="B124" s="846" t="s">
        <v>194</v>
      </c>
      <c r="C124" s="846" t="s">
        <v>194</v>
      </c>
      <c r="D124" s="846" t="s">
        <v>194</v>
      </c>
      <c r="E124" s="846" t="s">
        <v>194</v>
      </c>
      <c r="F124" s="846" t="s">
        <v>194</v>
      </c>
      <c r="G124" s="846" t="s">
        <v>194</v>
      </c>
      <c r="H124" s="846" t="s">
        <v>194</v>
      </c>
      <c r="I124" s="846" t="s">
        <v>194</v>
      </c>
      <c r="J124" s="846" t="s">
        <v>194</v>
      </c>
      <c r="K124" s="846" t="s">
        <v>194</v>
      </c>
      <c r="L124" s="846" t="s">
        <v>194</v>
      </c>
      <c r="M124" s="846" t="s">
        <v>194</v>
      </c>
      <c r="N124" s="846" t="s">
        <v>194</v>
      </c>
      <c r="O124" s="846" t="s">
        <v>194</v>
      </c>
      <c r="P124" s="846" t="s">
        <v>194</v>
      </c>
      <c r="Q124" s="846" t="s">
        <v>194</v>
      </c>
      <c r="R124" s="846" t="s">
        <v>194</v>
      </c>
      <c r="S124" s="846" t="s">
        <v>194</v>
      </c>
      <c r="T124" s="846" t="s">
        <v>194</v>
      </c>
      <c r="U124" s="846" t="s">
        <v>194</v>
      </c>
      <c r="V124" s="846" t="s">
        <v>194</v>
      </c>
      <c r="W124" s="846" t="s">
        <v>194</v>
      </c>
      <c r="X124" s="846" t="s">
        <v>194</v>
      </c>
      <c r="Y124" s="846" t="s">
        <v>194</v>
      </c>
      <c r="Z124" s="846" t="s">
        <v>194</v>
      </c>
      <c r="AA124" s="846" t="s">
        <v>194</v>
      </c>
      <c r="AB124" s="846" t="s">
        <v>194</v>
      </c>
      <c r="AC124" s="846" t="s">
        <v>194</v>
      </c>
      <c r="AD124" s="846" t="s">
        <v>194</v>
      </c>
      <c r="AE124" s="846" t="s">
        <v>194</v>
      </c>
      <c r="AF124" s="846" t="s">
        <v>194</v>
      </c>
      <c r="AG124" s="846" t="s">
        <v>194</v>
      </c>
      <c r="AH124" s="846" t="s">
        <v>194</v>
      </c>
      <c r="AI124" s="846" t="s">
        <v>194</v>
      </c>
      <c r="AJ124" s="846" t="s">
        <v>194</v>
      </c>
      <c r="AK124" s="846" t="s">
        <v>194</v>
      </c>
      <c r="AL124" s="846" t="s">
        <v>194</v>
      </c>
      <c r="AM124" s="846" t="s">
        <v>194</v>
      </c>
      <c r="AN124" s="846" t="s">
        <v>194</v>
      </c>
      <c r="AO124" s="846" t="s">
        <v>194</v>
      </c>
      <c r="AP124" s="846" t="s">
        <v>194</v>
      </c>
      <c r="AQ124" s="846" t="s">
        <v>194</v>
      </c>
      <c r="AR124" s="846" t="s">
        <v>194</v>
      </c>
      <c r="AS124" s="846" t="s">
        <v>194</v>
      </c>
      <c r="AT124" s="846" t="s">
        <v>194</v>
      </c>
      <c r="AU124" s="846" t="s">
        <v>194</v>
      </c>
      <c r="AV124" s="846" t="s">
        <v>194</v>
      </c>
      <c r="AW124" s="846" t="s">
        <v>194</v>
      </c>
      <c r="AX124" s="846" t="s">
        <v>194</v>
      </c>
      <c r="AY124" s="846" t="s">
        <v>194</v>
      </c>
      <c r="AZ124" s="846" t="s">
        <v>194</v>
      </c>
      <c r="BA124" s="846" t="s">
        <v>194</v>
      </c>
      <c r="BB124" s="846" t="s">
        <v>194</v>
      </c>
      <c r="BC124" s="846" t="s">
        <v>194</v>
      </c>
      <c r="BD124" s="846" t="s">
        <v>194</v>
      </c>
      <c r="BE124" s="846" t="s">
        <v>194</v>
      </c>
      <c r="BF124" s="846" t="s">
        <v>194</v>
      </c>
      <c r="BG124" s="846" t="s">
        <v>194</v>
      </c>
    </row>
    <row r="125" ht="15.75" customHeight="1">
      <c r="A125" s="846" t="s">
        <v>194</v>
      </c>
      <c r="B125" s="846" t="s">
        <v>194</v>
      </c>
      <c r="C125" s="846" t="s">
        <v>194</v>
      </c>
      <c r="D125" s="846" t="s">
        <v>194</v>
      </c>
      <c r="E125" s="846" t="s">
        <v>194</v>
      </c>
      <c r="F125" s="846" t="s">
        <v>194</v>
      </c>
      <c r="G125" s="846" t="s">
        <v>194</v>
      </c>
      <c r="H125" s="846" t="s">
        <v>194</v>
      </c>
      <c r="I125" s="846" t="s">
        <v>194</v>
      </c>
      <c r="J125" s="846" t="s">
        <v>194</v>
      </c>
      <c r="K125" s="846" t="s">
        <v>194</v>
      </c>
      <c r="L125" s="846" t="s">
        <v>194</v>
      </c>
      <c r="M125" s="846" t="s">
        <v>194</v>
      </c>
      <c r="N125" s="846" t="s">
        <v>194</v>
      </c>
      <c r="O125" s="846" t="s">
        <v>194</v>
      </c>
      <c r="P125" s="846" t="s">
        <v>194</v>
      </c>
      <c r="Q125" s="846" t="s">
        <v>194</v>
      </c>
      <c r="R125" s="846" t="s">
        <v>194</v>
      </c>
      <c r="S125" s="846" t="s">
        <v>194</v>
      </c>
      <c r="T125" s="846" t="s">
        <v>194</v>
      </c>
      <c r="U125" s="846" t="s">
        <v>194</v>
      </c>
      <c r="V125" s="846" t="s">
        <v>194</v>
      </c>
      <c r="W125" s="846" t="s">
        <v>194</v>
      </c>
      <c r="X125" s="846" t="s">
        <v>194</v>
      </c>
      <c r="Y125" s="846" t="s">
        <v>194</v>
      </c>
      <c r="Z125" s="846" t="s">
        <v>194</v>
      </c>
      <c r="AA125" s="846" t="s">
        <v>194</v>
      </c>
      <c r="AB125" s="846" t="s">
        <v>194</v>
      </c>
      <c r="AC125" s="846" t="s">
        <v>194</v>
      </c>
      <c r="AD125" s="846" t="s">
        <v>194</v>
      </c>
      <c r="AE125" s="846" t="s">
        <v>194</v>
      </c>
      <c r="AF125" s="846" t="s">
        <v>194</v>
      </c>
      <c r="AG125" s="846" t="s">
        <v>194</v>
      </c>
      <c r="AH125" s="846" t="s">
        <v>194</v>
      </c>
      <c r="AI125" s="846" t="s">
        <v>194</v>
      </c>
      <c r="AJ125" s="846" t="s">
        <v>194</v>
      </c>
      <c r="AK125" s="846" t="s">
        <v>194</v>
      </c>
      <c r="AL125" s="846" t="s">
        <v>194</v>
      </c>
      <c r="AM125" s="846" t="s">
        <v>194</v>
      </c>
      <c r="AN125" s="846" t="s">
        <v>194</v>
      </c>
      <c r="AO125" s="846" t="s">
        <v>194</v>
      </c>
      <c r="AP125" s="846" t="s">
        <v>194</v>
      </c>
      <c r="AQ125" s="846" t="s">
        <v>194</v>
      </c>
      <c r="AR125" s="846" t="s">
        <v>194</v>
      </c>
      <c r="AS125" s="846" t="s">
        <v>194</v>
      </c>
      <c r="AT125" s="846" t="s">
        <v>194</v>
      </c>
      <c r="AU125" s="846" t="s">
        <v>194</v>
      </c>
      <c r="AV125" s="846" t="s">
        <v>194</v>
      </c>
      <c r="AW125" s="846" t="s">
        <v>194</v>
      </c>
      <c r="AX125" s="846" t="s">
        <v>194</v>
      </c>
      <c r="AY125" s="846" t="s">
        <v>194</v>
      </c>
      <c r="AZ125" s="846" t="s">
        <v>194</v>
      </c>
      <c r="BA125" s="846" t="s">
        <v>194</v>
      </c>
      <c r="BB125" s="846" t="s">
        <v>194</v>
      </c>
      <c r="BC125" s="846" t="s">
        <v>194</v>
      </c>
      <c r="BD125" s="846" t="s">
        <v>194</v>
      </c>
      <c r="BE125" s="846" t="s">
        <v>194</v>
      </c>
      <c r="BF125" s="846" t="s">
        <v>194</v>
      </c>
      <c r="BG125" s="846" t="s">
        <v>194</v>
      </c>
    </row>
    <row r="126" ht="15.75" customHeight="1">
      <c r="A126" s="846" t="s">
        <v>194</v>
      </c>
      <c r="B126" s="846" t="s">
        <v>194</v>
      </c>
      <c r="C126" s="846" t="s">
        <v>194</v>
      </c>
      <c r="D126" s="846" t="s">
        <v>194</v>
      </c>
      <c r="E126" s="846" t="s">
        <v>194</v>
      </c>
      <c r="F126" s="846" t="s">
        <v>194</v>
      </c>
      <c r="G126" s="846" t="s">
        <v>194</v>
      </c>
      <c r="H126" s="846" t="s">
        <v>194</v>
      </c>
      <c r="I126" s="846" t="s">
        <v>194</v>
      </c>
      <c r="J126" s="846" t="s">
        <v>194</v>
      </c>
      <c r="K126" s="846" t="s">
        <v>194</v>
      </c>
      <c r="L126" s="846" t="s">
        <v>194</v>
      </c>
      <c r="M126" s="846" t="s">
        <v>194</v>
      </c>
      <c r="N126" s="846" t="s">
        <v>194</v>
      </c>
      <c r="O126" s="846" t="s">
        <v>194</v>
      </c>
      <c r="P126" s="846" t="s">
        <v>194</v>
      </c>
      <c r="Q126" s="846" t="s">
        <v>194</v>
      </c>
      <c r="R126" s="846" t="s">
        <v>194</v>
      </c>
      <c r="S126" s="846" t="s">
        <v>194</v>
      </c>
      <c r="T126" s="846" t="s">
        <v>194</v>
      </c>
      <c r="U126" s="846" t="s">
        <v>194</v>
      </c>
      <c r="V126" s="846" t="s">
        <v>194</v>
      </c>
      <c r="W126" s="846" t="s">
        <v>194</v>
      </c>
      <c r="X126" s="846" t="s">
        <v>194</v>
      </c>
      <c r="Y126" s="846" t="s">
        <v>194</v>
      </c>
      <c r="Z126" s="846" t="s">
        <v>194</v>
      </c>
      <c r="AA126" s="846" t="s">
        <v>194</v>
      </c>
      <c r="AB126" s="846" t="s">
        <v>194</v>
      </c>
      <c r="AC126" s="846" t="s">
        <v>194</v>
      </c>
      <c r="AD126" s="846" t="s">
        <v>194</v>
      </c>
      <c r="AE126" s="846" t="s">
        <v>194</v>
      </c>
      <c r="AF126" s="846" t="s">
        <v>194</v>
      </c>
      <c r="AG126" s="846" t="s">
        <v>194</v>
      </c>
      <c r="AH126" s="846" t="s">
        <v>194</v>
      </c>
      <c r="AI126" s="846" t="s">
        <v>194</v>
      </c>
      <c r="AJ126" s="846" t="s">
        <v>194</v>
      </c>
      <c r="AK126" s="846" t="s">
        <v>194</v>
      </c>
      <c r="AL126" s="846" t="s">
        <v>194</v>
      </c>
      <c r="AM126" s="846" t="s">
        <v>194</v>
      </c>
      <c r="AN126" s="846" t="s">
        <v>194</v>
      </c>
      <c r="AO126" s="846" t="s">
        <v>194</v>
      </c>
      <c r="AP126" s="846" t="s">
        <v>194</v>
      </c>
      <c r="AQ126" s="846" t="s">
        <v>194</v>
      </c>
      <c r="AR126" s="846" t="s">
        <v>194</v>
      </c>
      <c r="AS126" s="846" t="s">
        <v>194</v>
      </c>
      <c r="AT126" s="846" t="s">
        <v>194</v>
      </c>
      <c r="AU126" s="846" t="s">
        <v>194</v>
      </c>
      <c r="AV126" s="846" t="s">
        <v>194</v>
      </c>
      <c r="AW126" s="846" t="s">
        <v>194</v>
      </c>
      <c r="AX126" s="846" t="s">
        <v>194</v>
      </c>
      <c r="AY126" s="846" t="s">
        <v>194</v>
      </c>
      <c r="AZ126" s="846" t="s">
        <v>194</v>
      </c>
      <c r="BA126" s="846" t="s">
        <v>194</v>
      </c>
      <c r="BB126" s="846" t="s">
        <v>194</v>
      </c>
      <c r="BC126" s="846" t="s">
        <v>194</v>
      </c>
      <c r="BD126" s="846" t="s">
        <v>194</v>
      </c>
      <c r="BE126" s="846" t="s">
        <v>194</v>
      </c>
      <c r="BF126" s="846" t="s">
        <v>194</v>
      </c>
      <c r="BG126" s="846" t="s">
        <v>194</v>
      </c>
    </row>
    <row r="127" ht="15.75" customHeight="1">
      <c r="A127" s="846" t="s">
        <v>194</v>
      </c>
      <c r="B127" s="846" t="s">
        <v>194</v>
      </c>
      <c r="C127" s="846" t="s">
        <v>194</v>
      </c>
      <c r="D127" s="846" t="s">
        <v>194</v>
      </c>
      <c r="E127" s="846" t="s">
        <v>194</v>
      </c>
      <c r="F127" s="846" t="s">
        <v>194</v>
      </c>
      <c r="G127" s="846" t="s">
        <v>194</v>
      </c>
      <c r="H127" s="846" t="s">
        <v>194</v>
      </c>
      <c r="I127" s="846" t="s">
        <v>194</v>
      </c>
      <c r="J127" s="846" t="s">
        <v>194</v>
      </c>
      <c r="K127" s="846" t="s">
        <v>194</v>
      </c>
      <c r="L127" s="846" t="s">
        <v>194</v>
      </c>
      <c r="M127" s="846" t="s">
        <v>194</v>
      </c>
      <c r="N127" s="846" t="s">
        <v>194</v>
      </c>
      <c r="O127" s="846" t="s">
        <v>194</v>
      </c>
      <c r="P127" s="846" t="s">
        <v>194</v>
      </c>
      <c r="Q127" s="846" t="s">
        <v>194</v>
      </c>
      <c r="R127" s="846" t="s">
        <v>194</v>
      </c>
      <c r="S127" s="846" t="s">
        <v>194</v>
      </c>
      <c r="T127" s="846" t="s">
        <v>194</v>
      </c>
      <c r="U127" s="846" t="s">
        <v>194</v>
      </c>
      <c r="V127" s="846" t="s">
        <v>194</v>
      </c>
      <c r="W127" s="846" t="s">
        <v>194</v>
      </c>
      <c r="X127" s="846" t="s">
        <v>194</v>
      </c>
      <c r="Y127" s="846" t="s">
        <v>194</v>
      </c>
      <c r="Z127" s="846" t="s">
        <v>194</v>
      </c>
      <c r="AA127" s="846" t="s">
        <v>194</v>
      </c>
      <c r="AB127" s="846" t="s">
        <v>194</v>
      </c>
      <c r="AC127" s="846" t="s">
        <v>194</v>
      </c>
      <c r="AD127" s="846" t="s">
        <v>194</v>
      </c>
      <c r="AE127" s="846" t="s">
        <v>194</v>
      </c>
      <c r="AF127" s="846" t="s">
        <v>194</v>
      </c>
      <c r="AG127" s="846" t="s">
        <v>194</v>
      </c>
      <c r="AH127" s="846" t="s">
        <v>194</v>
      </c>
      <c r="AI127" s="846" t="s">
        <v>194</v>
      </c>
      <c r="AJ127" s="846" t="s">
        <v>194</v>
      </c>
      <c r="AK127" s="846" t="s">
        <v>194</v>
      </c>
      <c r="AL127" s="846" t="s">
        <v>194</v>
      </c>
      <c r="AM127" s="846" t="s">
        <v>194</v>
      </c>
      <c r="AN127" s="846" t="s">
        <v>194</v>
      </c>
      <c r="AO127" s="846" t="s">
        <v>194</v>
      </c>
      <c r="AP127" s="846" t="s">
        <v>194</v>
      </c>
      <c r="AQ127" s="846" t="s">
        <v>194</v>
      </c>
      <c r="AR127" s="846" t="s">
        <v>194</v>
      </c>
      <c r="AS127" s="846" t="s">
        <v>194</v>
      </c>
      <c r="AT127" s="846" t="s">
        <v>194</v>
      </c>
      <c r="AU127" s="846" t="s">
        <v>194</v>
      </c>
      <c r="AV127" s="846" t="s">
        <v>194</v>
      </c>
      <c r="AW127" s="846" t="s">
        <v>194</v>
      </c>
      <c r="AX127" s="846" t="s">
        <v>194</v>
      </c>
      <c r="AY127" s="846" t="s">
        <v>194</v>
      </c>
      <c r="AZ127" s="846" t="s">
        <v>194</v>
      </c>
      <c r="BA127" s="846" t="s">
        <v>194</v>
      </c>
      <c r="BB127" s="846" t="s">
        <v>194</v>
      </c>
      <c r="BC127" s="846" t="s">
        <v>194</v>
      </c>
      <c r="BD127" s="846" t="s">
        <v>194</v>
      </c>
      <c r="BE127" s="846" t="s">
        <v>194</v>
      </c>
      <c r="BF127" s="846" t="s">
        <v>194</v>
      </c>
      <c r="BG127" s="846" t="s">
        <v>194</v>
      </c>
    </row>
    <row r="128" ht="15.75" customHeight="1">
      <c r="A128" s="846" t="s">
        <v>194</v>
      </c>
      <c r="B128" s="846" t="s">
        <v>194</v>
      </c>
      <c r="C128" s="846" t="s">
        <v>194</v>
      </c>
      <c r="D128" s="846" t="s">
        <v>194</v>
      </c>
      <c r="E128" s="846" t="s">
        <v>194</v>
      </c>
      <c r="F128" s="846" t="s">
        <v>194</v>
      </c>
      <c r="G128" s="846" t="s">
        <v>194</v>
      </c>
      <c r="H128" s="846" t="s">
        <v>194</v>
      </c>
      <c r="I128" s="846" t="s">
        <v>194</v>
      </c>
      <c r="J128" s="846" t="s">
        <v>194</v>
      </c>
      <c r="K128" s="846" t="s">
        <v>194</v>
      </c>
      <c r="L128" s="846" t="s">
        <v>194</v>
      </c>
      <c r="M128" s="846" t="s">
        <v>194</v>
      </c>
      <c r="N128" s="846" t="s">
        <v>194</v>
      </c>
      <c r="O128" s="846" t="s">
        <v>194</v>
      </c>
      <c r="P128" s="846" t="s">
        <v>194</v>
      </c>
      <c r="Q128" s="846" t="s">
        <v>194</v>
      </c>
      <c r="R128" s="846" t="s">
        <v>194</v>
      </c>
      <c r="S128" s="846" t="s">
        <v>194</v>
      </c>
      <c r="T128" s="846" t="s">
        <v>194</v>
      </c>
      <c r="U128" s="846" t="s">
        <v>194</v>
      </c>
      <c r="V128" s="846" t="s">
        <v>194</v>
      </c>
      <c r="W128" s="846" t="s">
        <v>194</v>
      </c>
      <c r="X128" s="846" t="s">
        <v>194</v>
      </c>
      <c r="Y128" s="846" t="s">
        <v>194</v>
      </c>
      <c r="Z128" s="846" t="s">
        <v>194</v>
      </c>
      <c r="AA128" s="846" t="s">
        <v>194</v>
      </c>
      <c r="AB128" s="846" t="s">
        <v>194</v>
      </c>
      <c r="AC128" s="846" t="s">
        <v>194</v>
      </c>
      <c r="AD128" s="846" t="s">
        <v>194</v>
      </c>
      <c r="AE128" s="846" t="s">
        <v>194</v>
      </c>
      <c r="AF128" s="846" t="s">
        <v>194</v>
      </c>
      <c r="AG128" s="846" t="s">
        <v>194</v>
      </c>
      <c r="AH128" s="846" t="s">
        <v>194</v>
      </c>
      <c r="AI128" s="846" t="s">
        <v>194</v>
      </c>
      <c r="AJ128" s="846" t="s">
        <v>194</v>
      </c>
      <c r="AK128" s="846" t="s">
        <v>194</v>
      </c>
      <c r="AL128" s="846" t="s">
        <v>194</v>
      </c>
      <c r="AM128" s="846" t="s">
        <v>194</v>
      </c>
      <c r="AN128" s="846" t="s">
        <v>194</v>
      </c>
      <c r="AO128" s="846" t="s">
        <v>194</v>
      </c>
      <c r="AP128" s="846" t="s">
        <v>194</v>
      </c>
      <c r="AQ128" s="846" t="s">
        <v>194</v>
      </c>
      <c r="AR128" s="846" t="s">
        <v>194</v>
      </c>
      <c r="AS128" s="846" t="s">
        <v>194</v>
      </c>
      <c r="AT128" s="846" t="s">
        <v>194</v>
      </c>
      <c r="AU128" s="846" t="s">
        <v>194</v>
      </c>
      <c r="AV128" s="846" t="s">
        <v>194</v>
      </c>
      <c r="AW128" s="846" t="s">
        <v>194</v>
      </c>
      <c r="AX128" s="846" t="s">
        <v>194</v>
      </c>
      <c r="AY128" s="846" t="s">
        <v>194</v>
      </c>
      <c r="AZ128" s="846" t="s">
        <v>194</v>
      </c>
      <c r="BA128" s="846" t="s">
        <v>194</v>
      </c>
      <c r="BB128" s="846" t="s">
        <v>194</v>
      </c>
      <c r="BC128" s="846" t="s">
        <v>194</v>
      </c>
      <c r="BD128" s="846" t="s">
        <v>194</v>
      </c>
      <c r="BE128" s="846" t="s">
        <v>194</v>
      </c>
      <c r="BF128" s="846" t="s">
        <v>194</v>
      </c>
      <c r="BG128" s="846" t="s">
        <v>194</v>
      </c>
    </row>
    <row r="129" ht="15.75" customHeight="1">
      <c r="A129" s="846" t="s">
        <v>194</v>
      </c>
      <c r="B129" s="846" t="s">
        <v>194</v>
      </c>
      <c r="C129" s="846" t="s">
        <v>194</v>
      </c>
      <c r="D129" s="846" t="s">
        <v>194</v>
      </c>
      <c r="E129" s="846" t="s">
        <v>194</v>
      </c>
      <c r="F129" s="846" t="s">
        <v>194</v>
      </c>
      <c r="G129" s="846" t="s">
        <v>194</v>
      </c>
      <c r="H129" s="846" t="s">
        <v>194</v>
      </c>
      <c r="I129" s="846" t="s">
        <v>194</v>
      </c>
      <c r="J129" s="846" t="s">
        <v>194</v>
      </c>
      <c r="K129" s="846" t="s">
        <v>194</v>
      </c>
      <c r="L129" s="846" t="s">
        <v>194</v>
      </c>
      <c r="M129" s="846" t="s">
        <v>194</v>
      </c>
      <c r="N129" s="846" t="s">
        <v>194</v>
      </c>
      <c r="O129" s="846" t="s">
        <v>194</v>
      </c>
      <c r="P129" s="846" t="s">
        <v>194</v>
      </c>
      <c r="Q129" s="846" t="s">
        <v>194</v>
      </c>
      <c r="R129" s="846" t="s">
        <v>194</v>
      </c>
      <c r="S129" s="846" t="s">
        <v>194</v>
      </c>
      <c r="T129" s="846" t="s">
        <v>194</v>
      </c>
      <c r="U129" s="846" t="s">
        <v>194</v>
      </c>
      <c r="V129" s="846" t="s">
        <v>194</v>
      </c>
      <c r="W129" s="846" t="s">
        <v>194</v>
      </c>
      <c r="X129" s="846" t="s">
        <v>194</v>
      </c>
      <c r="Y129" s="846" t="s">
        <v>194</v>
      </c>
      <c r="Z129" s="846" t="s">
        <v>194</v>
      </c>
      <c r="AA129" s="846" t="s">
        <v>194</v>
      </c>
      <c r="AB129" s="846" t="s">
        <v>194</v>
      </c>
      <c r="AC129" s="846" t="s">
        <v>194</v>
      </c>
      <c r="AD129" s="846" t="s">
        <v>194</v>
      </c>
      <c r="AE129" s="846" t="s">
        <v>194</v>
      </c>
      <c r="AF129" s="846" t="s">
        <v>194</v>
      </c>
      <c r="AG129" s="846" t="s">
        <v>194</v>
      </c>
      <c r="AH129" s="846" t="s">
        <v>194</v>
      </c>
      <c r="AI129" s="846" t="s">
        <v>194</v>
      </c>
      <c r="AJ129" s="846" t="s">
        <v>194</v>
      </c>
      <c r="AK129" s="846" t="s">
        <v>194</v>
      </c>
      <c r="AL129" s="846" t="s">
        <v>194</v>
      </c>
      <c r="AM129" s="846" t="s">
        <v>194</v>
      </c>
      <c r="AN129" s="846" t="s">
        <v>194</v>
      </c>
      <c r="AO129" s="846" t="s">
        <v>194</v>
      </c>
      <c r="AP129" s="846" t="s">
        <v>194</v>
      </c>
      <c r="AQ129" s="846" t="s">
        <v>194</v>
      </c>
      <c r="AR129" s="846" t="s">
        <v>194</v>
      </c>
      <c r="AS129" s="846" t="s">
        <v>194</v>
      </c>
      <c r="AT129" s="846" t="s">
        <v>194</v>
      </c>
      <c r="AU129" s="846" t="s">
        <v>194</v>
      </c>
      <c r="AV129" s="846" t="s">
        <v>194</v>
      </c>
      <c r="AW129" s="846" t="s">
        <v>194</v>
      </c>
      <c r="AX129" s="846" t="s">
        <v>194</v>
      </c>
      <c r="AY129" s="846" t="s">
        <v>194</v>
      </c>
      <c r="AZ129" s="846" t="s">
        <v>194</v>
      </c>
      <c r="BA129" s="846" t="s">
        <v>194</v>
      </c>
      <c r="BB129" s="846" t="s">
        <v>194</v>
      </c>
      <c r="BC129" s="846" t="s">
        <v>194</v>
      </c>
      <c r="BD129" s="846" t="s">
        <v>194</v>
      </c>
      <c r="BE129" s="846" t="s">
        <v>194</v>
      </c>
      <c r="BF129" s="846" t="s">
        <v>194</v>
      </c>
      <c r="BG129" s="846" t="s">
        <v>194</v>
      </c>
    </row>
    <row r="130" ht="15.75" customHeight="1">
      <c r="A130" s="846" t="s">
        <v>194</v>
      </c>
      <c r="B130" s="846" t="s">
        <v>194</v>
      </c>
      <c r="C130" s="846" t="s">
        <v>194</v>
      </c>
      <c r="D130" s="846" t="s">
        <v>194</v>
      </c>
      <c r="E130" s="846" t="s">
        <v>194</v>
      </c>
      <c r="F130" s="846" t="s">
        <v>194</v>
      </c>
      <c r="G130" s="846" t="s">
        <v>194</v>
      </c>
      <c r="H130" s="846" t="s">
        <v>194</v>
      </c>
      <c r="I130" s="846" t="s">
        <v>194</v>
      </c>
      <c r="J130" s="846" t="s">
        <v>194</v>
      </c>
      <c r="K130" s="846" t="s">
        <v>194</v>
      </c>
      <c r="L130" s="846" t="s">
        <v>194</v>
      </c>
      <c r="M130" s="846" t="s">
        <v>194</v>
      </c>
      <c r="N130" s="846" t="s">
        <v>194</v>
      </c>
      <c r="O130" s="846" t="s">
        <v>194</v>
      </c>
      <c r="P130" s="846" t="s">
        <v>194</v>
      </c>
      <c r="Q130" s="846" t="s">
        <v>194</v>
      </c>
      <c r="R130" s="846" t="s">
        <v>194</v>
      </c>
      <c r="S130" s="846" t="s">
        <v>194</v>
      </c>
      <c r="T130" s="846" t="s">
        <v>194</v>
      </c>
      <c r="U130" s="846" t="s">
        <v>194</v>
      </c>
      <c r="V130" s="846" t="s">
        <v>194</v>
      </c>
      <c r="W130" s="846" t="s">
        <v>194</v>
      </c>
      <c r="X130" s="846" t="s">
        <v>194</v>
      </c>
      <c r="Y130" s="846" t="s">
        <v>194</v>
      </c>
      <c r="Z130" s="846" t="s">
        <v>194</v>
      </c>
      <c r="AA130" s="846" t="s">
        <v>194</v>
      </c>
      <c r="AB130" s="846" t="s">
        <v>194</v>
      </c>
      <c r="AC130" s="846" t="s">
        <v>194</v>
      </c>
      <c r="AD130" s="846" t="s">
        <v>194</v>
      </c>
      <c r="AE130" s="846" t="s">
        <v>194</v>
      </c>
      <c r="AF130" s="846" t="s">
        <v>194</v>
      </c>
      <c r="AG130" s="846" t="s">
        <v>194</v>
      </c>
      <c r="AH130" s="846" t="s">
        <v>194</v>
      </c>
      <c r="AI130" s="846" t="s">
        <v>194</v>
      </c>
      <c r="AJ130" s="846" t="s">
        <v>194</v>
      </c>
      <c r="AK130" s="846" t="s">
        <v>194</v>
      </c>
      <c r="AL130" s="846" t="s">
        <v>194</v>
      </c>
      <c r="AM130" s="846" t="s">
        <v>194</v>
      </c>
      <c r="AN130" s="846" t="s">
        <v>194</v>
      </c>
      <c r="AO130" s="846" t="s">
        <v>194</v>
      </c>
      <c r="AP130" s="846" t="s">
        <v>194</v>
      </c>
      <c r="AQ130" s="846" t="s">
        <v>194</v>
      </c>
      <c r="AR130" s="846" t="s">
        <v>194</v>
      </c>
      <c r="AS130" s="846" t="s">
        <v>194</v>
      </c>
      <c r="AT130" s="846" t="s">
        <v>194</v>
      </c>
      <c r="AU130" s="846" t="s">
        <v>194</v>
      </c>
      <c r="AV130" s="846" t="s">
        <v>194</v>
      </c>
      <c r="AW130" s="846" t="s">
        <v>194</v>
      </c>
      <c r="AX130" s="846" t="s">
        <v>194</v>
      </c>
      <c r="AY130" s="846" t="s">
        <v>194</v>
      </c>
      <c r="AZ130" s="846" t="s">
        <v>194</v>
      </c>
      <c r="BA130" s="846" t="s">
        <v>194</v>
      </c>
      <c r="BB130" s="846" t="s">
        <v>194</v>
      </c>
      <c r="BC130" s="846" t="s">
        <v>194</v>
      </c>
      <c r="BD130" s="846" t="s">
        <v>194</v>
      </c>
      <c r="BE130" s="846" t="s">
        <v>194</v>
      </c>
      <c r="BF130" s="846" t="s">
        <v>194</v>
      </c>
      <c r="BG130" s="846" t="s">
        <v>194</v>
      </c>
    </row>
    <row r="131" ht="15.75" customHeight="1">
      <c r="A131" s="846" t="s">
        <v>194</v>
      </c>
      <c r="B131" s="846" t="s">
        <v>194</v>
      </c>
      <c r="C131" s="846" t="s">
        <v>194</v>
      </c>
      <c r="D131" s="846" t="s">
        <v>194</v>
      </c>
      <c r="E131" s="846" t="s">
        <v>194</v>
      </c>
      <c r="F131" s="846" t="s">
        <v>194</v>
      </c>
      <c r="G131" s="846" t="s">
        <v>194</v>
      </c>
      <c r="H131" s="846" t="s">
        <v>194</v>
      </c>
      <c r="I131" s="846" t="s">
        <v>194</v>
      </c>
      <c r="J131" s="846" t="s">
        <v>194</v>
      </c>
      <c r="K131" s="846" t="s">
        <v>194</v>
      </c>
      <c r="L131" s="846" t="s">
        <v>194</v>
      </c>
      <c r="M131" s="846" t="s">
        <v>194</v>
      </c>
      <c r="N131" s="846" t="s">
        <v>194</v>
      </c>
      <c r="O131" s="846" t="s">
        <v>194</v>
      </c>
      <c r="P131" s="846" t="s">
        <v>194</v>
      </c>
      <c r="Q131" s="846" t="s">
        <v>194</v>
      </c>
      <c r="R131" s="846" t="s">
        <v>194</v>
      </c>
      <c r="S131" s="846" t="s">
        <v>194</v>
      </c>
      <c r="T131" s="846" t="s">
        <v>194</v>
      </c>
      <c r="U131" s="846" t="s">
        <v>194</v>
      </c>
      <c r="V131" s="846" t="s">
        <v>194</v>
      </c>
      <c r="W131" s="846" t="s">
        <v>194</v>
      </c>
      <c r="X131" s="846" t="s">
        <v>194</v>
      </c>
      <c r="Y131" s="846" t="s">
        <v>194</v>
      </c>
      <c r="Z131" s="846" t="s">
        <v>194</v>
      </c>
      <c r="AA131" s="846" t="s">
        <v>194</v>
      </c>
      <c r="AB131" s="846" t="s">
        <v>194</v>
      </c>
      <c r="AC131" s="846" t="s">
        <v>194</v>
      </c>
      <c r="AD131" s="846" t="s">
        <v>194</v>
      </c>
      <c r="AE131" s="846" t="s">
        <v>194</v>
      </c>
      <c r="AF131" s="846" t="s">
        <v>194</v>
      </c>
      <c r="AG131" s="846" t="s">
        <v>194</v>
      </c>
      <c r="AH131" s="846" t="s">
        <v>194</v>
      </c>
      <c r="AI131" s="846" t="s">
        <v>194</v>
      </c>
      <c r="AJ131" s="846" t="s">
        <v>194</v>
      </c>
      <c r="AK131" s="846" t="s">
        <v>194</v>
      </c>
      <c r="AL131" s="846" t="s">
        <v>194</v>
      </c>
      <c r="AM131" s="846" t="s">
        <v>194</v>
      </c>
      <c r="AN131" s="846" t="s">
        <v>194</v>
      </c>
      <c r="AO131" s="846" t="s">
        <v>194</v>
      </c>
      <c r="AP131" s="846" t="s">
        <v>194</v>
      </c>
      <c r="AQ131" s="846" t="s">
        <v>194</v>
      </c>
      <c r="AR131" s="846" t="s">
        <v>194</v>
      </c>
      <c r="AS131" s="846" t="s">
        <v>194</v>
      </c>
      <c r="AT131" s="846" t="s">
        <v>194</v>
      </c>
      <c r="AU131" s="846" t="s">
        <v>194</v>
      </c>
      <c r="AV131" s="846" t="s">
        <v>194</v>
      </c>
      <c r="AW131" s="846" t="s">
        <v>194</v>
      </c>
      <c r="AX131" s="846" t="s">
        <v>194</v>
      </c>
      <c r="AY131" s="846" t="s">
        <v>194</v>
      </c>
      <c r="AZ131" s="846" t="s">
        <v>194</v>
      </c>
      <c r="BA131" s="846" t="s">
        <v>194</v>
      </c>
      <c r="BB131" s="846" t="s">
        <v>194</v>
      </c>
      <c r="BC131" s="846" t="s">
        <v>194</v>
      </c>
      <c r="BD131" s="846" t="s">
        <v>194</v>
      </c>
      <c r="BE131" s="846" t="s">
        <v>194</v>
      </c>
      <c r="BF131" s="846" t="s">
        <v>194</v>
      </c>
      <c r="BG131" s="846" t="s">
        <v>194</v>
      </c>
    </row>
    <row r="132" ht="15.75" customHeight="1">
      <c r="A132" s="846" t="s">
        <v>194</v>
      </c>
      <c r="B132" s="846" t="s">
        <v>194</v>
      </c>
      <c r="C132" s="846" t="s">
        <v>194</v>
      </c>
      <c r="D132" s="846" t="s">
        <v>194</v>
      </c>
      <c r="E132" s="846" t="s">
        <v>194</v>
      </c>
      <c r="F132" s="846" t="s">
        <v>194</v>
      </c>
      <c r="G132" s="846" t="s">
        <v>194</v>
      </c>
      <c r="H132" s="846" t="s">
        <v>194</v>
      </c>
      <c r="I132" s="846" t="s">
        <v>194</v>
      </c>
      <c r="J132" s="846" t="s">
        <v>194</v>
      </c>
      <c r="K132" s="846" t="s">
        <v>194</v>
      </c>
      <c r="L132" s="846" t="s">
        <v>194</v>
      </c>
      <c r="M132" s="846" t="s">
        <v>194</v>
      </c>
      <c r="N132" s="846" t="s">
        <v>194</v>
      </c>
      <c r="O132" s="846" t="s">
        <v>194</v>
      </c>
      <c r="P132" s="846" t="s">
        <v>194</v>
      </c>
      <c r="Q132" s="846" t="s">
        <v>194</v>
      </c>
      <c r="R132" s="846" t="s">
        <v>194</v>
      </c>
      <c r="S132" s="846" t="s">
        <v>194</v>
      </c>
      <c r="T132" s="846" t="s">
        <v>194</v>
      </c>
      <c r="U132" s="846" t="s">
        <v>194</v>
      </c>
      <c r="V132" s="846" t="s">
        <v>194</v>
      </c>
      <c r="W132" s="846" t="s">
        <v>194</v>
      </c>
      <c r="X132" s="846" t="s">
        <v>194</v>
      </c>
      <c r="Y132" s="846" t="s">
        <v>194</v>
      </c>
      <c r="Z132" s="846" t="s">
        <v>194</v>
      </c>
      <c r="AA132" s="846" t="s">
        <v>194</v>
      </c>
      <c r="AB132" s="846" t="s">
        <v>194</v>
      </c>
      <c r="AC132" s="846" t="s">
        <v>194</v>
      </c>
      <c r="AD132" s="846" t="s">
        <v>194</v>
      </c>
      <c r="AE132" s="846" t="s">
        <v>194</v>
      </c>
      <c r="AF132" s="846" t="s">
        <v>194</v>
      </c>
      <c r="AG132" s="846" t="s">
        <v>194</v>
      </c>
      <c r="AH132" s="846" t="s">
        <v>194</v>
      </c>
      <c r="AI132" s="846" t="s">
        <v>194</v>
      </c>
      <c r="AJ132" s="846" t="s">
        <v>194</v>
      </c>
      <c r="AK132" s="846" t="s">
        <v>194</v>
      </c>
      <c r="AL132" s="846" t="s">
        <v>194</v>
      </c>
      <c r="AM132" s="846" t="s">
        <v>194</v>
      </c>
      <c r="AN132" s="846" t="s">
        <v>194</v>
      </c>
      <c r="AO132" s="846" t="s">
        <v>194</v>
      </c>
      <c r="AP132" s="846" t="s">
        <v>194</v>
      </c>
      <c r="AQ132" s="846" t="s">
        <v>194</v>
      </c>
      <c r="AR132" s="846" t="s">
        <v>194</v>
      </c>
      <c r="AS132" s="846" t="s">
        <v>194</v>
      </c>
      <c r="AT132" s="846" t="s">
        <v>194</v>
      </c>
      <c r="AU132" s="846" t="s">
        <v>194</v>
      </c>
      <c r="AV132" s="846" t="s">
        <v>194</v>
      </c>
      <c r="AW132" s="846" t="s">
        <v>194</v>
      </c>
      <c r="AX132" s="846" t="s">
        <v>194</v>
      </c>
      <c r="AY132" s="846" t="s">
        <v>194</v>
      </c>
      <c r="AZ132" s="846" t="s">
        <v>194</v>
      </c>
      <c r="BA132" s="846" t="s">
        <v>194</v>
      </c>
      <c r="BB132" s="846" t="s">
        <v>194</v>
      </c>
      <c r="BC132" s="846" t="s">
        <v>194</v>
      </c>
      <c r="BD132" s="846" t="s">
        <v>194</v>
      </c>
      <c r="BE132" s="846" t="s">
        <v>194</v>
      </c>
      <c r="BF132" s="846" t="s">
        <v>194</v>
      </c>
      <c r="BG132" s="846" t="s">
        <v>194</v>
      </c>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row>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5:D6"/>
    <mergeCell ref="E5:E6"/>
    <mergeCell ref="F5:F6"/>
    <mergeCell ref="G5:G6"/>
    <mergeCell ref="H5:H6"/>
    <mergeCell ref="I5:I6"/>
    <mergeCell ref="J5:J6"/>
    <mergeCell ref="K5:K6"/>
  </mergeCells>
  <conditionalFormatting sqref="D10:F10 D20:AJ20 D27:AJ28 D44:AJ49 D54:AJ57 D60:AJ60 D63:AJ65 D73:AJ73 D92:AJ92 X10:AJ10">
    <cfRule type="expression" dxfId="1" priority="1">
      <formula>NOT(SUBTOTAL(109,$A11)=$A11)</formula>
    </cfRule>
  </conditionalFormatting>
  <conditionalFormatting sqref="G11:W11">
    <cfRule type="expression" dxfId="1" priority="2">
      <formula>NOT(SUBTOTAL(109,$A11)=$A11)</formula>
    </cfRule>
  </conditionalFormatting>
  <printOptions/>
  <pageMargins bottom="0.75" footer="0.0" header="0.0" left="0.7" right="0.7" top="0.75"/>
  <pageSetup paperSize="9"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2F3"/>
    <outlinePr summaryBelow="0"/>
    <pageSetUpPr/>
  </sheetPr>
  <sheetViews>
    <sheetView showGridLines="0"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4.43" defaultRowHeight="15.0" outlineLevelCol="1" outlineLevelRow="3"/>
  <cols>
    <col customWidth="1" min="1" max="1" width="1.0"/>
    <col customWidth="1" min="2" max="2" width="2.0"/>
    <col customWidth="1" min="3" max="3" width="50.57"/>
    <col customWidth="1" hidden="1" min="4" max="6" width="12.57" outlineLevel="1"/>
    <col customWidth="1" min="7" max="10" width="12.57" outlineLevel="1"/>
    <col customWidth="1" min="11" max="11" width="10.57" outlineLevel="1"/>
    <col customWidth="1" min="12" max="12" width="2.57"/>
    <col customWidth="1" min="13" max="17" width="14.57"/>
    <col customWidth="1" min="18" max="18" width="1.86"/>
    <col customWidth="1" min="19" max="40" width="14.57"/>
  </cols>
  <sheetData>
    <row r="1" ht="6.0" customHeight="1">
      <c r="A1" s="846"/>
      <c r="B1" s="847"/>
      <c r="C1" s="847"/>
      <c r="D1" s="847"/>
      <c r="E1" s="847"/>
      <c r="F1" s="847"/>
      <c r="G1" s="847"/>
      <c r="H1" s="847"/>
      <c r="I1" s="847"/>
      <c r="J1" s="847"/>
      <c r="K1" s="847"/>
      <c r="L1" s="847"/>
      <c r="M1" s="847"/>
      <c r="N1" s="847"/>
      <c r="O1" s="847"/>
      <c r="P1" s="847"/>
      <c r="Q1" s="847"/>
      <c r="R1" s="847"/>
      <c r="S1" s="846"/>
      <c r="T1" s="846"/>
      <c r="U1" s="846"/>
      <c r="V1" s="846"/>
      <c r="W1" s="846"/>
      <c r="X1" s="846"/>
      <c r="Y1" s="846"/>
      <c r="Z1" s="846"/>
      <c r="AA1" s="846"/>
      <c r="AB1" s="846"/>
      <c r="AC1" s="846"/>
      <c r="AD1" s="846"/>
      <c r="AE1" s="846"/>
      <c r="AF1" s="846"/>
      <c r="AG1" s="846"/>
      <c r="AH1" s="846"/>
      <c r="AI1" s="846"/>
      <c r="AJ1" s="846"/>
      <c r="AK1" s="846"/>
      <c r="AL1" s="846"/>
      <c r="AM1" s="846"/>
      <c r="AN1" s="846"/>
    </row>
    <row r="2" ht="39.75" customHeight="1">
      <c r="A2" s="849"/>
      <c r="B2" s="15"/>
      <c r="C2" s="15"/>
      <c r="D2" s="15"/>
      <c r="E2" s="15"/>
      <c r="F2" s="15"/>
      <c r="G2" s="15"/>
      <c r="H2" s="15"/>
      <c r="I2" s="15"/>
      <c r="J2" s="15"/>
      <c r="K2" s="15"/>
      <c r="L2" s="15"/>
      <c r="M2" s="15"/>
      <c r="N2" s="15"/>
      <c r="O2" s="15"/>
      <c r="P2" s="15"/>
      <c r="Q2" s="15"/>
      <c r="R2" s="15"/>
      <c r="S2" s="851"/>
      <c r="T2" s="846"/>
      <c r="U2" s="846"/>
      <c r="V2" s="846"/>
      <c r="W2" s="846"/>
      <c r="X2" s="846"/>
      <c r="Y2" s="846"/>
      <c r="Z2" s="846"/>
      <c r="AA2" s="846"/>
      <c r="AB2" s="846"/>
      <c r="AC2" s="846"/>
      <c r="AD2" s="846"/>
      <c r="AE2" s="846"/>
      <c r="AF2" s="846"/>
      <c r="AG2" s="846"/>
      <c r="AH2" s="846"/>
      <c r="AI2" s="846"/>
      <c r="AJ2" s="846"/>
      <c r="AK2" s="846"/>
      <c r="AL2" s="846"/>
      <c r="AM2" s="846"/>
      <c r="AN2" s="846"/>
    </row>
    <row r="3" ht="18.75" customHeight="1">
      <c r="A3" s="849"/>
      <c r="B3" s="15"/>
      <c r="C3" s="852" t="s">
        <v>346</v>
      </c>
      <c r="D3" s="15"/>
      <c r="E3" s="15"/>
      <c r="F3" s="15"/>
      <c r="G3" s="15"/>
      <c r="H3" s="15"/>
      <c r="I3" s="15"/>
      <c r="J3" s="15"/>
      <c r="K3" s="15"/>
      <c r="L3" s="15"/>
      <c r="M3" s="15"/>
      <c r="N3" s="15"/>
      <c r="O3" s="15"/>
      <c r="P3" s="15"/>
      <c r="Q3" s="15"/>
      <c r="R3" s="15"/>
      <c r="S3" s="851"/>
      <c r="T3" s="846"/>
      <c r="U3" s="846"/>
      <c r="V3" s="846"/>
      <c r="W3" s="846"/>
      <c r="X3" s="846"/>
      <c r="Y3" s="846"/>
      <c r="Z3" s="846"/>
      <c r="AA3" s="846"/>
      <c r="AB3" s="846"/>
      <c r="AC3" s="846"/>
      <c r="AD3" s="846"/>
      <c r="AE3" s="846"/>
      <c r="AF3" s="846"/>
      <c r="AG3" s="846"/>
      <c r="AH3" s="846"/>
      <c r="AI3" s="846"/>
      <c r="AJ3" s="846"/>
      <c r="AK3" s="846"/>
      <c r="AL3" s="846"/>
      <c r="AM3" s="846"/>
      <c r="AN3" s="846"/>
    </row>
    <row r="4">
      <c r="A4" s="849" t="s">
        <v>194</v>
      </c>
      <c r="B4" s="15"/>
      <c r="C4" s="853" t="s">
        <v>364</v>
      </c>
      <c r="D4" s="854" t="s">
        <v>196</v>
      </c>
      <c r="E4" s="855" t="s">
        <v>194</v>
      </c>
      <c r="F4" s="855" t="s">
        <v>194</v>
      </c>
      <c r="G4" s="855" t="s">
        <v>194</v>
      </c>
      <c r="H4" s="855" t="s">
        <v>194</v>
      </c>
      <c r="I4" s="855" t="s">
        <v>194</v>
      </c>
      <c r="J4" s="855" t="s">
        <v>194</v>
      </c>
      <c r="K4" s="855" t="s">
        <v>194</v>
      </c>
      <c r="L4" s="15"/>
      <c r="M4" s="15"/>
      <c r="N4" s="15"/>
      <c r="O4" s="15"/>
      <c r="P4" s="15"/>
      <c r="Q4" s="15"/>
      <c r="R4" s="15"/>
      <c r="S4" s="851" t="s">
        <v>194</v>
      </c>
      <c r="T4" s="846" t="s">
        <v>194</v>
      </c>
      <c r="U4" s="846" t="s">
        <v>194</v>
      </c>
      <c r="V4" s="846" t="s">
        <v>194</v>
      </c>
      <c r="W4" s="846" t="s">
        <v>194</v>
      </c>
      <c r="X4" s="846" t="s">
        <v>194</v>
      </c>
      <c r="Y4" s="846" t="s">
        <v>194</v>
      </c>
      <c r="Z4" s="846" t="s">
        <v>194</v>
      </c>
      <c r="AA4" s="846" t="s">
        <v>194</v>
      </c>
      <c r="AB4" s="846" t="s">
        <v>194</v>
      </c>
      <c r="AC4" s="846" t="s">
        <v>194</v>
      </c>
      <c r="AD4" s="846" t="s">
        <v>194</v>
      </c>
      <c r="AE4" s="846" t="s">
        <v>194</v>
      </c>
      <c r="AF4" s="846" t="s">
        <v>194</v>
      </c>
      <c r="AG4" s="846" t="s">
        <v>194</v>
      </c>
      <c r="AH4" s="846" t="s">
        <v>194</v>
      </c>
      <c r="AI4" s="846" t="s">
        <v>194</v>
      </c>
      <c r="AJ4" s="846" t="s">
        <v>194</v>
      </c>
      <c r="AK4" s="846" t="s">
        <v>194</v>
      </c>
      <c r="AL4" s="846" t="s">
        <v>194</v>
      </c>
      <c r="AM4" s="846" t="s">
        <v>194</v>
      </c>
      <c r="AN4" s="846" t="s">
        <v>194</v>
      </c>
    </row>
    <row r="5">
      <c r="A5" s="849" t="s">
        <v>194</v>
      </c>
      <c r="B5" s="15"/>
      <c r="C5" s="853" t="s">
        <v>359</v>
      </c>
      <c r="D5" s="856" t="s">
        <v>174</v>
      </c>
      <c r="E5" s="856" t="s">
        <v>198</v>
      </c>
      <c r="F5" s="856" t="s">
        <v>199</v>
      </c>
      <c r="G5" s="856" t="s">
        <v>200</v>
      </c>
      <c r="H5" s="856" t="s">
        <v>201</v>
      </c>
      <c r="I5" s="856" t="s">
        <v>202</v>
      </c>
      <c r="J5" s="856" t="s">
        <v>203</v>
      </c>
      <c r="K5" s="856" t="s">
        <v>204</v>
      </c>
      <c r="L5" s="15"/>
      <c r="M5" s="858" t="str">
        <f>HYPERLINK("https://my.pitchbook.com?c=52157-62", "FY 2018")</f>
        <v>FY 2018</v>
      </c>
      <c r="N5" s="858" t="str">
        <f>HYPERLINK("https://my.pitchbook.com?c=52157-62", "FY 2017")</f>
        <v>FY 2017</v>
      </c>
      <c r="O5" s="858" t="str">
        <f>HYPERLINK("https://my.pitchbook.com?c=52157-62", "FY 2016")</f>
        <v>FY 2016</v>
      </c>
      <c r="P5" s="858" t="str">
        <f>HYPERLINK("https://my.pitchbook.com?c=52157-62", "FY 2015")</f>
        <v>FY 2015</v>
      </c>
      <c r="Q5" s="858" t="str">
        <f>HYPERLINK("https://my.pitchbook.com?c=52157-62", "FY 2014")</f>
        <v>FY 2014</v>
      </c>
      <c r="R5" s="15"/>
      <c r="S5" s="851" t="s">
        <v>194</v>
      </c>
      <c r="T5" s="846" t="s">
        <v>194</v>
      </c>
      <c r="U5" s="846" t="s">
        <v>194</v>
      </c>
      <c r="V5" s="846" t="s">
        <v>194</v>
      </c>
      <c r="W5" s="846" t="s">
        <v>194</v>
      </c>
      <c r="X5" s="846" t="s">
        <v>194</v>
      </c>
      <c r="Y5" s="846" t="s">
        <v>194</v>
      </c>
      <c r="Z5" s="846" t="s">
        <v>194</v>
      </c>
      <c r="AA5" s="846" t="s">
        <v>194</v>
      </c>
      <c r="AB5" s="846" t="s">
        <v>194</v>
      </c>
      <c r="AC5" s="846" t="s">
        <v>194</v>
      </c>
      <c r="AD5" s="846" t="s">
        <v>194</v>
      </c>
      <c r="AE5" s="846" t="s">
        <v>194</v>
      </c>
      <c r="AF5" s="846" t="s">
        <v>194</v>
      </c>
      <c r="AG5" s="846" t="s">
        <v>194</v>
      </c>
      <c r="AH5" s="846" t="s">
        <v>194</v>
      </c>
      <c r="AI5" s="846" t="s">
        <v>194</v>
      </c>
      <c r="AJ5" s="846" t="s">
        <v>194</v>
      </c>
      <c r="AK5" s="846" t="s">
        <v>194</v>
      </c>
      <c r="AL5" s="846" t="s">
        <v>194</v>
      </c>
      <c r="AM5" s="846" t="s">
        <v>194</v>
      </c>
      <c r="AN5" s="846" t="s">
        <v>194</v>
      </c>
    </row>
    <row r="6">
      <c r="A6" s="849" t="s">
        <v>194</v>
      </c>
      <c r="B6" s="15"/>
      <c r="C6" s="859" t="s">
        <v>221</v>
      </c>
      <c r="D6" s="860"/>
      <c r="E6" s="860"/>
      <c r="F6" s="860"/>
      <c r="G6" s="860"/>
      <c r="H6" s="860"/>
      <c r="I6" s="860"/>
      <c r="J6" s="860"/>
      <c r="K6" s="860"/>
      <c r="L6" s="15"/>
      <c r="M6" s="15"/>
      <c r="N6" s="15"/>
      <c r="O6" s="15"/>
      <c r="P6" s="15"/>
      <c r="Q6" s="15"/>
      <c r="R6" s="15"/>
      <c r="S6" s="851" t="s">
        <v>194</v>
      </c>
      <c r="T6" s="846" t="s">
        <v>194</v>
      </c>
      <c r="U6" s="846" t="s">
        <v>194</v>
      </c>
      <c r="V6" s="846" t="s">
        <v>194</v>
      </c>
      <c r="W6" s="846" t="s">
        <v>194</v>
      </c>
      <c r="X6" s="846" t="s">
        <v>194</v>
      </c>
      <c r="Y6" s="846" t="s">
        <v>194</v>
      </c>
      <c r="Z6" s="846" t="s">
        <v>194</v>
      </c>
      <c r="AA6" s="846" t="s">
        <v>194</v>
      </c>
      <c r="AB6" s="846" t="s">
        <v>194</v>
      </c>
      <c r="AC6" s="846" t="s">
        <v>194</v>
      </c>
      <c r="AD6" s="846" t="s">
        <v>194</v>
      </c>
      <c r="AE6" s="846" t="s">
        <v>194</v>
      </c>
      <c r="AF6" s="846" t="s">
        <v>194</v>
      </c>
      <c r="AG6" s="846" t="s">
        <v>194</v>
      </c>
      <c r="AH6" s="846" t="s">
        <v>194</v>
      </c>
      <c r="AI6" s="846" t="s">
        <v>194</v>
      </c>
      <c r="AJ6" s="846" t="s">
        <v>194</v>
      </c>
      <c r="AK6" s="846" t="s">
        <v>194</v>
      </c>
      <c r="AL6" s="846" t="s">
        <v>194</v>
      </c>
      <c r="AM6" s="846" t="s">
        <v>194</v>
      </c>
      <c r="AN6" s="846" t="s">
        <v>194</v>
      </c>
    </row>
    <row r="7">
      <c r="A7" s="849" t="s">
        <v>194</v>
      </c>
      <c r="B7" s="15"/>
      <c r="C7" s="15"/>
      <c r="D7" s="855" t="s">
        <v>194</v>
      </c>
      <c r="E7" s="855" t="s">
        <v>194</v>
      </c>
      <c r="F7" s="855" t="s">
        <v>194</v>
      </c>
      <c r="G7" s="855" t="s">
        <v>194</v>
      </c>
      <c r="H7" s="855" t="s">
        <v>194</v>
      </c>
      <c r="I7" s="855" t="s">
        <v>194</v>
      </c>
      <c r="J7" s="855" t="s">
        <v>194</v>
      </c>
      <c r="K7" s="855" t="s">
        <v>194</v>
      </c>
      <c r="L7" s="15"/>
      <c r="M7" s="15"/>
      <c r="N7" s="15"/>
      <c r="O7" s="15"/>
      <c r="P7" s="15"/>
      <c r="Q7" s="15"/>
      <c r="R7" s="15"/>
      <c r="S7" s="851" t="s">
        <v>194</v>
      </c>
      <c r="T7" s="846" t="s">
        <v>194</v>
      </c>
      <c r="U7" s="846" t="s">
        <v>194</v>
      </c>
      <c r="V7" s="846" t="s">
        <v>194</v>
      </c>
      <c r="W7" s="846" t="s">
        <v>194</v>
      </c>
      <c r="X7" s="846" t="s">
        <v>194</v>
      </c>
      <c r="Y7" s="846" t="s">
        <v>194</v>
      </c>
      <c r="Z7" s="846" t="s">
        <v>194</v>
      </c>
      <c r="AA7" s="846" t="s">
        <v>194</v>
      </c>
      <c r="AB7" s="846" t="s">
        <v>194</v>
      </c>
      <c r="AC7" s="846" t="s">
        <v>194</v>
      </c>
      <c r="AD7" s="846" t="s">
        <v>194</v>
      </c>
      <c r="AE7" s="846" t="s">
        <v>194</v>
      </c>
      <c r="AF7" s="846" t="s">
        <v>194</v>
      </c>
      <c r="AG7" s="846" t="s">
        <v>194</v>
      </c>
      <c r="AH7" s="846" t="s">
        <v>194</v>
      </c>
      <c r="AI7" s="846" t="s">
        <v>194</v>
      </c>
      <c r="AJ7" s="846" t="s">
        <v>194</v>
      </c>
      <c r="AK7" s="846" t="s">
        <v>194</v>
      </c>
      <c r="AL7" s="846" t="s">
        <v>194</v>
      </c>
      <c r="AM7" s="846" t="s">
        <v>194</v>
      </c>
      <c r="AN7" s="846" t="s">
        <v>194</v>
      </c>
    </row>
    <row r="8">
      <c r="A8" s="849" t="s">
        <v>194</v>
      </c>
      <c r="B8" s="15"/>
      <c r="C8" s="15"/>
      <c r="D8" s="855" t="s">
        <v>194</v>
      </c>
      <c r="E8" s="855" t="s">
        <v>194</v>
      </c>
      <c r="F8" s="855" t="s">
        <v>194</v>
      </c>
      <c r="G8" s="855" t="s">
        <v>194</v>
      </c>
      <c r="H8" s="855" t="s">
        <v>194</v>
      </c>
      <c r="I8" s="855" t="s">
        <v>194</v>
      </c>
      <c r="J8" s="855" t="s">
        <v>194</v>
      </c>
      <c r="K8" s="855" t="s">
        <v>194</v>
      </c>
      <c r="L8" s="15"/>
      <c r="M8" s="863" t="s">
        <v>362</v>
      </c>
      <c r="N8" s="863" t="s">
        <v>362</v>
      </c>
      <c r="O8" s="863" t="s">
        <v>362</v>
      </c>
      <c r="P8" s="863" t="s">
        <v>361</v>
      </c>
      <c r="Q8" s="863" t="s">
        <v>360</v>
      </c>
      <c r="R8" s="15"/>
      <c r="S8" s="851" t="s">
        <v>194</v>
      </c>
      <c r="T8" s="846" t="s">
        <v>194</v>
      </c>
      <c r="U8" s="846" t="s">
        <v>194</v>
      </c>
      <c r="V8" s="846" t="s">
        <v>194</v>
      </c>
      <c r="W8" s="846" t="s">
        <v>194</v>
      </c>
      <c r="X8" s="846" t="s">
        <v>194</v>
      </c>
      <c r="Y8" s="846" t="s">
        <v>194</v>
      </c>
      <c r="Z8" s="846" t="s">
        <v>194</v>
      </c>
      <c r="AA8" s="846" t="s">
        <v>194</v>
      </c>
      <c r="AB8" s="846" t="s">
        <v>194</v>
      </c>
      <c r="AC8" s="846" t="s">
        <v>194</v>
      </c>
      <c r="AD8" s="846" t="s">
        <v>194</v>
      </c>
      <c r="AE8" s="846" t="s">
        <v>194</v>
      </c>
      <c r="AF8" s="846" t="s">
        <v>194</v>
      </c>
      <c r="AG8" s="846" t="s">
        <v>194</v>
      </c>
      <c r="AH8" s="846" t="s">
        <v>194</v>
      </c>
      <c r="AI8" s="846" t="s">
        <v>194</v>
      </c>
      <c r="AJ8" s="846" t="s">
        <v>194</v>
      </c>
      <c r="AK8" s="846" t="s">
        <v>194</v>
      </c>
      <c r="AL8" s="846" t="s">
        <v>194</v>
      </c>
      <c r="AM8" s="846" t="s">
        <v>194</v>
      </c>
      <c r="AN8" s="846" t="s">
        <v>194</v>
      </c>
    </row>
    <row r="9">
      <c r="A9" s="849" t="s">
        <v>194</v>
      </c>
      <c r="B9" s="15"/>
      <c r="C9" s="15"/>
      <c r="D9" s="855" t="s">
        <v>194</v>
      </c>
      <c r="E9" s="855" t="s">
        <v>194</v>
      </c>
      <c r="F9" s="855" t="s">
        <v>194</v>
      </c>
      <c r="G9" s="855" t="s">
        <v>194</v>
      </c>
      <c r="H9" s="855" t="s">
        <v>194</v>
      </c>
      <c r="I9" s="855" t="s">
        <v>194</v>
      </c>
      <c r="J9" s="855" t="s">
        <v>194</v>
      </c>
      <c r="K9" s="855" t="s">
        <v>194</v>
      </c>
      <c r="L9" s="15"/>
      <c r="M9" s="901" t="str">
        <f>HYPERLINK("https://my.pitchbook.com/profile/52157-62/company/financials?reportId=31304162721&amp;financialGroup=INCOME_STATEMENT&amp;period=ANN&amp;exchangeId=NAS&amp;exchangeSymbol=IRTC", "View 10-K")</f>
        <v>View 10-K</v>
      </c>
      <c r="N9" s="901" t="str">
        <f>HYPERLINK("https://my.pitchbook.com/profile/52157-62/company/financials?reportId=31304162657&amp;financialGroup=INCOME_STATEMENT&amp;period=ANN&amp;exchangeId=NAS&amp;exchangeSymbol=IRTC", "View 10-K")</f>
        <v>View 10-K</v>
      </c>
      <c r="O9" s="901" t="str">
        <f>HYPERLINK("https://my.pitchbook.com/profile/52157-62/company/financials?reportId=31304162593&amp;financialGroup=INCOME_STATEMENT&amp;period=ANN&amp;exchangeId=NAS&amp;exchangeSymbol=IRTC", "View 10-K")</f>
        <v>View 10-K</v>
      </c>
      <c r="P9" s="901" t="str">
        <f>HYPERLINK("https://my.pitchbook.com/profile/52157-62/company/financials?reportId=31304162529&amp;financialGroup=INCOME_STATEMENT&amp;period=ANN&amp;exchangeId=NAS&amp;exchangeSymbol=IRTC", "View IPO-A")</f>
        <v>View IPO-A</v>
      </c>
      <c r="Q9" s="901" t="str">
        <f>HYPERLINK("https://my.pitchbook.com/profile/52157-62/company/financials?reportId=31304162465&amp;financialGroup=INCOME_STATEMENT&amp;period=ANN&amp;exchangeId=NAS&amp;exchangeSymbol=IRTC", "View 10-K")</f>
        <v>View 10-K</v>
      </c>
      <c r="R9" s="15"/>
      <c r="S9" s="851" t="s">
        <v>194</v>
      </c>
      <c r="T9" s="846" t="s">
        <v>194</v>
      </c>
      <c r="U9" s="846" t="s">
        <v>194</v>
      </c>
      <c r="V9" s="846" t="s">
        <v>194</v>
      </c>
      <c r="W9" s="846" t="s">
        <v>194</v>
      </c>
      <c r="X9" s="846" t="s">
        <v>194</v>
      </c>
      <c r="Y9" s="846" t="s">
        <v>194</v>
      </c>
      <c r="Z9" s="846" t="s">
        <v>194</v>
      </c>
      <c r="AA9" s="846" t="s">
        <v>194</v>
      </c>
      <c r="AB9" s="846" t="s">
        <v>194</v>
      </c>
      <c r="AC9" s="846" t="s">
        <v>194</v>
      </c>
      <c r="AD9" s="846" t="s">
        <v>194</v>
      </c>
      <c r="AE9" s="846" t="s">
        <v>194</v>
      </c>
      <c r="AF9" s="846" t="s">
        <v>194</v>
      </c>
      <c r="AG9" s="846" t="s">
        <v>194</v>
      </c>
      <c r="AH9" s="846" t="s">
        <v>194</v>
      </c>
      <c r="AI9" s="846" t="s">
        <v>194</v>
      </c>
      <c r="AJ9" s="846" t="s">
        <v>194</v>
      </c>
      <c r="AK9" s="846" t="s">
        <v>194</v>
      </c>
      <c r="AL9" s="846" t="s">
        <v>194</v>
      </c>
      <c r="AM9" s="846" t="s">
        <v>194</v>
      </c>
      <c r="AN9" s="846" t="s">
        <v>194</v>
      </c>
    </row>
    <row r="10">
      <c r="A10" s="849">
        <v>1.0</v>
      </c>
      <c r="B10" s="15"/>
      <c r="C10" s="855" t="str">
        <f>IF(SUBTOTAL(109,A11)=A11,"Gross Profit","Gross Profit")</f>
        <v>Gross Profit</v>
      </c>
      <c r="D10" s="866" t="str">
        <f t="shared" ref="D10:D48" si="1">IF(COUNT(M10:Q10)&gt;0,MEDIAN(M10:Q10),"")</f>
        <v/>
      </c>
      <c r="E10" s="866" t="str">
        <f t="shared" ref="E10:E48" si="2">IF(COUNT(M10:Q10)&gt;0,AVERAGE(M10:Q10),"")</f>
        <v/>
      </c>
      <c r="F10" s="866" t="str">
        <f t="shared" ref="F10:F48" si="3">IF(COUNT(M10:Q10)&gt;0,MIN(M10:Q10),"")</f>
        <v/>
      </c>
      <c r="G10" s="866" t="str">
        <f t="shared" ref="G10:G48" si="4">IF(COUNT(M10:Q10)&gt;0,MAX(M10:Q10),"")</f>
        <v/>
      </c>
      <c r="H10" s="866" t="str">
        <f t="shared" ref="H10:H48" si="5">IF(COUNT(M10:Q10)&gt;0,QUARTILE(M10:Q10,1),"")</f>
        <v/>
      </c>
      <c r="I10" s="866" t="str">
        <f t="shared" ref="I10:I48" si="6">IF(COUNT(M10:Q10)&gt;0,QUARTILE(M10:Q10,3),"")</f>
        <v/>
      </c>
      <c r="J10" s="866" t="str">
        <f t="shared" ref="J10:J48" si="7">IF(COUNT(M10:Q10)&gt;1,STDEV(M10:Q10),"")</f>
        <v/>
      </c>
      <c r="K10" s="867" t="str">
        <f t="shared" ref="K10:K48" si="8">IF(COUNT(M10:Q10)&gt;1,STDEV(M10:Q10)/AVERAGE(M10:Q10),"")</f>
        <v/>
      </c>
      <c r="L10" s="866" t="s">
        <v>194</v>
      </c>
      <c r="M10" s="866" t="str">
        <f>IF(SUBTOTAL(109,A11)=A11,"",108714)</f>
        <v/>
      </c>
      <c r="N10" s="866" t="str">
        <f>IF(SUBTOTAL(109,A11)=A11,"",70801)</f>
        <v/>
      </c>
      <c r="O10" s="866" t="str">
        <f>IF(SUBTOTAL(109,A11)=A11,"",43189)</f>
        <v/>
      </c>
      <c r="P10" s="866" t="str">
        <f>IF(SUBTOTAL(109,A11)=A11,"",21440)</f>
        <v/>
      </c>
      <c r="Q10" s="866" t="str">
        <f>IF(SUBTOTAL(109,A11)=A11,"",11158)</f>
        <v/>
      </c>
      <c r="R10" s="15"/>
      <c r="S10" s="851" t="s">
        <v>194</v>
      </c>
      <c r="T10" s="846" t="s">
        <v>194</v>
      </c>
      <c r="U10" s="846" t="s">
        <v>194</v>
      </c>
      <c r="V10" s="846" t="s">
        <v>194</v>
      </c>
      <c r="W10" s="846" t="s">
        <v>194</v>
      </c>
      <c r="X10" s="846" t="s">
        <v>194</v>
      </c>
      <c r="Y10" s="846" t="s">
        <v>194</v>
      </c>
      <c r="Z10" s="846" t="s">
        <v>194</v>
      </c>
      <c r="AA10" s="846" t="s">
        <v>194</v>
      </c>
      <c r="AB10" s="846" t="s">
        <v>194</v>
      </c>
      <c r="AC10" s="846" t="s">
        <v>194</v>
      </c>
      <c r="AD10" s="846" t="s">
        <v>194</v>
      </c>
      <c r="AE10" s="846" t="s">
        <v>194</v>
      </c>
      <c r="AF10" s="846" t="s">
        <v>194</v>
      </c>
      <c r="AG10" s="846" t="s">
        <v>194</v>
      </c>
      <c r="AH10" s="846" t="s">
        <v>194</v>
      </c>
      <c r="AI10" s="846" t="s">
        <v>194</v>
      </c>
      <c r="AJ10" s="846" t="s">
        <v>194</v>
      </c>
      <c r="AK10" s="846" t="s">
        <v>194</v>
      </c>
      <c r="AL10" s="846" t="s">
        <v>194</v>
      </c>
      <c r="AM10" s="846" t="s">
        <v>194</v>
      </c>
      <c r="AN10" s="846" t="s">
        <v>194</v>
      </c>
    </row>
    <row r="11" outlineLevel="1">
      <c r="A11" s="849">
        <v>1.0</v>
      </c>
      <c r="B11" s="15"/>
      <c r="C11" s="869" t="str">
        <f>IF(SUBTOTAL(109,A12)=A12,"    Revenue","    Total Revenue")</f>
        <v>    Revenue</v>
      </c>
      <c r="D11" s="870" t="str">
        <f t="shared" si="1"/>
        <v/>
      </c>
      <c r="E11" s="870" t="str">
        <f t="shared" si="2"/>
        <v/>
      </c>
      <c r="F11" s="870" t="str">
        <f t="shared" si="3"/>
        <v/>
      </c>
      <c r="G11" s="870" t="str">
        <f t="shared" si="4"/>
        <v/>
      </c>
      <c r="H11" s="870" t="str">
        <f t="shared" si="5"/>
        <v/>
      </c>
      <c r="I11" s="870" t="str">
        <f t="shared" si="6"/>
        <v/>
      </c>
      <c r="J11" s="870" t="str">
        <f t="shared" si="7"/>
        <v/>
      </c>
      <c r="K11" s="871" t="str">
        <f t="shared" si="8"/>
        <v/>
      </c>
      <c r="L11" s="872" t="s">
        <v>194</v>
      </c>
      <c r="M11" s="872" t="str">
        <f>IF(SUBTOTAL(109,A12)=A12,"",147293)</f>
        <v/>
      </c>
      <c r="N11" s="872" t="str">
        <f>IF(SUBTOTAL(109,A12)=A12,"",98509)</f>
        <v/>
      </c>
      <c r="O11" s="872" t="str">
        <f>IF(SUBTOTAL(109,A12)=A12,"",64072)</f>
        <v/>
      </c>
      <c r="P11" s="872" t="str">
        <f>IF(SUBTOTAL(109,A12)=A12,"",36140)</f>
        <v/>
      </c>
      <c r="Q11" s="872" t="str">
        <f>IF(SUBTOTAL(109,A12)=A12,"",21749)</f>
        <v/>
      </c>
      <c r="R11" s="15"/>
      <c r="S11" s="851" t="s">
        <v>194</v>
      </c>
      <c r="T11" s="846" t="s">
        <v>194</v>
      </c>
      <c r="U11" s="846" t="s">
        <v>194</v>
      </c>
      <c r="V11" s="846" t="s">
        <v>194</v>
      </c>
      <c r="W11" s="846" t="s">
        <v>194</v>
      </c>
      <c r="X11" s="846" t="s">
        <v>194</v>
      </c>
      <c r="Y11" s="846" t="s">
        <v>194</v>
      </c>
      <c r="Z11" s="846" t="s">
        <v>194</v>
      </c>
      <c r="AA11" s="846" t="s">
        <v>194</v>
      </c>
      <c r="AB11" s="846" t="s">
        <v>194</v>
      </c>
      <c r="AC11" s="846" t="s">
        <v>194</v>
      </c>
      <c r="AD11" s="846" t="s">
        <v>194</v>
      </c>
      <c r="AE11" s="846" t="s">
        <v>194</v>
      </c>
      <c r="AF11" s="846" t="s">
        <v>194</v>
      </c>
      <c r="AG11" s="846" t="s">
        <v>194</v>
      </c>
      <c r="AH11" s="846" t="s">
        <v>194</v>
      </c>
      <c r="AI11" s="846" t="s">
        <v>194</v>
      </c>
      <c r="AJ11" s="846" t="s">
        <v>194</v>
      </c>
      <c r="AK11" s="846" t="s">
        <v>194</v>
      </c>
      <c r="AL11" s="846" t="s">
        <v>194</v>
      </c>
      <c r="AM11" s="846" t="s">
        <v>194</v>
      </c>
      <c r="AN11" s="846" t="s">
        <v>194</v>
      </c>
    </row>
    <row r="12" outlineLevel="2">
      <c r="A12" s="849">
        <v>1.0</v>
      </c>
      <c r="B12" s="15"/>
      <c r="C12" s="869" t="str">
        <f>"        Business Revenue"</f>
        <v>        Business Revenue</v>
      </c>
      <c r="D12" s="870">
        <f t="shared" si="1"/>
        <v>64072</v>
      </c>
      <c r="E12" s="870">
        <f t="shared" si="2"/>
        <v>73552.6</v>
      </c>
      <c r="F12" s="870">
        <f t="shared" si="3"/>
        <v>21749</v>
      </c>
      <c r="G12" s="870">
        <f t="shared" si="4"/>
        <v>147293</v>
      </c>
      <c r="H12" s="870">
        <f t="shared" si="5"/>
        <v>36140</v>
      </c>
      <c r="I12" s="870">
        <f t="shared" si="6"/>
        <v>98509</v>
      </c>
      <c r="J12" s="870">
        <f t="shared" si="7"/>
        <v>50580.79152</v>
      </c>
      <c r="K12" s="871">
        <f t="shared" si="8"/>
        <v>0.6876818972</v>
      </c>
      <c r="L12" s="872" t="s">
        <v>194</v>
      </c>
      <c r="M12" s="872">
        <v>147293.0</v>
      </c>
      <c r="N12" s="872">
        <v>98509.0</v>
      </c>
      <c r="O12" s="872">
        <v>64072.0</v>
      </c>
      <c r="P12" s="872">
        <v>36140.0</v>
      </c>
      <c r="Q12" s="872">
        <v>21749.0</v>
      </c>
      <c r="R12" s="15"/>
      <c r="S12" s="851" t="s">
        <v>194</v>
      </c>
      <c r="T12" s="846" t="s">
        <v>194</v>
      </c>
      <c r="U12" s="846" t="s">
        <v>194</v>
      </c>
      <c r="V12" s="846" t="s">
        <v>194</v>
      </c>
      <c r="W12" s="846" t="s">
        <v>194</v>
      </c>
      <c r="X12" s="846" t="s">
        <v>194</v>
      </c>
      <c r="Y12" s="846" t="s">
        <v>194</v>
      </c>
      <c r="Z12" s="846" t="s">
        <v>194</v>
      </c>
      <c r="AA12" s="846" t="s">
        <v>194</v>
      </c>
      <c r="AB12" s="846" t="s">
        <v>194</v>
      </c>
      <c r="AC12" s="846" t="s">
        <v>194</v>
      </c>
      <c r="AD12" s="846" t="s">
        <v>194</v>
      </c>
      <c r="AE12" s="846" t="s">
        <v>194</v>
      </c>
      <c r="AF12" s="846" t="s">
        <v>194</v>
      </c>
      <c r="AG12" s="846" t="s">
        <v>194</v>
      </c>
      <c r="AH12" s="846" t="s">
        <v>194</v>
      </c>
      <c r="AI12" s="846" t="s">
        <v>194</v>
      </c>
      <c r="AJ12" s="846" t="s">
        <v>194</v>
      </c>
      <c r="AK12" s="846" t="s">
        <v>194</v>
      </c>
      <c r="AL12" s="846" t="s">
        <v>194</v>
      </c>
      <c r="AM12" s="846" t="s">
        <v>194</v>
      </c>
      <c r="AN12" s="846" t="s">
        <v>194</v>
      </c>
    </row>
    <row r="13" outlineLevel="2">
      <c r="A13" s="905">
        <v>1.0</v>
      </c>
      <c r="B13" s="906"/>
      <c r="C13" s="907" t="str">
        <f>"        Total Revenue"</f>
        <v>        Total Revenue</v>
      </c>
      <c r="D13" s="908">
        <f t="shared" si="1"/>
        <v>64072</v>
      </c>
      <c r="E13" s="908">
        <f t="shared" si="2"/>
        <v>73552.6</v>
      </c>
      <c r="F13" s="908">
        <f t="shared" si="3"/>
        <v>21749</v>
      </c>
      <c r="G13" s="908">
        <f t="shared" si="4"/>
        <v>147293</v>
      </c>
      <c r="H13" s="908">
        <f t="shared" si="5"/>
        <v>36140</v>
      </c>
      <c r="I13" s="908">
        <f t="shared" si="6"/>
        <v>98509</v>
      </c>
      <c r="J13" s="908">
        <f t="shared" si="7"/>
        <v>50580.79152</v>
      </c>
      <c r="K13" s="909">
        <f t="shared" si="8"/>
        <v>0.6876818972</v>
      </c>
      <c r="L13" s="908" t="s">
        <v>194</v>
      </c>
      <c r="M13" s="908">
        <v>147293.0</v>
      </c>
      <c r="N13" s="908">
        <v>98509.0</v>
      </c>
      <c r="O13" s="908">
        <v>64072.0</v>
      </c>
      <c r="P13" s="908">
        <v>36140.0</v>
      </c>
      <c r="Q13" s="908">
        <v>21749.0</v>
      </c>
      <c r="R13" s="906"/>
      <c r="S13" s="911" t="s">
        <v>194</v>
      </c>
      <c r="T13" s="906" t="s">
        <v>194</v>
      </c>
      <c r="U13" s="906" t="s">
        <v>194</v>
      </c>
      <c r="V13" s="906" t="s">
        <v>194</v>
      </c>
      <c r="W13" s="906" t="s">
        <v>194</v>
      </c>
      <c r="X13" s="906" t="s">
        <v>194</v>
      </c>
      <c r="Y13" s="906" t="s">
        <v>194</v>
      </c>
      <c r="Z13" s="906" t="s">
        <v>194</v>
      </c>
      <c r="AA13" s="906" t="s">
        <v>194</v>
      </c>
      <c r="AB13" s="906" t="s">
        <v>194</v>
      </c>
      <c r="AC13" s="906" t="s">
        <v>194</v>
      </c>
      <c r="AD13" s="906" t="s">
        <v>194</v>
      </c>
      <c r="AE13" s="906" t="s">
        <v>194</v>
      </c>
      <c r="AF13" s="906" t="s">
        <v>194</v>
      </c>
      <c r="AG13" s="906" t="s">
        <v>194</v>
      </c>
      <c r="AH13" s="906" t="s">
        <v>194</v>
      </c>
      <c r="AI13" s="906" t="s">
        <v>194</v>
      </c>
      <c r="AJ13" s="906" t="s">
        <v>194</v>
      </c>
      <c r="AK13" s="906" t="s">
        <v>194</v>
      </c>
      <c r="AL13" s="906" t="s">
        <v>194</v>
      </c>
      <c r="AM13" s="906" t="s">
        <v>194</v>
      </c>
      <c r="AN13" s="906" t="s">
        <v>194</v>
      </c>
    </row>
    <row r="14" outlineLevel="1">
      <c r="A14" s="849">
        <v>1.0</v>
      </c>
      <c r="B14" s="15"/>
      <c r="C14" s="869" t="str">
        <f>"    Cost of Revenue"</f>
        <v>    Cost of Revenue</v>
      </c>
      <c r="D14" s="870">
        <f t="shared" si="1"/>
        <v>20883</v>
      </c>
      <c r="E14" s="870">
        <f t="shared" si="2"/>
        <v>22492.2</v>
      </c>
      <c r="F14" s="870">
        <f t="shared" si="3"/>
        <v>10591</v>
      </c>
      <c r="G14" s="870">
        <f t="shared" si="4"/>
        <v>38579</v>
      </c>
      <c r="H14" s="870">
        <f t="shared" si="5"/>
        <v>14700</v>
      </c>
      <c r="I14" s="870">
        <f t="shared" si="6"/>
        <v>27708</v>
      </c>
      <c r="J14" s="870">
        <f t="shared" si="7"/>
        <v>11078.53974</v>
      </c>
      <c r="K14" s="871">
        <f t="shared" si="8"/>
        <v>0.4925502946</v>
      </c>
      <c r="L14" s="872" t="s">
        <v>194</v>
      </c>
      <c r="M14" s="872">
        <v>38579.0</v>
      </c>
      <c r="N14" s="872">
        <v>27708.0</v>
      </c>
      <c r="O14" s="872">
        <v>20883.0</v>
      </c>
      <c r="P14" s="872">
        <v>14700.0</v>
      </c>
      <c r="Q14" s="872">
        <v>10591.0</v>
      </c>
      <c r="R14" s="15"/>
      <c r="S14" s="851" t="s">
        <v>194</v>
      </c>
      <c r="T14" s="846" t="s">
        <v>194</v>
      </c>
      <c r="U14" s="846" t="s">
        <v>194</v>
      </c>
      <c r="V14" s="846" t="s">
        <v>194</v>
      </c>
      <c r="W14" s="846" t="s">
        <v>194</v>
      </c>
      <c r="X14" s="846" t="s">
        <v>194</v>
      </c>
      <c r="Y14" s="846" t="s">
        <v>194</v>
      </c>
      <c r="Z14" s="846" t="s">
        <v>194</v>
      </c>
      <c r="AA14" s="846" t="s">
        <v>194</v>
      </c>
      <c r="AB14" s="846" t="s">
        <v>194</v>
      </c>
      <c r="AC14" s="846" t="s">
        <v>194</v>
      </c>
      <c r="AD14" s="846" t="s">
        <v>194</v>
      </c>
      <c r="AE14" s="846" t="s">
        <v>194</v>
      </c>
      <c r="AF14" s="846" t="s">
        <v>194</v>
      </c>
      <c r="AG14" s="846" t="s">
        <v>194</v>
      </c>
      <c r="AH14" s="846" t="s">
        <v>194</v>
      </c>
      <c r="AI14" s="846" t="s">
        <v>194</v>
      </c>
      <c r="AJ14" s="846" t="s">
        <v>194</v>
      </c>
      <c r="AK14" s="846" t="s">
        <v>194</v>
      </c>
      <c r="AL14" s="846" t="s">
        <v>194</v>
      </c>
      <c r="AM14" s="846" t="s">
        <v>194</v>
      </c>
      <c r="AN14" s="846" t="s">
        <v>194</v>
      </c>
    </row>
    <row r="15" outlineLevel="1">
      <c r="A15" s="849">
        <v>1.0</v>
      </c>
      <c r="B15" s="15"/>
      <c r="C15" s="855" t="str">
        <f>"    Total Gross Profit"</f>
        <v>    Total Gross Profit</v>
      </c>
      <c r="D15" s="882">
        <f t="shared" si="1"/>
        <v>43189</v>
      </c>
      <c r="E15" s="882">
        <f t="shared" si="2"/>
        <v>51060.4</v>
      </c>
      <c r="F15" s="882">
        <f t="shared" si="3"/>
        <v>11158</v>
      </c>
      <c r="G15" s="882">
        <f t="shared" si="4"/>
        <v>108714</v>
      </c>
      <c r="H15" s="882">
        <f t="shared" si="5"/>
        <v>21440</v>
      </c>
      <c r="I15" s="882">
        <f t="shared" si="6"/>
        <v>70801</v>
      </c>
      <c r="J15" s="882">
        <f t="shared" si="7"/>
        <v>39513.15427</v>
      </c>
      <c r="K15" s="883">
        <f t="shared" si="8"/>
        <v>0.7738512481</v>
      </c>
      <c r="L15" s="882" t="s">
        <v>194</v>
      </c>
      <c r="M15" s="882">
        <v>108714.0</v>
      </c>
      <c r="N15" s="882">
        <v>70801.0</v>
      </c>
      <c r="O15" s="882">
        <v>43189.0</v>
      </c>
      <c r="P15" s="882">
        <v>21440.0</v>
      </c>
      <c r="Q15" s="882">
        <v>11158.0</v>
      </c>
      <c r="R15" s="15"/>
      <c r="S15" s="851" t="s">
        <v>194</v>
      </c>
      <c r="T15" s="846" t="s">
        <v>194</v>
      </c>
      <c r="U15" s="846" t="s">
        <v>194</v>
      </c>
      <c r="V15" s="846" t="s">
        <v>194</v>
      </c>
      <c r="W15" s="846" t="s">
        <v>194</v>
      </c>
      <c r="X15" s="846" t="s">
        <v>194</v>
      </c>
      <c r="Y15" s="846" t="s">
        <v>194</v>
      </c>
      <c r="Z15" s="846" t="s">
        <v>194</v>
      </c>
      <c r="AA15" s="846" t="s">
        <v>194</v>
      </c>
      <c r="AB15" s="846" t="s">
        <v>194</v>
      </c>
      <c r="AC15" s="846" t="s">
        <v>194</v>
      </c>
      <c r="AD15" s="846" t="s">
        <v>194</v>
      </c>
      <c r="AE15" s="846" t="s">
        <v>194</v>
      </c>
      <c r="AF15" s="846" t="s">
        <v>194</v>
      </c>
      <c r="AG15" s="846" t="s">
        <v>194</v>
      </c>
      <c r="AH15" s="846" t="s">
        <v>194</v>
      </c>
      <c r="AI15" s="846" t="s">
        <v>194</v>
      </c>
      <c r="AJ15" s="846" t="s">
        <v>194</v>
      </c>
      <c r="AK15" s="846" t="s">
        <v>194</v>
      </c>
      <c r="AL15" s="846" t="s">
        <v>194</v>
      </c>
      <c r="AM15" s="846" t="s">
        <v>194</v>
      </c>
      <c r="AN15" s="846" t="s">
        <v>194</v>
      </c>
    </row>
    <row r="16">
      <c r="A16" s="849">
        <v>1.0</v>
      </c>
      <c r="B16" s="15"/>
      <c r="C16" s="855" t="str">
        <f>IF(SUBTOTAL(109,A17)=A17,"Operating (Income)/Expenses","Operating (Income)/Expenses")</f>
        <v>Operating (Income)/Expenses</v>
      </c>
      <c r="D16" s="866" t="str">
        <f t="shared" si="1"/>
        <v/>
      </c>
      <c r="E16" s="866" t="str">
        <f t="shared" si="2"/>
        <v/>
      </c>
      <c r="F16" s="866" t="str">
        <f t="shared" si="3"/>
        <v/>
      </c>
      <c r="G16" s="866" t="str">
        <f t="shared" si="4"/>
        <v/>
      </c>
      <c r="H16" s="866" t="str">
        <f t="shared" si="5"/>
        <v/>
      </c>
      <c r="I16" s="866" t="str">
        <f t="shared" si="6"/>
        <v/>
      </c>
      <c r="J16" s="866" t="str">
        <f t="shared" si="7"/>
        <v/>
      </c>
      <c r="K16" s="867" t="str">
        <f t="shared" si="8"/>
        <v/>
      </c>
      <c r="L16" s="866" t="s">
        <v>194</v>
      </c>
      <c r="M16" s="866" t="str">
        <f>IF(SUBTOTAL(109,A17)=A17,"",152332)</f>
        <v/>
      </c>
      <c r="N16" s="866" t="str">
        <f>IF(SUBTOTAL(109,A17)=A17,"",98072)</f>
        <v/>
      </c>
      <c r="O16" s="866" t="str">
        <f>IF(SUBTOTAL(109,A17)=A17,"",58771)</f>
        <v/>
      </c>
      <c r="P16" s="866" t="str">
        <f>IF(SUBTOTAL(109,A17)=A17,"",43071)</f>
        <v/>
      </c>
      <c r="Q16" s="866" t="str">
        <f>IF(SUBTOTAL(109,A17)=A17,"",25923)</f>
        <v/>
      </c>
      <c r="R16" s="15"/>
      <c r="S16" s="851" t="s">
        <v>194</v>
      </c>
      <c r="T16" s="846" t="s">
        <v>194</v>
      </c>
      <c r="U16" s="846" t="s">
        <v>194</v>
      </c>
      <c r="V16" s="846" t="s">
        <v>194</v>
      </c>
      <c r="W16" s="846" t="s">
        <v>194</v>
      </c>
      <c r="X16" s="846" t="s">
        <v>194</v>
      </c>
      <c r="Y16" s="846" t="s">
        <v>194</v>
      </c>
      <c r="Z16" s="846" t="s">
        <v>194</v>
      </c>
      <c r="AA16" s="846" t="s">
        <v>194</v>
      </c>
      <c r="AB16" s="846" t="s">
        <v>194</v>
      </c>
      <c r="AC16" s="846" t="s">
        <v>194</v>
      </c>
      <c r="AD16" s="846" t="s">
        <v>194</v>
      </c>
      <c r="AE16" s="846" t="s">
        <v>194</v>
      </c>
      <c r="AF16" s="846" t="s">
        <v>194</v>
      </c>
      <c r="AG16" s="846" t="s">
        <v>194</v>
      </c>
      <c r="AH16" s="846" t="s">
        <v>194</v>
      </c>
      <c r="AI16" s="846" t="s">
        <v>194</v>
      </c>
      <c r="AJ16" s="846" t="s">
        <v>194</v>
      </c>
      <c r="AK16" s="846" t="s">
        <v>194</v>
      </c>
      <c r="AL16" s="846" t="s">
        <v>194</v>
      </c>
      <c r="AM16" s="846" t="s">
        <v>194</v>
      </c>
      <c r="AN16" s="846" t="s">
        <v>194</v>
      </c>
    </row>
    <row r="17" outlineLevel="1">
      <c r="A17" s="961">
        <v>1.0</v>
      </c>
      <c r="B17" s="962"/>
      <c r="C17" s="963" t="str">
        <f>"    Selling, General and Administrative Expenses"</f>
        <v>    Selling, General and Administrative Expenses</v>
      </c>
      <c r="D17" s="964">
        <f t="shared" si="1"/>
        <v>51621</v>
      </c>
      <c r="E17" s="964">
        <f t="shared" si="2"/>
        <v>64977.4</v>
      </c>
      <c r="F17" s="964">
        <f t="shared" si="3"/>
        <v>20225</v>
      </c>
      <c r="G17" s="964">
        <f t="shared" si="4"/>
        <v>131582</v>
      </c>
      <c r="H17" s="964">
        <f t="shared" si="5"/>
        <v>36722</v>
      </c>
      <c r="I17" s="964">
        <f t="shared" si="6"/>
        <v>84737</v>
      </c>
      <c r="J17" s="964">
        <f t="shared" si="7"/>
        <v>44176.21784</v>
      </c>
      <c r="K17" s="965">
        <f t="shared" si="8"/>
        <v>0.6798705063</v>
      </c>
      <c r="L17" s="964" t="s">
        <v>194</v>
      </c>
      <c r="M17" s="964">
        <v>131582.0</v>
      </c>
      <c r="N17" s="964">
        <v>84737.0</v>
      </c>
      <c r="O17" s="964">
        <v>51621.0</v>
      </c>
      <c r="P17" s="964">
        <v>36722.0</v>
      </c>
      <c r="Q17" s="964">
        <v>20225.0</v>
      </c>
      <c r="R17" s="962"/>
      <c r="S17" s="966" t="s">
        <v>194</v>
      </c>
      <c r="T17" s="962" t="s">
        <v>194</v>
      </c>
      <c r="U17" s="962" t="s">
        <v>194</v>
      </c>
      <c r="V17" s="962" t="s">
        <v>194</v>
      </c>
      <c r="W17" s="962" t="s">
        <v>194</v>
      </c>
      <c r="X17" s="962" t="s">
        <v>194</v>
      </c>
      <c r="Y17" s="962" t="s">
        <v>194</v>
      </c>
      <c r="Z17" s="962" t="s">
        <v>194</v>
      </c>
      <c r="AA17" s="962" t="s">
        <v>194</v>
      </c>
      <c r="AB17" s="962" t="s">
        <v>194</v>
      </c>
      <c r="AC17" s="962" t="s">
        <v>194</v>
      </c>
      <c r="AD17" s="962" t="s">
        <v>194</v>
      </c>
      <c r="AE17" s="962" t="s">
        <v>194</v>
      </c>
      <c r="AF17" s="962" t="s">
        <v>194</v>
      </c>
      <c r="AG17" s="962" t="s">
        <v>194</v>
      </c>
      <c r="AH17" s="962" t="s">
        <v>194</v>
      </c>
      <c r="AI17" s="962" t="s">
        <v>194</v>
      </c>
      <c r="AJ17" s="962" t="s">
        <v>194</v>
      </c>
      <c r="AK17" s="962" t="s">
        <v>194</v>
      </c>
      <c r="AL17" s="962" t="s">
        <v>194</v>
      </c>
      <c r="AM17" s="962" t="s">
        <v>194</v>
      </c>
      <c r="AN17" s="962" t="s">
        <v>194</v>
      </c>
    </row>
    <row r="18" outlineLevel="1">
      <c r="A18" s="849">
        <v>1.0</v>
      </c>
      <c r="B18" s="15"/>
      <c r="C18" s="869" t="str">
        <f>"    Research and Development Expenses"</f>
        <v>    Research and Development Expenses</v>
      </c>
      <c r="D18" s="870">
        <f t="shared" si="1"/>
        <v>7150</v>
      </c>
      <c r="E18" s="870">
        <f t="shared" si="2"/>
        <v>10656.4</v>
      </c>
      <c r="F18" s="870">
        <f t="shared" si="3"/>
        <v>5698</v>
      </c>
      <c r="G18" s="870">
        <f t="shared" si="4"/>
        <v>20750</v>
      </c>
      <c r="H18" s="870">
        <f t="shared" si="5"/>
        <v>6349</v>
      </c>
      <c r="I18" s="870">
        <f t="shared" si="6"/>
        <v>13335</v>
      </c>
      <c r="J18" s="870">
        <f t="shared" si="7"/>
        <v>6412.681288</v>
      </c>
      <c r="K18" s="871">
        <f t="shared" si="8"/>
        <v>0.6017680725</v>
      </c>
      <c r="L18" s="872" t="s">
        <v>194</v>
      </c>
      <c r="M18" s="872">
        <v>20750.0</v>
      </c>
      <c r="N18" s="872">
        <v>13335.0</v>
      </c>
      <c r="O18" s="872">
        <v>7150.0</v>
      </c>
      <c r="P18" s="872">
        <v>6349.0</v>
      </c>
      <c r="Q18" s="872">
        <v>5698.0</v>
      </c>
      <c r="R18" s="15"/>
      <c r="S18" s="851" t="s">
        <v>194</v>
      </c>
      <c r="T18" s="846" t="s">
        <v>194</v>
      </c>
      <c r="U18" s="846" t="s">
        <v>194</v>
      </c>
      <c r="V18" s="846" t="s">
        <v>194</v>
      </c>
      <c r="W18" s="846" t="s">
        <v>194</v>
      </c>
      <c r="X18" s="846" t="s">
        <v>194</v>
      </c>
      <c r="Y18" s="846" t="s">
        <v>194</v>
      </c>
      <c r="Z18" s="846" t="s">
        <v>194</v>
      </c>
      <c r="AA18" s="846" t="s">
        <v>194</v>
      </c>
      <c r="AB18" s="846" t="s">
        <v>194</v>
      </c>
      <c r="AC18" s="846" t="s">
        <v>194</v>
      </c>
      <c r="AD18" s="846" t="s">
        <v>194</v>
      </c>
      <c r="AE18" s="846" t="s">
        <v>194</v>
      </c>
      <c r="AF18" s="846" t="s">
        <v>194</v>
      </c>
      <c r="AG18" s="846" t="s">
        <v>194</v>
      </c>
      <c r="AH18" s="846" t="s">
        <v>194</v>
      </c>
      <c r="AI18" s="846" t="s">
        <v>194</v>
      </c>
      <c r="AJ18" s="846" t="s">
        <v>194</v>
      </c>
      <c r="AK18" s="846" t="s">
        <v>194</v>
      </c>
      <c r="AL18" s="846" t="s">
        <v>194</v>
      </c>
      <c r="AM18" s="846" t="s">
        <v>194</v>
      </c>
      <c r="AN18" s="846" t="s">
        <v>194</v>
      </c>
    </row>
    <row r="19" outlineLevel="1">
      <c r="A19" s="849">
        <v>1.0</v>
      </c>
      <c r="B19" s="15"/>
      <c r="C19" s="855" t="str">
        <f>"    Total Operating (Income)/Expenses"</f>
        <v>    Total Operating (Income)/Expenses</v>
      </c>
      <c r="D19" s="882">
        <f t="shared" si="1"/>
        <v>58771</v>
      </c>
      <c r="E19" s="882">
        <f t="shared" si="2"/>
        <v>75633.8</v>
      </c>
      <c r="F19" s="882">
        <f t="shared" si="3"/>
        <v>25923</v>
      </c>
      <c r="G19" s="882">
        <f t="shared" si="4"/>
        <v>152332</v>
      </c>
      <c r="H19" s="882">
        <f t="shared" si="5"/>
        <v>43071</v>
      </c>
      <c r="I19" s="882">
        <f t="shared" si="6"/>
        <v>98072</v>
      </c>
      <c r="J19" s="882">
        <f t="shared" si="7"/>
        <v>50502.32744</v>
      </c>
      <c r="K19" s="883">
        <f t="shared" si="8"/>
        <v>0.6677216726</v>
      </c>
      <c r="L19" s="882" t="s">
        <v>194</v>
      </c>
      <c r="M19" s="882">
        <v>152332.0</v>
      </c>
      <c r="N19" s="882">
        <v>98072.0</v>
      </c>
      <c r="O19" s="882">
        <v>58771.0</v>
      </c>
      <c r="P19" s="882">
        <v>43071.0</v>
      </c>
      <c r="Q19" s="882">
        <v>25923.0</v>
      </c>
      <c r="R19" s="15"/>
      <c r="S19" s="851" t="s">
        <v>194</v>
      </c>
      <c r="T19" s="846" t="s">
        <v>194</v>
      </c>
      <c r="U19" s="846" t="s">
        <v>194</v>
      </c>
      <c r="V19" s="846" t="s">
        <v>194</v>
      </c>
      <c r="W19" s="846" t="s">
        <v>194</v>
      </c>
      <c r="X19" s="846" t="s">
        <v>194</v>
      </c>
      <c r="Y19" s="846" t="s">
        <v>194</v>
      </c>
      <c r="Z19" s="846" t="s">
        <v>194</v>
      </c>
      <c r="AA19" s="846" t="s">
        <v>194</v>
      </c>
      <c r="AB19" s="846" t="s">
        <v>194</v>
      </c>
      <c r="AC19" s="846" t="s">
        <v>194</v>
      </c>
      <c r="AD19" s="846" t="s">
        <v>194</v>
      </c>
      <c r="AE19" s="846" t="s">
        <v>194</v>
      </c>
      <c r="AF19" s="846" t="s">
        <v>194</v>
      </c>
      <c r="AG19" s="846" t="s">
        <v>194</v>
      </c>
      <c r="AH19" s="846" t="s">
        <v>194</v>
      </c>
      <c r="AI19" s="846" t="s">
        <v>194</v>
      </c>
      <c r="AJ19" s="846" t="s">
        <v>194</v>
      </c>
      <c r="AK19" s="846" t="s">
        <v>194</v>
      </c>
      <c r="AL19" s="846" t="s">
        <v>194</v>
      </c>
      <c r="AM19" s="846" t="s">
        <v>194</v>
      </c>
      <c r="AN19" s="846" t="s">
        <v>194</v>
      </c>
    </row>
    <row r="20">
      <c r="A20" s="849">
        <v>1.0</v>
      </c>
      <c r="B20" s="15"/>
      <c r="C20" s="855" t="str">
        <f>"Total Operating Profit/(Loss)"</f>
        <v>Total Operating Profit/(Loss)</v>
      </c>
      <c r="D20" s="866">
        <f t="shared" si="1"/>
        <v>-21631</v>
      </c>
      <c r="E20" s="866">
        <f t="shared" si="2"/>
        <v>-24573.4</v>
      </c>
      <c r="F20" s="866">
        <f t="shared" si="3"/>
        <v>-43618</v>
      </c>
      <c r="G20" s="866">
        <f t="shared" si="4"/>
        <v>-14765</v>
      </c>
      <c r="H20" s="866">
        <f t="shared" si="5"/>
        <v>-27271</v>
      </c>
      <c r="I20" s="866">
        <f t="shared" si="6"/>
        <v>-15582</v>
      </c>
      <c r="J20" s="866">
        <f t="shared" si="7"/>
        <v>11786.44918</v>
      </c>
      <c r="K20" s="867">
        <f t="shared" si="8"/>
        <v>-0.4796425884</v>
      </c>
      <c r="L20" s="866" t="s">
        <v>194</v>
      </c>
      <c r="M20" s="866">
        <v>-43618.0</v>
      </c>
      <c r="N20" s="866">
        <v>-27271.0</v>
      </c>
      <c r="O20" s="866">
        <v>-15582.0</v>
      </c>
      <c r="P20" s="866">
        <v>-21631.0</v>
      </c>
      <c r="Q20" s="866">
        <v>-14765.0</v>
      </c>
      <c r="R20" s="15"/>
      <c r="S20" s="851" t="s">
        <v>194</v>
      </c>
      <c r="T20" s="846" t="s">
        <v>194</v>
      </c>
      <c r="U20" s="846" t="s">
        <v>194</v>
      </c>
      <c r="V20" s="846" t="s">
        <v>194</v>
      </c>
      <c r="W20" s="846" t="s">
        <v>194</v>
      </c>
      <c r="X20" s="846" t="s">
        <v>194</v>
      </c>
      <c r="Y20" s="846" t="s">
        <v>194</v>
      </c>
      <c r="Z20" s="846" t="s">
        <v>194</v>
      </c>
      <c r="AA20" s="846" t="s">
        <v>194</v>
      </c>
      <c r="AB20" s="846" t="s">
        <v>194</v>
      </c>
      <c r="AC20" s="846" t="s">
        <v>194</v>
      </c>
      <c r="AD20" s="846" t="s">
        <v>194</v>
      </c>
      <c r="AE20" s="846" t="s">
        <v>194</v>
      </c>
      <c r="AF20" s="846" t="s">
        <v>194</v>
      </c>
      <c r="AG20" s="846" t="s">
        <v>194</v>
      </c>
      <c r="AH20" s="846" t="s">
        <v>194</v>
      </c>
      <c r="AI20" s="846" t="s">
        <v>194</v>
      </c>
      <c r="AJ20" s="846" t="s">
        <v>194</v>
      </c>
      <c r="AK20" s="846" t="s">
        <v>194</v>
      </c>
      <c r="AL20" s="846" t="s">
        <v>194</v>
      </c>
      <c r="AM20" s="846" t="s">
        <v>194</v>
      </c>
      <c r="AN20" s="846" t="s">
        <v>194</v>
      </c>
    </row>
    <row r="21" ht="15.75" customHeight="1" collapsed="1">
      <c r="A21" s="849">
        <v>1.0</v>
      </c>
      <c r="B21" s="15"/>
      <c r="C21" s="855" t="str">
        <f>IF(SUBTOTAL(109,A22)=A22,"Non-Operating Income/(Expenses)","Non-Operating Income/(Expenses), Total")</f>
        <v>Non-Operating Income/(Expenses), Total</v>
      </c>
      <c r="D21" s="866">
        <f t="shared" si="1"/>
        <v>-2149</v>
      </c>
      <c r="E21" s="866">
        <f t="shared" si="2"/>
        <v>-2864.6</v>
      </c>
      <c r="F21" s="866">
        <f t="shared" si="3"/>
        <v>-5321</v>
      </c>
      <c r="G21" s="866">
        <f t="shared" si="4"/>
        <v>-1067</v>
      </c>
      <c r="H21" s="866">
        <f t="shared" si="5"/>
        <v>-4618</v>
      </c>
      <c r="I21" s="866">
        <f t="shared" si="6"/>
        <v>-1168</v>
      </c>
      <c r="J21" s="866">
        <f t="shared" si="7"/>
        <v>1983.06664</v>
      </c>
      <c r="K21" s="867">
        <f t="shared" si="8"/>
        <v>-0.6922665085</v>
      </c>
      <c r="L21" s="866" t="s">
        <v>194</v>
      </c>
      <c r="M21" s="866">
        <f>IF(SUBTOTAL(109,A22)=A22,"",-4618)</f>
        <v>-4618</v>
      </c>
      <c r="N21" s="866">
        <f>IF(SUBTOTAL(109,A22)=A22,"",-2149)</f>
        <v>-2149</v>
      </c>
      <c r="O21" s="866">
        <f>IF(SUBTOTAL(109,A22)=A22,"",-5321)</f>
        <v>-5321</v>
      </c>
      <c r="P21" s="866">
        <f>IF(SUBTOTAL(109,A22)=A22,"",-1168)</f>
        <v>-1168</v>
      </c>
      <c r="Q21" s="866">
        <f>IF(SUBTOTAL(109,A22)=A22,"",-1067)</f>
        <v>-1067</v>
      </c>
      <c r="R21" s="15"/>
      <c r="S21" s="851" t="s">
        <v>194</v>
      </c>
      <c r="T21" s="846" t="s">
        <v>194</v>
      </c>
      <c r="U21" s="846" t="s">
        <v>194</v>
      </c>
      <c r="V21" s="846" t="s">
        <v>194</v>
      </c>
      <c r="W21" s="846" t="s">
        <v>194</v>
      </c>
      <c r="X21" s="846" t="s">
        <v>194</v>
      </c>
      <c r="Y21" s="846" t="s">
        <v>194</v>
      </c>
      <c r="Z21" s="846" t="s">
        <v>194</v>
      </c>
      <c r="AA21" s="846" t="s">
        <v>194</v>
      </c>
      <c r="AB21" s="846" t="s">
        <v>194</v>
      </c>
      <c r="AC21" s="846" t="s">
        <v>194</v>
      </c>
      <c r="AD21" s="846" t="s">
        <v>194</v>
      </c>
      <c r="AE21" s="846" t="s">
        <v>194</v>
      </c>
      <c r="AF21" s="846" t="s">
        <v>194</v>
      </c>
      <c r="AG21" s="846" t="s">
        <v>194</v>
      </c>
      <c r="AH21" s="846" t="s">
        <v>194</v>
      </c>
      <c r="AI21" s="846" t="s">
        <v>194</v>
      </c>
      <c r="AJ21" s="846" t="s">
        <v>194</v>
      </c>
      <c r="AK21" s="846" t="s">
        <v>194</v>
      </c>
      <c r="AL21" s="846" t="s">
        <v>194</v>
      </c>
      <c r="AM21" s="846" t="s">
        <v>194</v>
      </c>
      <c r="AN21" s="846" t="s">
        <v>194</v>
      </c>
    </row>
    <row r="22" ht="15.75" hidden="1" customHeight="1" outlineLevel="1">
      <c r="A22" s="849">
        <v>1.0</v>
      </c>
      <c r="B22" s="15"/>
      <c r="C22" s="869" t="str">
        <f>IF(SUBTOTAL(109,A23)=A23,"    Net Finance (Income)/Expense","    Total Net Finance (Income)/Expense")</f>
        <v>    Total Net Finance (Income)/Expense</v>
      </c>
      <c r="D22" s="870">
        <f t="shared" si="1"/>
        <v>3115</v>
      </c>
      <c r="E22" s="870">
        <f t="shared" si="2"/>
        <v>2316.4</v>
      </c>
      <c r="F22" s="870">
        <f t="shared" si="3"/>
        <v>774</v>
      </c>
      <c r="G22" s="870">
        <f t="shared" si="4"/>
        <v>3386</v>
      </c>
      <c r="H22" s="870">
        <f t="shared" si="5"/>
        <v>1059</v>
      </c>
      <c r="I22" s="870">
        <f t="shared" si="6"/>
        <v>3248</v>
      </c>
      <c r="J22" s="870">
        <f t="shared" si="7"/>
        <v>1285.470459</v>
      </c>
      <c r="K22" s="871">
        <f t="shared" si="8"/>
        <v>0.554943213</v>
      </c>
      <c r="L22" s="872" t="s">
        <v>194</v>
      </c>
      <c r="M22" s="872">
        <f t="shared" ref="M22:M23" si="9">IF(SUBTOTAL(109,A23)=A23,"",3115)</f>
        <v>3115</v>
      </c>
      <c r="N22" s="872">
        <f t="shared" ref="N22:N23" si="10">IF(SUBTOTAL(109,A23)=A23,"",3386)</f>
        <v>3386</v>
      </c>
      <c r="O22" s="872">
        <f t="shared" ref="O22:O23" si="11">IF(SUBTOTAL(109,A23)=A23,"",3248)</f>
        <v>3248</v>
      </c>
      <c r="P22" s="872">
        <f t="shared" ref="P22:P23" si="12">IF(SUBTOTAL(109,A23)=A23,"",1059)</f>
        <v>1059</v>
      </c>
      <c r="Q22" s="872">
        <f t="shared" ref="Q22:Q23" si="13">IF(SUBTOTAL(109,A23)=A23,"",774)</f>
        <v>774</v>
      </c>
      <c r="R22" s="15"/>
      <c r="S22" s="851" t="s">
        <v>194</v>
      </c>
      <c r="T22" s="846" t="s">
        <v>194</v>
      </c>
      <c r="U22" s="846" t="s">
        <v>194</v>
      </c>
      <c r="V22" s="846" t="s">
        <v>194</v>
      </c>
      <c r="W22" s="846" t="s">
        <v>194</v>
      </c>
      <c r="X22" s="846" t="s">
        <v>194</v>
      </c>
      <c r="Y22" s="846" t="s">
        <v>194</v>
      </c>
      <c r="Z22" s="846" t="s">
        <v>194</v>
      </c>
      <c r="AA22" s="846" t="s">
        <v>194</v>
      </c>
      <c r="AB22" s="846" t="s">
        <v>194</v>
      </c>
      <c r="AC22" s="846" t="s">
        <v>194</v>
      </c>
      <c r="AD22" s="846" t="s">
        <v>194</v>
      </c>
      <c r="AE22" s="846" t="s">
        <v>194</v>
      </c>
      <c r="AF22" s="846" t="s">
        <v>194</v>
      </c>
      <c r="AG22" s="846" t="s">
        <v>194</v>
      </c>
      <c r="AH22" s="846" t="s">
        <v>194</v>
      </c>
      <c r="AI22" s="846" t="s">
        <v>194</v>
      </c>
      <c r="AJ22" s="846" t="s">
        <v>194</v>
      </c>
      <c r="AK22" s="846" t="s">
        <v>194</v>
      </c>
      <c r="AL22" s="846" t="s">
        <v>194</v>
      </c>
      <c r="AM22" s="846" t="s">
        <v>194</v>
      </c>
      <c r="AN22" s="846" t="s">
        <v>194</v>
      </c>
    </row>
    <row r="23" ht="15.75" hidden="1" customHeight="1" outlineLevel="2">
      <c r="A23" s="849">
        <v>1.0</v>
      </c>
      <c r="B23" s="15"/>
      <c r="C23" s="869" t="str">
        <f>IF(SUBTOTAL(109,A24)=A24,"        Net Interest (Income)/Expense","        Net Interest (Income)/Expense")</f>
        <v>        Net Interest (Income)/Expense</v>
      </c>
      <c r="D23" s="870">
        <f t="shared" si="1"/>
        <v>3115</v>
      </c>
      <c r="E23" s="870">
        <f t="shared" si="2"/>
        <v>2316.4</v>
      </c>
      <c r="F23" s="870">
        <f t="shared" si="3"/>
        <v>774</v>
      </c>
      <c r="G23" s="870">
        <f t="shared" si="4"/>
        <v>3386</v>
      </c>
      <c r="H23" s="870">
        <f t="shared" si="5"/>
        <v>1059</v>
      </c>
      <c r="I23" s="870">
        <f t="shared" si="6"/>
        <v>3248</v>
      </c>
      <c r="J23" s="870">
        <f t="shared" si="7"/>
        <v>1285.470459</v>
      </c>
      <c r="K23" s="871">
        <f t="shared" si="8"/>
        <v>0.554943213</v>
      </c>
      <c r="L23" s="872" t="s">
        <v>194</v>
      </c>
      <c r="M23" s="872">
        <f t="shared" si="9"/>
        <v>3115</v>
      </c>
      <c r="N23" s="872">
        <f t="shared" si="10"/>
        <v>3386</v>
      </c>
      <c r="O23" s="872">
        <f t="shared" si="11"/>
        <v>3248</v>
      </c>
      <c r="P23" s="872">
        <f t="shared" si="12"/>
        <v>1059</v>
      </c>
      <c r="Q23" s="872">
        <f t="shared" si="13"/>
        <v>774</v>
      </c>
      <c r="R23" s="15"/>
      <c r="S23" s="851" t="s">
        <v>194</v>
      </c>
      <c r="T23" s="846" t="s">
        <v>194</v>
      </c>
      <c r="U23" s="846" t="s">
        <v>194</v>
      </c>
      <c r="V23" s="846" t="s">
        <v>194</v>
      </c>
      <c r="W23" s="846" t="s">
        <v>194</v>
      </c>
      <c r="X23" s="846" t="s">
        <v>194</v>
      </c>
      <c r="Y23" s="846" t="s">
        <v>194</v>
      </c>
      <c r="Z23" s="846" t="s">
        <v>194</v>
      </c>
      <c r="AA23" s="846" t="s">
        <v>194</v>
      </c>
      <c r="AB23" s="846" t="s">
        <v>194</v>
      </c>
      <c r="AC23" s="846" t="s">
        <v>194</v>
      </c>
      <c r="AD23" s="846" t="s">
        <v>194</v>
      </c>
      <c r="AE23" s="846" t="s">
        <v>194</v>
      </c>
      <c r="AF23" s="846" t="s">
        <v>194</v>
      </c>
      <c r="AG23" s="846" t="s">
        <v>194</v>
      </c>
      <c r="AH23" s="846" t="s">
        <v>194</v>
      </c>
      <c r="AI23" s="846" t="s">
        <v>194</v>
      </c>
      <c r="AJ23" s="846" t="s">
        <v>194</v>
      </c>
      <c r="AK23" s="846" t="s">
        <v>194</v>
      </c>
      <c r="AL23" s="846" t="s">
        <v>194</v>
      </c>
      <c r="AM23" s="846" t="s">
        <v>194</v>
      </c>
      <c r="AN23" s="846" t="s">
        <v>194</v>
      </c>
    </row>
    <row r="24" ht="15.75" hidden="1" customHeight="1" outlineLevel="3">
      <c r="A24" s="849">
        <v>1.0</v>
      </c>
      <c r="B24" s="15"/>
      <c r="C24" s="869" t="str">
        <f>"            Interest Expense Net of Capitalized Interest"</f>
        <v>            Interest Expense Net of Capitalized Interest</v>
      </c>
      <c r="D24" s="870">
        <f t="shared" si="1"/>
        <v>3115</v>
      </c>
      <c r="E24" s="870">
        <f t="shared" si="2"/>
        <v>2316.4</v>
      </c>
      <c r="F24" s="870">
        <f t="shared" si="3"/>
        <v>774</v>
      </c>
      <c r="G24" s="870">
        <f t="shared" si="4"/>
        <v>3386</v>
      </c>
      <c r="H24" s="870">
        <f t="shared" si="5"/>
        <v>1059</v>
      </c>
      <c r="I24" s="870">
        <f t="shared" si="6"/>
        <v>3248</v>
      </c>
      <c r="J24" s="870">
        <f t="shared" si="7"/>
        <v>1285.470459</v>
      </c>
      <c r="K24" s="871">
        <f t="shared" si="8"/>
        <v>0.554943213</v>
      </c>
      <c r="L24" s="872" t="s">
        <v>194</v>
      </c>
      <c r="M24" s="872">
        <v>3115.0</v>
      </c>
      <c r="N24" s="872">
        <v>3386.0</v>
      </c>
      <c r="O24" s="872">
        <v>3248.0</v>
      </c>
      <c r="P24" s="872">
        <v>1059.0</v>
      </c>
      <c r="Q24" s="872">
        <v>774.0</v>
      </c>
      <c r="R24" s="15"/>
      <c r="S24" s="851" t="s">
        <v>194</v>
      </c>
      <c r="T24" s="846" t="s">
        <v>194</v>
      </c>
      <c r="U24" s="846" t="s">
        <v>194</v>
      </c>
      <c r="V24" s="846" t="s">
        <v>194</v>
      </c>
      <c r="W24" s="846" t="s">
        <v>194</v>
      </c>
      <c r="X24" s="846" t="s">
        <v>194</v>
      </c>
      <c r="Y24" s="846" t="s">
        <v>194</v>
      </c>
      <c r="Z24" s="846" t="s">
        <v>194</v>
      </c>
      <c r="AA24" s="846" t="s">
        <v>194</v>
      </c>
      <c r="AB24" s="846" t="s">
        <v>194</v>
      </c>
      <c r="AC24" s="846" t="s">
        <v>194</v>
      </c>
      <c r="AD24" s="846" t="s">
        <v>194</v>
      </c>
      <c r="AE24" s="846" t="s">
        <v>194</v>
      </c>
      <c r="AF24" s="846" t="s">
        <v>194</v>
      </c>
      <c r="AG24" s="846" t="s">
        <v>194</v>
      </c>
      <c r="AH24" s="846" t="s">
        <v>194</v>
      </c>
      <c r="AI24" s="846" t="s">
        <v>194</v>
      </c>
      <c r="AJ24" s="846" t="s">
        <v>194</v>
      </c>
      <c r="AK24" s="846" t="s">
        <v>194</v>
      </c>
      <c r="AL24" s="846" t="s">
        <v>194</v>
      </c>
      <c r="AM24" s="846" t="s">
        <v>194</v>
      </c>
      <c r="AN24" s="846" t="s">
        <v>194</v>
      </c>
    </row>
    <row r="25" ht="15.75" hidden="1" customHeight="1" outlineLevel="3">
      <c r="A25" s="849">
        <v>1.0</v>
      </c>
      <c r="B25" s="15"/>
      <c r="C25" s="881" t="str">
        <f>"            Total Net Interest (Income)/Expense"</f>
        <v>            Total Net Interest (Income)/Expense</v>
      </c>
      <c r="D25" s="882">
        <f t="shared" si="1"/>
        <v>3115</v>
      </c>
      <c r="E25" s="882">
        <f t="shared" si="2"/>
        <v>2316.4</v>
      </c>
      <c r="F25" s="882">
        <f t="shared" si="3"/>
        <v>774</v>
      </c>
      <c r="G25" s="882">
        <f t="shared" si="4"/>
        <v>3386</v>
      </c>
      <c r="H25" s="882">
        <f t="shared" si="5"/>
        <v>1059</v>
      </c>
      <c r="I25" s="882">
        <f t="shared" si="6"/>
        <v>3248</v>
      </c>
      <c r="J25" s="882">
        <f t="shared" si="7"/>
        <v>1285.470459</v>
      </c>
      <c r="K25" s="883">
        <f t="shared" si="8"/>
        <v>0.554943213</v>
      </c>
      <c r="L25" s="884" t="s">
        <v>194</v>
      </c>
      <c r="M25" s="884">
        <v>3115.0</v>
      </c>
      <c r="N25" s="884">
        <v>3386.0</v>
      </c>
      <c r="O25" s="884">
        <v>3248.0</v>
      </c>
      <c r="P25" s="884">
        <v>1059.0</v>
      </c>
      <c r="Q25" s="884">
        <v>774.0</v>
      </c>
      <c r="R25" s="15"/>
      <c r="S25" s="851" t="s">
        <v>194</v>
      </c>
      <c r="T25" s="846" t="s">
        <v>194</v>
      </c>
      <c r="U25" s="846" t="s">
        <v>194</v>
      </c>
      <c r="V25" s="846" t="s">
        <v>194</v>
      </c>
      <c r="W25" s="846" t="s">
        <v>194</v>
      </c>
      <c r="X25" s="846" t="s">
        <v>194</v>
      </c>
      <c r="Y25" s="846" t="s">
        <v>194</v>
      </c>
      <c r="Z25" s="846" t="s">
        <v>194</v>
      </c>
      <c r="AA25" s="846" t="s">
        <v>194</v>
      </c>
      <c r="AB25" s="846" t="s">
        <v>194</v>
      </c>
      <c r="AC25" s="846" t="s">
        <v>194</v>
      </c>
      <c r="AD25" s="846" t="s">
        <v>194</v>
      </c>
      <c r="AE25" s="846" t="s">
        <v>194</v>
      </c>
      <c r="AF25" s="846" t="s">
        <v>194</v>
      </c>
      <c r="AG25" s="846" t="s">
        <v>194</v>
      </c>
      <c r="AH25" s="846" t="s">
        <v>194</v>
      </c>
      <c r="AI25" s="846" t="s">
        <v>194</v>
      </c>
      <c r="AJ25" s="846" t="s">
        <v>194</v>
      </c>
      <c r="AK25" s="846" t="s">
        <v>194</v>
      </c>
      <c r="AL25" s="846" t="s">
        <v>194</v>
      </c>
      <c r="AM25" s="846" t="s">
        <v>194</v>
      </c>
      <c r="AN25" s="846" t="s">
        <v>194</v>
      </c>
    </row>
    <row r="26" ht="15.75" hidden="1" customHeight="1" outlineLevel="2">
      <c r="A26" s="849">
        <v>1.0</v>
      </c>
      <c r="B26" s="15"/>
      <c r="C26" s="881" t="str">
        <f>"        Total Net Finance (Income)/Expense"</f>
        <v>        Total Net Finance (Income)/Expense</v>
      </c>
      <c r="D26" s="882">
        <f t="shared" si="1"/>
        <v>3115</v>
      </c>
      <c r="E26" s="882">
        <f t="shared" si="2"/>
        <v>2316.4</v>
      </c>
      <c r="F26" s="882">
        <f t="shared" si="3"/>
        <v>774</v>
      </c>
      <c r="G26" s="882">
        <f t="shared" si="4"/>
        <v>3386</v>
      </c>
      <c r="H26" s="882">
        <f t="shared" si="5"/>
        <v>1059</v>
      </c>
      <c r="I26" s="882">
        <f t="shared" si="6"/>
        <v>3248</v>
      </c>
      <c r="J26" s="882">
        <f t="shared" si="7"/>
        <v>1285.470459</v>
      </c>
      <c r="K26" s="883">
        <f t="shared" si="8"/>
        <v>0.554943213</v>
      </c>
      <c r="L26" s="884" t="s">
        <v>194</v>
      </c>
      <c r="M26" s="884">
        <v>3115.0</v>
      </c>
      <c r="N26" s="884">
        <v>3386.0</v>
      </c>
      <c r="O26" s="884">
        <v>3248.0</v>
      </c>
      <c r="P26" s="884">
        <v>1059.0</v>
      </c>
      <c r="Q26" s="884">
        <v>774.0</v>
      </c>
      <c r="R26" s="15"/>
      <c r="S26" s="851" t="s">
        <v>194</v>
      </c>
      <c r="T26" s="846" t="s">
        <v>194</v>
      </c>
      <c r="U26" s="846" t="s">
        <v>194</v>
      </c>
      <c r="V26" s="846" t="s">
        <v>194</v>
      </c>
      <c r="W26" s="846" t="s">
        <v>194</v>
      </c>
      <c r="X26" s="846" t="s">
        <v>194</v>
      </c>
      <c r="Y26" s="846" t="s">
        <v>194</v>
      </c>
      <c r="Z26" s="846" t="s">
        <v>194</v>
      </c>
      <c r="AA26" s="846" t="s">
        <v>194</v>
      </c>
      <c r="AB26" s="846" t="s">
        <v>194</v>
      </c>
      <c r="AC26" s="846" t="s">
        <v>194</v>
      </c>
      <c r="AD26" s="846" t="s">
        <v>194</v>
      </c>
      <c r="AE26" s="846" t="s">
        <v>194</v>
      </c>
      <c r="AF26" s="846" t="s">
        <v>194</v>
      </c>
      <c r="AG26" s="846" t="s">
        <v>194</v>
      </c>
      <c r="AH26" s="846" t="s">
        <v>194</v>
      </c>
      <c r="AI26" s="846" t="s">
        <v>194</v>
      </c>
      <c r="AJ26" s="846" t="s">
        <v>194</v>
      </c>
      <c r="AK26" s="846" t="s">
        <v>194</v>
      </c>
      <c r="AL26" s="846" t="s">
        <v>194</v>
      </c>
      <c r="AM26" s="846" t="s">
        <v>194</v>
      </c>
      <c r="AN26" s="846" t="s">
        <v>194</v>
      </c>
    </row>
    <row r="27" ht="15.75" hidden="1" customHeight="1" outlineLevel="1">
      <c r="A27" s="849">
        <v>1.0</v>
      </c>
      <c r="B27" s="15"/>
      <c r="C27" s="869" t="str">
        <f>IF(SUBTOTAL(109,A28)=A28,"    Irregular (Income)/Expenses","    Irregular (Income)/Expenses")</f>
        <v>    Irregular (Income)/Expenses</v>
      </c>
      <c r="D27" s="870">
        <f t="shared" si="1"/>
        <v>109</v>
      </c>
      <c r="E27" s="870">
        <f t="shared" si="2"/>
        <v>686.2</v>
      </c>
      <c r="F27" s="870">
        <f t="shared" si="3"/>
        <v>0</v>
      </c>
      <c r="G27" s="870">
        <f t="shared" si="4"/>
        <v>3029</v>
      </c>
      <c r="H27" s="870">
        <f t="shared" si="5"/>
        <v>0</v>
      </c>
      <c r="I27" s="870">
        <f t="shared" si="6"/>
        <v>293</v>
      </c>
      <c r="J27" s="870">
        <f t="shared" si="7"/>
        <v>1315.125355</v>
      </c>
      <c r="K27" s="871">
        <f t="shared" si="8"/>
        <v>1.916533598</v>
      </c>
      <c r="L27" s="872" t="s">
        <v>194</v>
      </c>
      <c r="M27" s="872">
        <f>IF(SUBTOTAL(109,A28)=A28,"",3029)</f>
        <v>3029</v>
      </c>
      <c r="N27" s="872">
        <f>IF(SUBTOTAL(109,A28)=A28,"",0)</f>
        <v>0</v>
      </c>
      <c r="O27" s="872">
        <f>IF(SUBTOTAL(109,A28)=A28,"",0)</f>
        <v>0</v>
      </c>
      <c r="P27" s="872">
        <f>IF(SUBTOTAL(109,A28)=A28,"",109)</f>
        <v>109</v>
      </c>
      <c r="Q27" s="872">
        <f>IF(SUBTOTAL(109,A28)=A28,"",293)</f>
        <v>293</v>
      </c>
      <c r="R27" s="15"/>
      <c r="S27" s="851" t="s">
        <v>194</v>
      </c>
      <c r="T27" s="846" t="s">
        <v>194</v>
      </c>
      <c r="U27" s="846" t="s">
        <v>194</v>
      </c>
      <c r="V27" s="846" t="s">
        <v>194</v>
      </c>
      <c r="W27" s="846" t="s">
        <v>194</v>
      </c>
      <c r="X27" s="846" t="s">
        <v>194</v>
      </c>
      <c r="Y27" s="846" t="s">
        <v>194</v>
      </c>
      <c r="Z27" s="846" t="s">
        <v>194</v>
      </c>
      <c r="AA27" s="846" t="s">
        <v>194</v>
      </c>
      <c r="AB27" s="846" t="s">
        <v>194</v>
      </c>
      <c r="AC27" s="846" t="s">
        <v>194</v>
      </c>
      <c r="AD27" s="846" t="s">
        <v>194</v>
      </c>
      <c r="AE27" s="846" t="s">
        <v>194</v>
      </c>
      <c r="AF27" s="846" t="s">
        <v>194</v>
      </c>
      <c r="AG27" s="846" t="s">
        <v>194</v>
      </c>
      <c r="AH27" s="846" t="s">
        <v>194</v>
      </c>
      <c r="AI27" s="846" t="s">
        <v>194</v>
      </c>
      <c r="AJ27" s="846" t="s">
        <v>194</v>
      </c>
      <c r="AK27" s="846" t="s">
        <v>194</v>
      </c>
      <c r="AL27" s="846" t="s">
        <v>194</v>
      </c>
      <c r="AM27" s="846" t="s">
        <v>194</v>
      </c>
      <c r="AN27" s="846" t="s">
        <v>194</v>
      </c>
    </row>
    <row r="28" ht="15.75" hidden="1" customHeight="1" outlineLevel="2">
      <c r="A28" s="849">
        <v>1.0</v>
      </c>
      <c r="B28" s="15"/>
      <c r="C28" s="869" t="str">
        <f>"        (Gain)/Loss on Extinguishment of Debt"</f>
        <v>        (Gain)/Loss on Extinguishment of Debt</v>
      </c>
      <c r="D28" s="870">
        <f t="shared" si="1"/>
        <v>0</v>
      </c>
      <c r="E28" s="870">
        <f t="shared" si="2"/>
        <v>1009.666667</v>
      </c>
      <c r="F28" s="870">
        <f t="shared" si="3"/>
        <v>0</v>
      </c>
      <c r="G28" s="870">
        <f t="shared" si="4"/>
        <v>3029</v>
      </c>
      <c r="H28" s="870">
        <f t="shared" si="5"/>
        <v>0</v>
      </c>
      <c r="I28" s="870">
        <f t="shared" si="6"/>
        <v>1514.5</v>
      </c>
      <c r="J28" s="870">
        <f t="shared" si="7"/>
        <v>1748.793965</v>
      </c>
      <c r="K28" s="871">
        <f t="shared" si="8"/>
        <v>1.732050808</v>
      </c>
      <c r="L28" s="872" t="s">
        <v>194</v>
      </c>
      <c r="M28" s="872">
        <v>3029.0</v>
      </c>
      <c r="N28" s="872">
        <v>0.0</v>
      </c>
      <c r="O28" s="872">
        <v>0.0</v>
      </c>
      <c r="P28" s="872" t="s">
        <v>194</v>
      </c>
      <c r="Q28" s="872" t="s">
        <v>194</v>
      </c>
      <c r="R28" s="15"/>
      <c r="S28" s="851" t="s">
        <v>194</v>
      </c>
      <c r="T28" s="846" t="s">
        <v>194</v>
      </c>
      <c r="U28" s="846" t="s">
        <v>194</v>
      </c>
      <c r="V28" s="846" t="s">
        <v>194</v>
      </c>
      <c r="W28" s="846" t="s">
        <v>194</v>
      </c>
      <c r="X28" s="846" t="s">
        <v>194</v>
      </c>
      <c r="Y28" s="846" t="s">
        <v>194</v>
      </c>
      <c r="Z28" s="846" t="s">
        <v>194</v>
      </c>
      <c r="AA28" s="846" t="s">
        <v>194</v>
      </c>
      <c r="AB28" s="846" t="s">
        <v>194</v>
      </c>
      <c r="AC28" s="846" t="s">
        <v>194</v>
      </c>
      <c r="AD28" s="846" t="s">
        <v>194</v>
      </c>
      <c r="AE28" s="846" t="s">
        <v>194</v>
      </c>
      <c r="AF28" s="846" t="s">
        <v>194</v>
      </c>
      <c r="AG28" s="846" t="s">
        <v>194</v>
      </c>
      <c r="AH28" s="846" t="s">
        <v>194</v>
      </c>
      <c r="AI28" s="846" t="s">
        <v>194</v>
      </c>
      <c r="AJ28" s="846" t="s">
        <v>194</v>
      </c>
      <c r="AK28" s="846" t="s">
        <v>194</v>
      </c>
      <c r="AL28" s="846" t="s">
        <v>194</v>
      </c>
      <c r="AM28" s="846" t="s">
        <v>194</v>
      </c>
      <c r="AN28" s="846" t="s">
        <v>194</v>
      </c>
    </row>
    <row r="29" ht="15.75" hidden="1" customHeight="1" outlineLevel="2">
      <c r="A29" s="849">
        <v>1.0</v>
      </c>
      <c r="B29" s="15"/>
      <c r="C29" s="881" t="str">
        <f>"        Total Irregular (Income)/Expenses"</f>
        <v>        Total Irregular (Income)/Expenses</v>
      </c>
      <c r="D29" s="882">
        <f t="shared" si="1"/>
        <v>109</v>
      </c>
      <c r="E29" s="882">
        <f t="shared" si="2"/>
        <v>686.2</v>
      </c>
      <c r="F29" s="882">
        <f t="shared" si="3"/>
        <v>0</v>
      </c>
      <c r="G29" s="882">
        <f t="shared" si="4"/>
        <v>3029</v>
      </c>
      <c r="H29" s="882">
        <f t="shared" si="5"/>
        <v>0</v>
      </c>
      <c r="I29" s="882">
        <f t="shared" si="6"/>
        <v>293</v>
      </c>
      <c r="J29" s="882">
        <f t="shared" si="7"/>
        <v>1315.125355</v>
      </c>
      <c r="K29" s="883">
        <f t="shared" si="8"/>
        <v>1.916533598</v>
      </c>
      <c r="L29" s="884" t="s">
        <v>194</v>
      </c>
      <c r="M29" s="884">
        <v>3029.0</v>
      </c>
      <c r="N29" s="884">
        <v>0.0</v>
      </c>
      <c r="O29" s="884">
        <v>0.0</v>
      </c>
      <c r="P29" s="884">
        <v>109.0</v>
      </c>
      <c r="Q29" s="884">
        <v>293.0</v>
      </c>
      <c r="R29" s="15"/>
      <c r="S29" s="851" t="s">
        <v>194</v>
      </c>
      <c r="T29" s="846" t="s">
        <v>194</v>
      </c>
      <c r="U29" s="846" t="s">
        <v>194</v>
      </c>
      <c r="V29" s="846" t="s">
        <v>194</v>
      </c>
      <c r="W29" s="846" t="s">
        <v>194</v>
      </c>
      <c r="X29" s="846" t="s">
        <v>194</v>
      </c>
      <c r="Y29" s="846" t="s">
        <v>194</v>
      </c>
      <c r="Z29" s="846" t="s">
        <v>194</v>
      </c>
      <c r="AA29" s="846" t="s">
        <v>194</v>
      </c>
      <c r="AB29" s="846" t="s">
        <v>194</v>
      </c>
      <c r="AC29" s="846" t="s">
        <v>194</v>
      </c>
      <c r="AD29" s="846" t="s">
        <v>194</v>
      </c>
      <c r="AE29" s="846" t="s">
        <v>194</v>
      </c>
      <c r="AF29" s="846" t="s">
        <v>194</v>
      </c>
      <c r="AG29" s="846" t="s">
        <v>194</v>
      </c>
      <c r="AH29" s="846" t="s">
        <v>194</v>
      </c>
      <c r="AI29" s="846" t="s">
        <v>194</v>
      </c>
      <c r="AJ29" s="846" t="s">
        <v>194</v>
      </c>
      <c r="AK29" s="846" t="s">
        <v>194</v>
      </c>
      <c r="AL29" s="846" t="s">
        <v>194</v>
      </c>
      <c r="AM29" s="846" t="s">
        <v>194</v>
      </c>
      <c r="AN29" s="846" t="s">
        <v>194</v>
      </c>
    </row>
    <row r="30" ht="15.75" hidden="1" customHeight="1" outlineLevel="1">
      <c r="A30" s="849">
        <v>1.0</v>
      </c>
      <c r="B30" s="15"/>
      <c r="C30" s="869" t="str">
        <f>"    Other Income/(Expense), Non-Operating"</f>
        <v>    Other Income/(Expense), Non-Operating</v>
      </c>
      <c r="D30" s="870">
        <f t="shared" si="1"/>
        <v>1237</v>
      </c>
      <c r="E30" s="870">
        <f t="shared" si="2"/>
        <v>230</v>
      </c>
      <c r="F30" s="870">
        <f t="shared" si="3"/>
        <v>-2073</v>
      </c>
      <c r="G30" s="870">
        <f t="shared" si="4"/>
        <v>1526</v>
      </c>
      <c r="H30" s="870">
        <f t="shared" si="5"/>
        <v>-418</v>
      </c>
      <c r="I30" s="870">
        <f t="shared" si="6"/>
        <v>1381.5</v>
      </c>
      <c r="J30" s="870">
        <f t="shared" si="7"/>
        <v>1999.684225</v>
      </c>
      <c r="K30" s="871">
        <f t="shared" si="8"/>
        <v>8.694279239</v>
      </c>
      <c r="L30" s="872" t="s">
        <v>194</v>
      </c>
      <c r="M30" s="872">
        <v>1526.0</v>
      </c>
      <c r="N30" s="872">
        <v>1237.0</v>
      </c>
      <c r="O30" s="872">
        <v>-2073.0</v>
      </c>
      <c r="P30" s="872" t="s">
        <v>194</v>
      </c>
      <c r="Q30" s="872" t="s">
        <v>194</v>
      </c>
      <c r="R30" s="15"/>
      <c r="S30" s="851" t="s">
        <v>194</v>
      </c>
      <c r="T30" s="846" t="s">
        <v>194</v>
      </c>
      <c r="U30" s="846" t="s">
        <v>194</v>
      </c>
      <c r="V30" s="846" t="s">
        <v>194</v>
      </c>
      <c r="W30" s="846" t="s">
        <v>194</v>
      </c>
      <c r="X30" s="846" t="s">
        <v>194</v>
      </c>
      <c r="Y30" s="846" t="s">
        <v>194</v>
      </c>
      <c r="Z30" s="846" t="s">
        <v>194</v>
      </c>
      <c r="AA30" s="846" t="s">
        <v>194</v>
      </c>
      <c r="AB30" s="846" t="s">
        <v>194</v>
      </c>
      <c r="AC30" s="846" t="s">
        <v>194</v>
      </c>
      <c r="AD30" s="846" t="s">
        <v>194</v>
      </c>
      <c r="AE30" s="846" t="s">
        <v>194</v>
      </c>
      <c r="AF30" s="846" t="s">
        <v>194</v>
      </c>
      <c r="AG30" s="846" t="s">
        <v>194</v>
      </c>
      <c r="AH30" s="846" t="s">
        <v>194</v>
      </c>
      <c r="AI30" s="846" t="s">
        <v>194</v>
      </c>
      <c r="AJ30" s="846" t="s">
        <v>194</v>
      </c>
      <c r="AK30" s="846" t="s">
        <v>194</v>
      </c>
      <c r="AL30" s="846" t="s">
        <v>194</v>
      </c>
      <c r="AM30" s="846" t="s">
        <v>194</v>
      </c>
      <c r="AN30" s="846" t="s">
        <v>194</v>
      </c>
    </row>
    <row r="31" ht="15.75" hidden="1" customHeight="1" outlineLevel="1">
      <c r="A31" s="849">
        <v>1.0</v>
      </c>
      <c r="B31" s="15"/>
      <c r="C31" s="855" t="str">
        <f>"    Total Non-Operating Income/(Expenses), Total"</f>
        <v>    Total Non-Operating Income/(Expenses), Total</v>
      </c>
      <c r="D31" s="882">
        <f t="shared" si="1"/>
        <v>-2149</v>
      </c>
      <c r="E31" s="882">
        <f t="shared" si="2"/>
        <v>-2864.6</v>
      </c>
      <c r="F31" s="882">
        <f t="shared" si="3"/>
        <v>-5321</v>
      </c>
      <c r="G31" s="882">
        <f t="shared" si="4"/>
        <v>-1067</v>
      </c>
      <c r="H31" s="882">
        <f t="shared" si="5"/>
        <v>-4618</v>
      </c>
      <c r="I31" s="882">
        <f t="shared" si="6"/>
        <v>-1168</v>
      </c>
      <c r="J31" s="882">
        <f t="shared" si="7"/>
        <v>1983.06664</v>
      </c>
      <c r="K31" s="883">
        <f t="shared" si="8"/>
        <v>-0.6922665085</v>
      </c>
      <c r="L31" s="882" t="s">
        <v>194</v>
      </c>
      <c r="M31" s="882">
        <v>-4618.0</v>
      </c>
      <c r="N31" s="882">
        <v>-2149.0</v>
      </c>
      <c r="O31" s="882">
        <v>-5321.0</v>
      </c>
      <c r="P31" s="882">
        <v>-1168.0</v>
      </c>
      <c r="Q31" s="882">
        <v>-1067.0</v>
      </c>
      <c r="R31" s="15"/>
      <c r="S31" s="851" t="s">
        <v>194</v>
      </c>
      <c r="T31" s="846" t="s">
        <v>194</v>
      </c>
      <c r="U31" s="846" t="s">
        <v>194</v>
      </c>
      <c r="V31" s="846" t="s">
        <v>194</v>
      </c>
      <c r="W31" s="846" t="s">
        <v>194</v>
      </c>
      <c r="X31" s="846" t="s">
        <v>194</v>
      </c>
      <c r="Y31" s="846" t="s">
        <v>194</v>
      </c>
      <c r="Z31" s="846" t="s">
        <v>194</v>
      </c>
      <c r="AA31" s="846" t="s">
        <v>194</v>
      </c>
      <c r="AB31" s="846" t="s">
        <v>194</v>
      </c>
      <c r="AC31" s="846" t="s">
        <v>194</v>
      </c>
      <c r="AD31" s="846" t="s">
        <v>194</v>
      </c>
      <c r="AE31" s="846" t="s">
        <v>194</v>
      </c>
      <c r="AF31" s="846" t="s">
        <v>194</v>
      </c>
      <c r="AG31" s="846" t="s">
        <v>194</v>
      </c>
      <c r="AH31" s="846" t="s">
        <v>194</v>
      </c>
      <c r="AI31" s="846" t="s">
        <v>194</v>
      </c>
      <c r="AJ31" s="846" t="s">
        <v>194</v>
      </c>
      <c r="AK31" s="846" t="s">
        <v>194</v>
      </c>
      <c r="AL31" s="846" t="s">
        <v>194</v>
      </c>
      <c r="AM31" s="846" t="s">
        <v>194</v>
      </c>
      <c r="AN31" s="846" t="s">
        <v>194</v>
      </c>
    </row>
    <row r="32" ht="15.75" customHeight="1">
      <c r="A32" s="849">
        <v>1.0</v>
      </c>
      <c r="B32" s="15"/>
      <c r="C32" s="855" t="str">
        <f>"Pretax Income"</f>
        <v>Pretax Income</v>
      </c>
      <c r="D32" s="866">
        <f t="shared" si="1"/>
        <v>-22799</v>
      </c>
      <c r="E32" s="866">
        <f t="shared" si="2"/>
        <v>-27438</v>
      </c>
      <c r="F32" s="866">
        <f t="shared" si="3"/>
        <v>-48236</v>
      </c>
      <c r="G32" s="866">
        <f t="shared" si="4"/>
        <v>-15832</v>
      </c>
      <c r="H32" s="866">
        <f t="shared" si="5"/>
        <v>-29420</v>
      </c>
      <c r="I32" s="866">
        <f t="shared" si="6"/>
        <v>-20903</v>
      </c>
      <c r="J32" s="866">
        <f t="shared" si="7"/>
        <v>12603.67913</v>
      </c>
      <c r="K32" s="867">
        <f t="shared" si="8"/>
        <v>-0.4593512328</v>
      </c>
      <c r="L32" s="866" t="s">
        <v>194</v>
      </c>
      <c r="M32" s="866">
        <v>-48236.0</v>
      </c>
      <c r="N32" s="866">
        <v>-29420.0</v>
      </c>
      <c r="O32" s="866">
        <v>-20903.0</v>
      </c>
      <c r="P32" s="866">
        <v>-22799.0</v>
      </c>
      <c r="Q32" s="866">
        <v>-15832.0</v>
      </c>
      <c r="R32" s="15"/>
      <c r="S32" s="851" t="s">
        <v>194</v>
      </c>
      <c r="T32" s="846" t="s">
        <v>194</v>
      </c>
      <c r="U32" s="846" t="s">
        <v>194</v>
      </c>
      <c r="V32" s="846" t="s">
        <v>194</v>
      </c>
      <c r="W32" s="846" t="s">
        <v>194</v>
      </c>
      <c r="X32" s="846" t="s">
        <v>194</v>
      </c>
      <c r="Y32" s="846" t="s">
        <v>194</v>
      </c>
      <c r="Z32" s="846" t="s">
        <v>194</v>
      </c>
      <c r="AA32" s="846" t="s">
        <v>194</v>
      </c>
      <c r="AB32" s="846" t="s">
        <v>194</v>
      </c>
      <c r="AC32" s="846" t="s">
        <v>194</v>
      </c>
      <c r="AD32" s="846" t="s">
        <v>194</v>
      </c>
      <c r="AE32" s="846" t="s">
        <v>194</v>
      </c>
      <c r="AF32" s="846" t="s">
        <v>194</v>
      </c>
      <c r="AG32" s="846" t="s">
        <v>194</v>
      </c>
      <c r="AH32" s="846" t="s">
        <v>194</v>
      </c>
      <c r="AI32" s="846" t="s">
        <v>194</v>
      </c>
      <c r="AJ32" s="846" t="s">
        <v>194</v>
      </c>
      <c r="AK32" s="846" t="s">
        <v>194</v>
      </c>
      <c r="AL32" s="846" t="s">
        <v>194</v>
      </c>
      <c r="AM32" s="846" t="s">
        <v>194</v>
      </c>
      <c r="AN32" s="846" t="s">
        <v>194</v>
      </c>
    </row>
    <row r="33" ht="15.75" customHeight="1">
      <c r="A33" s="849">
        <v>1.0</v>
      </c>
      <c r="B33" s="15"/>
      <c r="C33" s="855" t="str">
        <f>"Provision for Income Tax"</f>
        <v>Provision for Income Tax</v>
      </c>
      <c r="D33" s="866">
        <f t="shared" si="1"/>
        <v>0</v>
      </c>
      <c r="E33" s="866">
        <f t="shared" si="2"/>
        <v>14.66666667</v>
      </c>
      <c r="F33" s="866">
        <f t="shared" si="3"/>
        <v>0</v>
      </c>
      <c r="G33" s="866">
        <f t="shared" si="4"/>
        <v>44</v>
      </c>
      <c r="H33" s="866">
        <f t="shared" si="5"/>
        <v>0</v>
      </c>
      <c r="I33" s="866">
        <f t="shared" si="6"/>
        <v>22</v>
      </c>
      <c r="J33" s="866">
        <f t="shared" si="7"/>
        <v>25.40341184</v>
      </c>
      <c r="K33" s="867">
        <f t="shared" si="8"/>
        <v>1.732050808</v>
      </c>
      <c r="L33" s="866" t="s">
        <v>194</v>
      </c>
      <c r="M33" s="866">
        <v>44.0</v>
      </c>
      <c r="N33" s="866">
        <v>0.0</v>
      </c>
      <c r="O33" s="866">
        <v>0.0</v>
      </c>
      <c r="P33" s="866" t="s">
        <v>194</v>
      </c>
      <c r="Q33" s="866" t="s">
        <v>194</v>
      </c>
      <c r="R33" s="15"/>
      <c r="S33" s="851" t="s">
        <v>194</v>
      </c>
      <c r="T33" s="846" t="s">
        <v>194</v>
      </c>
      <c r="U33" s="846" t="s">
        <v>194</v>
      </c>
      <c r="V33" s="846" t="s">
        <v>194</v>
      </c>
      <c r="W33" s="846" t="s">
        <v>194</v>
      </c>
      <c r="X33" s="846" t="s">
        <v>194</v>
      </c>
      <c r="Y33" s="846" t="s">
        <v>194</v>
      </c>
      <c r="Z33" s="846" t="s">
        <v>194</v>
      </c>
      <c r="AA33" s="846" t="s">
        <v>194</v>
      </c>
      <c r="AB33" s="846" t="s">
        <v>194</v>
      </c>
      <c r="AC33" s="846" t="s">
        <v>194</v>
      </c>
      <c r="AD33" s="846" t="s">
        <v>194</v>
      </c>
      <c r="AE33" s="846" t="s">
        <v>194</v>
      </c>
      <c r="AF33" s="846" t="s">
        <v>194</v>
      </c>
      <c r="AG33" s="846" t="s">
        <v>194</v>
      </c>
      <c r="AH33" s="846" t="s">
        <v>194</v>
      </c>
      <c r="AI33" s="846" t="s">
        <v>194</v>
      </c>
      <c r="AJ33" s="846" t="s">
        <v>194</v>
      </c>
      <c r="AK33" s="846" t="s">
        <v>194</v>
      </c>
      <c r="AL33" s="846" t="s">
        <v>194</v>
      </c>
      <c r="AM33" s="846" t="s">
        <v>194</v>
      </c>
      <c r="AN33" s="846" t="s">
        <v>194</v>
      </c>
    </row>
    <row r="34" ht="15.75" customHeight="1">
      <c r="A34" s="849">
        <v>1.0</v>
      </c>
      <c r="B34" s="15"/>
      <c r="C34" s="855" t="str">
        <f>"Net Income from Continuing Operations"</f>
        <v>Net Income from Continuing Operations</v>
      </c>
      <c r="D34" s="866">
        <f t="shared" si="1"/>
        <v>-22799</v>
      </c>
      <c r="E34" s="866">
        <f t="shared" si="2"/>
        <v>-27446.8</v>
      </c>
      <c r="F34" s="866">
        <f t="shared" si="3"/>
        <v>-48280</v>
      </c>
      <c r="G34" s="866">
        <f t="shared" si="4"/>
        <v>-15832</v>
      </c>
      <c r="H34" s="866">
        <f t="shared" si="5"/>
        <v>-29420</v>
      </c>
      <c r="I34" s="866">
        <f t="shared" si="6"/>
        <v>-20903</v>
      </c>
      <c r="J34" s="866">
        <f t="shared" si="7"/>
        <v>12621.8331</v>
      </c>
      <c r="K34" s="867">
        <f t="shared" si="8"/>
        <v>-0.4598653794</v>
      </c>
      <c r="L34" s="866" t="s">
        <v>194</v>
      </c>
      <c r="M34" s="866">
        <v>-48280.0</v>
      </c>
      <c r="N34" s="866">
        <v>-29420.0</v>
      </c>
      <c r="O34" s="866">
        <v>-20903.0</v>
      </c>
      <c r="P34" s="866">
        <v>-22799.0</v>
      </c>
      <c r="Q34" s="866">
        <v>-15832.0</v>
      </c>
      <c r="R34" s="15"/>
      <c r="S34" s="851" t="s">
        <v>194</v>
      </c>
      <c r="T34" s="846" t="s">
        <v>194</v>
      </c>
      <c r="U34" s="846" t="s">
        <v>194</v>
      </c>
      <c r="V34" s="846" t="s">
        <v>194</v>
      </c>
      <c r="W34" s="846" t="s">
        <v>194</v>
      </c>
      <c r="X34" s="846" t="s">
        <v>194</v>
      </c>
      <c r="Y34" s="846" t="s">
        <v>194</v>
      </c>
      <c r="Z34" s="846" t="s">
        <v>194</v>
      </c>
      <c r="AA34" s="846" t="s">
        <v>194</v>
      </c>
      <c r="AB34" s="846" t="s">
        <v>194</v>
      </c>
      <c r="AC34" s="846" t="s">
        <v>194</v>
      </c>
      <c r="AD34" s="846" t="s">
        <v>194</v>
      </c>
      <c r="AE34" s="846" t="s">
        <v>194</v>
      </c>
      <c r="AF34" s="846" t="s">
        <v>194</v>
      </c>
      <c r="AG34" s="846" t="s">
        <v>194</v>
      </c>
      <c r="AH34" s="846" t="s">
        <v>194</v>
      </c>
      <c r="AI34" s="846" t="s">
        <v>194</v>
      </c>
      <c r="AJ34" s="846" t="s">
        <v>194</v>
      </c>
      <c r="AK34" s="846" t="s">
        <v>194</v>
      </c>
      <c r="AL34" s="846" t="s">
        <v>194</v>
      </c>
      <c r="AM34" s="846" t="s">
        <v>194</v>
      </c>
      <c r="AN34" s="846" t="s">
        <v>194</v>
      </c>
    </row>
    <row r="35" ht="15.75" customHeight="1">
      <c r="A35" s="849">
        <v>1.0</v>
      </c>
      <c r="B35" s="15"/>
      <c r="C35" s="855" t="str">
        <f>"Net Income after Extraordinary Items and Discontinued Operations"</f>
        <v>Net Income after Extraordinary Items and Discontinued Operations</v>
      </c>
      <c r="D35" s="866">
        <f t="shared" si="1"/>
        <v>-22799</v>
      </c>
      <c r="E35" s="866">
        <f t="shared" si="2"/>
        <v>-27446.8</v>
      </c>
      <c r="F35" s="866">
        <f t="shared" si="3"/>
        <v>-48280</v>
      </c>
      <c r="G35" s="866">
        <f t="shared" si="4"/>
        <v>-15832</v>
      </c>
      <c r="H35" s="866">
        <f t="shared" si="5"/>
        <v>-29420</v>
      </c>
      <c r="I35" s="866">
        <f t="shared" si="6"/>
        <v>-20903</v>
      </c>
      <c r="J35" s="866">
        <f t="shared" si="7"/>
        <v>12621.8331</v>
      </c>
      <c r="K35" s="867">
        <f t="shared" si="8"/>
        <v>-0.4598653794</v>
      </c>
      <c r="L35" s="866" t="s">
        <v>194</v>
      </c>
      <c r="M35" s="866">
        <v>-48280.0</v>
      </c>
      <c r="N35" s="866">
        <v>-29420.0</v>
      </c>
      <c r="O35" s="866">
        <v>-20903.0</v>
      </c>
      <c r="P35" s="866">
        <v>-22799.0</v>
      </c>
      <c r="Q35" s="866">
        <v>-15832.0</v>
      </c>
      <c r="R35" s="15"/>
      <c r="S35" s="851" t="s">
        <v>194</v>
      </c>
      <c r="T35" s="846" t="s">
        <v>194</v>
      </c>
      <c r="U35" s="846" t="s">
        <v>194</v>
      </c>
      <c r="V35" s="846" t="s">
        <v>194</v>
      </c>
      <c r="W35" s="846" t="s">
        <v>194</v>
      </c>
      <c r="X35" s="846" t="s">
        <v>194</v>
      </c>
      <c r="Y35" s="846" t="s">
        <v>194</v>
      </c>
      <c r="Z35" s="846" t="s">
        <v>194</v>
      </c>
      <c r="AA35" s="846" t="s">
        <v>194</v>
      </c>
      <c r="AB35" s="846" t="s">
        <v>194</v>
      </c>
      <c r="AC35" s="846" t="s">
        <v>194</v>
      </c>
      <c r="AD35" s="846" t="s">
        <v>194</v>
      </c>
      <c r="AE35" s="846" t="s">
        <v>194</v>
      </c>
      <c r="AF35" s="846" t="s">
        <v>194</v>
      </c>
      <c r="AG35" s="846" t="s">
        <v>194</v>
      </c>
      <c r="AH35" s="846" t="s">
        <v>194</v>
      </c>
      <c r="AI35" s="846" t="s">
        <v>194</v>
      </c>
      <c r="AJ35" s="846" t="s">
        <v>194</v>
      </c>
      <c r="AK35" s="846" t="s">
        <v>194</v>
      </c>
      <c r="AL35" s="846" t="s">
        <v>194</v>
      </c>
      <c r="AM35" s="846" t="s">
        <v>194</v>
      </c>
      <c r="AN35" s="846" t="s">
        <v>194</v>
      </c>
    </row>
    <row r="36" ht="15.75" customHeight="1">
      <c r="A36" s="849">
        <v>1.0</v>
      </c>
      <c r="B36" s="15"/>
      <c r="C36" s="855" t="str">
        <f>"Net Income after Non-Controlling/Minority Interests"</f>
        <v>Net Income after Non-Controlling/Minority Interests</v>
      </c>
      <c r="D36" s="866">
        <f t="shared" si="1"/>
        <v>-22799</v>
      </c>
      <c r="E36" s="866">
        <f t="shared" si="2"/>
        <v>-27446.8</v>
      </c>
      <c r="F36" s="866">
        <f t="shared" si="3"/>
        <v>-48280</v>
      </c>
      <c r="G36" s="866">
        <f t="shared" si="4"/>
        <v>-15832</v>
      </c>
      <c r="H36" s="866">
        <f t="shared" si="5"/>
        <v>-29420</v>
      </c>
      <c r="I36" s="866">
        <f t="shared" si="6"/>
        <v>-20903</v>
      </c>
      <c r="J36" s="866">
        <f t="shared" si="7"/>
        <v>12621.8331</v>
      </c>
      <c r="K36" s="867">
        <f t="shared" si="8"/>
        <v>-0.4598653794</v>
      </c>
      <c r="L36" s="866" t="s">
        <v>194</v>
      </c>
      <c r="M36" s="866">
        <v>-48280.0</v>
      </c>
      <c r="N36" s="866">
        <v>-29420.0</v>
      </c>
      <c r="O36" s="866">
        <v>-20903.0</v>
      </c>
      <c r="P36" s="866">
        <v>-22799.0</v>
      </c>
      <c r="Q36" s="866">
        <v>-15832.0</v>
      </c>
      <c r="R36" s="15"/>
      <c r="S36" s="851" t="s">
        <v>194</v>
      </c>
      <c r="T36" s="846" t="s">
        <v>194</v>
      </c>
      <c r="U36" s="846" t="s">
        <v>194</v>
      </c>
      <c r="V36" s="846" t="s">
        <v>194</v>
      </c>
      <c r="W36" s="846" t="s">
        <v>194</v>
      </c>
      <c r="X36" s="846" t="s">
        <v>194</v>
      </c>
      <c r="Y36" s="846" t="s">
        <v>194</v>
      </c>
      <c r="Z36" s="846" t="s">
        <v>194</v>
      </c>
      <c r="AA36" s="846" t="s">
        <v>194</v>
      </c>
      <c r="AB36" s="846" t="s">
        <v>194</v>
      </c>
      <c r="AC36" s="846" t="s">
        <v>194</v>
      </c>
      <c r="AD36" s="846" t="s">
        <v>194</v>
      </c>
      <c r="AE36" s="846" t="s">
        <v>194</v>
      </c>
      <c r="AF36" s="846" t="s">
        <v>194</v>
      </c>
      <c r="AG36" s="846" t="s">
        <v>194</v>
      </c>
      <c r="AH36" s="846" t="s">
        <v>194</v>
      </c>
      <c r="AI36" s="846" t="s">
        <v>194</v>
      </c>
      <c r="AJ36" s="846" t="s">
        <v>194</v>
      </c>
      <c r="AK36" s="846" t="s">
        <v>194</v>
      </c>
      <c r="AL36" s="846" t="s">
        <v>194</v>
      </c>
      <c r="AM36" s="846" t="s">
        <v>194</v>
      </c>
      <c r="AN36" s="846" t="s">
        <v>194</v>
      </c>
    </row>
    <row r="37" ht="15.75" customHeight="1">
      <c r="A37" s="849">
        <v>1.0</v>
      </c>
      <c r="B37" s="15"/>
      <c r="C37" s="855" t="str">
        <f>"Net Income Available to Common Stockholders"</f>
        <v>Net Income Available to Common Stockholders</v>
      </c>
      <c r="D37" s="866">
        <f t="shared" si="1"/>
        <v>-22799</v>
      </c>
      <c r="E37" s="866">
        <f t="shared" si="2"/>
        <v>-27446.8</v>
      </c>
      <c r="F37" s="866">
        <f t="shared" si="3"/>
        <v>-48280</v>
      </c>
      <c r="G37" s="866">
        <f t="shared" si="4"/>
        <v>-15832</v>
      </c>
      <c r="H37" s="866">
        <f t="shared" si="5"/>
        <v>-29420</v>
      </c>
      <c r="I37" s="866">
        <f t="shared" si="6"/>
        <v>-20903</v>
      </c>
      <c r="J37" s="866">
        <f t="shared" si="7"/>
        <v>12621.8331</v>
      </c>
      <c r="K37" s="867">
        <f t="shared" si="8"/>
        <v>-0.4598653794</v>
      </c>
      <c r="L37" s="866" t="s">
        <v>194</v>
      </c>
      <c r="M37" s="866">
        <v>-48280.0</v>
      </c>
      <c r="N37" s="866">
        <v>-29420.0</v>
      </c>
      <c r="O37" s="866">
        <v>-20903.0</v>
      </c>
      <c r="P37" s="866">
        <v>-22799.0</v>
      </c>
      <c r="Q37" s="866">
        <v>-15832.0</v>
      </c>
      <c r="R37" s="15"/>
      <c r="S37" s="851" t="s">
        <v>194</v>
      </c>
      <c r="T37" s="846" t="s">
        <v>194</v>
      </c>
      <c r="U37" s="846" t="s">
        <v>194</v>
      </c>
      <c r="V37" s="846" t="s">
        <v>194</v>
      </c>
      <c r="W37" s="846" t="s">
        <v>194</v>
      </c>
      <c r="X37" s="846" t="s">
        <v>194</v>
      </c>
      <c r="Y37" s="846" t="s">
        <v>194</v>
      </c>
      <c r="Z37" s="846" t="s">
        <v>194</v>
      </c>
      <c r="AA37" s="846" t="s">
        <v>194</v>
      </c>
      <c r="AB37" s="846" t="s">
        <v>194</v>
      </c>
      <c r="AC37" s="846" t="s">
        <v>194</v>
      </c>
      <c r="AD37" s="846" t="s">
        <v>194</v>
      </c>
      <c r="AE37" s="846" t="s">
        <v>194</v>
      </c>
      <c r="AF37" s="846" t="s">
        <v>194</v>
      </c>
      <c r="AG37" s="846" t="s">
        <v>194</v>
      </c>
      <c r="AH37" s="846" t="s">
        <v>194</v>
      </c>
      <c r="AI37" s="846" t="s">
        <v>194</v>
      </c>
      <c r="AJ37" s="846" t="s">
        <v>194</v>
      </c>
      <c r="AK37" s="846" t="s">
        <v>194</v>
      </c>
      <c r="AL37" s="846" t="s">
        <v>194</v>
      </c>
      <c r="AM37" s="846" t="s">
        <v>194</v>
      </c>
      <c r="AN37" s="846" t="s">
        <v>194</v>
      </c>
    </row>
    <row r="38" ht="15.75" customHeight="1">
      <c r="A38" s="849">
        <v>1.0</v>
      </c>
      <c r="B38" s="15"/>
      <c r="C38" s="855" t="str">
        <f>"Diluted Net Income Available to Common Stockholders"</f>
        <v>Diluted Net Income Available to Common Stockholders</v>
      </c>
      <c r="D38" s="866">
        <f t="shared" si="1"/>
        <v>-22799</v>
      </c>
      <c r="E38" s="866">
        <f t="shared" si="2"/>
        <v>-27446.8</v>
      </c>
      <c r="F38" s="866">
        <f t="shared" si="3"/>
        <v>-48280</v>
      </c>
      <c r="G38" s="866">
        <f t="shared" si="4"/>
        <v>-15832</v>
      </c>
      <c r="H38" s="866">
        <f t="shared" si="5"/>
        <v>-29420</v>
      </c>
      <c r="I38" s="866">
        <f t="shared" si="6"/>
        <v>-20903</v>
      </c>
      <c r="J38" s="866">
        <f t="shared" si="7"/>
        <v>12621.8331</v>
      </c>
      <c r="K38" s="867">
        <f t="shared" si="8"/>
        <v>-0.4598653794</v>
      </c>
      <c r="L38" s="866" t="s">
        <v>194</v>
      </c>
      <c r="M38" s="866">
        <v>-48280.0</v>
      </c>
      <c r="N38" s="866">
        <v>-29420.0</v>
      </c>
      <c r="O38" s="866">
        <v>-20903.0</v>
      </c>
      <c r="P38" s="866">
        <v>-22799.0</v>
      </c>
      <c r="Q38" s="866">
        <v>-15832.0</v>
      </c>
      <c r="R38" s="15"/>
      <c r="S38" s="851" t="s">
        <v>194</v>
      </c>
      <c r="T38" s="846" t="s">
        <v>194</v>
      </c>
      <c r="U38" s="846" t="s">
        <v>194</v>
      </c>
      <c r="V38" s="846" t="s">
        <v>194</v>
      </c>
      <c r="W38" s="846" t="s">
        <v>194</v>
      </c>
      <c r="X38" s="846" t="s">
        <v>194</v>
      </c>
      <c r="Y38" s="846" t="s">
        <v>194</v>
      </c>
      <c r="Z38" s="846" t="s">
        <v>194</v>
      </c>
      <c r="AA38" s="846" t="s">
        <v>194</v>
      </c>
      <c r="AB38" s="846" t="s">
        <v>194</v>
      </c>
      <c r="AC38" s="846" t="s">
        <v>194</v>
      </c>
      <c r="AD38" s="846" t="s">
        <v>194</v>
      </c>
      <c r="AE38" s="846" t="s">
        <v>194</v>
      </c>
      <c r="AF38" s="846" t="s">
        <v>194</v>
      </c>
      <c r="AG38" s="846" t="s">
        <v>194</v>
      </c>
      <c r="AH38" s="846" t="s">
        <v>194</v>
      </c>
      <c r="AI38" s="846" t="s">
        <v>194</v>
      </c>
      <c r="AJ38" s="846" t="s">
        <v>194</v>
      </c>
      <c r="AK38" s="846" t="s">
        <v>194</v>
      </c>
      <c r="AL38" s="846" t="s">
        <v>194</v>
      </c>
      <c r="AM38" s="846" t="s">
        <v>194</v>
      </c>
      <c r="AN38" s="846" t="s">
        <v>194</v>
      </c>
    </row>
    <row r="39" ht="15.75" customHeight="1">
      <c r="A39" s="849">
        <v>1.0</v>
      </c>
      <c r="B39" s="15"/>
      <c r="C39" s="855" t="str">
        <f>IF(SUBTOTAL(109,A40)=A40,"Basic EPS","Basic EPS")</f>
        <v>Basic EPS</v>
      </c>
      <c r="D39" s="867" t="str">
        <f t="shared" si="1"/>
        <v/>
      </c>
      <c r="E39" s="867" t="str">
        <f t="shared" si="2"/>
        <v/>
      </c>
      <c r="F39" s="867" t="str">
        <f t="shared" si="3"/>
        <v/>
      </c>
      <c r="G39" s="867" t="str">
        <f t="shared" si="4"/>
        <v/>
      </c>
      <c r="H39" s="867" t="str">
        <f t="shared" si="5"/>
        <v/>
      </c>
      <c r="I39" s="867" t="str">
        <f t="shared" si="6"/>
        <v/>
      </c>
      <c r="J39" s="867" t="str">
        <f t="shared" si="7"/>
        <v/>
      </c>
      <c r="K39" s="867" t="str">
        <f t="shared" si="8"/>
        <v/>
      </c>
      <c r="L39" s="867" t="s">
        <v>194</v>
      </c>
      <c r="M39" s="867" t="str">
        <f>IF(SUBTOTAL(109,A40)=A40,"",-2.02)</f>
        <v/>
      </c>
      <c r="N39" s="867" t="str">
        <f>IF(SUBTOTAL(109,A40)=A40,"",-1.3)</f>
        <v/>
      </c>
      <c r="O39" s="867" t="str">
        <f>IF(SUBTOTAL(109,A40)=A40,"",-3.95)</f>
        <v/>
      </c>
      <c r="P39" s="867" t="str">
        <f>IF(SUBTOTAL(109,A40)=A40,"",-1.57)</f>
        <v/>
      </c>
      <c r="Q39" s="867" t="str">
        <f>IF(SUBTOTAL(109,A40)=A40,"","")</f>
        <v/>
      </c>
      <c r="R39" s="15"/>
      <c r="S39" s="851" t="s">
        <v>194</v>
      </c>
      <c r="T39" s="846" t="s">
        <v>194</v>
      </c>
      <c r="U39" s="846" t="s">
        <v>194</v>
      </c>
      <c r="V39" s="846" t="s">
        <v>194</v>
      </c>
      <c r="W39" s="846" t="s">
        <v>194</v>
      </c>
      <c r="X39" s="846" t="s">
        <v>194</v>
      </c>
      <c r="Y39" s="846" t="s">
        <v>194</v>
      </c>
      <c r="Z39" s="846" t="s">
        <v>194</v>
      </c>
      <c r="AA39" s="846" t="s">
        <v>194</v>
      </c>
      <c r="AB39" s="846" t="s">
        <v>194</v>
      </c>
      <c r="AC39" s="846" t="s">
        <v>194</v>
      </c>
      <c r="AD39" s="846" t="s">
        <v>194</v>
      </c>
      <c r="AE39" s="846" t="s">
        <v>194</v>
      </c>
      <c r="AF39" s="846" t="s">
        <v>194</v>
      </c>
      <c r="AG39" s="846" t="s">
        <v>194</v>
      </c>
      <c r="AH39" s="846" t="s">
        <v>194</v>
      </c>
      <c r="AI39" s="846" t="s">
        <v>194</v>
      </c>
      <c r="AJ39" s="846" t="s">
        <v>194</v>
      </c>
      <c r="AK39" s="846" t="s">
        <v>194</v>
      </c>
      <c r="AL39" s="846" t="s">
        <v>194</v>
      </c>
      <c r="AM39" s="846" t="s">
        <v>194</v>
      </c>
      <c r="AN39" s="846" t="s">
        <v>194</v>
      </c>
    </row>
    <row r="40" ht="15.75" customHeight="1" outlineLevel="1">
      <c r="A40" s="849">
        <v>1.0</v>
      </c>
      <c r="B40" s="15"/>
      <c r="C40" s="869" t="str">
        <f>"    Basic EPS from Continuing Operations"</f>
        <v>    Basic EPS from Continuing Operations</v>
      </c>
      <c r="D40" s="871">
        <f t="shared" si="1"/>
        <v>-1.795</v>
      </c>
      <c r="E40" s="871">
        <f t="shared" si="2"/>
        <v>-2.21</v>
      </c>
      <c r="F40" s="871">
        <f t="shared" si="3"/>
        <v>-3.95</v>
      </c>
      <c r="G40" s="871">
        <f t="shared" si="4"/>
        <v>-1.3</v>
      </c>
      <c r="H40" s="871">
        <f t="shared" si="5"/>
        <v>-2.5025</v>
      </c>
      <c r="I40" s="871">
        <f t="shared" si="6"/>
        <v>-1.5025</v>
      </c>
      <c r="J40" s="871">
        <f t="shared" si="7"/>
        <v>1.19741388</v>
      </c>
      <c r="K40" s="871">
        <f t="shared" si="8"/>
        <v>-0.5418162353</v>
      </c>
      <c r="L40" s="928" t="s">
        <v>194</v>
      </c>
      <c r="M40" s="928">
        <v>-2.02</v>
      </c>
      <c r="N40" s="928">
        <v>-1.3</v>
      </c>
      <c r="O40" s="928">
        <v>-3.95</v>
      </c>
      <c r="P40" s="928">
        <v>-1.57</v>
      </c>
      <c r="Q40" s="928" t="s">
        <v>194</v>
      </c>
      <c r="R40" s="15"/>
      <c r="S40" s="851" t="s">
        <v>194</v>
      </c>
      <c r="T40" s="846" t="s">
        <v>194</v>
      </c>
      <c r="U40" s="846" t="s">
        <v>194</v>
      </c>
      <c r="V40" s="846" t="s">
        <v>194</v>
      </c>
      <c r="W40" s="846" t="s">
        <v>194</v>
      </c>
      <c r="X40" s="846" t="s">
        <v>194</v>
      </c>
      <c r="Y40" s="846" t="s">
        <v>194</v>
      </c>
      <c r="Z40" s="846" t="s">
        <v>194</v>
      </c>
      <c r="AA40" s="846" t="s">
        <v>194</v>
      </c>
      <c r="AB40" s="846" t="s">
        <v>194</v>
      </c>
      <c r="AC40" s="846" t="s">
        <v>194</v>
      </c>
      <c r="AD40" s="846" t="s">
        <v>194</v>
      </c>
      <c r="AE40" s="846" t="s">
        <v>194</v>
      </c>
      <c r="AF40" s="846" t="s">
        <v>194</v>
      </c>
      <c r="AG40" s="846" t="s">
        <v>194</v>
      </c>
      <c r="AH40" s="846" t="s">
        <v>194</v>
      </c>
      <c r="AI40" s="846" t="s">
        <v>194</v>
      </c>
      <c r="AJ40" s="846" t="s">
        <v>194</v>
      </c>
      <c r="AK40" s="846" t="s">
        <v>194</v>
      </c>
      <c r="AL40" s="846" t="s">
        <v>194</v>
      </c>
      <c r="AM40" s="846" t="s">
        <v>194</v>
      </c>
      <c r="AN40" s="846" t="s">
        <v>194</v>
      </c>
    </row>
    <row r="41" ht="15.75" customHeight="1" outlineLevel="1">
      <c r="A41" s="849">
        <v>1.0</v>
      </c>
      <c r="B41" s="15"/>
      <c r="C41" s="869" t="str">
        <f>"    Basic EPS from Discontinued Operations"</f>
        <v>    Basic EPS from Discontinued Operations</v>
      </c>
      <c r="D41" s="871">
        <f t="shared" si="1"/>
        <v>0</v>
      </c>
      <c r="E41" s="871">
        <f t="shared" si="2"/>
        <v>0</v>
      </c>
      <c r="F41" s="871">
        <f t="shared" si="3"/>
        <v>0</v>
      </c>
      <c r="G41" s="871">
        <f t="shared" si="4"/>
        <v>0</v>
      </c>
      <c r="H41" s="871">
        <f t="shared" si="5"/>
        <v>0</v>
      </c>
      <c r="I41" s="871">
        <f t="shared" si="6"/>
        <v>0</v>
      </c>
      <c r="J41" s="871">
        <f t="shared" si="7"/>
        <v>0</v>
      </c>
      <c r="K41" s="871" t="str">
        <f t="shared" si="8"/>
        <v>#DIV/0!</v>
      </c>
      <c r="L41" s="928" t="s">
        <v>194</v>
      </c>
      <c r="M41" s="928" t="s">
        <v>194</v>
      </c>
      <c r="N41" s="928">
        <v>0.0</v>
      </c>
      <c r="O41" s="928">
        <v>0.0</v>
      </c>
      <c r="P41" s="928">
        <v>0.0</v>
      </c>
      <c r="Q41" s="928" t="s">
        <v>194</v>
      </c>
      <c r="R41" s="15"/>
      <c r="S41" s="851" t="s">
        <v>194</v>
      </c>
      <c r="T41" s="846" t="s">
        <v>194</v>
      </c>
      <c r="U41" s="846" t="s">
        <v>194</v>
      </c>
      <c r="V41" s="846" t="s">
        <v>194</v>
      </c>
      <c r="W41" s="846" t="s">
        <v>194</v>
      </c>
      <c r="X41" s="846" t="s">
        <v>194</v>
      </c>
      <c r="Y41" s="846" t="s">
        <v>194</v>
      </c>
      <c r="Z41" s="846" t="s">
        <v>194</v>
      </c>
      <c r="AA41" s="846" t="s">
        <v>194</v>
      </c>
      <c r="AB41" s="846" t="s">
        <v>194</v>
      </c>
      <c r="AC41" s="846" t="s">
        <v>194</v>
      </c>
      <c r="AD41" s="846" t="s">
        <v>194</v>
      </c>
      <c r="AE41" s="846" t="s">
        <v>194</v>
      </c>
      <c r="AF41" s="846" t="s">
        <v>194</v>
      </c>
      <c r="AG41" s="846" t="s">
        <v>194</v>
      </c>
      <c r="AH41" s="846" t="s">
        <v>194</v>
      </c>
      <c r="AI41" s="846" t="s">
        <v>194</v>
      </c>
      <c r="AJ41" s="846" t="s">
        <v>194</v>
      </c>
      <c r="AK41" s="846" t="s">
        <v>194</v>
      </c>
      <c r="AL41" s="846" t="s">
        <v>194</v>
      </c>
      <c r="AM41" s="846" t="s">
        <v>194</v>
      </c>
      <c r="AN41" s="846" t="s">
        <v>194</v>
      </c>
    </row>
    <row r="42" ht="15.75" customHeight="1" outlineLevel="1">
      <c r="A42" s="849">
        <v>1.0</v>
      </c>
      <c r="B42" s="15"/>
      <c r="C42" s="855" t="str">
        <f>"    Total Basic EPS"</f>
        <v>    Total Basic EPS</v>
      </c>
      <c r="D42" s="883">
        <f t="shared" si="1"/>
        <v>-1.795</v>
      </c>
      <c r="E42" s="883">
        <f t="shared" si="2"/>
        <v>-2.21</v>
      </c>
      <c r="F42" s="883">
        <f t="shared" si="3"/>
        <v>-3.95</v>
      </c>
      <c r="G42" s="883">
        <f t="shared" si="4"/>
        <v>-1.3</v>
      </c>
      <c r="H42" s="883">
        <f t="shared" si="5"/>
        <v>-2.5025</v>
      </c>
      <c r="I42" s="883">
        <f t="shared" si="6"/>
        <v>-1.5025</v>
      </c>
      <c r="J42" s="883">
        <f t="shared" si="7"/>
        <v>1.19741388</v>
      </c>
      <c r="K42" s="883">
        <f t="shared" si="8"/>
        <v>-0.5418162353</v>
      </c>
      <c r="L42" s="883" t="s">
        <v>194</v>
      </c>
      <c r="M42" s="883">
        <v>-2.02</v>
      </c>
      <c r="N42" s="883">
        <v>-1.3</v>
      </c>
      <c r="O42" s="883">
        <v>-3.95</v>
      </c>
      <c r="P42" s="883">
        <v>-1.57</v>
      </c>
      <c r="Q42" s="883" t="s">
        <v>194</v>
      </c>
      <c r="R42" s="15"/>
      <c r="S42" s="851" t="s">
        <v>194</v>
      </c>
      <c r="T42" s="846" t="s">
        <v>194</v>
      </c>
      <c r="U42" s="846" t="s">
        <v>194</v>
      </c>
      <c r="V42" s="846" t="s">
        <v>194</v>
      </c>
      <c r="W42" s="846" t="s">
        <v>194</v>
      </c>
      <c r="X42" s="846" t="s">
        <v>194</v>
      </c>
      <c r="Y42" s="846" t="s">
        <v>194</v>
      </c>
      <c r="Z42" s="846" t="s">
        <v>194</v>
      </c>
      <c r="AA42" s="846" t="s">
        <v>194</v>
      </c>
      <c r="AB42" s="846" t="s">
        <v>194</v>
      </c>
      <c r="AC42" s="846" t="s">
        <v>194</v>
      </c>
      <c r="AD42" s="846" t="s">
        <v>194</v>
      </c>
      <c r="AE42" s="846" t="s">
        <v>194</v>
      </c>
      <c r="AF42" s="846" t="s">
        <v>194</v>
      </c>
      <c r="AG42" s="846" t="s">
        <v>194</v>
      </c>
      <c r="AH42" s="846" t="s">
        <v>194</v>
      </c>
      <c r="AI42" s="846" t="s">
        <v>194</v>
      </c>
      <c r="AJ42" s="846" t="s">
        <v>194</v>
      </c>
      <c r="AK42" s="846" t="s">
        <v>194</v>
      </c>
      <c r="AL42" s="846" t="s">
        <v>194</v>
      </c>
      <c r="AM42" s="846" t="s">
        <v>194</v>
      </c>
      <c r="AN42" s="846" t="s">
        <v>194</v>
      </c>
    </row>
    <row r="43" ht="15.75" customHeight="1">
      <c r="A43" s="849">
        <v>1.0</v>
      </c>
      <c r="B43" s="15"/>
      <c r="C43" s="855" t="str">
        <f>IF(SUBTOTAL(109,A44)=A44,"Diluted EPS","Diluted EPS")</f>
        <v>Diluted EPS</v>
      </c>
      <c r="D43" s="867" t="str">
        <f t="shared" si="1"/>
        <v/>
      </c>
      <c r="E43" s="867" t="str">
        <f t="shared" si="2"/>
        <v/>
      </c>
      <c r="F43" s="867" t="str">
        <f t="shared" si="3"/>
        <v/>
      </c>
      <c r="G43" s="867" t="str">
        <f t="shared" si="4"/>
        <v/>
      </c>
      <c r="H43" s="867" t="str">
        <f t="shared" si="5"/>
        <v/>
      </c>
      <c r="I43" s="867" t="str">
        <f t="shared" si="6"/>
        <v/>
      </c>
      <c r="J43" s="867" t="str">
        <f t="shared" si="7"/>
        <v/>
      </c>
      <c r="K43" s="867" t="str">
        <f t="shared" si="8"/>
        <v/>
      </c>
      <c r="L43" s="867" t="s">
        <v>194</v>
      </c>
      <c r="M43" s="867" t="str">
        <f>IF(SUBTOTAL(109,A44)=A44,"",-2.02)</f>
        <v/>
      </c>
      <c r="N43" s="867" t="str">
        <f>IF(SUBTOTAL(109,A44)=A44,"",-1.3)</f>
        <v/>
      </c>
      <c r="O43" s="867" t="str">
        <f>IF(SUBTOTAL(109,A44)=A44,"",-3.95)</f>
        <v/>
      </c>
      <c r="P43" s="867" t="str">
        <f>IF(SUBTOTAL(109,A44)=A44,"",-1.57)</f>
        <v/>
      </c>
      <c r="Q43" s="867" t="str">
        <f>IF(SUBTOTAL(109,A44)=A44,"","")</f>
        <v/>
      </c>
      <c r="R43" s="15"/>
      <c r="S43" s="851" t="s">
        <v>194</v>
      </c>
      <c r="T43" s="846" t="s">
        <v>194</v>
      </c>
      <c r="U43" s="846" t="s">
        <v>194</v>
      </c>
      <c r="V43" s="846" t="s">
        <v>194</v>
      </c>
      <c r="W43" s="846" t="s">
        <v>194</v>
      </c>
      <c r="X43" s="846" t="s">
        <v>194</v>
      </c>
      <c r="Y43" s="846" t="s">
        <v>194</v>
      </c>
      <c r="Z43" s="846" t="s">
        <v>194</v>
      </c>
      <c r="AA43" s="846" t="s">
        <v>194</v>
      </c>
      <c r="AB43" s="846" t="s">
        <v>194</v>
      </c>
      <c r="AC43" s="846" t="s">
        <v>194</v>
      </c>
      <c r="AD43" s="846" t="s">
        <v>194</v>
      </c>
      <c r="AE43" s="846" t="s">
        <v>194</v>
      </c>
      <c r="AF43" s="846" t="s">
        <v>194</v>
      </c>
      <c r="AG43" s="846" t="s">
        <v>194</v>
      </c>
      <c r="AH43" s="846" t="s">
        <v>194</v>
      </c>
      <c r="AI43" s="846" t="s">
        <v>194</v>
      </c>
      <c r="AJ43" s="846" t="s">
        <v>194</v>
      </c>
      <c r="AK43" s="846" t="s">
        <v>194</v>
      </c>
      <c r="AL43" s="846" t="s">
        <v>194</v>
      </c>
      <c r="AM43" s="846" t="s">
        <v>194</v>
      </c>
      <c r="AN43" s="846" t="s">
        <v>194</v>
      </c>
    </row>
    <row r="44" ht="15.75" customHeight="1" outlineLevel="1">
      <c r="A44" s="849">
        <v>1.0</v>
      </c>
      <c r="B44" s="15"/>
      <c r="C44" s="869" t="str">
        <f>"    Diluted EPS from Continuing Operations"</f>
        <v>    Diluted EPS from Continuing Operations</v>
      </c>
      <c r="D44" s="871">
        <f t="shared" si="1"/>
        <v>-1.795</v>
      </c>
      <c r="E44" s="871">
        <f t="shared" si="2"/>
        <v>-2.21</v>
      </c>
      <c r="F44" s="871">
        <f t="shared" si="3"/>
        <v>-3.95</v>
      </c>
      <c r="G44" s="871">
        <f t="shared" si="4"/>
        <v>-1.3</v>
      </c>
      <c r="H44" s="871">
        <f t="shared" si="5"/>
        <v>-2.5025</v>
      </c>
      <c r="I44" s="871">
        <f t="shared" si="6"/>
        <v>-1.5025</v>
      </c>
      <c r="J44" s="871">
        <f t="shared" si="7"/>
        <v>1.19741388</v>
      </c>
      <c r="K44" s="871">
        <f t="shared" si="8"/>
        <v>-0.5418162353</v>
      </c>
      <c r="L44" s="928" t="s">
        <v>194</v>
      </c>
      <c r="M44" s="928">
        <v>-2.02</v>
      </c>
      <c r="N44" s="928">
        <v>-1.3</v>
      </c>
      <c r="O44" s="928">
        <v>-3.95</v>
      </c>
      <c r="P44" s="928">
        <v>-1.57</v>
      </c>
      <c r="Q44" s="928" t="s">
        <v>194</v>
      </c>
      <c r="R44" s="15"/>
      <c r="S44" s="851" t="s">
        <v>194</v>
      </c>
      <c r="T44" s="846" t="s">
        <v>194</v>
      </c>
      <c r="U44" s="846" t="s">
        <v>194</v>
      </c>
      <c r="V44" s="846" t="s">
        <v>194</v>
      </c>
      <c r="W44" s="846" t="s">
        <v>194</v>
      </c>
      <c r="X44" s="846" t="s">
        <v>194</v>
      </c>
      <c r="Y44" s="846" t="s">
        <v>194</v>
      </c>
      <c r="Z44" s="846" t="s">
        <v>194</v>
      </c>
      <c r="AA44" s="846" t="s">
        <v>194</v>
      </c>
      <c r="AB44" s="846" t="s">
        <v>194</v>
      </c>
      <c r="AC44" s="846" t="s">
        <v>194</v>
      </c>
      <c r="AD44" s="846" t="s">
        <v>194</v>
      </c>
      <c r="AE44" s="846" t="s">
        <v>194</v>
      </c>
      <c r="AF44" s="846" t="s">
        <v>194</v>
      </c>
      <c r="AG44" s="846" t="s">
        <v>194</v>
      </c>
      <c r="AH44" s="846" t="s">
        <v>194</v>
      </c>
      <c r="AI44" s="846" t="s">
        <v>194</v>
      </c>
      <c r="AJ44" s="846" t="s">
        <v>194</v>
      </c>
      <c r="AK44" s="846" t="s">
        <v>194</v>
      </c>
      <c r="AL44" s="846" t="s">
        <v>194</v>
      </c>
      <c r="AM44" s="846" t="s">
        <v>194</v>
      </c>
      <c r="AN44" s="846" t="s">
        <v>194</v>
      </c>
    </row>
    <row r="45" ht="15.75" customHeight="1" outlineLevel="1">
      <c r="A45" s="849">
        <v>1.0</v>
      </c>
      <c r="B45" s="15"/>
      <c r="C45" s="869" t="str">
        <f>"    Diluted EPS from Discontinued Operations"</f>
        <v>    Diluted EPS from Discontinued Operations</v>
      </c>
      <c r="D45" s="871">
        <f t="shared" si="1"/>
        <v>0</v>
      </c>
      <c r="E45" s="871">
        <f t="shared" si="2"/>
        <v>0</v>
      </c>
      <c r="F45" s="871">
        <f t="shared" si="3"/>
        <v>0</v>
      </c>
      <c r="G45" s="871">
        <f t="shared" si="4"/>
        <v>0</v>
      </c>
      <c r="H45" s="871">
        <f t="shared" si="5"/>
        <v>0</v>
      </c>
      <c r="I45" s="871">
        <f t="shared" si="6"/>
        <v>0</v>
      </c>
      <c r="J45" s="871">
        <f t="shared" si="7"/>
        <v>0</v>
      </c>
      <c r="K45" s="871" t="str">
        <f t="shared" si="8"/>
        <v>#DIV/0!</v>
      </c>
      <c r="L45" s="928" t="s">
        <v>194</v>
      </c>
      <c r="M45" s="928" t="s">
        <v>194</v>
      </c>
      <c r="N45" s="928">
        <v>0.0</v>
      </c>
      <c r="O45" s="928">
        <v>0.0</v>
      </c>
      <c r="P45" s="928">
        <v>0.0</v>
      </c>
      <c r="Q45" s="928" t="s">
        <v>194</v>
      </c>
      <c r="R45" s="15"/>
      <c r="S45" s="851" t="s">
        <v>194</v>
      </c>
      <c r="T45" s="846" t="s">
        <v>194</v>
      </c>
      <c r="U45" s="846" t="s">
        <v>194</v>
      </c>
      <c r="V45" s="846" t="s">
        <v>194</v>
      </c>
      <c r="W45" s="846" t="s">
        <v>194</v>
      </c>
      <c r="X45" s="846" t="s">
        <v>194</v>
      </c>
      <c r="Y45" s="846" t="s">
        <v>194</v>
      </c>
      <c r="Z45" s="846" t="s">
        <v>194</v>
      </c>
      <c r="AA45" s="846" t="s">
        <v>194</v>
      </c>
      <c r="AB45" s="846" t="s">
        <v>194</v>
      </c>
      <c r="AC45" s="846" t="s">
        <v>194</v>
      </c>
      <c r="AD45" s="846" t="s">
        <v>194</v>
      </c>
      <c r="AE45" s="846" t="s">
        <v>194</v>
      </c>
      <c r="AF45" s="846" t="s">
        <v>194</v>
      </c>
      <c r="AG45" s="846" t="s">
        <v>194</v>
      </c>
      <c r="AH45" s="846" t="s">
        <v>194</v>
      </c>
      <c r="AI45" s="846" t="s">
        <v>194</v>
      </c>
      <c r="AJ45" s="846" t="s">
        <v>194</v>
      </c>
      <c r="AK45" s="846" t="s">
        <v>194</v>
      </c>
      <c r="AL45" s="846" t="s">
        <v>194</v>
      </c>
      <c r="AM45" s="846" t="s">
        <v>194</v>
      </c>
      <c r="AN45" s="846" t="s">
        <v>194</v>
      </c>
    </row>
    <row r="46" ht="15.75" customHeight="1" outlineLevel="1">
      <c r="A46" s="849">
        <v>1.0</v>
      </c>
      <c r="B46" s="15"/>
      <c r="C46" s="855" t="str">
        <f>"    Total Diluted EPS"</f>
        <v>    Total Diluted EPS</v>
      </c>
      <c r="D46" s="883">
        <f t="shared" si="1"/>
        <v>-1.795</v>
      </c>
      <c r="E46" s="883">
        <f t="shared" si="2"/>
        <v>-2.21</v>
      </c>
      <c r="F46" s="883">
        <f t="shared" si="3"/>
        <v>-3.95</v>
      </c>
      <c r="G46" s="883">
        <f t="shared" si="4"/>
        <v>-1.3</v>
      </c>
      <c r="H46" s="883">
        <f t="shared" si="5"/>
        <v>-2.5025</v>
      </c>
      <c r="I46" s="883">
        <f t="shared" si="6"/>
        <v>-1.5025</v>
      </c>
      <c r="J46" s="883">
        <f t="shared" si="7"/>
        <v>1.19741388</v>
      </c>
      <c r="K46" s="883">
        <f t="shared" si="8"/>
        <v>-0.5418162353</v>
      </c>
      <c r="L46" s="883" t="s">
        <v>194</v>
      </c>
      <c r="M46" s="883">
        <v>-2.02</v>
      </c>
      <c r="N46" s="883">
        <v>-1.3</v>
      </c>
      <c r="O46" s="883">
        <v>-3.95</v>
      </c>
      <c r="P46" s="883">
        <v>-1.57</v>
      </c>
      <c r="Q46" s="883" t="s">
        <v>194</v>
      </c>
      <c r="R46" s="15"/>
      <c r="S46" s="851" t="s">
        <v>194</v>
      </c>
      <c r="T46" s="846" t="s">
        <v>194</v>
      </c>
      <c r="U46" s="846" t="s">
        <v>194</v>
      </c>
      <c r="V46" s="846" t="s">
        <v>194</v>
      </c>
      <c r="W46" s="846" t="s">
        <v>194</v>
      </c>
      <c r="X46" s="846" t="s">
        <v>194</v>
      </c>
      <c r="Y46" s="846" t="s">
        <v>194</v>
      </c>
      <c r="Z46" s="846" t="s">
        <v>194</v>
      </c>
      <c r="AA46" s="846" t="s">
        <v>194</v>
      </c>
      <c r="AB46" s="846" t="s">
        <v>194</v>
      </c>
      <c r="AC46" s="846" t="s">
        <v>194</v>
      </c>
      <c r="AD46" s="846" t="s">
        <v>194</v>
      </c>
      <c r="AE46" s="846" t="s">
        <v>194</v>
      </c>
      <c r="AF46" s="846" t="s">
        <v>194</v>
      </c>
      <c r="AG46" s="846" t="s">
        <v>194</v>
      </c>
      <c r="AH46" s="846" t="s">
        <v>194</v>
      </c>
      <c r="AI46" s="846" t="s">
        <v>194</v>
      </c>
      <c r="AJ46" s="846" t="s">
        <v>194</v>
      </c>
      <c r="AK46" s="846" t="s">
        <v>194</v>
      </c>
      <c r="AL46" s="846" t="s">
        <v>194</v>
      </c>
      <c r="AM46" s="846" t="s">
        <v>194</v>
      </c>
      <c r="AN46" s="846" t="s">
        <v>194</v>
      </c>
    </row>
    <row r="47" ht="15.75" customHeight="1">
      <c r="A47" s="849">
        <v>1.0</v>
      </c>
      <c r="B47" s="15"/>
      <c r="C47" s="855" t="str">
        <f>"Basic Weighted Average Shares Outstanding"</f>
        <v>Basic Weighted Average Shares Outstanding</v>
      </c>
      <c r="D47" s="866">
        <f t="shared" si="1"/>
        <v>18527387</v>
      </c>
      <c r="E47" s="866">
        <f t="shared" si="2"/>
        <v>16556619.75</v>
      </c>
      <c r="F47" s="866">
        <f t="shared" si="3"/>
        <v>5285847</v>
      </c>
      <c r="G47" s="866">
        <f t="shared" si="4"/>
        <v>23885858</v>
      </c>
      <c r="H47" s="866">
        <f t="shared" si="5"/>
        <v>12142047</v>
      </c>
      <c r="I47" s="866">
        <f t="shared" si="6"/>
        <v>22941959.75</v>
      </c>
      <c r="J47" s="866">
        <f t="shared" si="7"/>
        <v>8604938.792</v>
      </c>
      <c r="K47" s="867">
        <f t="shared" si="8"/>
        <v>0.5197279953</v>
      </c>
      <c r="L47" s="866" t="s">
        <v>194</v>
      </c>
      <c r="M47" s="866">
        <v>2.3885858E7</v>
      </c>
      <c r="N47" s="866">
        <v>2.2627327E7</v>
      </c>
      <c r="O47" s="866">
        <v>5285847.0</v>
      </c>
      <c r="P47" s="866">
        <v>1.4427447E7</v>
      </c>
      <c r="Q47" s="866" t="s">
        <v>194</v>
      </c>
      <c r="R47" s="15"/>
      <c r="S47" s="851" t="s">
        <v>194</v>
      </c>
      <c r="T47" s="846" t="s">
        <v>194</v>
      </c>
      <c r="U47" s="846" t="s">
        <v>194</v>
      </c>
      <c r="V47" s="846" t="s">
        <v>194</v>
      </c>
      <c r="W47" s="846" t="s">
        <v>194</v>
      </c>
      <c r="X47" s="846" t="s">
        <v>194</v>
      </c>
      <c r="Y47" s="846" t="s">
        <v>194</v>
      </c>
      <c r="Z47" s="846" t="s">
        <v>194</v>
      </c>
      <c r="AA47" s="846" t="s">
        <v>194</v>
      </c>
      <c r="AB47" s="846" t="s">
        <v>194</v>
      </c>
      <c r="AC47" s="846" t="s">
        <v>194</v>
      </c>
      <c r="AD47" s="846" t="s">
        <v>194</v>
      </c>
      <c r="AE47" s="846" t="s">
        <v>194</v>
      </c>
      <c r="AF47" s="846" t="s">
        <v>194</v>
      </c>
      <c r="AG47" s="846" t="s">
        <v>194</v>
      </c>
      <c r="AH47" s="846" t="s">
        <v>194</v>
      </c>
      <c r="AI47" s="846" t="s">
        <v>194</v>
      </c>
      <c r="AJ47" s="846" t="s">
        <v>194</v>
      </c>
      <c r="AK47" s="846" t="s">
        <v>194</v>
      </c>
      <c r="AL47" s="846" t="s">
        <v>194</v>
      </c>
      <c r="AM47" s="846" t="s">
        <v>194</v>
      </c>
      <c r="AN47" s="846" t="s">
        <v>194</v>
      </c>
    </row>
    <row r="48" ht="15.75" customHeight="1">
      <c r="A48" s="849">
        <v>1.0</v>
      </c>
      <c r="B48" s="15"/>
      <c r="C48" s="855" t="str">
        <f>"Diluted Weighted Average Shares Outstanding"</f>
        <v>Diluted Weighted Average Shares Outstanding</v>
      </c>
      <c r="D48" s="866">
        <f t="shared" si="1"/>
        <v>18527387</v>
      </c>
      <c r="E48" s="866">
        <f t="shared" si="2"/>
        <v>16556619.75</v>
      </c>
      <c r="F48" s="866">
        <f t="shared" si="3"/>
        <v>5285847</v>
      </c>
      <c r="G48" s="866">
        <f t="shared" si="4"/>
        <v>23885858</v>
      </c>
      <c r="H48" s="866">
        <f t="shared" si="5"/>
        <v>12142047</v>
      </c>
      <c r="I48" s="866">
        <f t="shared" si="6"/>
        <v>22941959.75</v>
      </c>
      <c r="J48" s="866">
        <f t="shared" si="7"/>
        <v>8604938.792</v>
      </c>
      <c r="K48" s="867">
        <f t="shared" si="8"/>
        <v>0.5197279953</v>
      </c>
      <c r="L48" s="866" t="s">
        <v>194</v>
      </c>
      <c r="M48" s="866">
        <v>2.3885858E7</v>
      </c>
      <c r="N48" s="866">
        <v>2.2627327E7</v>
      </c>
      <c r="O48" s="866">
        <v>5285847.0</v>
      </c>
      <c r="P48" s="866">
        <v>1.4427447E7</v>
      </c>
      <c r="Q48" s="866" t="s">
        <v>194</v>
      </c>
      <c r="R48" s="15"/>
      <c r="S48" s="851" t="s">
        <v>194</v>
      </c>
      <c r="T48" s="846" t="s">
        <v>194</v>
      </c>
      <c r="U48" s="846" t="s">
        <v>194</v>
      </c>
      <c r="V48" s="846" t="s">
        <v>194</v>
      </c>
      <c r="W48" s="846" t="s">
        <v>194</v>
      </c>
      <c r="X48" s="846" t="s">
        <v>194</v>
      </c>
      <c r="Y48" s="846" t="s">
        <v>194</v>
      </c>
      <c r="Z48" s="846" t="s">
        <v>194</v>
      </c>
      <c r="AA48" s="846" t="s">
        <v>194</v>
      </c>
      <c r="AB48" s="846" t="s">
        <v>194</v>
      </c>
      <c r="AC48" s="846" t="s">
        <v>194</v>
      </c>
      <c r="AD48" s="846" t="s">
        <v>194</v>
      </c>
      <c r="AE48" s="846" t="s">
        <v>194</v>
      </c>
      <c r="AF48" s="846" t="s">
        <v>194</v>
      </c>
      <c r="AG48" s="846" t="s">
        <v>194</v>
      </c>
      <c r="AH48" s="846" t="s">
        <v>194</v>
      </c>
      <c r="AI48" s="846" t="s">
        <v>194</v>
      </c>
      <c r="AJ48" s="846" t="s">
        <v>194</v>
      </c>
      <c r="AK48" s="846" t="s">
        <v>194</v>
      </c>
      <c r="AL48" s="846" t="s">
        <v>194</v>
      </c>
      <c r="AM48" s="846" t="s">
        <v>194</v>
      </c>
      <c r="AN48" s="846" t="s">
        <v>194</v>
      </c>
    </row>
    <row r="49" ht="15.75" customHeight="1">
      <c r="A49" s="849">
        <v>1.0</v>
      </c>
      <c r="B49" s="15"/>
      <c r="C49" s="855" t="str">
        <f>"Income Statement Supplemental Section"</f>
        <v>Income Statement Supplemental Section</v>
      </c>
      <c r="D49" s="867" t="s">
        <v>194</v>
      </c>
      <c r="E49" s="867" t="s">
        <v>194</v>
      </c>
      <c r="F49" s="867" t="s">
        <v>194</v>
      </c>
      <c r="G49" s="867" t="s">
        <v>194</v>
      </c>
      <c r="H49" s="867" t="s">
        <v>194</v>
      </c>
      <c r="I49" s="867" t="s">
        <v>194</v>
      </c>
      <c r="J49" s="867" t="s">
        <v>194</v>
      </c>
      <c r="K49" s="867" t="s">
        <v>194</v>
      </c>
      <c r="L49" s="867" t="s">
        <v>194</v>
      </c>
      <c r="M49" s="867" t="s">
        <v>194</v>
      </c>
      <c r="N49" s="867" t="s">
        <v>194</v>
      </c>
      <c r="O49" s="867" t="s">
        <v>194</v>
      </c>
      <c r="P49" s="867" t="s">
        <v>194</v>
      </c>
      <c r="Q49" s="867" t="s">
        <v>194</v>
      </c>
      <c r="R49" s="15"/>
      <c r="S49" s="851" t="s">
        <v>194</v>
      </c>
      <c r="T49" s="846" t="s">
        <v>194</v>
      </c>
      <c r="U49" s="846" t="s">
        <v>194</v>
      </c>
      <c r="V49" s="846" t="s">
        <v>194</v>
      </c>
      <c r="W49" s="846" t="s">
        <v>194</v>
      </c>
      <c r="X49" s="846" t="s">
        <v>194</v>
      </c>
      <c r="Y49" s="846" t="s">
        <v>194</v>
      </c>
      <c r="Z49" s="846" t="s">
        <v>194</v>
      </c>
      <c r="AA49" s="846" t="s">
        <v>194</v>
      </c>
      <c r="AB49" s="846" t="s">
        <v>194</v>
      </c>
      <c r="AC49" s="846" t="s">
        <v>194</v>
      </c>
      <c r="AD49" s="846" t="s">
        <v>194</v>
      </c>
      <c r="AE49" s="846" t="s">
        <v>194</v>
      </c>
      <c r="AF49" s="846" t="s">
        <v>194</v>
      </c>
      <c r="AG49" s="846" t="s">
        <v>194</v>
      </c>
      <c r="AH49" s="846" t="s">
        <v>194</v>
      </c>
      <c r="AI49" s="846" t="s">
        <v>194</v>
      </c>
      <c r="AJ49" s="846" t="s">
        <v>194</v>
      </c>
      <c r="AK49" s="846" t="s">
        <v>194</v>
      </c>
      <c r="AL49" s="846" t="s">
        <v>194</v>
      </c>
      <c r="AM49" s="846" t="s">
        <v>194</v>
      </c>
      <c r="AN49" s="846" t="s">
        <v>194</v>
      </c>
    </row>
    <row r="50" ht="15.75" customHeight="1" outlineLevel="1">
      <c r="A50" s="849">
        <v>1.0</v>
      </c>
      <c r="B50" s="15"/>
      <c r="C50" s="869" t="str">
        <f>"    Reported Normalized and Operating Income/Expense Supplemental Section"</f>
        <v>    Reported Normalized and Operating Income/Expense Supplemental Section</v>
      </c>
      <c r="D50" s="889" t="s">
        <v>194</v>
      </c>
      <c r="E50" s="889" t="s">
        <v>194</v>
      </c>
      <c r="F50" s="889" t="s">
        <v>194</v>
      </c>
      <c r="G50" s="889" t="s">
        <v>194</v>
      </c>
      <c r="H50" s="889" t="s">
        <v>194</v>
      </c>
      <c r="I50" s="889" t="s">
        <v>194</v>
      </c>
      <c r="J50" s="889" t="s">
        <v>194</v>
      </c>
      <c r="K50" s="889" t="s">
        <v>194</v>
      </c>
      <c r="L50" s="890" t="s">
        <v>194</v>
      </c>
      <c r="M50" s="890" t="s">
        <v>194</v>
      </c>
      <c r="N50" s="890" t="s">
        <v>194</v>
      </c>
      <c r="O50" s="890" t="s">
        <v>194</v>
      </c>
      <c r="P50" s="890" t="s">
        <v>194</v>
      </c>
      <c r="Q50" s="890" t="s">
        <v>194</v>
      </c>
      <c r="R50" s="15"/>
      <c r="S50" s="851" t="s">
        <v>194</v>
      </c>
      <c r="T50" s="846" t="s">
        <v>194</v>
      </c>
      <c r="U50" s="846" t="s">
        <v>194</v>
      </c>
      <c r="V50" s="846" t="s">
        <v>194</v>
      </c>
      <c r="W50" s="846" t="s">
        <v>194</v>
      </c>
      <c r="X50" s="846" t="s">
        <v>194</v>
      </c>
      <c r="Y50" s="846" t="s">
        <v>194</v>
      </c>
      <c r="Z50" s="846" t="s">
        <v>194</v>
      </c>
      <c r="AA50" s="846" t="s">
        <v>194</v>
      </c>
      <c r="AB50" s="846" t="s">
        <v>194</v>
      </c>
      <c r="AC50" s="846" t="s">
        <v>194</v>
      </c>
      <c r="AD50" s="846" t="s">
        <v>194</v>
      </c>
      <c r="AE50" s="846" t="s">
        <v>194</v>
      </c>
      <c r="AF50" s="846" t="s">
        <v>194</v>
      </c>
      <c r="AG50" s="846" t="s">
        <v>194</v>
      </c>
      <c r="AH50" s="846" t="s">
        <v>194</v>
      </c>
      <c r="AI50" s="846" t="s">
        <v>194</v>
      </c>
      <c r="AJ50" s="846" t="s">
        <v>194</v>
      </c>
      <c r="AK50" s="846" t="s">
        <v>194</v>
      </c>
      <c r="AL50" s="846" t="s">
        <v>194</v>
      </c>
      <c r="AM50" s="846" t="s">
        <v>194</v>
      </c>
      <c r="AN50" s="846" t="s">
        <v>194</v>
      </c>
    </row>
    <row r="51" ht="15.75" customHeight="1" outlineLevel="2">
      <c r="A51" s="849">
        <v>1.0</v>
      </c>
      <c r="B51" s="15"/>
      <c r="C51" s="869" t="str">
        <f>"        Reported Total Revenue"</f>
        <v>        Reported Total Revenue</v>
      </c>
      <c r="D51" s="870">
        <f t="shared" ref="D51:D53" si="14">IF(COUNT(M51:Q51)&gt;0,MEDIAN(M51:Q51),"")</f>
        <v>64072</v>
      </c>
      <c r="E51" s="870">
        <f t="shared" ref="E51:E53" si="15">IF(COUNT(M51:Q51)&gt;0,AVERAGE(M51:Q51),"")</f>
        <v>73552.6</v>
      </c>
      <c r="F51" s="870">
        <f t="shared" ref="F51:F53" si="16">IF(COUNT(M51:Q51)&gt;0,MIN(M51:Q51),"")</f>
        <v>21749</v>
      </c>
      <c r="G51" s="870">
        <f t="shared" ref="G51:G53" si="17">IF(COUNT(M51:Q51)&gt;0,MAX(M51:Q51),"")</f>
        <v>147293</v>
      </c>
      <c r="H51" s="870">
        <f t="shared" ref="H51:H53" si="18">IF(COUNT(M51:Q51)&gt;0,QUARTILE(M51:Q51,1),"")</f>
        <v>36140</v>
      </c>
      <c r="I51" s="870">
        <f t="shared" ref="I51:I53" si="19">IF(COUNT(M51:Q51)&gt;0,QUARTILE(M51:Q51,3),"")</f>
        <v>98509</v>
      </c>
      <c r="J51" s="870">
        <f t="shared" ref="J51:J53" si="20">IF(COUNT(M51:Q51)&gt;1,STDEV(M51:Q51),"")</f>
        <v>50580.79152</v>
      </c>
      <c r="K51" s="871">
        <f t="shared" ref="K51:K53" si="21">IF(COUNT(M51:Q51)&gt;1,STDEV(M51:Q51)/AVERAGE(M51:Q51),"")</f>
        <v>0.6876818972</v>
      </c>
      <c r="L51" s="872" t="s">
        <v>194</v>
      </c>
      <c r="M51" s="872">
        <v>147293.0</v>
      </c>
      <c r="N51" s="872">
        <v>98509.0</v>
      </c>
      <c r="O51" s="872">
        <v>64072.0</v>
      </c>
      <c r="P51" s="872">
        <v>36140.0</v>
      </c>
      <c r="Q51" s="872">
        <v>21749.0</v>
      </c>
      <c r="R51" s="15"/>
      <c r="S51" s="851" t="s">
        <v>194</v>
      </c>
      <c r="T51" s="846" t="s">
        <v>194</v>
      </c>
      <c r="U51" s="846" t="s">
        <v>194</v>
      </c>
      <c r="V51" s="846" t="s">
        <v>194</v>
      </c>
      <c r="W51" s="846" t="s">
        <v>194</v>
      </c>
      <c r="X51" s="846" t="s">
        <v>194</v>
      </c>
      <c r="Y51" s="846" t="s">
        <v>194</v>
      </c>
      <c r="Z51" s="846" t="s">
        <v>194</v>
      </c>
      <c r="AA51" s="846" t="s">
        <v>194</v>
      </c>
      <c r="AB51" s="846" t="s">
        <v>194</v>
      </c>
      <c r="AC51" s="846" t="s">
        <v>194</v>
      </c>
      <c r="AD51" s="846" t="s">
        <v>194</v>
      </c>
      <c r="AE51" s="846" t="s">
        <v>194</v>
      </c>
      <c r="AF51" s="846" t="s">
        <v>194</v>
      </c>
      <c r="AG51" s="846" t="s">
        <v>194</v>
      </c>
      <c r="AH51" s="846" t="s">
        <v>194</v>
      </c>
      <c r="AI51" s="846" t="s">
        <v>194</v>
      </c>
      <c r="AJ51" s="846" t="s">
        <v>194</v>
      </c>
      <c r="AK51" s="846" t="s">
        <v>194</v>
      </c>
      <c r="AL51" s="846" t="s">
        <v>194</v>
      </c>
      <c r="AM51" s="846" t="s">
        <v>194</v>
      </c>
      <c r="AN51" s="846" t="s">
        <v>194</v>
      </c>
    </row>
    <row r="52" ht="15.75" customHeight="1" outlineLevel="2">
      <c r="A52" s="849">
        <v>1.0</v>
      </c>
      <c r="B52" s="15"/>
      <c r="C52" s="869" t="str">
        <f>"        Reported Operating Expense"</f>
        <v>        Reported Operating Expense</v>
      </c>
      <c r="D52" s="870">
        <f t="shared" si="14"/>
        <v>-58771</v>
      </c>
      <c r="E52" s="870">
        <f t="shared" si="15"/>
        <v>-75633.8</v>
      </c>
      <c r="F52" s="870">
        <f t="shared" si="16"/>
        <v>-152332</v>
      </c>
      <c r="G52" s="870">
        <f t="shared" si="17"/>
        <v>-25923</v>
      </c>
      <c r="H52" s="870">
        <f t="shared" si="18"/>
        <v>-98072</v>
      </c>
      <c r="I52" s="870">
        <f t="shared" si="19"/>
        <v>-43071</v>
      </c>
      <c r="J52" s="870">
        <f t="shared" si="20"/>
        <v>50502.32744</v>
      </c>
      <c r="K52" s="871">
        <f t="shared" si="21"/>
        <v>-0.6677216726</v>
      </c>
      <c r="L52" s="872" t="s">
        <v>194</v>
      </c>
      <c r="M52" s="872">
        <v>-152332.0</v>
      </c>
      <c r="N52" s="872">
        <v>-98072.0</v>
      </c>
      <c r="O52" s="872">
        <v>-58771.0</v>
      </c>
      <c r="P52" s="872">
        <v>-43071.0</v>
      </c>
      <c r="Q52" s="872">
        <v>-25923.0</v>
      </c>
      <c r="R52" s="15"/>
      <c r="S52" s="851" t="s">
        <v>194</v>
      </c>
      <c r="T52" s="846" t="s">
        <v>194</v>
      </c>
      <c r="U52" s="846" t="s">
        <v>194</v>
      </c>
      <c r="V52" s="846" t="s">
        <v>194</v>
      </c>
      <c r="W52" s="846" t="s">
        <v>194</v>
      </c>
      <c r="X52" s="846" t="s">
        <v>194</v>
      </c>
      <c r="Y52" s="846" t="s">
        <v>194</v>
      </c>
      <c r="Z52" s="846" t="s">
        <v>194</v>
      </c>
      <c r="AA52" s="846" t="s">
        <v>194</v>
      </c>
      <c r="AB52" s="846" t="s">
        <v>194</v>
      </c>
      <c r="AC52" s="846" t="s">
        <v>194</v>
      </c>
      <c r="AD52" s="846" t="s">
        <v>194</v>
      </c>
      <c r="AE52" s="846" t="s">
        <v>194</v>
      </c>
      <c r="AF52" s="846" t="s">
        <v>194</v>
      </c>
      <c r="AG52" s="846" t="s">
        <v>194</v>
      </c>
      <c r="AH52" s="846" t="s">
        <v>194</v>
      </c>
      <c r="AI52" s="846" t="s">
        <v>194</v>
      </c>
      <c r="AJ52" s="846" t="s">
        <v>194</v>
      </c>
      <c r="AK52" s="846" t="s">
        <v>194</v>
      </c>
      <c r="AL52" s="846" t="s">
        <v>194</v>
      </c>
      <c r="AM52" s="846" t="s">
        <v>194</v>
      </c>
      <c r="AN52" s="846" t="s">
        <v>194</v>
      </c>
    </row>
    <row r="53" ht="15.75" customHeight="1" outlineLevel="2">
      <c r="A53" s="849">
        <v>1.0</v>
      </c>
      <c r="B53" s="15"/>
      <c r="C53" s="869" t="str">
        <f>"        Reported Total Operating Profit/Loss"</f>
        <v>        Reported Total Operating Profit/Loss</v>
      </c>
      <c r="D53" s="870">
        <f t="shared" si="14"/>
        <v>-21631</v>
      </c>
      <c r="E53" s="870">
        <f t="shared" si="15"/>
        <v>-24573.4</v>
      </c>
      <c r="F53" s="870">
        <f t="shared" si="16"/>
        <v>-43618</v>
      </c>
      <c r="G53" s="870">
        <f t="shared" si="17"/>
        <v>-14765</v>
      </c>
      <c r="H53" s="870">
        <f t="shared" si="18"/>
        <v>-27271</v>
      </c>
      <c r="I53" s="870">
        <f t="shared" si="19"/>
        <v>-15582</v>
      </c>
      <c r="J53" s="870">
        <f t="shared" si="20"/>
        <v>11786.44918</v>
      </c>
      <c r="K53" s="871">
        <f t="shared" si="21"/>
        <v>-0.4796425884</v>
      </c>
      <c r="L53" s="872" t="s">
        <v>194</v>
      </c>
      <c r="M53" s="872">
        <v>-43618.0</v>
      </c>
      <c r="N53" s="872">
        <v>-27271.0</v>
      </c>
      <c r="O53" s="872">
        <v>-15582.0</v>
      </c>
      <c r="P53" s="872">
        <v>-21631.0</v>
      </c>
      <c r="Q53" s="872">
        <v>-14765.0</v>
      </c>
      <c r="R53" s="15"/>
      <c r="S53" s="851" t="s">
        <v>194</v>
      </c>
      <c r="T53" s="846" t="s">
        <v>194</v>
      </c>
      <c r="U53" s="846" t="s">
        <v>194</v>
      </c>
      <c r="V53" s="846" t="s">
        <v>194</v>
      </c>
      <c r="W53" s="846" t="s">
        <v>194</v>
      </c>
      <c r="X53" s="846" t="s">
        <v>194</v>
      </c>
      <c r="Y53" s="846" t="s">
        <v>194</v>
      </c>
      <c r="Z53" s="846" t="s">
        <v>194</v>
      </c>
      <c r="AA53" s="846" t="s">
        <v>194</v>
      </c>
      <c r="AB53" s="846" t="s">
        <v>194</v>
      </c>
      <c r="AC53" s="846" t="s">
        <v>194</v>
      </c>
      <c r="AD53" s="846" t="s">
        <v>194</v>
      </c>
      <c r="AE53" s="846" t="s">
        <v>194</v>
      </c>
      <c r="AF53" s="846" t="s">
        <v>194</v>
      </c>
      <c r="AG53" s="846" t="s">
        <v>194</v>
      </c>
      <c r="AH53" s="846" t="s">
        <v>194</v>
      </c>
      <c r="AI53" s="846" t="s">
        <v>194</v>
      </c>
      <c r="AJ53" s="846" t="s">
        <v>194</v>
      </c>
      <c r="AK53" s="846" t="s">
        <v>194</v>
      </c>
      <c r="AL53" s="846" t="s">
        <v>194</v>
      </c>
      <c r="AM53" s="846" t="s">
        <v>194</v>
      </c>
      <c r="AN53" s="846" t="s">
        <v>194</v>
      </c>
    </row>
    <row r="54" ht="15.75" customHeight="1">
      <c r="A54" s="849">
        <v>1.0</v>
      </c>
      <c r="B54" s="15"/>
      <c r="C54" s="855" t="str">
        <f>"Profitability Metrics"</f>
        <v>Profitability Metrics</v>
      </c>
      <c r="D54" s="867" t="s">
        <v>194</v>
      </c>
      <c r="E54" s="867" t="s">
        <v>194</v>
      </c>
      <c r="F54" s="867" t="s">
        <v>194</v>
      </c>
      <c r="G54" s="867" t="s">
        <v>194</v>
      </c>
      <c r="H54" s="867" t="s">
        <v>194</v>
      </c>
      <c r="I54" s="867" t="s">
        <v>194</v>
      </c>
      <c r="J54" s="867" t="s">
        <v>194</v>
      </c>
      <c r="K54" s="867" t="s">
        <v>194</v>
      </c>
      <c r="L54" s="867" t="s">
        <v>194</v>
      </c>
      <c r="M54" s="867" t="s">
        <v>194</v>
      </c>
      <c r="N54" s="867" t="s">
        <v>194</v>
      </c>
      <c r="O54" s="867" t="s">
        <v>194</v>
      </c>
      <c r="P54" s="867" t="s">
        <v>194</v>
      </c>
      <c r="Q54" s="867" t="s">
        <v>194</v>
      </c>
      <c r="R54" s="15"/>
      <c r="S54" s="851" t="s">
        <v>194</v>
      </c>
      <c r="T54" s="846" t="s">
        <v>194</v>
      </c>
      <c r="U54" s="846" t="s">
        <v>194</v>
      </c>
      <c r="V54" s="846" t="s">
        <v>194</v>
      </c>
      <c r="W54" s="846" t="s">
        <v>194</v>
      </c>
      <c r="X54" s="846" t="s">
        <v>194</v>
      </c>
      <c r="Y54" s="846" t="s">
        <v>194</v>
      </c>
      <c r="Z54" s="846" t="s">
        <v>194</v>
      </c>
      <c r="AA54" s="846" t="s">
        <v>194</v>
      </c>
      <c r="AB54" s="846" t="s">
        <v>194</v>
      </c>
      <c r="AC54" s="846" t="s">
        <v>194</v>
      </c>
      <c r="AD54" s="846" t="s">
        <v>194</v>
      </c>
      <c r="AE54" s="846" t="s">
        <v>194</v>
      </c>
      <c r="AF54" s="846" t="s">
        <v>194</v>
      </c>
      <c r="AG54" s="846" t="s">
        <v>194</v>
      </c>
      <c r="AH54" s="846" t="s">
        <v>194</v>
      </c>
      <c r="AI54" s="846" t="s">
        <v>194</v>
      </c>
      <c r="AJ54" s="846" t="s">
        <v>194</v>
      </c>
      <c r="AK54" s="846" t="s">
        <v>194</v>
      </c>
      <c r="AL54" s="846" t="s">
        <v>194</v>
      </c>
      <c r="AM54" s="846" t="s">
        <v>194</v>
      </c>
      <c r="AN54" s="846" t="s">
        <v>194</v>
      </c>
    </row>
    <row r="55" ht="15.75" customHeight="1" outlineLevel="1">
      <c r="A55" s="849">
        <v>1.0</v>
      </c>
      <c r="B55" s="15"/>
      <c r="C55" s="869" t="str">
        <f>"    Earnings Before Interest, Tax, Depreciation, &amp; Amortization (EBITDA)"</f>
        <v>    Earnings Before Interest, Tax, Depreciation, &amp; Amortization (EBITDA)</v>
      </c>
      <c r="D55" s="870">
        <f t="shared" ref="D55:D71" si="22">IF(COUNT(M55:Q55)&gt;0,MEDIAN(M55:Q55),"")</f>
        <v>-21248</v>
      </c>
      <c r="E55" s="870">
        <f t="shared" ref="E55:E71" si="23">IF(COUNT(M55:Q55)&gt;0,AVERAGE(M55:Q55),"")</f>
        <v>-24088</v>
      </c>
      <c r="F55" s="870">
        <f t="shared" ref="F55:F71" si="24">IF(COUNT(M55:Q55)&gt;0,MIN(M55:Q55),"")</f>
        <v>-42852</v>
      </c>
      <c r="G55" s="870">
        <f t="shared" ref="G55:G71" si="25">IF(COUNT(M55:Q55)&gt;0,MAX(M55:Q55),"")</f>
        <v>-14816</v>
      </c>
      <c r="H55" s="870">
        <f t="shared" ref="H55:H71" si="26">IF(COUNT(M55:Q55)&gt;0,QUARTILE(M55:Q55,1),"")</f>
        <v>-24437</v>
      </c>
      <c r="I55" s="870">
        <f t="shared" ref="I55:I71" si="27">IF(COUNT(M55:Q55)&gt;0,QUARTILE(M55:Q55,3),"")</f>
        <v>-17087</v>
      </c>
      <c r="J55" s="870">
        <f t="shared" ref="J55:J71" si="28">IF(COUNT(M55:Q55)&gt;1,STDEV(M55:Q55),"")</f>
        <v>11127.20857</v>
      </c>
      <c r="K55" s="871">
        <f t="shared" ref="K55:K71" si="29">IF(COUNT(M55:Q55)&gt;1,STDEV(M55:Q55)/AVERAGE(M55:Q55),"")</f>
        <v>-0.4619399106</v>
      </c>
      <c r="L55" s="872" t="s">
        <v>194</v>
      </c>
      <c r="M55" s="872">
        <v>-42852.0</v>
      </c>
      <c r="N55" s="872">
        <v>-24437.0</v>
      </c>
      <c r="O55" s="872">
        <v>-17087.0</v>
      </c>
      <c r="P55" s="872">
        <v>-21248.0</v>
      </c>
      <c r="Q55" s="872">
        <v>-14816.0</v>
      </c>
      <c r="R55" s="15"/>
      <c r="S55" s="851" t="s">
        <v>194</v>
      </c>
      <c r="T55" s="846" t="s">
        <v>194</v>
      </c>
      <c r="U55" s="846" t="s">
        <v>194</v>
      </c>
      <c r="V55" s="846" t="s">
        <v>194</v>
      </c>
      <c r="W55" s="846" t="s">
        <v>194</v>
      </c>
      <c r="X55" s="846" t="s">
        <v>194</v>
      </c>
      <c r="Y55" s="846" t="s">
        <v>194</v>
      </c>
      <c r="Z55" s="846" t="s">
        <v>194</v>
      </c>
      <c r="AA55" s="846" t="s">
        <v>194</v>
      </c>
      <c r="AB55" s="846" t="s">
        <v>194</v>
      </c>
      <c r="AC55" s="846" t="s">
        <v>194</v>
      </c>
      <c r="AD55" s="846" t="s">
        <v>194</v>
      </c>
      <c r="AE55" s="846" t="s">
        <v>194</v>
      </c>
      <c r="AF55" s="846" t="s">
        <v>194</v>
      </c>
      <c r="AG55" s="846" t="s">
        <v>194</v>
      </c>
      <c r="AH55" s="846" t="s">
        <v>194</v>
      </c>
      <c r="AI55" s="846" t="s">
        <v>194</v>
      </c>
      <c r="AJ55" s="846" t="s">
        <v>194</v>
      </c>
      <c r="AK55" s="846" t="s">
        <v>194</v>
      </c>
      <c r="AL55" s="846" t="s">
        <v>194</v>
      </c>
      <c r="AM55" s="846" t="s">
        <v>194</v>
      </c>
      <c r="AN55" s="846" t="s">
        <v>194</v>
      </c>
    </row>
    <row r="56" ht="15.75" customHeight="1" outlineLevel="1">
      <c r="A56" s="849">
        <v>1.0</v>
      </c>
      <c r="B56" s="15"/>
      <c r="C56" s="869" t="str">
        <f>"    Normalized EBITDA"</f>
        <v>    Normalized EBITDA</v>
      </c>
      <c r="D56" s="870">
        <f t="shared" si="22"/>
        <v>-21238</v>
      </c>
      <c r="E56" s="870">
        <f t="shared" si="23"/>
        <v>-23462</v>
      </c>
      <c r="F56" s="870">
        <f t="shared" si="24"/>
        <v>-39748</v>
      </c>
      <c r="G56" s="870">
        <f t="shared" si="25"/>
        <v>-14809</v>
      </c>
      <c r="H56" s="870">
        <f t="shared" si="26"/>
        <v>-24428</v>
      </c>
      <c r="I56" s="870">
        <f t="shared" si="27"/>
        <v>-17087</v>
      </c>
      <c r="J56" s="870">
        <f t="shared" si="28"/>
        <v>9831.431254</v>
      </c>
      <c r="K56" s="871">
        <f t="shared" si="29"/>
        <v>-0.4190363675</v>
      </c>
      <c r="L56" s="872" t="s">
        <v>194</v>
      </c>
      <c r="M56" s="872">
        <v>-39748.0</v>
      </c>
      <c r="N56" s="872">
        <v>-24428.0</v>
      </c>
      <c r="O56" s="872">
        <v>-17087.0</v>
      </c>
      <c r="P56" s="872">
        <v>-21238.0</v>
      </c>
      <c r="Q56" s="872">
        <v>-14809.0</v>
      </c>
      <c r="R56" s="15"/>
      <c r="S56" s="851" t="s">
        <v>194</v>
      </c>
      <c r="T56" s="846" t="s">
        <v>194</v>
      </c>
      <c r="U56" s="846" t="s">
        <v>194</v>
      </c>
      <c r="V56" s="846" t="s">
        <v>194</v>
      </c>
      <c r="W56" s="846" t="s">
        <v>194</v>
      </c>
      <c r="X56" s="846" t="s">
        <v>194</v>
      </c>
      <c r="Y56" s="846" t="s">
        <v>194</v>
      </c>
      <c r="Z56" s="846" t="s">
        <v>194</v>
      </c>
      <c r="AA56" s="846" t="s">
        <v>194</v>
      </c>
      <c r="AB56" s="846" t="s">
        <v>194</v>
      </c>
      <c r="AC56" s="846" t="s">
        <v>194</v>
      </c>
      <c r="AD56" s="846" t="s">
        <v>194</v>
      </c>
      <c r="AE56" s="846" t="s">
        <v>194</v>
      </c>
      <c r="AF56" s="846" t="s">
        <v>194</v>
      </c>
      <c r="AG56" s="846" t="s">
        <v>194</v>
      </c>
      <c r="AH56" s="846" t="s">
        <v>194</v>
      </c>
      <c r="AI56" s="846" t="s">
        <v>194</v>
      </c>
      <c r="AJ56" s="846" t="s">
        <v>194</v>
      </c>
      <c r="AK56" s="846" t="s">
        <v>194</v>
      </c>
      <c r="AL56" s="846" t="s">
        <v>194</v>
      </c>
      <c r="AM56" s="846" t="s">
        <v>194</v>
      </c>
      <c r="AN56" s="846" t="s">
        <v>194</v>
      </c>
    </row>
    <row r="57" ht="15.75" customHeight="1" outlineLevel="1">
      <c r="A57" s="849">
        <v>1.0</v>
      </c>
      <c r="B57" s="15"/>
      <c r="C57" s="869" t="str">
        <f>"    Earnings Before Interest, Tax and Amortization (EBITA)"</f>
        <v>    Earnings Before Interest, Tax and Amortization (EBITA)</v>
      </c>
      <c r="D57" s="870">
        <f t="shared" si="22"/>
        <v>-21248</v>
      </c>
      <c r="E57" s="870">
        <f t="shared" si="23"/>
        <v>-24088</v>
      </c>
      <c r="F57" s="870">
        <f t="shared" si="24"/>
        <v>-42852</v>
      </c>
      <c r="G57" s="870">
        <f t="shared" si="25"/>
        <v>-14816</v>
      </c>
      <c r="H57" s="870">
        <f t="shared" si="26"/>
        <v>-24437</v>
      </c>
      <c r="I57" s="870">
        <f t="shared" si="27"/>
        <v>-17087</v>
      </c>
      <c r="J57" s="870">
        <f t="shared" si="28"/>
        <v>11127.20857</v>
      </c>
      <c r="K57" s="871">
        <f t="shared" si="29"/>
        <v>-0.4619399106</v>
      </c>
      <c r="L57" s="872" t="s">
        <v>194</v>
      </c>
      <c r="M57" s="872">
        <v>-42852.0</v>
      </c>
      <c r="N57" s="872">
        <v>-24437.0</v>
      </c>
      <c r="O57" s="872">
        <v>-17087.0</v>
      </c>
      <c r="P57" s="872">
        <v>-21248.0</v>
      </c>
      <c r="Q57" s="872">
        <v>-14816.0</v>
      </c>
      <c r="R57" s="15"/>
      <c r="S57" s="851" t="s">
        <v>194</v>
      </c>
      <c r="T57" s="846" t="s">
        <v>194</v>
      </c>
      <c r="U57" s="846" t="s">
        <v>194</v>
      </c>
      <c r="V57" s="846" t="s">
        <v>194</v>
      </c>
      <c r="W57" s="846" t="s">
        <v>194</v>
      </c>
      <c r="X57" s="846" t="s">
        <v>194</v>
      </c>
      <c r="Y57" s="846" t="s">
        <v>194</v>
      </c>
      <c r="Z57" s="846" t="s">
        <v>194</v>
      </c>
      <c r="AA57" s="846" t="s">
        <v>194</v>
      </c>
      <c r="AB57" s="846" t="s">
        <v>194</v>
      </c>
      <c r="AC57" s="846" t="s">
        <v>194</v>
      </c>
      <c r="AD57" s="846" t="s">
        <v>194</v>
      </c>
      <c r="AE57" s="846" t="s">
        <v>194</v>
      </c>
      <c r="AF57" s="846" t="s">
        <v>194</v>
      </c>
      <c r="AG57" s="846" t="s">
        <v>194</v>
      </c>
      <c r="AH57" s="846" t="s">
        <v>194</v>
      </c>
      <c r="AI57" s="846" t="s">
        <v>194</v>
      </c>
      <c r="AJ57" s="846" t="s">
        <v>194</v>
      </c>
      <c r="AK57" s="846" t="s">
        <v>194</v>
      </c>
      <c r="AL57" s="846" t="s">
        <v>194</v>
      </c>
      <c r="AM57" s="846" t="s">
        <v>194</v>
      </c>
      <c r="AN57" s="846" t="s">
        <v>194</v>
      </c>
    </row>
    <row r="58" ht="15.75" customHeight="1" outlineLevel="1">
      <c r="A58" s="849">
        <v>1.0</v>
      </c>
      <c r="B58" s="15"/>
      <c r="C58" s="869" t="str">
        <f>"    Earnings Before Interest and Tax (EBIT)"</f>
        <v>    Earnings Before Interest and Tax (EBIT)</v>
      </c>
      <c r="D58" s="870">
        <f t="shared" si="22"/>
        <v>-21740</v>
      </c>
      <c r="E58" s="870">
        <f t="shared" si="23"/>
        <v>-25121.6</v>
      </c>
      <c r="F58" s="870">
        <f t="shared" si="24"/>
        <v>-45121</v>
      </c>
      <c r="G58" s="870">
        <f t="shared" si="25"/>
        <v>-15058</v>
      </c>
      <c r="H58" s="870">
        <f t="shared" si="26"/>
        <v>-26034</v>
      </c>
      <c r="I58" s="870">
        <f t="shared" si="27"/>
        <v>-17655</v>
      </c>
      <c r="J58" s="870">
        <f t="shared" si="28"/>
        <v>11929.68832</v>
      </c>
      <c r="K58" s="871">
        <f t="shared" si="29"/>
        <v>-0.4748777273</v>
      </c>
      <c r="L58" s="872" t="s">
        <v>194</v>
      </c>
      <c r="M58" s="872">
        <v>-45121.0</v>
      </c>
      <c r="N58" s="872">
        <v>-26034.0</v>
      </c>
      <c r="O58" s="872">
        <v>-17655.0</v>
      </c>
      <c r="P58" s="872">
        <v>-21740.0</v>
      </c>
      <c r="Q58" s="872">
        <v>-15058.0</v>
      </c>
      <c r="R58" s="15"/>
      <c r="S58" s="851" t="s">
        <v>194</v>
      </c>
      <c r="T58" s="846" t="s">
        <v>194</v>
      </c>
      <c r="U58" s="846" t="s">
        <v>194</v>
      </c>
      <c r="V58" s="846" t="s">
        <v>194</v>
      </c>
      <c r="W58" s="846" t="s">
        <v>194</v>
      </c>
      <c r="X58" s="846" t="s">
        <v>194</v>
      </c>
      <c r="Y58" s="846" t="s">
        <v>194</v>
      </c>
      <c r="Z58" s="846" t="s">
        <v>194</v>
      </c>
      <c r="AA58" s="846" t="s">
        <v>194</v>
      </c>
      <c r="AB58" s="846" t="s">
        <v>194</v>
      </c>
      <c r="AC58" s="846" t="s">
        <v>194</v>
      </c>
      <c r="AD58" s="846" t="s">
        <v>194</v>
      </c>
      <c r="AE58" s="846" t="s">
        <v>194</v>
      </c>
      <c r="AF58" s="846" t="s">
        <v>194</v>
      </c>
      <c r="AG58" s="846" t="s">
        <v>194</v>
      </c>
      <c r="AH58" s="846" t="s">
        <v>194</v>
      </c>
      <c r="AI58" s="846" t="s">
        <v>194</v>
      </c>
      <c r="AJ58" s="846" t="s">
        <v>194</v>
      </c>
      <c r="AK58" s="846" t="s">
        <v>194</v>
      </c>
      <c r="AL58" s="846" t="s">
        <v>194</v>
      </c>
      <c r="AM58" s="846" t="s">
        <v>194</v>
      </c>
      <c r="AN58" s="846" t="s">
        <v>194</v>
      </c>
    </row>
    <row r="59" ht="15.75" customHeight="1" outlineLevel="1">
      <c r="A59" s="849">
        <v>1.0</v>
      </c>
      <c r="B59" s="15"/>
      <c r="C59" s="869" t="str">
        <f>"    Normalized EBIT"</f>
        <v>    Normalized EBIT</v>
      </c>
      <c r="D59" s="870">
        <f t="shared" si="22"/>
        <v>-21730</v>
      </c>
      <c r="E59" s="870">
        <f t="shared" si="23"/>
        <v>-24495.6</v>
      </c>
      <c r="F59" s="870">
        <f t="shared" si="24"/>
        <v>-42017</v>
      </c>
      <c r="G59" s="870">
        <f t="shared" si="25"/>
        <v>-15051</v>
      </c>
      <c r="H59" s="870">
        <f t="shared" si="26"/>
        <v>-26025</v>
      </c>
      <c r="I59" s="870">
        <f t="shared" si="27"/>
        <v>-17655</v>
      </c>
      <c r="J59" s="870">
        <f t="shared" si="28"/>
        <v>10641.67918</v>
      </c>
      <c r="K59" s="871">
        <f t="shared" si="29"/>
        <v>-0.4344322728</v>
      </c>
      <c r="L59" s="872" t="s">
        <v>194</v>
      </c>
      <c r="M59" s="872">
        <v>-42017.0</v>
      </c>
      <c r="N59" s="872">
        <v>-26025.0</v>
      </c>
      <c r="O59" s="872">
        <v>-17655.0</v>
      </c>
      <c r="P59" s="872">
        <v>-21730.0</v>
      </c>
      <c r="Q59" s="872">
        <v>-15051.0</v>
      </c>
      <c r="R59" s="15"/>
      <c r="S59" s="851" t="s">
        <v>194</v>
      </c>
      <c r="T59" s="846" t="s">
        <v>194</v>
      </c>
      <c r="U59" s="846" t="s">
        <v>194</v>
      </c>
      <c r="V59" s="846" t="s">
        <v>194</v>
      </c>
      <c r="W59" s="846" t="s">
        <v>194</v>
      </c>
      <c r="X59" s="846" t="s">
        <v>194</v>
      </c>
      <c r="Y59" s="846" t="s">
        <v>194</v>
      </c>
      <c r="Z59" s="846" t="s">
        <v>194</v>
      </c>
      <c r="AA59" s="846" t="s">
        <v>194</v>
      </c>
      <c r="AB59" s="846" t="s">
        <v>194</v>
      </c>
      <c r="AC59" s="846" t="s">
        <v>194</v>
      </c>
      <c r="AD59" s="846" t="s">
        <v>194</v>
      </c>
      <c r="AE59" s="846" t="s">
        <v>194</v>
      </c>
      <c r="AF59" s="846" t="s">
        <v>194</v>
      </c>
      <c r="AG59" s="846" t="s">
        <v>194</v>
      </c>
      <c r="AH59" s="846" t="s">
        <v>194</v>
      </c>
      <c r="AI59" s="846" t="s">
        <v>194</v>
      </c>
      <c r="AJ59" s="846" t="s">
        <v>194</v>
      </c>
      <c r="AK59" s="846" t="s">
        <v>194</v>
      </c>
      <c r="AL59" s="846" t="s">
        <v>194</v>
      </c>
      <c r="AM59" s="846" t="s">
        <v>194</v>
      </c>
      <c r="AN59" s="846" t="s">
        <v>194</v>
      </c>
    </row>
    <row r="60" ht="15.75" customHeight="1" outlineLevel="1">
      <c r="A60" s="849">
        <v>1.0</v>
      </c>
      <c r="B60" s="15"/>
      <c r="C60" s="869" t="str">
        <f>"    Earnings Before Interest, Tax, Depreciation, Amortization and Rent Expenses (EBITDAR)"</f>
        <v>    Earnings Before Interest, Tax, Depreciation, Amortization and Rent Expenses (EBITDAR)</v>
      </c>
      <c r="D60" s="870">
        <f t="shared" si="22"/>
        <v>-21248</v>
      </c>
      <c r="E60" s="870">
        <f t="shared" si="23"/>
        <v>-24088</v>
      </c>
      <c r="F60" s="870">
        <f t="shared" si="24"/>
        <v>-42852</v>
      </c>
      <c r="G60" s="870">
        <f t="shared" si="25"/>
        <v>-14816</v>
      </c>
      <c r="H60" s="870">
        <f t="shared" si="26"/>
        <v>-24437</v>
      </c>
      <c r="I60" s="870">
        <f t="shared" si="27"/>
        <v>-17087</v>
      </c>
      <c r="J60" s="870">
        <f t="shared" si="28"/>
        <v>11127.20857</v>
      </c>
      <c r="K60" s="871">
        <f t="shared" si="29"/>
        <v>-0.4619399106</v>
      </c>
      <c r="L60" s="872" t="s">
        <v>194</v>
      </c>
      <c r="M60" s="872">
        <v>-42852.0</v>
      </c>
      <c r="N60" s="872">
        <v>-24437.0</v>
      </c>
      <c r="O60" s="872">
        <v>-17087.0</v>
      </c>
      <c r="P60" s="872">
        <v>-21248.0</v>
      </c>
      <c r="Q60" s="872">
        <v>-14816.0</v>
      </c>
      <c r="R60" s="15"/>
      <c r="S60" s="851" t="s">
        <v>194</v>
      </c>
      <c r="T60" s="846" t="s">
        <v>194</v>
      </c>
      <c r="U60" s="846" t="s">
        <v>194</v>
      </c>
      <c r="V60" s="846" t="s">
        <v>194</v>
      </c>
      <c r="W60" s="846" t="s">
        <v>194</v>
      </c>
      <c r="X60" s="846" t="s">
        <v>194</v>
      </c>
      <c r="Y60" s="846" t="s">
        <v>194</v>
      </c>
      <c r="Z60" s="846" t="s">
        <v>194</v>
      </c>
      <c r="AA60" s="846" t="s">
        <v>194</v>
      </c>
      <c r="AB60" s="846" t="s">
        <v>194</v>
      </c>
      <c r="AC60" s="846" t="s">
        <v>194</v>
      </c>
      <c r="AD60" s="846" t="s">
        <v>194</v>
      </c>
      <c r="AE60" s="846" t="s">
        <v>194</v>
      </c>
      <c r="AF60" s="846" t="s">
        <v>194</v>
      </c>
      <c r="AG60" s="846" t="s">
        <v>194</v>
      </c>
      <c r="AH60" s="846" t="s">
        <v>194</v>
      </c>
      <c r="AI60" s="846" t="s">
        <v>194</v>
      </c>
      <c r="AJ60" s="846" t="s">
        <v>194</v>
      </c>
      <c r="AK60" s="846" t="s">
        <v>194</v>
      </c>
      <c r="AL60" s="846" t="s">
        <v>194</v>
      </c>
      <c r="AM60" s="846" t="s">
        <v>194</v>
      </c>
      <c r="AN60" s="846" t="s">
        <v>194</v>
      </c>
    </row>
    <row r="61" ht="15.75" customHeight="1" outlineLevel="1">
      <c r="A61" s="849">
        <v>1.0</v>
      </c>
      <c r="B61" s="15"/>
      <c r="C61" s="869" t="str">
        <f>"    Normalized EBITDAR"</f>
        <v>    Normalized EBITDAR</v>
      </c>
      <c r="D61" s="870">
        <f t="shared" si="22"/>
        <v>-21238</v>
      </c>
      <c r="E61" s="870">
        <f t="shared" si="23"/>
        <v>-23462</v>
      </c>
      <c r="F61" s="870">
        <f t="shared" si="24"/>
        <v>-39748</v>
      </c>
      <c r="G61" s="870">
        <f t="shared" si="25"/>
        <v>-14809</v>
      </c>
      <c r="H61" s="870">
        <f t="shared" si="26"/>
        <v>-24428</v>
      </c>
      <c r="I61" s="870">
        <f t="shared" si="27"/>
        <v>-17087</v>
      </c>
      <c r="J61" s="870">
        <f t="shared" si="28"/>
        <v>9831.431254</v>
      </c>
      <c r="K61" s="871">
        <f t="shared" si="29"/>
        <v>-0.4190363675</v>
      </c>
      <c r="L61" s="872" t="s">
        <v>194</v>
      </c>
      <c r="M61" s="872">
        <v>-39748.0</v>
      </c>
      <c r="N61" s="872">
        <v>-24428.0</v>
      </c>
      <c r="O61" s="872">
        <v>-17087.0</v>
      </c>
      <c r="P61" s="872">
        <v>-21238.0</v>
      </c>
      <c r="Q61" s="872">
        <v>-14809.0</v>
      </c>
      <c r="R61" s="15"/>
      <c r="S61" s="851" t="s">
        <v>194</v>
      </c>
      <c r="T61" s="846" t="s">
        <v>194</v>
      </c>
      <c r="U61" s="846" t="s">
        <v>194</v>
      </c>
      <c r="V61" s="846" t="s">
        <v>194</v>
      </c>
      <c r="W61" s="846" t="s">
        <v>194</v>
      </c>
      <c r="X61" s="846" t="s">
        <v>194</v>
      </c>
      <c r="Y61" s="846" t="s">
        <v>194</v>
      </c>
      <c r="Z61" s="846" t="s">
        <v>194</v>
      </c>
      <c r="AA61" s="846" t="s">
        <v>194</v>
      </c>
      <c r="AB61" s="846" t="s">
        <v>194</v>
      </c>
      <c r="AC61" s="846" t="s">
        <v>194</v>
      </c>
      <c r="AD61" s="846" t="s">
        <v>194</v>
      </c>
      <c r="AE61" s="846" t="s">
        <v>194</v>
      </c>
      <c r="AF61" s="846" t="s">
        <v>194</v>
      </c>
      <c r="AG61" s="846" t="s">
        <v>194</v>
      </c>
      <c r="AH61" s="846" t="s">
        <v>194</v>
      </c>
      <c r="AI61" s="846" t="s">
        <v>194</v>
      </c>
      <c r="AJ61" s="846" t="s">
        <v>194</v>
      </c>
      <c r="AK61" s="846" t="s">
        <v>194</v>
      </c>
      <c r="AL61" s="846" t="s">
        <v>194</v>
      </c>
      <c r="AM61" s="846" t="s">
        <v>194</v>
      </c>
      <c r="AN61" s="846" t="s">
        <v>194</v>
      </c>
    </row>
    <row r="62" ht="15.75" customHeight="1" outlineLevel="1">
      <c r="A62" s="849">
        <v>1.0</v>
      </c>
      <c r="B62" s="15"/>
      <c r="C62" s="869" t="str">
        <f>"    Normalized Basic EPS"</f>
        <v>    Normalized Basic EPS</v>
      </c>
      <c r="D62" s="871">
        <f t="shared" si="22"/>
        <v>-1.747221188</v>
      </c>
      <c r="E62" s="871">
        <f t="shared" si="23"/>
        <v>-2.186011157</v>
      </c>
      <c r="F62" s="871">
        <f t="shared" si="24"/>
        <v>-3.95</v>
      </c>
      <c r="G62" s="871">
        <f t="shared" si="25"/>
        <v>-1.299602251</v>
      </c>
      <c r="H62" s="871">
        <f t="shared" si="26"/>
        <v>-2.431351624</v>
      </c>
      <c r="I62" s="871">
        <f t="shared" si="27"/>
        <v>-1.50188072</v>
      </c>
      <c r="J62" s="871">
        <f t="shared" si="28"/>
        <v>1.203572137</v>
      </c>
      <c r="K62" s="871">
        <f t="shared" si="29"/>
        <v>-0.5505791373</v>
      </c>
      <c r="L62" s="928" t="s">
        <v>194</v>
      </c>
      <c r="M62" s="928">
        <v>-1.9251354990053111</v>
      </c>
      <c r="N62" s="928">
        <v>-1.2996022508535807</v>
      </c>
      <c r="O62" s="928">
        <v>-3.95</v>
      </c>
      <c r="P62" s="928">
        <v>-1.5693068766774885</v>
      </c>
      <c r="Q62" s="928" t="s">
        <v>194</v>
      </c>
      <c r="R62" s="15"/>
      <c r="S62" s="851" t="s">
        <v>194</v>
      </c>
      <c r="T62" s="846" t="s">
        <v>194</v>
      </c>
      <c r="U62" s="846" t="s">
        <v>194</v>
      </c>
      <c r="V62" s="846" t="s">
        <v>194</v>
      </c>
      <c r="W62" s="846" t="s">
        <v>194</v>
      </c>
      <c r="X62" s="846" t="s">
        <v>194</v>
      </c>
      <c r="Y62" s="846" t="s">
        <v>194</v>
      </c>
      <c r="Z62" s="846" t="s">
        <v>194</v>
      </c>
      <c r="AA62" s="846" t="s">
        <v>194</v>
      </c>
      <c r="AB62" s="846" t="s">
        <v>194</v>
      </c>
      <c r="AC62" s="846" t="s">
        <v>194</v>
      </c>
      <c r="AD62" s="846" t="s">
        <v>194</v>
      </c>
      <c r="AE62" s="846" t="s">
        <v>194</v>
      </c>
      <c r="AF62" s="846" t="s">
        <v>194</v>
      </c>
      <c r="AG62" s="846" t="s">
        <v>194</v>
      </c>
      <c r="AH62" s="846" t="s">
        <v>194</v>
      </c>
      <c r="AI62" s="846" t="s">
        <v>194</v>
      </c>
      <c r="AJ62" s="846" t="s">
        <v>194</v>
      </c>
      <c r="AK62" s="846" t="s">
        <v>194</v>
      </c>
      <c r="AL62" s="846" t="s">
        <v>194</v>
      </c>
      <c r="AM62" s="846" t="s">
        <v>194</v>
      </c>
      <c r="AN62" s="846" t="s">
        <v>194</v>
      </c>
    </row>
    <row r="63" ht="15.75" customHeight="1" outlineLevel="1">
      <c r="A63" s="849">
        <v>1.0</v>
      </c>
      <c r="B63" s="15"/>
      <c r="C63" s="869" t="str">
        <f>"    Recommended Normalized Basic EPS"</f>
        <v>    Recommended Normalized Basic EPS</v>
      </c>
      <c r="D63" s="871">
        <f t="shared" si="22"/>
        <v>-1.747221188</v>
      </c>
      <c r="E63" s="871">
        <f t="shared" si="23"/>
        <v>-2.186011157</v>
      </c>
      <c r="F63" s="871">
        <f t="shared" si="24"/>
        <v>-3.95</v>
      </c>
      <c r="G63" s="871">
        <f t="shared" si="25"/>
        <v>-1.299602251</v>
      </c>
      <c r="H63" s="871">
        <f t="shared" si="26"/>
        <v>-2.431351624</v>
      </c>
      <c r="I63" s="871">
        <f t="shared" si="27"/>
        <v>-1.50188072</v>
      </c>
      <c r="J63" s="871">
        <f t="shared" si="28"/>
        <v>1.203572137</v>
      </c>
      <c r="K63" s="871">
        <f t="shared" si="29"/>
        <v>-0.5505791373</v>
      </c>
      <c r="L63" s="928" t="s">
        <v>194</v>
      </c>
      <c r="M63" s="928">
        <v>-1.9251354990053111</v>
      </c>
      <c r="N63" s="928">
        <v>-1.2996022508535807</v>
      </c>
      <c r="O63" s="928">
        <v>-3.95</v>
      </c>
      <c r="P63" s="928">
        <v>-1.5693068766774885</v>
      </c>
      <c r="Q63" s="928" t="s">
        <v>194</v>
      </c>
      <c r="R63" s="15"/>
      <c r="S63" s="851" t="s">
        <v>194</v>
      </c>
      <c r="T63" s="846" t="s">
        <v>194</v>
      </c>
      <c r="U63" s="846" t="s">
        <v>194</v>
      </c>
      <c r="V63" s="846" t="s">
        <v>194</v>
      </c>
      <c r="W63" s="846" t="s">
        <v>194</v>
      </c>
      <c r="X63" s="846" t="s">
        <v>194</v>
      </c>
      <c r="Y63" s="846" t="s">
        <v>194</v>
      </c>
      <c r="Z63" s="846" t="s">
        <v>194</v>
      </c>
      <c r="AA63" s="846" t="s">
        <v>194</v>
      </c>
      <c r="AB63" s="846" t="s">
        <v>194</v>
      </c>
      <c r="AC63" s="846" t="s">
        <v>194</v>
      </c>
      <c r="AD63" s="846" t="s">
        <v>194</v>
      </c>
      <c r="AE63" s="846" t="s">
        <v>194</v>
      </c>
      <c r="AF63" s="846" t="s">
        <v>194</v>
      </c>
      <c r="AG63" s="846" t="s">
        <v>194</v>
      </c>
      <c r="AH63" s="846" t="s">
        <v>194</v>
      </c>
      <c r="AI63" s="846" t="s">
        <v>194</v>
      </c>
      <c r="AJ63" s="846" t="s">
        <v>194</v>
      </c>
      <c r="AK63" s="846" t="s">
        <v>194</v>
      </c>
      <c r="AL63" s="846" t="s">
        <v>194</v>
      </c>
      <c r="AM63" s="846" t="s">
        <v>194</v>
      </c>
      <c r="AN63" s="846" t="s">
        <v>194</v>
      </c>
    </row>
    <row r="64" ht="15.75" customHeight="1" outlineLevel="1">
      <c r="A64" s="849">
        <v>1.0</v>
      </c>
      <c r="B64" s="15"/>
      <c r="C64" s="869" t="str">
        <f>"    Normalized Diluted EPS"</f>
        <v>    Normalized Diluted EPS</v>
      </c>
      <c r="D64" s="871">
        <f t="shared" si="22"/>
        <v>-1.747221188</v>
      </c>
      <c r="E64" s="871">
        <f t="shared" si="23"/>
        <v>-2.186011157</v>
      </c>
      <c r="F64" s="871">
        <f t="shared" si="24"/>
        <v>-3.95</v>
      </c>
      <c r="G64" s="871">
        <f t="shared" si="25"/>
        <v>-1.299602251</v>
      </c>
      <c r="H64" s="871">
        <f t="shared" si="26"/>
        <v>-2.431351624</v>
      </c>
      <c r="I64" s="871">
        <f t="shared" si="27"/>
        <v>-1.50188072</v>
      </c>
      <c r="J64" s="871">
        <f t="shared" si="28"/>
        <v>1.203572137</v>
      </c>
      <c r="K64" s="871">
        <f t="shared" si="29"/>
        <v>-0.5505791373</v>
      </c>
      <c r="L64" s="928" t="s">
        <v>194</v>
      </c>
      <c r="M64" s="928">
        <v>-1.9251354990053111</v>
      </c>
      <c r="N64" s="928">
        <v>-1.2996022508535807</v>
      </c>
      <c r="O64" s="928">
        <v>-3.95</v>
      </c>
      <c r="P64" s="928">
        <v>-1.5693068766774885</v>
      </c>
      <c r="Q64" s="928" t="s">
        <v>194</v>
      </c>
      <c r="R64" s="15"/>
      <c r="S64" s="851" t="s">
        <v>194</v>
      </c>
      <c r="T64" s="846" t="s">
        <v>194</v>
      </c>
      <c r="U64" s="846" t="s">
        <v>194</v>
      </c>
      <c r="V64" s="846" t="s">
        <v>194</v>
      </c>
      <c r="W64" s="846" t="s">
        <v>194</v>
      </c>
      <c r="X64" s="846" t="s">
        <v>194</v>
      </c>
      <c r="Y64" s="846" t="s">
        <v>194</v>
      </c>
      <c r="Z64" s="846" t="s">
        <v>194</v>
      </c>
      <c r="AA64" s="846" t="s">
        <v>194</v>
      </c>
      <c r="AB64" s="846" t="s">
        <v>194</v>
      </c>
      <c r="AC64" s="846" t="s">
        <v>194</v>
      </c>
      <c r="AD64" s="846" t="s">
        <v>194</v>
      </c>
      <c r="AE64" s="846" t="s">
        <v>194</v>
      </c>
      <c r="AF64" s="846" t="s">
        <v>194</v>
      </c>
      <c r="AG64" s="846" t="s">
        <v>194</v>
      </c>
      <c r="AH64" s="846" t="s">
        <v>194</v>
      </c>
      <c r="AI64" s="846" t="s">
        <v>194</v>
      </c>
      <c r="AJ64" s="846" t="s">
        <v>194</v>
      </c>
      <c r="AK64" s="846" t="s">
        <v>194</v>
      </c>
      <c r="AL64" s="846" t="s">
        <v>194</v>
      </c>
      <c r="AM64" s="846" t="s">
        <v>194</v>
      </c>
      <c r="AN64" s="846" t="s">
        <v>194</v>
      </c>
    </row>
    <row r="65" ht="15.75" customHeight="1" outlineLevel="1">
      <c r="A65" s="849">
        <v>1.0</v>
      </c>
      <c r="B65" s="15"/>
      <c r="C65" s="869" t="str">
        <f>"    Recommended Normalized Diluted EPS"</f>
        <v>    Recommended Normalized Diluted EPS</v>
      </c>
      <c r="D65" s="871">
        <f t="shared" si="22"/>
        <v>-1.747221188</v>
      </c>
      <c r="E65" s="871">
        <f t="shared" si="23"/>
        <v>-2.186011157</v>
      </c>
      <c r="F65" s="871">
        <f t="shared" si="24"/>
        <v>-3.95</v>
      </c>
      <c r="G65" s="871">
        <f t="shared" si="25"/>
        <v>-1.299602251</v>
      </c>
      <c r="H65" s="871">
        <f t="shared" si="26"/>
        <v>-2.431351624</v>
      </c>
      <c r="I65" s="871">
        <f t="shared" si="27"/>
        <v>-1.50188072</v>
      </c>
      <c r="J65" s="871">
        <f t="shared" si="28"/>
        <v>1.203572137</v>
      </c>
      <c r="K65" s="871">
        <f t="shared" si="29"/>
        <v>-0.5505791373</v>
      </c>
      <c r="L65" s="928" t="s">
        <v>194</v>
      </c>
      <c r="M65" s="928">
        <v>-1.9251354990053111</v>
      </c>
      <c r="N65" s="928">
        <v>-1.2996022508535807</v>
      </c>
      <c r="O65" s="928">
        <v>-3.95</v>
      </c>
      <c r="P65" s="928">
        <v>-1.5693068766774885</v>
      </c>
      <c r="Q65" s="928" t="s">
        <v>194</v>
      </c>
      <c r="R65" s="15"/>
      <c r="S65" s="851" t="s">
        <v>194</v>
      </c>
      <c r="T65" s="846" t="s">
        <v>194</v>
      </c>
      <c r="U65" s="846" t="s">
        <v>194</v>
      </c>
      <c r="V65" s="846" t="s">
        <v>194</v>
      </c>
      <c r="W65" s="846" t="s">
        <v>194</v>
      </c>
      <c r="X65" s="846" t="s">
        <v>194</v>
      </c>
      <c r="Y65" s="846" t="s">
        <v>194</v>
      </c>
      <c r="Z65" s="846" t="s">
        <v>194</v>
      </c>
      <c r="AA65" s="846" t="s">
        <v>194</v>
      </c>
      <c r="AB65" s="846" t="s">
        <v>194</v>
      </c>
      <c r="AC65" s="846" t="s">
        <v>194</v>
      </c>
      <c r="AD65" s="846" t="s">
        <v>194</v>
      </c>
      <c r="AE65" s="846" t="s">
        <v>194</v>
      </c>
      <c r="AF65" s="846" t="s">
        <v>194</v>
      </c>
      <c r="AG65" s="846" t="s">
        <v>194</v>
      </c>
      <c r="AH65" s="846" t="s">
        <v>194</v>
      </c>
      <c r="AI65" s="846" t="s">
        <v>194</v>
      </c>
      <c r="AJ65" s="846" t="s">
        <v>194</v>
      </c>
      <c r="AK65" s="846" t="s">
        <v>194</v>
      </c>
      <c r="AL65" s="846" t="s">
        <v>194</v>
      </c>
      <c r="AM65" s="846" t="s">
        <v>194</v>
      </c>
      <c r="AN65" s="846" t="s">
        <v>194</v>
      </c>
    </row>
    <row r="66" ht="15.75" customHeight="1" outlineLevel="1">
      <c r="A66" s="849">
        <v>1.0</v>
      </c>
      <c r="B66" s="15"/>
      <c r="C66" s="869" t="str">
        <f>"    Normalized Income"</f>
        <v>    Normalized Income</v>
      </c>
      <c r="D66" s="870">
        <f t="shared" si="22"/>
        <v>-22789</v>
      </c>
      <c r="E66" s="870">
        <f t="shared" si="23"/>
        <v>-26988.416</v>
      </c>
      <c r="F66" s="870">
        <f t="shared" si="24"/>
        <v>-46014.08</v>
      </c>
      <c r="G66" s="870">
        <f t="shared" si="25"/>
        <v>-15825</v>
      </c>
      <c r="H66" s="870">
        <f t="shared" si="26"/>
        <v>-29411</v>
      </c>
      <c r="I66" s="870">
        <f t="shared" si="27"/>
        <v>-20903</v>
      </c>
      <c r="J66" s="870">
        <f t="shared" si="28"/>
        <v>11695.4483</v>
      </c>
      <c r="K66" s="871">
        <f t="shared" si="29"/>
        <v>-0.4333506752</v>
      </c>
      <c r="L66" s="872" t="s">
        <v>194</v>
      </c>
      <c r="M66" s="872">
        <v>-46014.08</v>
      </c>
      <c r="N66" s="872">
        <v>-29411.0</v>
      </c>
      <c r="O66" s="872">
        <v>-20903.0</v>
      </c>
      <c r="P66" s="872">
        <v>-22789.0</v>
      </c>
      <c r="Q66" s="872">
        <v>-15825.0</v>
      </c>
      <c r="R66" s="15"/>
      <c r="S66" s="851" t="s">
        <v>194</v>
      </c>
      <c r="T66" s="846" t="s">
        <v>194</v>
      </c>
      <c r="U66" s="846" t="s">
        <v>194</v>
      </c>
      <c r="V66" s="846" t="s">
        <v>194</v>
      </c>
      <c r="W66" s="846" t="s">
        <v>194</v>
      </c>
      <c r="X66" s="846" t="s">
        <v>194</v>
      </c>
      <c r="Y66" s="846" t="s">
        <v>194</v>
      </c>
      <c r="Z66" s="846" t="s">
        <v>194</v>
      </c>
      <c r="AA66" s="846" t="s">
        <v>194</v>
      </c>
      <c r="AB66" s="846" t="s">
        <v>194</v>
      </c>
      <c r="AC66" s="846" t="s">
        <v>194</v>
      </c>
      <c r="AD66" s="846" t="s">
        <v>194</v>
      </c>
      <c r="AE66" s="846" t="s">
        <v>194</v>
      </c>
      <c r="AF66" s="846" t="s">
        <v>194</v>
      </c>
      <c r="AG66" s="846" t="s">
        <v>194</v>
      </c>
      <c r="AH66" s="846" t="s">
        <v>194</v>
      </c>
      <c r="AI66" s="846" t="s">
        <v>194</v>
      </c>
      <c r="AJ66" s="846" t="s">
        <v>194</v>
      </c>
      <c r="AK66" s="846" t="s">
        <v>194</v>
      </c>
      <c r="AL66" s="846" t="s">
        <v>194</v>
      </c>
      <c r="AM66" s="846" t="s">
        <v>194</v>
      </c>
      <c r="AN66" s="846" t="s">
        <v>194</v>
      </c>
    </row>
    <row r="67" ht="15.75" customHeight="1" outlineLevel="1">
      <c r="A67" s="849">
        <v>1.0</v>
      </c>
      <c r="B67" s="15"/>
      <c r="C67" s="869" t="str">
        <f>"    Tax Effect of Unusual Items"</f>
        <v>    Tax Effect of Unusual Items</v>
      </c>
      <c r="D67" s="870">
        <f t="shared" si="22"/>
        <v>0</v>
      </c>
      <c r="E67" s="870">
        <f t="shared" si="23"/>
        <v>167.616</v>
      </c>
      <c r="F67" s="870">
        <f t="shared" si="24"/>
        <v>0</v>
      </c>
      <c r="G67" s="870">
        <f t="shared" si="25"/>
        <v>838.08</v>
      </c>
      <c r="H67" s="870">
        <f t="shared" si="26"/>
        <v>0</v>
      </c>
      <c r="I67" s="870">
        <f t="shared" si="27"/>
        <v>0</v>
      </c>
      <c r="J67" s="870">
        <f t="shared" si="28"/>
        <v>374.8007701</v>
      </c>
      <c r="K67" s="871">
        <f t="shared" si="29"/>
        <v>2.236067977</v>
      </c>
      <c r="L67" s="872" t="s">
        <v>194</v>
      </c>
      <c r="M67" s="872">
        <v>838.08</v>
      </c>
      <c r="N67" s="872">
        <v>0.0</v>
      </c>
      <c r="O67" s="872">
        <v>0.0</v>
      </c>
      <c r="P67" s="872">
        <v>0.0</v>
      </c>
      <c r="Q67" s="872">
        <v>0.0</v>
      </c>
      <c r="R67" s="15"/>
      <c r="S67" s="851" t="s">
        <v>194</v>
      </c>
      <c r="T67" s="846" t="s">
        <v>194</v>
      </c>
      <c r="U67" s="846" t="s">
        <v>194</v>
      </c>
      <c r="V67" s="846" t="s">
        <v>194</v>
      </c>
      <c r="W67" s="846" t="s">
        <v>194</v>
      </c>
      <c r="X67" s="846" t="s">
        <v>194</v>
      </c>
      <c r="Y67" s="846" t="s">
        <v>194</v>
      </c>
      <c r="Z67" s="846" t="s">
        <v>194</v>
      </c>
      <c r="AA67" s="846" t="s">
        <v>194</v>
      </c>
      <c r="AB67" s="846" t="s">
        <v>194</v>
      </c>
      <c r="AC67" s="846" t="s">
        <v>194</v>
      </c>
      <c r="AD67" s="846" t="s">
        <v>194</v>
      </c>
      <c r="AE67" s="846" t="s">
        <v>194</v>
      </c>
      <c r="AF67" s="846" t="s">
        <v>194</v>
      </c>
      <c r="AG67" s="846" t="s">
        <v>194</v>
      </c>
      <c r="AH67" s="846" t="s">
        <v>194</v>
      </c>
      <c r="AI67" s="846" t="s">
        <v>194</v>
      </c>
      <c r="AJ67" s="846" t="s">
        <v>194</v>
      </c>
      <c r="AK67" s="846" t="s">
        <v>194</v>
      </c>
      <c r="AL67" s="846" t="s">
        <v>194</v>
      </c>
      <c r="AM67" s="846" t="s">
        <v>194</v>
      </c>
      <c r="AN67" s="846" t="s">
        <v>194</v>
      </c>
    </row>
    <row r="68" ht="15.75" customHeight="1" outlineLevel="1">
      <c r="A68" s="849">
        <v>1.0</v>
      </c>
      <c r="B68" s="15"/>
      <c r="C68" s="869" t="str">
        <f>"    Total Unusual Items"</f>
        <v>    Total Unusual Items</v>
      </c>
      <c r="D68" s="870">
        <f t="shared" si="22"/>
        <v>9</v>
      </c>
      <c r="E68" s="870">
        <f t="shared" si="23"/>
        <v>626</v>
      </c>
      <c r="F68" s="870">
        <f t="shared" si="24"/>
        <v>0</v>
      </c>
      <c r="G68" s="870">
        <f t="shared" si="25"/>
        <v>3104</v>
      </c>
      <c r="H68" s="870">
        <f t="shared" si="26"/>
        <v>7</v>
      </c>
      <c r="I68" s="870">
        <f t="shared" si="27"/>
        <v>10</v>
      </c>
      <c r="J68" s="870">
        <f t="shared" si="28"/>
        <v>1385.249616</v>
      </c>
      <c r="K68" s="871">
        <f t="shared" si="29"/>
        <v>2.212858812</v>
      </c>
      <c r="L68" s="872" t="s">
        <v>194</v>
      </c>
      <c r="M68" s="872">
        <v>3104.0</v>
      </c>
      <c r="N68" s="872">
        <v>9.0</v>
      </c>
      <c r="O68" s="872">
        <v>0.0</v>
      </c>
      <c r="P68" s="872">
        <v>10.0</v>
      </c>
      <c r="Q68" s="872">
        <v>7.0</v>
      </c>
      <c r="R68" s="15"/>
      <c r="S68" s="851" t="s">
        <v>194</v>
      </c>
      <c r="T68" s="846" t="s">
        <v>194</v>
      </c>
      <c r="U68" s="846" t="s">
        <v>194</v>
      </c>
      <c r="V68" s="846" t="s">
        <v>194</v>
      </c>
      <c r="W68" s="846" t="s">
        <v>194</v>
      </c>
      <c r="X68" s="846" t="s">
        <v>194</v>
      </c>
      <c r="Y68" s="846" t="s">
        <v>194</v>
      </c>
      <c r="Z68" s="846" t="s">
        <v>194</v>
      </c>
      <c r="AA68" s="846" t="s">
        <v>194</v>
      </c>
      <c r="AB68" s="846" t="s">
        <v>194</v>
      </c>
      <c r="AC68" s="846" t="s">
        <v>194</v>
      </c>
      <c r="AD68" s="846" t="s">
        <v>194</v>
      </c>
      <c r="AE68" s="846" t="s">
        <v>194</v>
      </c>
      <c r="AF68" s="846" t="s">
        <v>194</v>
      </c>
      <c r="AG68" s="846" t="s">
        <v>194</v>
      </c>
      <c r="AH68" s="846" t="s">
        <v>194</v>
      </c>
      <c r="AI68" s="846" t="s">
        <v>194</v>
      </c>
      <c r="AJ68" s="846" t="s">
        <v>194</v>
      </c>
      <c r="AK68" s="846" t="s">
        <v>194</v>
      </c>
      <c r="AL68" s="846" t="s">
        <v>194</v>
      </c>
      <c r="AM68" s="846" t="s">
        <v>194</v>
      </c>
      <c r="AN68" s="846" t="s">
        <v>194</v>
      </c>
    </row>
    <row r="69" ht="15.75" customHeight="1" outlineLevel="1">
      <c r="A69" s="849">
        <v>1.0</v>
      </c>
      <c r="B69" s="15"/>
      <c r="C69" s="869" t="str">
        <f>"    Total Unusual Items Excluding Goodwill"</f>
        <v>    Total Unusual Items Excluding Goodwill</v>
      </c>
      <c r="D69" s="870">
        <f t="shared" si="22"/>
        <v>9</v>
      </c>
      <c r="E69" s="870">
        <f t="shared" si="23"/>
        <v>626</v>
      </c>
      <c r="F69" s="870">
        <f t="shared" si="24"/>
        <v>0</v>
      </c>
      <c r="G69" s="870">
        <f t="shared" si="25"/>
        <v>3104</v>
      </c>
      <c r="H69" s="870">
        <f t="shared" si="26"/>
        <v>7</v>
      </c>
      <c r="I69" s="870">
        <f t="shared" si="27"/>
        <v>10</v>
      </c>
      <c r="J69" s="870">
        <f t="shared" si="28"/>
        <v>1385.249616</v>
      </c>
      <c r="K69" s="871">
        <f t="shared" si="29"/>
        <v>2.212858812</v>
      </c>
      <c r="L69" s="872" t="s">
        <v>194</v>
      </c>
      <c r="M69" s="872">
        <v>3104.0</v>
      </c>
      <c r="N69" s="872">
        <v>9.0</v>
      </c>
      <c r="O69" s="872">
        <v>0.0</v>
      </c>
      <c r="P69" s="872">
        <v>10.0</v>
      </c>
      <c r="Q69" s="872">
        <v>7.0</v>
      </c>
      <c r="R69" s="15"/>
      <c r="S69" s="851" t="s">
        <v>194</v>
      </c>
      <c r="T69" s="846" t="s">
        <v>194</v>
      </c>
      <c r="U69" s="846" t="s">
        <v>194</v>
      </c>
      <c r="V69" s="846" t="s">
        <v>194</v>
      </c>
      <c r="W69" s="846" t="s">
        <v>194</v>
      </c>
      <c r="X69" s="846" t="s">
        <v>194</v>
      </c>
      <c r="Y69" s="846" t="s">
        <v>194</v>
      </c>
      <c r="Z69" s="846" t="s">
        <v>194</v>
      </c>
      <c r="AA69" s="846" t="s">
        <v>194</v>
      </c>
      <c r="AB69" s="846" t="s">
        <v>194</v>
      </c>
      <c r="AC69" s="846" t="s">
        <v>194</v>
      </c>
      <c r="AD69" s="846" t="s">
        <v>194</v>
      </c>
      <c r="AE69" s="846" t="s">
        <v>194</v>
      </c>
      <c r="AF69" s="846" t="s">
        <v>194</v>
      </c>
      <c r="AG69" s="846" t="s">
        <v>194</v>
      </c>
      <c r="AH69" s="846" t="s">
        <v>194</v>
      </c>
      <c r="AI69" s="846" t="s">
        <v>194</v>
      </c>
      <c r="AJ69" s="846" t="s">
        <v>194</v>
      </c>
      <c r="AK69" s="846" t="s">
        <v>194</v>
      </c>
      <c r="AL69" s="846" t="s">
        <v>194</v>
      </c>
      <c r="AM69" s="846" t="s">
        <v>194</v>
      </c>
      <c r="AN69" s="846" t="s">
        <v>194</v>
      </c>
    </row>
    <row r="70" ht="15.75" customHeight="1" outlineLevel="1">
      <c r="A70" s="849">
        <v>1.0</v>
      </c>
      <c r="B70" s="15"/>
      <c r="C70" s="869" t="str">
        <f>"    Cost of Revenue and Operating Expense"</f>
        <v>    Cost of Revenue and Operating Expense</v>
      </c>
      <c r="D70" s="870">
        <f t="shared" si="22"/>
        <v>79654</v>
      </c>
      <c r="E70" s="870">
        <f t="shared" si="23"/>
        <v>98126</v>
      </c>
      <c r="F70" s="870">
        <f t="shared" si="24"/>
        <v>36514</v>
      </c>
      <c r="G70" s="870">
        <f t="shared" si="25"/>
        <v>190911</v>
      </c>
      <c r="H70" s="870">
        <f t="shared" si="26"/>
        <v>57771</v>
      </c>
      <c r="I70" s="870">
        <f t="shared" si="27"/>
        <v>125780</v>
      </c>
      <c r="J70" s="870">
        <f t="shared" si="28"/>
        <v>61521.49887</v>
      </c>
      <c r="K70" s="871">
        <f t="shared" si="29"/>
        <v>0.6269642997</v>
      </c>
      <c r="L70" s="872" t="s">
        <v>194</v>
      </c>
      <c r="M70" s="872">
        <v>190911.0</v>
      </c>
      <c r="N70" s="872">
        <v>125780.0</v>
      </c>
      <c r="O70" s="872">
        <v>79654.0</v>
      </c>
      <c r="P70" s="872">
        <v>57771.0</v>
      </c>
      <c r="Q70" s="872">
        <v>36514.0</v>
      </c>
      <c r="R70" s="15"/>
      <c r="S70" s="851" t="s">
        <v>194</v>
      </c>
      <c r="T70" s="846" t="s">
        <v>194</v>
      </c>
      <c r="U70" s="846" t="s">
        <v>194</v>
      </c>
      <c r="V70" s="846" t="s">
        <v>194</v>
      </c>
      <c r="W70" s="846" t="s">
        <v>194</v>
      </c>
      <c r="X70" s="846" t="s">
        <v>194</v>
      </c>
      <c r="Y70" s="846" t="s">
        <v>194</v>
      </c>
      <c r="Z70" s="846" t="s">
        <v>194</v>
      </c>
      <c r="AA70" s="846" t="s">
        <v>194</v>
      </c>
      <c r="AB70" s="846" t="s">
        <v>194</v>
      </c>
      <c r="AC70" s="846" t="s">
        <v>194</v>
      </c>
      <c r="AD70" s="846" t="s">
        <v>194</v>
      </c>
      <c r="AE70" s="846" t="s">
        <v>194</v>
      </c>
      <c r="AF70" s="846" t="s">
        <v>194</v>
      </c>
      <c r="AG70" s="846" t="s">
        <v>194</v>
      </c>
      <c r="AH70" s="846" t="s">
        <v>194</v>
      </c>
      <c r="AI70" s="846" t="s">
        <v>194</v>
      </c>
      <c r="AJ70" s="846" t="s">
        <v>194</v>
      </c>
      <c r="AK70" s="846" t="s">
        <v>194</v>
      </c>
      <c r="AL70" s="846" t="s">
        <v>194</v>
      </c>
      <c r="AM70" s="846" t="s">
        <v>194</v>
      </c>
      <c r="AN70" s="846" t="s">
        <v>194</v>
      </c>
    </row>
    <row r="71" ht="15.75" customHeight="1" outlineLevel="1">
      <c r="A71" s="849">
        <v>1.0</v>
      </c>
      <c r="B71" s="15"/>
      <c r="C71" s="869" t="str">
        <f>"    Net Operating Profit After Tax (NOPAT)"</f>
        <v>    Net Operating Profit After Tax (NOPAT)</v>
      </c>
      <c r="D71" s="870">
        <f t="shared" si="22"/>
        <v>-21740</v>
      </c>
      <c r="E71" s="870">
        <f t="shared" si="23"/>
        <v>-25298.61</v>
      </c>
      <c r="F71" s="870">
        <f t="shared" si="24"/>
        <v>-46006.05</v>
      </c>
      <c r="G71" s="870">
        <f t="shared" si="25"/>
        <v>-15058</v>
      </c>
      <c r="H71" s="870">
        <f t="shared" si="26"/>
        <v>-26034</v>
      </c>
      <c r="I71" s="870">
        <f t="shared" si="27"/>
        <v>-17655</v>
      </c>
      <c r="J71" s="870">
        <f t="shared" si="28"/>
        <v>12301.39669</v>
      </c>
      <c r="K71" s="871">
        <f t="shared" si="29"/>
        <v>-0.4862479278</v>
      </c>
      <c r="L71" s="872" t="s">
        <v>194</v>
      </c>
      <c r="M71" s="872">
        <v>-46006.05</v>
      </c>
      <c r="N71" s="872">
        <v>-26034.0</v>
      </c>
      <c r="O71" s="872">
        <v>-17655.0</v>
      </c>
      <c r="P71" s="872">
        <v>-21740.0</v>
      </c>
      <c r="Q71" s="872">
        <v>-15058.0</v>
      </c>
      <c r="R71" s="15"/>
      <c r="S71" s="851" t="s">
        <v>194</v>
      </c>
      <c r="T71" s="846" t="s">
        <v>194</v>
      </c>
      <c r="U71" s="846" t="s">
        <v>194</v>
      </c>
      <c r="V71" s="846" t="s">
        <v>194</v>
      </c>
      <c r="W71" s="846" t="s">
        <v>194</v>
      </c>
      <c r="X71" s="846" t="s">
        <v>194</v>
      </c>
      <c r="Y71" s="846" t="s">
        <v>194</v>
      </c>
      <c r="Z71" s="846" t="s">
        <v>194</v>
      </c>
      <c r="AA71" s="846" t="s">
        <v>194</v>
      </c>
      <c r="AB71" s="846" t="s">
        <v>194</v>
      </c>
      <c r="AC71" s="846" t="s">
        <v>194</v>
      </c>
      <c r="AD71" s="846" t="s">
        <v>194</v>
      </c>
      <c r="AE71" s="846" t="s">
        <v>194</v>
      </c>
      <c r="AF71" s="846" t="s">
        <v>194</v>
      </c>
      <c r="AG71" s="846" t="s">
        <v>194</v>
      </c>
      <c r="AH71" s="846" t="s">
        <v>194</v>
      </c>
      <c r="AI71" s="846" t="s">
        <v>194</v>
      </c>
      <c r="AJ71" s="846" t="s">
        <v>194</v>
      </c>
      <c r="AK71" s="846" t="s">
        <v>194</v>
      </c>
      <c r="AL71" s="846" t="s">
        <v>194</v>
      </c>
      <c r="AM71" s="846" t="s">
        <v>194</v>
      </c>
      <c r="AN71" s="846" t="s">
        <v>194</v>
      </c>
    </row>
    <row r="72" ht="15.75" customHeight="1">
      <c r="A72" s="849">
        <v>1.0</v>
      </c>
      <c r="B72" s="15"/>
      <c r="C72" s="855" t="str">
        <f>"Data Origination"</f>
        <v>Data Origination</v>
      </c>
      <c r="D72" s="867" t="s">
        <v>194</v>
      </c>
      <c r="E72" s="867" t="s">
        <v>194</v>
      </c>
      <c r="F72" s="867" t="s">
        <v>194</v>
      </c>
      <c r="G72" s="867" t="s">
        <v>194</v>
      </c>
      <c r="H72" s="867" t="s">
        <v>194</v>
      </c>
      <c r="I72" s="867" t="s">
        <v>194</v>
      </c>
      <c r="J72" s="867" t="s">
        <v>194</v>
      </c>
      <c r="K72" s="867" t="s">
        <v>194</v>
      </c>
      <c r="L72" s="867" t="s">
        <v>194</v>
      </c>
      <c r="M72" s="867" t="s">
        <v>194</v>
      </c>
      <c r="N72" s="867" t="s">
        <v>194</v>
      </c>
      <c r="O72" s="867" t="s">
        <v>194</v>
      </c>
      <c r="P72" s="867" t="s">
        <v>194</v>
      </c>
      <c r="Q72" s="867" t="s">
        <v>194</v>
      </c>
      <c r="R72" s="15"/>
      <c r="S72" s="851" t="s">
        <v>194</v>
      </c>
      <c r="T72" s="846" t="s">
        <v>194</v>
      </c>
      <c r="U72" s="846" t="s">
        <v>194</v>
      </c>
      <c r="V72" s="846" t="s">
        <v>194</v>
      </c>
      <c r="W72" s="846" t="s">
        <v>194</v>
      </c>
      <c r="X72" s="846" t="s">
        <v>194</v>
      </c>
      <c r="Y72" s="846" t="s">
        <v>194</v>
      </c>
      <c r="Z72" s="846" t="s">
        <v>194</v>
      </c>
      <c r="AA72" s="846" t="s">
        <v>194</v>
      </c>
      <c r="AB72" s="846" t="s">
        <v>194</v>
      </c>
      <c r="AC72" s="846" t="s">
        <v>194</v>
      </c>
      <c r="AD72" s="846" t="s">
        <v>194</v>
      </c>
      <c r="AE72" s="846" t="s">
        <v>194</v>
      </c>
      <c r="AF72" s="846" t="s">
        <v>194</v>
      </c>
      <c r="AG72" s="846" t="s">
        <v>194</v>
      </c>
      <c r="AH72" s="846" t="s">
        <v>194</v>
      </c>
      <c r="AI72" s="846" t="s">
        <v>194</v>
      </c>
      <c r="AJ72" s="846" t="s">
        <v>194</v>
      </c>
      <c r="AK72" s="846" t="s">
        <v>194</v>
      </c>
      <c r="AL72" s="846" t="s">
        <v>194</v>
      </c>
      <c r="AM72" s="846" t="s">
        <v>194</v>
      </c>
      <c r="AN72" s="846" t="s">
        <v>194</v>
      </c>
    </row>
    <row r="73" ht="15.75" customHeight="1">
      <c r="A73" s="849">
        <v>1.0</v>
      </c>
      <c r="B73" s="15"/>
      <c r="C73" s="869" t="str">
        <f>"    Preliminary"</f>
        <v>    Preliminary</v>
      </c>
      <c r="D73" s="889" t="s">
        <v>194</v>
      </c>
      <c r="E73" s="889" t="s">
        <v>194</v>
      </c>
      <c r="F73" s="889" t="s">
        <v>194</v>
      </c>
      <c r="G73" s="889" t="s">
        <v>194</v>
      </c>
      <c r="H73" s="889" t="s">
        <v>194</v>
      </c>
      <c r="I73" s="889" t="s">
        <v>194</v>
      </c>
      <c r="J73" s="889" t="s">
        <v>194</v>
      </c>
      <c r="K73" s="889" t="s">
        <v>194</v>
      </c>
      <c r="L73" s="890" t="s">
        <v>194</v>
      </c>
      <c r="M73" s="890" t="s">
        <v>340</v>
      </c>
      <c r="N73" s="890" t="s">
        <v>340</v>
      </c>
      <c r="O73" s="890" t="s">
        <v>340</v>
      </c>
      <c r="P73" s="890" t="s">
        <v>340</v>
      </c>
      <c r="Q73" s="890" t="s">
        <v>340</v>
      </c>
      <c r="R73" s="15"/>
      <c r="S73" s="851" t="s">
        <v>194</v>
      </c>
      <c r="T73" s="846" t="s">
        <v>194</v>
      </c>
      <c r="U73" s="846" t="s">
        <v>194</v>
      </c>
      <c r="V73" s="846" t="s">
        <v>194</v>
      </c>
      <c r="W73" s="846" t="s">
        <v>194</v>
      </c>
      <c r="X73" s="846" t="s">
        <v>194</v>
      </c>
      <c r="Y73" s="846" t="s">
        <v>194</v>
      </c>
      <c r="Z73" s="846" t="s">
        <v>194</v>
      </c>
      <c r="AA73" s="846" t="s">
        <v>194</v>
      </c>
      <c r="AB73" s="846" t="s">
        <v>194</v>
      </c>
      <c r="AC73" s="846" t="s">
        <v>194</v>
      </c>
      <c r="AD73" s="846" t="s">
        <v>194</v>
      </c>
      <c r="AE73" s="846" t="s">
        <v>194</v>
      </c>
      <c r="AF73" s="846" t="s">
        <v>194</v>
      </c>
      <c r="AG73" s="846" t="s">
        <v>194</v>
      </c>
      <c r="AH73" s="846" t="s">
        <v>194</v>
      </c>
      <c r="AI73" s="846" t="s">
        <v>194</v>
      </c>
      <c r="AJ73" s="846" t="s">
        <v>194</v>
      </c>
      <c r="AK73" s="846" t="s">
        <v>194</v>
      </c>
      <c r="AL73" s="846" t="s">
        <v>194</v>
      </c>
      <c r="AM73" s="846" t="s">
        <v>194</v>
      </c>
      <c r="AN73" s="846" t="s">
        <v>194</v>
      </c>
    </row>
    <row r="74" ht="15.75" customHeight="1">
      <c r="A74" s="849">
        <v>1.0</v>
      </c>
      <c r="B74" s="15"/>
      <c r="C74" s="869" t="str">
        <f>"    Original"</f>
        <v>    Original</v>
      </c>
      <c r="D74" s="889" t="s">
        <v>194</v>
      </c>
      <c r="E74" s="889" t="s">
        <v>194</v>
      </c>
      <c r="F74" s="889" t="s">
        <v>194</v>
      </c>
      <c r="G74" s="889" t="s">
        <v>194</v>
      </c>
      <c r="H74" s="889" t="s">
        <v>194</v>
      </c>
      <c r="I74" s="889" t="s">
        <v>194</v>
      </c>
      <c r="J74" s="889" t="s">
        <v>194</v>
      </c>
      <c r="K74" s="889" t="s">
        <v>194</v>
      </c>
      <c r="L74" s="890" t="s">
        <v>194</v>
      </c>
      <c r="M74" s="890" t="s">
        <v>340</v>
      </c>
      <c r="N74" s="890" t="s">
        <v>340</v>
      </c>
      <c r="O74" s="890" t="s">
        <v>340</v>
      </c>
      <c r="P74" s="890" t="s">
        <v>340</v>
      </c>
      <c r="Q74" s="890" t="s">
        <v>340</v>
      </c>
      <c r="R74" s="15"/>
      <c r="S74" s="851" t="s">
        <v>194</v>
      </c>
      <c r="T74" s="846" t="s">
        <v>194</v>
      </c>
      <c r="U74" s="846" t="s">
        <v>194</v>
      </c>
      <c r="V74" s="846" t="s">
        <v>194</v>
      </c>
      <c r="W74" s="846" t="s">
        <v>194</v>
      </c>
      <c r="X74" s="846" t="s">
        <v>194</v>
      </c>
      <c r="Y74" s="846" t="s">
        <v>194</v>
      </c>
      <c r="Z74" s="846" t="s">
        <v>194</v>
      </c>
      <c r="AA74" s="846" t="s">
        <v>194</v>
      </c>
      <c r="AB74" s="846" t="s">
        <v>194</v>
      </c>
      <c r="AC74" s="846" t="s">
        <v>194</v>
      </c>
      <c r="AD74" s="846" t="s">
        <v>194</v>
      </c>
      <c r="AE74" s="846" t="s">
        <v>194</v>
      </c>
      <c r="AF74" s="846" t="s">
        <v>194</v>
      </c>
      <c r="AG74" s="846" t="s">
        <v>194</v>
      </c>
      <c r="AH74" s="846" t="s">
        <v>194</v>
      </c>
      <c r="AI74" s="846" t="s">
        <v>194</v>
      </c>
      <c r="AJ74" s="846" t="s">
        <v>194</v>
      </c>
      <c r="AK74" s="846" t="s">
        <v>194</v>
      </c>
      <c r="AL74" s="846" t="s">
        <v>194</v>
      </c>
      <c r="AM74" s="846" t="s">
        <v>194</v>
      </c>
      <c r="AN74" s="846" t="s">
        <v>194</v>
      </c>
    </row>
    <row r="75" ht="15.75" customHeight="1">
      <c r="A75" s="849">
        <v>1.0</v>
      </c>
      <c r="B75" s="15"/>
      <c r="C75" s="869" t="str">
        <f>"    Restated"</f>
        <v>    Restated</v>
      </c>
      <c r="D75" s="889" t="s">
        <v>194</v>
      </c>
      <c r="E75" s="889" t="s">
        <v>194</v>
      </c>
      <c r="F75" s="889" t="s">
        <v>194</v>
      </c>
      <c r="G75" s="889" t="s">
        <v>194</v>
      </c>
      <c r="H75" s="889" t="s">
        <v>194</v>
      </c>
      <c r="I75" s="889" t="s">
        <v>194</v>
      </c>
      <c r="J75" s="889" t="s">
        <v>194</v>
      </c>
      <c r="K75" s="889" t="s">
        <v>194</v>
      </c>
      <c r="L75" s="890" t="s">
        <v>194</v>
      </c>
      <c r="M75" s="890" t="s">
        <v>340</v>
      </c>
      <c r="N75" s="890" t="s">
        <v>340</v>
      </c>
      <c r="O75" s="890" t="s">
        <v>340</v>
      </c>
      <c r="P75" s="890" t="s">
        <v>340</v>
      </c>
      <c r="Q75" s="890" t="s">
        <v>340</v>
      </c>
      <c r="R75" s="15"/>
      <c r="S75" s="851" t="s">
        <v>194</v>
      </c>
      <c r="T75" s="846" t="s">
        <v>194</v>
      </c>
      <c r="U75" s="846" t="s">
        <v>194</v>
      </c>
      <c r="V75" s="846" t="s">
        <v>194</v>
      </c>
      <c r="W75" s="846" t="s">
        <v>194</v>
      </c>
      <c r="X75" s="846" t="s">
        <v>194</v>
      </c>
      <c r="Y75" s="846" t="s">
        <v>194</v>
      </c>
      <c r="Z75" s="846" t="s">
        <v>194</v>
      </c>
      <c r="AA75" s="846" t="s">
        <v>194</v>
      </c>
      <c r="AB75" s="846" t="s">
        <v>194</v>
      </c>
      <c r="AC75" s="846" t="s">
        <v>194</v>
      </c>
      <c r="AD75" s="846" t="s">
        <v>194</v>
      </c>
      <c r="AE75" s="846" t="s">
        <v>194</v>
      </c>
      <c r="AF75" s="846" t="s">
        <v>194</v>
      </c>
      <c r="AG75" s="846" t="s">
        <v>194</v>
      </c>
      <c r="AH75" s="846" t="s">
        <v>194</v>
      </c>
      <c r="AI75" s="846" t="s">
        <v>194</v>
      </c>
      <c r="AJ75" s="846" t="s">
        <v>194</v>
      </c>
      <c r="AK75" s="846" t="s">
        <v>194</v>
      </c>
      <c r="AL75" s="846" t="s">
        <v>194</v>
      </c>
      <c r="AM75" s="846" t="s">
        <v>194</v>
      </c>
      <c r="AN75" s="846" t="s">
        <v>194</v>
      </c>
    </row>
    <row r="76" ht="15.75" customHeight="1">
      <c r="A76" s="849">
        <v>1.0</v>
      </c>
      <c r="B76" s="15"/>
      <c r="C76" s="869" t="str">
        <f>"    Calculated"</f>
        <v>    Calculated</v>
      </c>
      <c r="D76" s="889" t="s">
        <v>194</v>
      </c>
      <c r="E76" s="889" t="s">
        <v>194</v>
      </c>
      <c r="F76" s="889" t="s">
        <v>194</v>
      </c>
      <c r="G76" s="889" t="s">
        <v>194</v>
      </c>
      <c r="H76" s="889" t="s">
        <v>194</v>
      </c>
      <c r="I76" s="889" t="s">
        <v>194</v>
      </c>
      <c r="J76" s="889" t="s">
        <v>194</v>
      </c>
      <c r="K76" s="889" t="s">
        <v>194</v>
      </c>
      <c r="L76" s="890" t="s">
        <v>194</v>
      </c>
      <c r="M76" s="890" t="s">
        <v>340</v>
      </c>
      <c r="N76" s="890" t="s">
        <v>340</v>
      </c>
      <c r="O76" s="890" t="s">
        <v>340</v>
      </c>
      <c r="P76" s="890" t="s">
        <v>340</v>
      </c>
      <c r="Q76" s="890" t="s">
        <v>340</v>
      </c>
      <c r="R76" s="15"/>
      <c r="S76" s="851" t="s">
        <v>194</v>
      </c>
      <c r="T76" s="846" t="s">
        <v>194</v>
      </c>
      <c r="U76" s="846" t="s">
        <v>194</v>
      </c>
      <c r="V76" s="846" t="s">
        <v>194</v>
      </c>
      <c r="W76" s="846" t="s">
        <v>194</v>
      </c>
      <c r="X76" s="846" t="s">
        <v>194</v>
      </c>
      <c r="Y76" s="846" t="s">
        <v>194</v>
      </c>
      <c r="Z76" s="846" t="s">
        <v>194</v>
      </c>
      <c r="AA76" s="846" t="s">
        <v>194</v>
      </c>
      <c r="AB76" s="846" t="s">
        <v>194</v>
      </c>
      <c r="AC76" s="846" t="s">
        <v>194</v>
      </c>
      <c r="AD76" s="846" t="s">
        <v>194</v>
      </c>
      <c r="AE76" s="846" t="s">
        <v>194</v>
      </c>
      <c r="AF76" s="846" t="s">
        <v>194</v>
      </c>
      <c r="AG76" s="846" t="s">
        <v>194</v>
      </c>
      <c r="AH76" s="846" t="s">
        <v>194</v>
      </c>
      <c r="AI76" s="846" t="s">
        <v>194</v>
      </c>
      <c r="AJ76" s="846" t="s">
        <v>194</v>
      </c>
      <c r="AK76" s="846" t="s">
        <v>194</v>
      </c>
      <c r="AL76" s="846" t="s">
        <v>194</v>
      </c>
      <c r="AM76" s="846" t="s">
        <v>194</v>
      </c>
      <c r="AN76" s="846" t="s">
        <v>194</v>
      </c>
    </row>
    <row r="77" ht="15.75" customHeight="1">
      <c r="A77" s="849" t="s">
        <v>194</v>
      </c>
      <c r="B77" s="15"/>
      <c r="C77" s="15"/>
      <c r="D77" s="15"/>
      <c r="E77" s="15"/>
      <c r="F77" s="15"/>
      <c r="G77" s="15"/>
      <c r="H77" s="15"/>
      <c r="I77" s="15"/>
      <c r="J77" s="15"/>
      <c r="K77" s="15"/>
      <c r="L77" s="15"/>
      <c r="M77" s="15"/>
      <c r="N77" s="15"/>
      <c r="O77" s="15"/>
      <c r="P77" s="15"/>
      <c r="Q77" s="15"/>
      <c r="R77" s="15"/>
      <c r="S77" s="851" t="s">
        <v>194</v>
      </c>
      <c r="T77" s="846" t="s">
        <v>194</v>
      </c>
      <c r="U77" s="846" t="s">
        <v>194</v>
      </c>
      <c r="V77" s="846" t="s">
        <v>194</v>
      </c>
      <c r="W77" s="846" t="s">
        <v>194</v>
      </c>
      <c r="X77" s="846" t="s">
        <v>194</v>
      </c>
      <c r="Y77" s="846" t="s">
        <v>194</v>
      </c>
      <c r="Z77" s="846" t="s">
        <v>194</v>
      </c>
      <c r="AA77" s="846" t="s">
        <v>194</v>
      </c>
      <c r="AB77" s="846" t="s">
        <v>194</v>
      </c>
      <c r="AC77" s="846" t="s">
        <v>194</v>
      </c>
      <c r="AD77" s="846" t="s">
        <v>194</v>
      </c>
      <c r="AE77" s="846" t="s">
        <v>194</v>
      </c>
      <c r="AF77" s="846" t="s">
        <v>194</v>
      </c>
      <c r="AG77" s="846" t="s">
        <v>194</v>
      </c>
      <c r="AH77" s="846" t="s">
        <v>194</v>
      </c>
      <c r="AI77" s="846" t="s">
        <v>194</v>
      </c>
      <c r="AJ77" s="846" t="s">
        <v>194</v>
      </c>
      <c r="AK77" s="846" t="s">
        <v>194</v>
      </c>
      <c r="AL77" s="846" t="s">
        <v>194</v>
      </c>
      <c r="AM77" s="846" t="s">
        <v>194</v>
      </c>
      <c r="AN77" s="846" t="s">
        <v>194</v>
      </c>
    </row>
    <row r="78" ht="15.75" customHeight="1">
      <c r="A78" s="849" t="s">
        <v>194</v>
      </c>
      <c r="B78" s="15"/>
      <c r="C78" s="15"/>
      <c r="D78" s="15"/>
      <c r="E78" s="15"/>
      <c r="F78" s="15"/>
      <c r="G78" s="15"/>
      <c r="H78" s="15"/>
      <c r="I78" s="15"/>
      <c r="J78" s="15"/>
      <c r="K78" s="15"/>
      <c r="L78" s="15"/>
      <c r="M78" s="15"/>
      <c r="N78" s="15"/>
      <c r="O78" s="15"/>
      <c r="P78" s="15"/>
      <c r="Q78" s="15"/>
      <c r="R78" s="15"/>
      <c r="S78" s="851" t="s">
        <v>194</v>
      </c>
      <c r="T78" s="846" t="s">
        <v>194</v>
      </c>
      <c r="U78" s="846" t="s">
        <v>194</v>
      </c>
      <c r="V78" s="846" t="s">
        <v>194</v>
      </c>
      <c r="W78" s="846" t="s">
        <v>194</v>
      </c>
      <c r="X78" s="846" t="s">
        <v>194</v>
      </c>
      <c r="Y78" s="846" t="s">
        <v>194</v>
      </c>
      <c r="Z78" s="846" t="s">
        <v>194</v>
      </c>
      <c r="AA78" s="846" t="s">
        <v>194</v>
      </c>
      <c r="AB78" s="846" t="s">
        <v>194</v>
      </c>
      <c r="AC78" s="846" t="s">
        <v>194</v>
      </c>
      <c r="AD78" s="846" t="s">
        <v>194</v>
      </c>
      <c r="AE78" s="846" t="s">
        <v>194</v>
      </c>
      <c r="AF78" s="846" t="s">
        <v>194</v>
      </c>
      <c r="AG78" s="846" t="s">
        <v>194</v>
      </c>
      <c r="AH78" s="846" t="s">
        <v>194</v>
      </c>
      <c r="AI78" s="846" t="s">
        <v>194</v>
      </c>
      <c r="AJ78" s="846" t="s">
        <v>194</v>
      </c>
      <c r="AK78" s="846" t="s">
        <v>194</v>
      </c>
      <c r="AL78" s="846" t="s">
        <v>194</v>
      </c>
      <c r="AM78" s="846" t="s">
        <v>194</v>
      </c>
      <c r="AN78" s="846" t="s">
        <v>194</v>
      </c>
    </row>
    <row r="79" ht="15.75" customHeight="1">
      <c r="A79" s="849" t="s">
        <v>194</v>
      </c>
      <c r="B79" s="15"/>
      <c r="C79" s="892" t="s">
        <v>344</v>
      </c>
      <c r="D79" s="15"/>
      <c r="E79" s="15"/>
      <c r="F79" s="15"/>
      <c r="G79" s="15"/>
      <c r="H79" s="15"/>
      <c r="I79" s="15"/>
      <c r="J79" s="15"/>
      <c r="K79" s="15"/>
      <c r="L79" s="15"/>
      <c r="M79" s="15"/>
      <c r="N79" s="15"/>
      <c r="O79" s="15"/>
      <c r="P79" s="15"/>
      <c r="Q79" s="15"/>
      <c r="R79" s="15"/>
      <c r="S79" s="851" t="s">
        <v>194</v>
      </c>
      <c r="T79" s="846" t="s">
        <v>194</v>
      </c>
      <c r="U79" s="846" t="s">
        <v>194</v>
      </c>
      <c r="V79" s="846" t="s">
        <v>194</v>
      </c>
      <c r="W79" s="846" t="s">
        <v>194</v>
      </c>
      <c r="X79" s="846" t="s">
        <v>194</v>
      </c>
      <c r="Y79" s="846" t="s">
        <v>194</v>
      </c>
      <c r="Z79" s="846" t="s">
        <v>194</v>
      </c>
      <c r="AA79" s="846" t="s">
        <v>194</v>
      </c>
      <c r="AB79" s="846" t="s">
        <v>194</v>
      </c>
      <c r="AC79" s="846" t="s">
        <v>194</v>
      </c>
      <c r="AD79" s="846" t="s">
        <v>194</v>
      </c>
      <c r="AE79" s="846" t="s">
        <v>194</v>
      </c>
      <c r="AF79" s="846" t="s">
        <v>194</v>
      </c>
      <c r="AG79" s="846" t="s">
        <v>194</v>
      </c>
      <c r="AH79" s="846" t="s">
        <v>194</v>
      </c>
      <c r="AI79" s="846" t="s">
        <v>194</v>
      </c>
      <c r="AJ79" s="846" t="s">
        <v>194</v>
      </c>
      <c r="AK79" s="846" t="s">
        <v>194</v>
      </c>
      <c r="AL79" s="846" t="s">
        <v>194</v>
      </c>
      <c r="AM79" s="846" t="s">
        <v>194</v>
      </c>
      <c r="AN79" s="846" t="s">
        <v>194</v>
      </c>
    </row>
    <row r="80" ht="15.75" customHeight="1">
      <c r="A80" s="849" t="s">
        <v>194</v>
      </c>
      <c r="B80" s="15"/>
      <c r="C80" s="892" t="s">
        <v>345</v>
      </c>
      <c r="D80" s="15"/>
      <c r="E80" s="15"/>
      <c r="F80" s="15"/>
      <c r="G80" s="15"/>
      <c r="H80" s="15"/>
      <c r="I80" s="15"/>
      <c r="J80" s="15"/>
      <c r="K80" s="15"/>
      <c r="L80" s="15"/>
      <c r="M80" s="15"/>
      <c r="N80" s="15"/>
      <c r="O80" s="15"/>
      <c r="P80" s="15"/>
      <c r="Q80" s="15"/>
      <c r="R80" s="15"/>
      <c r="S80" s="851" t="s">
        <v>194</v>
      </c>
      <c r="T80" s="846" t="s">
        <v>194</v>
      </c>
      <c r="U80" s="846" t="s">
        <v>194</v>
      </c>
      <c r="V80" s="846" t="s">
        <v>194</v>
      </c>
      <c r="W80" s="846" t="s">
        <v>194</v>
      </c>
      <c r="X80" s="846" t="s">
        <v>194</v>
      </c>
      <c r="Y80" s="846" t="s">
        <v>194</v>
      </c>
      <c r="Z80" s="846" t="s">
        <v>194</v>
      </c>
      <c r="AA80" s="846" t="s">
        <v>194</v>
      </c>
      <c r="AB80" s="846" t="s">
        <v>194</v>
      </c>
      <c r="AC80" s="846" t="s">
        <v>194</v>
      </c>
      <c r="AD80" s="846" t="s">
        <v>194</v>
      </c>
      <c r="AE80" s="846" t="s">
        <v>194</v>
      </c>
      <c r="AF80" s="846" t="s">
        <v>194</v>
      </c>
      <c r="AG80" s="846" t="s">
        <v>194</v>
      </c>
      <c r="AH80" s="846" t="s">
        <v>194</v>
      </c>
      <c r="AI80" s="846" t="s">
        <v>194</v>
      </c>
      <c r="AJ80" s="846" t="s">
        <v>194</v>
      </c>
      <c r="AK80" s="846" t="s">
        <v>194</v>
      </c>
      <c r="AL80" s="846" t="s">
        <v>194</v>
      </c>
      <c r="AM80" s="846" t="s">
        <v>194</v>
      </c>
      <c r="AN80" s="846" t="s">
        <v>194</v>
      </c>
    </row>
    <row r="81" ht="15.75" customHeight="1">
      <c r="A81" s="849" t="s">
        <v>194</v>
      </c>
      <c r="B81" s="15"/>
      <c r="C81" s="15"/>
      <c r="D81" s="15"/>
      <c r="E81" s="15"/>
      <c r="F81" s="15"/>
      <c r="G81" s="15"/>
      <c r="H81" s="15"/>
      <c r="I81" s="15"/>
      <c r="J81" s="15"/>
      <c r="K81" s="15"/>
      <c r="L81" s="15"/>
      <c r="M81" s="15"/>
      <c r="N81" s="15"/>
      <c r="O81" s="15"/>
      <c r="P81" s="15"/>
      <c r="Q81" s="15"/>
      <c r="R81" s="15"/>
      <c r="S81" s="851" t="s">
        <v>194</v>
      </c>
      <c r="T81" s="846" t="s">
        <v>194</v>
      </c>
      <c r="U81" s="846" t="s">
        <v>194</v>
      </c>
      <c r="V81" s="846" t="s">
        <v>194</v>
      </c>
      <c r="W81" s="846" t="s">
        <v>194</v>
      </c>
      <c r="X81" s="846" t="s">
        <v>194</v>
      </c>
      <c r="Y81" s="846" t="s">
        <v>194</v>
      </c>
      <c r="Z81" s="846" t="s">
        <v>194</v>
      </c>
      <c r="AA81" s="846" t="s">
        <v>194</v>
      </c>
      <c r="AB81" s="846" t="s">
        <v>194</v>
      </c>
      <c r="AC81" s="846" t="s">
        <v>194</v>
      </c>
      <c r="AD81" s="846" t="s">
        <v>194</v>
      </c>
      <c r="AE81" s="846" t="s">
        <v>194</v>
      </c>
      <c r="AF81" s="846" t="s">
        <v>194</v>
      </c>
      <c r="AG81" s="846" t="s">
        <v>194</v>
      </c>
      <c r="AH81" s="846" t="s">
        <v>194</v>
      </c>
      <c r="AI81" s="846" t="s">
        <v>194</v>
      </c>
      <c r="AJ81" s="846" t="s">
        <v>194</v>
      </c>
      <c r="AK81" s="846" t="s">
        <v>194</v>
      </c>
      <c r="AL81" s="846" t="s">
        <v>194</v>
      </c>
      <c r="AM81" s="846" t="s">
        <v>194</v>
      </c>
      <c r="AN81" s="846" t="s">
        <v>194</v>
      </c>
    </row>
    <row r="82" ht="15.75" customHeight="1">
      <c r="A82" s="846" t="s">
        <v>194</v>
      </c>
      <c r="B82" s="893" t="s">
        <v>194</v>
      </c>
      <c r="C82" s="893" t="s">
        <v>194</v>
      </c>
      <c r="D82" s="893" t="s">
        <v>194</v>
      </c>
      <c r="E82" s="893" t="s">
        <v>194</v>
      </c>
      <c r="F82" s="893" t="s">
        <v>194</v>
      </c>
      <c r="G82" s="893" t="s">
        <v>194</v>
      </c>
      <c r="H82" s="893" t="s">
        <v>194</v>
      </c>
      <c r="I82" s="893" t="s">
        <v>194</v>
      </c>
      <c r="J82" s="893" t="s">
        <v>194</v>
      </c>
      <c r="K82" s="893" t="s">
        <v>194</v>
      </c>
      <c r="L82" s="893" t="s">
        <v>194</v>
      </c>
      <c r="M82" s="893" t="s">
        <v>194</v>
      </c>
      <c r="N82" s="893" t="s">
        <v>194</v>
      </c>
      <c r="O82" s="893" t="s">
        <v>194</v>
      </c>
      <c r="P82" s="893" t="s">
        <v>194</v>
      </c>
      <c r="Q82" s="893" t="s">
        <v>194</v>
      </c>
      <c r="R82" s="893" t="s">
        <v>194</v>
      </c>
      <c r="S82" s="846" t="s">
        <v>194</v>
      </c>
      <c r="T82" s="846" t="s">
        <v>194</v>
      </c>
      <c r="U82" s="846" t="s">
        <v>194</v>
      </c>
      <c r="V82" s="846" t="s">
        <v>194</v>
      </c>
      <c r="W82" s="846" t="s">
        <v>194</v>
      </c>
      <c r="X82" s="846" t="s">
        <v>194</v>
      </c>
      <c r="Y82" s="846" t="s">
        <v>194</v>
      </c>
      <c r="Z82" s="846" t="s">
        <v>194</v>
      </c>
      <c r="AA82" s="846" t="s">
        <v>194</v>
      </c>
      <c r="AB82" s="846" t="s">
        <v>194</v>
      </c>
      <c r="AC82" s="846" t="s">
        <v>194</v>
      </c>
      <c r="AD82" s="846" t="s">
        <v>194</v>
      </c>
      <c r="AE82" s="846" t="s">
        <v>194</v>
      </c>
      <c r="AF82" s="846" t="s">
        <v>194</v>
      </c>
      <c r="AG82" s="846" t="s">
        <v>194</v>
      </c>
      <c r="AH82" s="846" t="s">
        <v>194</v>
      </c>
      <c r="AI82" s="846" t="s">
        <v>194</v>
      </c>
      <c r="AJ82" s="846" t="s">
        <v>194</v>
      </c>
      <c r="AK82" s="846" t="s">
        <v>194</v>
      </c>
      <c r="AL82" s="846" t="s">
        <v>194</v>
      </c>
      <c r="AM82" s="846" t="s">
        <v>194</v>
      </c>
      <c r="AN82" s="846" t="s">
        <v>194</v>
      </c>
    </row>
    <row r="83" ht="15.75" customHeight="1">
      <c r="A83" s="846" t="s">
        <v>194</v>
      </c>
      <c r="B83" s="846" t="s">
        <v>194</v>
      </c>
      <c r="C83" s="846" t="s">
        <v>194</v>
      </c>
      <c r="D83" s="846" t="s">
        <v>194</v>
      </c>
      <c r="E83" s="846" t="s">
        <v>194</v>
      </c>
      <c r="F83" s="846" t="s">
        <v>194</v>
      </c>
      <c r="G83" s="846" t="s">
        <v>194</v>
      </c>
      <c r="H83" s="846" t="s">
        <v>194</v>
      </c>
      <c r="I83" s="846" t="s">
        <v>194</v>
      </c>
      <c r="J83" s="846" t="s">
        <v>194</v>
      </c>
      <c r="K83" s="846" t="s">
        <v>194</v>
      </c>
      <c r="L83" s="846" t="s">
        <v>194</v>
      </c>
      <c r="M83" s="846" t="s">
        <v>194</v>
      </c>
      <c r="N83" s="846" t="s">
        <v>194</v>
      </c>
      <c r="O83" s="846" t="s">
        <v>194</v>
      </c>
      <c r="P83" s="846" t="s">
        <v>194</v>
      </c>
      <c r="Q83" s="846" t="s">
        <v>194</v>
      </c>
      <c r="R83" s="846" t="s">
        <v>194</v>
      </c>
      <c r="S83" s="846" t="s">
        <v>194</v>
      </c>
      <c r="T83" s="846" t="s">
        <v>194</v>
      </c>
      <c r="U83" s="846" t="s">
        <v>194</v>
      </c>
      <c r="V83" s="846" t="s">
        <v>194</v>
      </c>
      <c r="W83" s="846" t="s">
        <v>194</v>
      </c>
      <c r="X83" s="846" t="s">
        <v>194</v>
      </c>
      <c r="Y83" s="846" t="s">
        <v>194</v>
      </c>
      <c r="Z83" s="846" t="s">
        <v>194</v>
      </c>
      <c r="AA83" s="846" t="s">
        <v>194</v>
      </c>
      <c r="AB83" s="846" t="s">
        <v>194</v>
      </c>
      <c r="AC83" s="846" t="s">
        <v>194</v>
      </c>
      <c r="AD83" s="846" t="s">
        <v>194</v>
      </c>
      <c r="AE83" s="846" t="s">
        <v>194</v>
      </c>
      <c r="AF83" s="846" t="s">
        <v>194</v>
      </c>
      <c r="AG83" s="846" t="s">
        <v>194</v>
      </c>
      <c r="AH83" s="846" t="s">
        <v>194</v>
      </c>
      <c r="AI83" s="846" t="s">
        <v>194</v>
      </c>
      <c r="AJ83" s="846" t="s">
        <v>194</v>
      </c>
      <c r="AK83" s="846" t="s">
        <v>194</v>
      </c>
      <c r="AL83" s="846" t="s">
        <v>194</v>
      </c>
      <c r="AM83" s="846" t="s">
        <v>194</v>
      </c>
      <c r="AN83" s="846" t="s">
        <v>194</v>
      </c>
    </row>
    <row r="84" ht="15.75" customHeight="1">
      <c r="A84" s="846" t="s">
        <v>194</v>
      </c>
      <c r="B84" s="846" t="s">
        <v>194</v>
      </c>
      <c r="C84" s="846" t="s">
        <v>194</v>
      </c>
      <c r="D84" s="846" t="s">
        <v>194</v>
      </c>
      <c r="E84" s="846" t="s">
        <v>194</v>
      </c>
      <c r="F84" s="846" t="s">
        <v>194</v>
      </c>
      <c r="G84" s="846" t="s">
        <v>194</v>
      </c>
      <c r="H84" s="846" t="s">
        <v>194</v>
      </c>
      <c r="I84" s="846" t="s">
        <v>194</v>
      </c>
      <c r="J84" s="846" t="s">
        <v>194</v>
      </c>
      <c r="K84" s="846" t="s">
        <v>194</v>
      </c>
      <c r="L84" s="846" t="s">
        <v>194</v>
      </c>
      <c r="M84" s="846" t="s">
        <v>194</v>
      </c>
      <c r="N84" s="846" t="s">
        <v>194</v>
      </c>
      <c r="O84" s="846" t="s">
        <v>194</v>
      </c>
      <c r="P84" s="846" t="s">
        <v>194</v>
      </c>
      <c r="Q84" s="846" t="s">
        <v>194</v>
      </c>
      <c r="R84" s="846" t="s">
        <v>194</v>
      </c>
      <c r="S84" s="846" t="s">
        <v>194</v>
      </c>
      <c r="T84" s="846" t="s">
        <v>194</v>
      </c>
      <c r="U84" s="846" t="s">
        <v>194</v>
      </c>
      <c r="V84" s="846" t="s">
        <v>194</v>
      </c>
      <c r="W84" s="846" t="s">
        <v>194</v>
      </c>
      <c r="X84" s="846" t="s">
        <v>194</v>
      </c>
      <c r="Y84" s="846" t="s">
        <v>194</v>
      </c>
      <c r="Z84" s="846" t="s">
        <v>194</v>
      </c>
      <c r="AA84" s="846" t="s">
        <v>194</v>
      </c>
      <c r="AB84" s="846" t="s">
        <v>194</v>
      </c>
      <c r="AC84" s="846" t="s">
        <v>194</v>
      </c>
      <c r="AD84" s="846" t="s">
        <v>194</v>
      </c>
      <c r="AE84" s="846" t="s">
        <v>194</v>
      </c>
      <c r="AF84" s="846" t="s">
        <v>194</v>
      </c>
      <c r="AG84" s="846" t="s">
        <v>194</v>
      </c>
      <c r="AH84" s="846" t="s">
        <v>194</v>
      </c>
      <c r="AI84" s="846" t="s">
        <v>194</v>
      </c>
      <c r="AJ84" s="846" t="s">
        <v>194</v>
      </c>
      <c r="AK84" s="846" t="s">
        <v>194</v>
      </c>
      <c r="AL84" s="846" t="s">
        <v>194</v>
      </c>
      <c r="AM84" s="846" t="s">
        <v>194</v>
      </c>
      <c r="AN84" s="846" t="s">
        <v>194</v>
      </c>
    </row>
    <row r="85" ht="15.75" customHeight="1">
      <c r="A85" s="846" t="s">
        <v>194</v>
      </c>
      <c r="B85" s="846" t="s">
        <v>194</v>
      </c>
      <c r="C85" s="846" t="s">
        <v>194</v>
      </c>
      <c r="D85" s="846" t="s">
        <v>194</v>
      </c>
      <c r="E85" s="846" t="s">
        <v>194</v>
      </c>
      <c r="F85" s="846" t="s">
        <v>194</v>
      </c>
      <c r="G85" s="846" t="s">
        <v>194</v>
      </c>
      <c r="H85" s="846" t="s">
        <v>194</v>
      </c>
      <c r="I85" s="846" t="s">
        <v>194</v>
      </c>
      <c r="J85" s="846" t="s">
        <v>194</v>
      </c>
      <c r="K85" s="846" t="s">
        <v>194</v>
      </c>
      <c r="L85" s="846" t="s">
        <v>194</v>
      </c>
      <c r="M85" s="846" t="s">
        <v>194</v>
      </c>
      <c r="N85" s="846" t="s">
        <v>194</v>
      </c>
      <c r="O85" s="846" t="s">
        <v>194</v>
      </c>
      <c r="P85" s="846" t="s">
        <v>194</v>
      </c>
      <c r="Q85" s="846" t="s">
        <v>194</v>
      </c>
      <c r="R85" s="846" t="s">
        <v>194</v>
      </c>
      <c r="S85" s="846" t="s">
        <v>194</v>
      </c>
      <c r="T85" s="846" t="s">
        <v>194</v>
      </c>
      <c r="U85" s="846" t="s">
        <v>194</v>
      </c>
      <c r="V85" s="846" t="s">
        <v>194</v>
      </c>
      <c r="W85" s="846" t="s">
        <v>194</v>
      </c>
      <c r="X85" s="846" t="s">
        <v>194</v>
      </c>
      <c r="Y85" s="846" t="s">
        <v>194</v>
      </c>
      <c r="Z85" s="846" t="s">
        <v>194</v>
      </c>
      <c r="AA85" s="846" t="s">
        <v>194</v>
      </c>
      <c r="AB85" s="846" t="s">
        <v>194</v>
      </c>
      <c r="AC85" s="846" t="s">
        <v>194</v>
      </c>
      <c r="AD85" s="846" t="s">
        <v>194</v>
      </c>
      <c r="AE85" s="846" t="s">
        <v>194</v>
      </c>
      <c r="AF85" s="846" t="s">
        <v>194</v>
      </c>
      <c r="AG85" s="846" t="s">
        <v>194</v>
      </c>
      <c r="AH85" s="846" t="s">
        <v>194</v>
      </c>
      <c r="AI85" s="846" t="s">
        <v>194</v>
      </c>
      <c r="AJ85" s="846" t="s">
        <v>194</v>
      </c>
      <c r="AK85" s="846" t="s">
        <v>194</v>
      </c>
      <c r="AL85" s="846" t="s">
        <v>194</v>
      </c>
      <c r="AM85" s="846" t="s">
        <v>194</v>
      </c>
      <c r="AN85" s="846" t="s">
        <v>194</v>
      </c>
    </row>
    <row r="86" ht="15.75" customHeight="1">
      <c r="A86" s="846" t="s">
        <v>194</v>
      </c>
      <c r="B86" s="846" t="s">
        <v>194</v>
      </c>
      <c r="C86" s="846" t="s">
        <v>194</v>
      </c>
      <c r="D86" s="846" t="s">
        <v>194</v>
      </c>
      <c r="E86" s="846" t="s">
        <v>194</v>
      </c>
      <c r="F86" s="846" t="s">
        <v>194</v>
      </c>
      <c r="G86" s="846" t="s">
        <v>194</v>
      </c>
      <c r="H86" s="846" t="s">
        <v>194</v>
      </c>
      <c r="I86" s="846" t="s">
        <v>194</v>
      </c>
      <c r="J86" s="846" t="s">
        <v>194</v>
      </c>
      <c r="K86" s="846" t="s">
        <v>194</v>
      </c>
      <c r="L86" s="846" t="s">
        <v>194</v>
      </c>
      <c r="M86" s="846" t="s">
        <v>194</v>
      </c>
      <c r="N86" s="846" t="s">
        <v>194</v>
      </c>
      <c r="O86" s="846" t="s">
        <v>194</v>
      </c>
      <c r="P86" s="846" t="s">
        <v>194</v>
      </c>
      <c r="Q86" s="846" t="s">
        <v>194</v>
      </c>
      <c r="R86" s="846" t="s">
        <v>194</v>
      </c>
      <c r="S86" s="846" t="s">
        <v>194</v>
      </c>
      <c r="T86" s="846" t="s">
        <v>194</v>
      </c>
      <c r="U86" s="846" t="s">
        <v>194</v>
      </c>
      <c r="V86" s="846" t="s">
        <v>194</v>
      </c>
      <c r="W86" s="846" t="s">
        <v>194</v>
      </c>
      <c r="X86" s="846" t="s">
        <v>194</v>
      </c>
      <c r="Y86" s="846" t="s">
        <v>194</v>
      </c>
      <c r="Z86" s="846" t="s">
        <v>194</v>
      </c>
      <c r="AA86" s="846" t="s">
        <v>194</v>
      </c>
      <c r="AB86" s="846" t="s">
        <v>194</v>
      </c>
      <c r="AC86" s="846" t="s">
        <v>194</v>
      </c>
      <c r="AD86" s="846" t="s">
        <v>194</v>
      </c>
      <c r="AE86" s="846" t="s">
        <v>194</v>
      </c>
      <c r="AF86" s="846" t="s">
        <v>194</v>
      </c>
      <c r="AG86" s="846" t="s">
        <v>194</v>
      </c>
      <c r="AH86" s="846" t="s">
        <v>194</v>
      </c>
      <c r="AI86" s="846" t="s">
        <v>194</v>
      </c>
      <c r="AJ86" s="846" t="s">
        <v>194</v>
      </c>
      <c r="AK86" s="846" t="s">
        <v>194</v>
      </c>
      <c r="AL86" s="846" t="s">
        <v>194</v>
      </c>
      <c r="AM86" s="846" t="s">
        <v>194</v>
      </c>
      <c r="AN86" s="846" t="s">
        <v>194</v>
      </c>
    </row>
    <row r="87" ht="15.75" customHeight="1">
      <c r="A87" s="846" t="s">
        <v>194</v>
      </c>
      <c r="B87" s="846" t="s">
        <v>194</v>
      </c>
      <c r="C87" s="846" t="s">
        <v>194</v>
      </c>
      <c r="D87" s="846" t="s">
        <v>194</v>
      </c>
      <c r="E87" s="846" t="s">
        <v>194</v>
      </c>
      <c r="F87" s="846" t="s">
        <v>194</v>
      </c>
      <c r="G87" s="846" t="s">
        <v>194</v>
      </c>
      <c r="H87" s="846" t="s">
        <v>194</v>
      </c>
      <c r="I87" s="846" t="s">
        <v>194</v>
      </c>
      <c r="J87" s="846" t="s">
        <v>194</v>
      </c>
      <c r="K87" s="846" t="s">
        <v>194</v>
      </c>
      <c r="L87" s="846" t="s">
        <v>194</v>
      </c>
      <c r="M87" s="846" t="s">
        <v>194</v>
      </c>
      <c r="N87" s="846" t="s">
        <v>194</v>
      </c>
      <c r="O87" s="846" t="s">
        <v>194</v>
      </c>
      <c r="P87" s="846" t="s">
        <v>194</v>
      </c>
      <c r="Q87" s="846" t="s">
        <v>194</v>
      </c>
      <c r="R87" s="846" t="s">
        <v>194</v>
      </c>
      <c r="S87" s="846" t="s">
        <v>194</v>
      </c>
      <c r="T87" s="846" t="s">
        <v>194</v>
      </c>
      <c r="U87" s="846" t="s">
        <v>194</v>
      </c>
      <c r="V87" s="846" t="s">
        <v>194</v>
      </c>
      <c r="W87" s="846" t="s">
        <v>194</v>
      </c>
      <c r="X87" s="846" t="s">
        <v>194</v>
      </c>
      <c r="Y87" s="846" t="s">
        <v>194</v>
      </c>
      <c r="Z87" s="846" t="s">
        <v>194</v>
      </c>
      <c r="AA87" s="846" t="s">
        <v>194</v>
      </c>
      <c r="AB87" s="846" t="s">
        <v>194</v>
      </c>
      <c r="AC87" s="846" t="s">
        <v>194</v>
      </c>
      <c r="AD87" s="846" t="s">
        <v>194</v>
      </c>
      <c r="AE87" s="846" t="s">
        <v>194</v>
      </c>
      <c r="AF87" s="846" t="s">
        <v>194</v>
      </c>
      <c r="AG87" s="846" t="s">
        <v>194</v>
      </c>
      <c r="AH87" s="846" t="s">
        <v>194</v>
      </c>
      <c r="AI87" s="846" t="s">
        <v>194</v>
      </c>
      <c r="AJ87" s="846" t="s">
        <v>194</v>
      </c>
      <c r="AK87" s="846" t="s">
        <v>194</v>
      </c>
      <c r="AL87" s="846" t="s">
        <v>194</v>
      </c>
      <c r="AM87" s="846" t="s">
        <v>194</v>
      </c>
      <c r="AN87" s="846" t="s">
        <v>194</v>
      </c>
    </row>
    <row r="88" ht="15.75" customHeight="1">
      <c r="A88" s="846" t="s">
        <v>194</v>
      </c>
      <c r="B88" s="846" t="s">
        <v>194</v>
      </c>
      <c r="C88" s="846" t="s">
        <v>194</v>
      </c>
      <c r="D88" s="846" t="s">
        <v>194</v>
      </c>
      <c r="E88" s="846" t="s">
        <v>194</v>
      </c>
      <c r="F88" s="846" t="s">
        <v>194</v>
      </c>
      <c r="G88" s="846" t="s">
        <v>194</v>
      </c>
      <c r="H88" s="846" t="s">
        <v>194</v>
      </c>
      <c r="I88" s="846" t="s">
        <v>194</v>
      </c>
      <c r="J88" s="846" t="s">
        <v>194</v>
      </c>
      <c r="K88" s="846" t="s">
        <v>194</v>
      </c>
      <c r="L88" s="846" t="s">
        <v>194</v>
      </c>
      <c r="M88" s="846" t="s">
        <v>194</v>
      </c>
      <c r="N88" s="846" t="s">
        <v>194</v>
      </c>
      <c r="O88" s="846" t="s">
        <v>194</v>
      </c>
      <c r="P88" s="846" t="s">
        <v>194</v>
      </c>
      <c r="Q88" s="846" t="s">
        <v>194</v>
      </c>
      <c r="R88" s="846" t="s">
        <v>194</v>
      </c>
      <c r="S88" s="846" t="s">
        <v>194</v>
      </c>
      <c r="T88" s="846" t="s">
        <v>194</v>
      </c>
      <c r="U88" s="846" t="s">
        <v>194</v>
      </c>
      <c r="V88" s="846" t="s">
        <v>194</v>
      </c>
      <c r="W88" s="846" t="s">
        <v>194</v>
      </c>
      <c r="X88" s="846" t="s">
        <v>194</v>
      </c>
      <c r="Y88" s="846" t="s">
        <v>194</v>
      </c>
      <c r="Z88" s="846" t="s">
        <v>194</v>
      </c>
      <c r="AA88" s="846" t="s">
        <v>194</v>
      </c>
      <c r="AB88" s="846" t="s">
        <v>194</v>
      </c>
      <c r="AC88" s="846" t="s">
        <v>194</v>
      </c>
      <c r="AD88" s="846" t="s">
        <v>194</v>
      </c>
      <c r="AE88" s="846" t="s">
        <v>194</v>
      </c>
      <c r="AF88" s="846" t="s">
        <v>194</v>
      </c>
      <c r="AG88" s="846" t="s">
        <v>194</v>
      </c>
      <c r="AH88" s="846" t="s">
        <v>194</v>
      </c>
      <c r="AI88" s="846" t="s">
        <v>194</v>
      </c>
      <c r="AJ88" s="846" t="s">
        <v>194</v>
      </c>
      <c r="AK88" s="846" t="s">
        <v>194</v>
      </c>
      <c r="AL88" s="846" t="s">
        <v>194</v>
      </c>
      <c r="AM88" s="846" t="s">
        <v>194</v>
      </c>
      <c r="AN88" s="846" t="s">
        <v>194</v>
      </c>
    </row>
    <row r="89" ht="15.75" customHeight="1">
      <c r="A89" s="846" t="s">
        <v>194</v>
      </c>
      <c r="B89" s="846" t="s">
        <v>194</v>
      </c>
      <c r="C89" s="846" t="s">
        <v>194</v>
      </c>
      <c r="D89" s="846" t="s">
        <v>194</v>
      </c>
      <c r="E89" s="846" t="s">
        <v>194</v>
      </c>
      <c r="F89" s="846" t="s">
        <v>194</v>
      </c>
      <c r="G89" s="846" t="s">
        <v>194</v>
      </c>
      <c r="H89" s="846" t="s">
        <v>194</v>
      </c>
      <c r="I89" s="846" t="s">
        <v>194</v>
      </c>
      <c r="J89" s="846" t="s">
        <v>194</v>
      </c>
      <c r="K89" s="846" t="s">
        <v>194</v>
      </c>
      <c r="L89" s="846" t="s">
        <v>194</v>
      </c>
      <c r="M89" s="846" t="s">
        <v>194</v>
      </c>
      <c r="N89" s="846" t="s">
        <v>194</v>
      </c>
      <c r="O89" s="846" t="s">
        <v>194</v>
      </c>
      <c r="P89" s="846" t="s">
        <v>194</v>
      </c>
      <c r="Q89" s="846" t="s">
        <v>194</v>
      </c>
      <c r="R89" s="846" t="s">
        <v>194</v>
      </c>
      <c r="S89" s="846" t="s">
        <v>194</v>
      </c>
      <c r="T89" s="846" t="s">
        <v>194</v>
      </c>
      <c r="U89" s="846" t="s">
        <v>194</v>
      </c>
      <c r="V89" s="846" t="s">
        <v>194</v>
      </c>
      <c r="W89" s="846" t="s">
        <v>194</v>
      </c>
      <c r="X89" s="846" t="s">
        <v>194</v>
      </c>
      <c r="Y89" s="846" t="s">
        <v>194</v>
      </c>
      <c r="Z89" s="846" t="s">
        <v>194</v>
      </c>
      <c r="AA89" s="846" t="s">
        <v>194</v>
      </c>
      <c r="AB89" s="846" t="s">
        <v>194</v>
      </c>
      <c r="AC89" s="846" t="s">
        <v>194</v>
      </c>
      <c r="AD89" s="846" t="s">
        <v>194</v>
      </c>
      <c r="AE89" s="846" t="s">
        <v>194</v>
      </c>
      <c r="AF89" s="846" t="s">
        <v>194</v>
      </c>
      <c r="AG89" s="846" t="s">
        <v>194</v>
      </c>
      <c r="AH89" s="846" t="s">
        <v>194</v>
      </c>
      <c r="AI89" s="846" t="s">
        <v>194</v>
      </c>
      <c r="AJ89" s="846" t="s">
        <v>194</v>
      </c>
      <c r="AK89" s="846" t="s">
        <v>194</v>
      </c>
      <c r="AL89" s="846" t="s">
        <v>194</v>
      </c>
      <c r="AM89" s="846" t="s">
        <v>194</v>
      </c>
      <c r="AN89" s="846" t="s">
        <v>194</v>
      </c>
    </row>
    <row r="90" ht="15.75" customHeight="1">
      <c r="A90" s="846" t="s">
        <v>194</v>
      </c>
      <c r="B90" s="846" t="s">
        <v>194</v>
      </c>
      <c r="C90" s="846" t="s">
        <v>194</v>
      </c>
      <c r="D90" s="846" t="s">
        <v>194</v>
      </c>
      <c r="E90" s="846" t="s">
        <v>194</v>
      </c>
      <c r="F90" s="846" t="s">
        <v>194</v>
      </c>
      <c r="G90" s="846" t="s">
        <v>194</v>
      </c>
      <c r="H90" s="846" t="s">
        <v>194</v>
      </c>
      <c r="I90" s="846" t="s">
        <v>194</v>
      </c>
      <c r="J90" s="846" t="s">
        <v>194</v>
      </c>
      <c r="K90" s="846" t="s">
        <v>194</v>
      </c>
      <c r="L90" s="846" t="s">
        <v>194</v>
      </c>
      <c r="M90" s="846" t="s">
        <v>194</v>
      </c>
      <c r="N90" s="846" t="s">
        <v>194</v>
      </c>
      <c r="O90" s="846" t="s">
        <v>194</v>
      </c>
      <c r="P90" s="846" t="s">
        <v>194</v>
      </c>
      <c r="Q90" s="846" t="s">
        <v>194</v>
      </c>
      <c r="R90" s="846" t="s">
        <v>194</v>
      </c>
      <c r="S90" s="846" t="s">
        <v>194</v>
      </c>
      <c r="T90" s="846" t="s">
        <v>194</v>
      </c>
      <c r="U90" s="846" t="s">
        <v>194</v>
      </c>
      <c r="V90" s="846" t="s">
        <v>194</v>
      </c>
      <c r="W90" s="846" t="s">
        <v>194</v>
      </c>
      <c r="X90" s="846" t="s">
        <v>194</v>
      </c>
      <c r="Y90" s="846" t="s">
        <v>194</v>
      </c>
      <c r="Z90" s="846" t="s">
        <v>194</v>
      </c>
      <c r="AA90" s="846" t="s">
        <v>194</v>
      </c>
      <c r="AB90" s="846" t="s">
        <v>194</v>
      </c>
      <c r="AC90" s="846" t="s">
        <v>194</v>
      </c>
      <c r="AD90" s="846" t="s">
        <v>194</v>
      </c>
      <c r="AE90" s="846" t="s">
        <v>194</v>
      </c>
      <c r="AF90" s="846" t="s">
        <v>194</v>
      </c>
      <c r="AG90" s="846" t="s">
        <v>194</v>
      </c>
      <c r="AH90" s="846" t="s">
        <v>194</v>
      </c>
      <c r="AI90" s="846" t="s">
        <v>194</v>
      </c>
      <c r="AJ90" s="846" t="s">
        <v>194</v>
      </c>
      <c r="AK90" s="846" t="s">
        <v>194</v>
      </c>
      <c r="AL90" s="846" t="s">
        <v>194</v>
      </c>
      <c r="AM90" s="846" t="s">
        <v>194</v>
      </c>
      <c r="AN90" s="846" t="s">
        <v>194</v>
      </c>
    </row>
    <row r="91" ht="15.75" customHeight="1">
      <c r="A91" s="846" t="s">
        <v>194</v>
      </c>
      <c r="B91" s="846" t="s">
        <v>194</v>
      </c>
      <c r="C91" s="846" t="s">
        <v>194</v>
      </c>
      <c r="D91" s="846" t="s">
        <v>194</v>
      </c>
      <c r="E91" s="846" t="s">
        <v>194</v>
      </c>
      <c r="F91" s="846" t="s">
        <v>194</v>
      </c>
      <c r="G91" s="846" t="s">
        <v>194</v>
      </c>
      <c r="H91" s="846" t="s">
        <v>194</v>
      </c>
      <c r="I91" s="846" t="s">
        <v>194</v>
      </c>
      <c r="J91" s="846" t="s">
        <v>194</v>
      </c>
      <c r="K91" s="846" t="s">
        <v>194</v>
      </c>
      <c r="L91" s="846" t="s">
        <v>194</v>
      </c>
      <c r="M91" s="846" t="s">
        <v>194</v>
      </c>
      <c r="N91" s="846" t="s">
        <v>194</v>
      </c>
      <c r="O91" s="846" t="s">
        <v>194</v>
      </c>
      <c r="P91" s="846" t="s">
        <v>194</v>
      </c>
      <c r="Q91" s="846" t="s">
        <v>194</v>
      </c>
      <c r="R91" s="846" t="s">
        <v>194</v>
      </c>
      <c r="S91" s="846" t="s">
        <v>194</v>
      </c>
      <c r="T91" s="846" t="s">
        <v>194</v>
      </c>
      <c r="U91" s="846" t="s">
        <v>194</v>
      </c>
      <c r="V91" s="846" t="s">
        <v>194</v>
      </c>
      <c r="W91" s="846" t="s">
        <v>194</v>
      </c>
      <c r="X91" s="846" t="s">
        <v>194</v>
      </c>
      <c r="Y91" s="846" t="s">
        <v>194</v>
      </c>
      <c r="Z91" s="846" t="s">
        <v>194</v>
      </c>
      <c r="AA91" s="846" t="s">
        <v>194</v>
      </c>
      <c r="AB91" s="846" t="s">
        <v>194</v>
      </c>
      <c r="AC91" s="846" t="s">
        <v>194</v>
      </c>
      <c r="AD91" s="846" t="s">
        <v>194</v>
      </c>
      <c r="AE91" s="846" t="s">
        <v>194</v>
      </c>
      <c r="AF91" s="846" t="s">
        <v>194</v>
      </c>
      <c r="AG91" s="846" t="s">
        <v>194</v>
      </c>
      <c r="AH91" s="846" t="s">
        <v>194</v>
      </c>
      <c r="AI91" s="846" t="s">
        <v>194</v>
      </c>
      <c r="AJ91" s="846" t="s">
        <v>194</v>
      </c>
      <c r="AK91" s="846" t="s">
        <v>194</v>
      </c>
      <c r="AL91" s="846" t="s">
        <v>194</v>
      </c>
      <c r="AM91" s="846" t="s">
        <v>194</v>
      </c>
      <c r="AN91" s="846" t="s">
        <v>194</v>
      </c>
    </row>
    <row r="92" ht="15.75" customHeight="1">
      <c r="A92" s="846" t="s">
        <v>194</v>
      </c>
      <c r="B92" s="846" t="s">
        <v>194</v>
      </c>
      <c r="C92" s="846" t="s">
        <v>194</v>
      </c>
      <c r="D92" s="846" t="s">
        <v>194</v>
      </c>
      <c r="E92" s="846" t="s">
        <v>194</v>
      </c>
      <c r="F92" s="846" t="s">
        <v>194</v>
      </c>
      <c r="G92" s="846" t="s">
        <v>194</v>
      </c>
      <c r="H92" s="846" t="s">
        <v>194</v>
      </c>
      <c r="I92" s="846" t="s">
        <v>194</v>
      </c>
      <c r="J92" s="846" t="s">
        <v>194</v>
      </c>
      <c r="K92" s="846" t="s">
        <v>194</v>
      </c>
      <c r="L92" s="846" t="s">
        <v>194</v>
      </c>
      <c r="M92" s="846" t="s">
        <v>194</v>
      </c>
      <c r="N92" s="846" t="s">
        <v>194</v>
      </c>
      <c r="O92" s="846" t="s">
        <v>194</v>
      </c>
      <c r="P92" s="846" t="s">
        <v>194</v>
      </c>
      <c r="Q92" s="846" t="s">
        <v>194</v>
      </c>
      <c r="R92" s="846" t="s">
        <v>194</v>
      </c>
      <c r="S92" s="846" t="s">
        <v>194</v>
      </c>
      <c r="T92" s="846" t="s">
        <v>194</v>
      </c>
      <c r="U92" s="846" t="s">
        <v>194</v>
      </c>
      <c r="V92" s="846" t="s">
        <v>194</v>
      </c>
      <c r="W92" s="846" t="s">
        <v>194</v>
      </c>
      <c r="X92" s="846" t="s">
        <v>194</v>
      </c>
      <c r="Y92" s="846" t="s">
        <v>194</v>
      </c>
      <c r="Z92" s="846" t="s">
        <v>194</v>
      </c>
      <c r="AA92" s="846" t="s">
        <v>194</v>
      </c>
      <c r="AB92" s="846" t="s">
        <v>194</v>
      </c>
      <c r="AC92" s="846" t="s">
        <v>194</v>
      </c>
      <c r="AD92" s="846" t="s">
        <v>194</v>
      </c>
      <c r="AE92" s="846" t="s">
        <v>194</v>
      </c>
      <c r="AF92" s="846" t="s">
        <v>194</v>
      </c>
      <c r="AG92" s="846" t="s">
        <v>194</v>
      </c>
      <c r="AH92" s="846" t="s">
        <v>194</v>
      </c>
      <c r="AI92" s="846" t="s">
        <v>194</v>
      </c>
      <c r="AJ92" s="846" t="s">
        <v>194</v>
      </c>
      <c r="AK92" s="846" t="s">
        <v>194</v>
      </c>
      <c r="AL92" s="846" t="s">
        <v>194</v>
      </c>
      <c r="AM92" s="846" t="s">
        <v>194</v>
      </c>
      <c r="AN92" s="846" t="s">
        <v>194</v>
      </c>
    </row>
    <row r="93" ht="15.75" customHeight="1">
      <c r="A93" s="846" t="s">
        <v>194</v>
      </c>
      <c r="B93" s="846" t="s">
        <v>194</v>
      </c>
      <c r="C93" s="846" t="s">
        <v>194</v>
      </c>
      <c r="D93" s="846" t="s">
        <v>194</v>
      </c>
      <c r="E93" s="846" t="s">
        <v>194</v>
      </c>
      <c r="F93" s="846" t="s">
        <v>194</v>
      </c>
      <c r="G93" s="846" t="s">
        <v>194</v>
      </c>
      <c r="H93" s="846" t="s">
        <v>194</v>
      </c>
      <c r="I93" s="846" t="s">
        <v>194</v>
      </c>
      <c r="J93" s="846" t="s">
        <v>194</v>
      </c>
      <c r="K93" s="846" t="s">
        <v>194</v>
      </c>
      <c r="L93" s="846" t="s">
        <v>194</v>
      </c>
      <c r="M93" s="846" t="s">
        <v>194</v>
      </c>
      <c r="N93" s="846" t="s">
        <v>194</v>
      </c>
      <c r="O93" s="846" t="s">
        <v>194</v>
      </c>
      <c r="P93" s="846" t="s">
        <v>194</v>
      </c>
      <c r="Q93" s="846" t="s">
        <v>194</v>
      </c>
      <c r="R93" s="846" t="s">
        <v>194</v>
      </c>
      <c r="S93" s="846" t="s">
        <v>194</v>
      </c>
      <c r="T93" s="846" t="s">
        <v>194</v>
      </c>
      <c r="U93" s="846" t="s">
        <v>194</v>
      </c>
      <c r="V93" s="846" t="s">
        <v>194</v>
      </c>
      <c r="W93" s="846" t="s">
        <v>194</v>
      </c>
      <c r="X93" s="846" t="s">
        <v>194</v>
      </c>
      <c r="Y93" s="846" t="s">
        <v>194</v>
      </c>
      <c r="Z93" s="846" t="s">
        <v>194</v>
      </c>
      <c r="AA93" s="846" t="s">
        <v>194</v>
      </c>
      <c r="AB93" s="846" t="s">
        <v>194</v>
      </c>
      <c r="AC93" s="846" t="s">
        <v>194</v>
      </c>
      <c r="AD93" s="846" t="s">
        <v>194</v>
      </c>
      <c r="AE93" s="846" t="s">
        <v>194</v>
      </c>
      <c r="AF93" s="846" t="s">
        <v>194</v>
      </c>
      <c r="AG93" s="846" t="s">
        <v>194</v>
      </c>
      <c r="AH93" s="846" t="s">
        <v>194</v>
      </c>
      <c r="AI93" s="846" t="s">
        <v>194</v>
      </c>
      <c r="AJ93" s="846" t="s">
        <v>194</v>
      </c>
      <c r="AK93" s="846" t="s">
        <v>194</v>
      </c>
      <c r="AL93" s="846" t="s">
        <v>194</v>
      </c>
      <c r="AM93" s="846" t="s">
        <v>194</v>
      </c>
      <c r="AN93" s="846" t="s">
        <v>194</v>
      </c>
    </row>
    <row r="94" ht="15.75" customHeight="1">
      <c r="A94" s="846" t="s">
        <v>194</v>
      </c>
      <c r="B94" s="846" t="s">
        <v>194</v>
      </c>
      <c r="C94" s="846" t="s">
        <v>194</v>
      </c>
      <c r="D94" s="846" t="s">
        <v>194</v>
      </c>
      <c r="E94" s="846" t="s">
        <v>194</v>
      </c>
      <c r="F94" s="846" t="s">
        <v>194</v>
      </c>
      <c r="G94" s="846" t="s">
        <v>194</v>
      </c>
      <c r="H94" s="846" t="s">
        <v>194</v>
      </c>
      <c r="I94" s="846" t="s">
        <v>194</v>
      </c>
      <c r="J94" s="846" t="s">
        <v>194</v>
      </c>
      <c r="K94" s="846" t="s">
        <v>194</v>
      </c>
      <c r="L94" s="846" t="s">
        <v>194</v>
      </c>
      <c r="M94" s="846" t="s">
        <v>194</v>
      </c>
      <c r="N94" s="846" t="s">
        <v>194</v>
      </c>
      <c r="O94" s="846" t="s">
        <v>194</v>
      </c>
      <c r="P94" s="846" t="s">
        <v>194</v>
      </c>
      <c r="Q94" s="846" t="s">
        <v>194</v>
      </c>
      <c r="R94" s="846" t="s">
        <v>194</v>
      </c>
      <c r="S94" s="846" t="s">
        <v>194</v>
      </c>
      <c r="T94" s="846" t="s">
        <v>194</v>
      </c>
      <c r="U94" s="846" t="s">
        <v>194</v>
      </c>
      <c r="V94" s="846" t="s">
        <v>194</v>
      </c>
      <c r="W94" s="846" t="s">
        <v>194</v>
      </c>
      <c r="X94" s="846" t="s">
        <v>194</v>
      </c>
      <c r="Y94" s="846" t="s">
        <v>194</v>
      </c>
      <c r="Z94" s="846" t="s">
        <v>194</v>
      </c>
      <c r="AA94" s="846" t="s">
        <v>194</v>
      </c>
      <c r="AB94" s="846" t="s">
        <v>194</v>
      </c>
      <c r="AC94" s="846" t="s">
        <v>194</v>
      </c>
      <c r="AD94" s="846" t="s">
        <v>194</v>
      </c>
      <c r="AE94" s="846" t="s">
        <v>194</v>
      </c>
      <c r="AF94" s="846" t="s">
        <v>194</v>
      </c>
      <c r="AG94" s="846" t="s">
        <v>194</v>
      </c>
      <c r="AH94" s="846" t="s">
        <v>194</v>
      </c>
      <c r="AI94" s="846" t="s">
        <v>194</v>
      </c>
      <c r="AJ94" s="846" t="s">
        <v>194</v>
      </c>
      <c r="AK94" s="846" t="s">
        <v>194</v>
      </c>
      <c r="AL94" s="846" t="s">
        <v>194</v>
      </c>
      <c r="AM94" s="846" t="s">
        <v>194</v>
      </c>
      <c r="AN94" s="846" t="s">
        <v>194</v>
      </c>
    </row>
    <row r="95" ht="15.75" customHeight="1">
      <c r="A95" s="846" t="s">
        <v>194</v>
      </c>
      <c r="B95" s="846" t="s">
        <v>194</v>
      </c>
      <c r="C95" s="846" t="s">
        <v>194</v>
      </c>
      <c r="D95" s="846" t="s">
        <v>194</v>
      </c>
      <c r="E95" s="846" t="s">
        <v>194</v>
      </c>
      <c r="F95" s="846" t="s">
        <v>194</v>
      </c>
      <c r="G95" s="846" t="s">
        <v>194</v>
      </c>
      <c r="H95" s="846" t="s">
        <v>194</v>
      </c>
      <c r="I95" s="846" t="s">
        <v>194</v>
      </c>
      <c r="J95" s="846" t="s">
        <v>194</v>
      </c>
      <c r="K95" s="846" t="s">
        <v>194</v>
      </c>
      <c r="L95" s="846" t="s">
        <v>194</v>
      </c>
      <c r="M95" s="846" t="s">
        <v>194</v>
      </c>
      <c r="N95" s="846" t="s">
        <v>194</v>
      </c>
      <c r="O95" s="846" t="s">
        <v>194</v>
      </c>
      <c r="P95" s="846" t="s">
        <v>194</v>
      </c>
      <c r="Q95" s="846" t="s">
        <v>194</v>
      </c>
      <c r="R95" s="846" t="s">
        <v>194</v>
      </c>
      <c r="S95" s="846" t="s">
        <v>194</v>
      </c>
      <c r="T95" s="846" t="s">
        <v>194</v>
      </c>
      <c r="U95" s="846" t="s">
        <v>194</v>
      </c>
      <c r="V95" s="846" t="s">
        <v>194</v>
      </c>
      <c r="W95" s="846" t="s">
        <v>194</v>
      </c>
      <c r="X95" s="846" t="s">
        <v>194</v>
      </c>
      <c r="Y95" s="846" t="s">
        <v>194</v>
      </c>
      <c r="Z95" s="846" t="s">
        <v>194</v>
      </c>
      <c r="AA95" s="846" t="s">
        <v>194</v>
      </c>
      <c r="AB95" s="846" t="s">
        <v>194</v>
      </c>
      <c r="AC95" s="846" t="s">
        <v>194</v>
      </c>
      <c r="AD95" s="846" t="s">
        <v>194</v>
      </c>
      <c r="AE95" s="846" t="s">
        <v>194</v>
      </c>
      <c r="AF95" s="846" t="s">
        <v>194</v>
      </c>
      <c r="AG95" s="846" t="s">
        <v>194</v>
      </c>
      <c r="AH95" s="846" t="s">
        <v>194</v>
      </c>
      <c r="AI95" s="846" t="s">
        <v>194</v>
      </c>
      <c r="AJ95" s="846" t="s">
        <v>194</v>
      </c>
      <c r="AK95" s="846" t="s">
        <v>194</v>
      </c>
      <c r="AL95" s="846" t="s">
        <v>194</v>
      </c>
      <c r="AM95" s="846" t="s">
        <v>194</v>
      </c>
      <c r="AN95" s="846" t="s">
        <v>194</v>
      </c>
    </row>
    <row r="96" ht="15.75" customHeight="1">
      <c r="A96" s="846" t="s">
        <v>194</v>
      </c>
      <c r="B96" s="846" t="s">
        <v>194</v>
      </c>
      <c r="C96" s="846" t="s">
        <v>194</v>
      </c>
      <c r="D96" s="846" t="s">
        <v>194</v>
      </c>
      <c r="E96" s="846" t="s">
        <v>194</v>
      </c>
      <c r="F96" s="846" t="s">
        <v>194</v>
      </c>
      <c r="G96" s="846" t="s">
        <v>194</v>
      </c>
      <c r="H96" s="846" t="s">
        <v>194</v>
      </c>
      <c r="I96" s="846" t="s">
        <v>194</v>
      </c>
      <c r="J96" s="846" t="s">
        <v>194</v>
      </c>
      <c r="K96" s="846" t="s">
        <v>194</v>
      </c>
      <c r="L96" s="846" t="s">
        <v>194</v>
      </c>
      <c r="M96" s="846" t="s">
        <v>194</v>
      </c>
      <c r="N96" s="846" t="s">
        <v>194</v>
      </c>
      <c r="O96" s="846" t="s">
        <v>194</v>
      </c>
      <c r="P96" s="846" t="s">
        <v>194</v>
      </c>
      <c r="Q96" s="846" t="s">
        <v>194</v>
      </c>
      <c r="R96" s="846" t="s">
        <v>194</v>
      </c>
      <c r="S96" s="846" t="s">
        <v>194</v>
      </c>
      <c r="T96" s="846" t="s">
        <v>194</v>
      </c>
      <c r="U96" s="846" t="s">
        <v>194</v>
      </c>
      <c r="V96" s="846" t="s">
        <v>194</v>
      </c>
      <c r="W96" s="846" t="s">
        <v>194</v>
      </c>
      <c r="X96" s="846" t="s">
        <v>194</v>
      </c>
      <c r="Y96" s="846" t="s">
        <v>194</v>
      </c>
      <c r="Z96" s="846" t="s">
        <v>194</v>
      </c>
      <c r="AA96" s="846" t="s">
        <v>194</v>
      </c>
      <c r="AB96" s="846" t="s">
        <v>194</v>
      </c>
      <c r="AC96" s="846" t="s">
        <v>194</v>
      </c>
      <c r="AD96" s="846" t="s">
        <v>194</v>
      </c>
      <c r="AE96" s="846" t="s">
        <v>194</v>
      </c>
      <c r="AF96" s="846" t="s">
        <v>194</v>
      </c>
      <c r="AG96" s="846" t="s">
        <v>194</v>
      </c>
      <c r="AH96" s="846" t="s">
        <v>194</v>
      </c>
      <c r="AI96" s="846" t="s">
        <v>194</v>
      </c>
      <c r="AJ96" s="846" t="s">
        <v>194</v>
      </c>
      <c r="AK96" s="846" t="s">
        <v>194</v>
      </c>
      <c r="AL96" s="846" t="s">
        <v>194</v>
      </c>
      <c r="AM96" s="846" t="s">
        <v>194</v>
      </c>
      <c r="AN96" s="846" t="s">
        <v>194</v>
      </c>
    </row>
    <row r="97" ht="15.75" customHeight="1">
      <c r="A97" s="846" t="s">
        <v>194</v>
      </c>
      <c r="B97" s="846" t="s">
        <v>194</v>
      </c>
      <c r="C97" s="846" t="s">
        <v>194</v>
      </c>
      <c r="D97" s="846" t="s">
        <v>194</v>
      </c>
      <c r="E97" s="846" t="s">
        <v>194</v>
      </c>
      <c r="F97" s="846" t="s">
        <v>194</v>
      </c>
      <c r="G97" s="846" t="s">
        <v>194</v>
      </c>
      <c r="H97" s="846" t="s">
        <v>194</v>
      </c>
      <c r="I97" s="846" t="s">
        <v>194</v>
      </c>
      <c r="J97" s="846" t="s">
        <v>194</v>
      </c>
      <c r="K97" s="846" t="s">
        <v>194</v>
      </c>
      <c r="L97" s="846" t="s">
        <v>194</v>
      </c>
      <c r="M97" s="846" t="s">
        <v>194</v>
      </c>
      <c r="N97" s="846" t="s">
        <v>194</v>
      </c>
      <c r="O97" s="846" t="s">
        <v>194</v>
      </c>
      <c r="P97" s="846" t="s">
        <v>194</v>
      </c>
      <c r="Q97" s="846" t="s">
        <v>194</v>
      </c>
      <c r="R97" s="846" t="s">
        <v>194</v>
      </c>
      <c r="S97" s="846" t="s">
        <v>194</v>
      </c>
      <c r="T97" s="846" t="s">
        <v>194</v>
      </c>
      <c r="U97" s="846" t="s">
        <v>194</v>
      </c>
      <c r="V97" s="846" t="s">
        <v>194</v>
      </c>
      <c r="W97" s="846" t="s">
        <v>194</v>
      </c>
      <c r="X97" s="846" t="s">
        <v>194</v>
      </c>
      <c r="Y97" s="846" t="s">
        <v>194</v>
      </c>
      <c r="Z97" s="846" t="s">
        <v>194</v>
      </c>
      <c r="AA97" s="846" t="s">
        <v>194</v>
      </c>
      <c r="AB97" s="846" t="s">
        <v>194</v>
      </c>
      <c r="AC97" s="846" t="s">
        <v>194</v>
      </c>
      <c r="AD97" s="846" t="s">
        <v>194</v>
      </c>
      <c r="AE97" s="846" t="s">
        <v>194</v>
      </c>
      <c r="AF97" s="846" t="s">
        <v>194</v>
      </c>
      <c r="AG97" s="846" t="s">
        <v>194</v>
      </c>
      <c r="AH97" s="846" t="s">
        <v>194</v>
      </c>
      <c r="AI97" s="846" t="s">
        <v>194</v>
      </c>
      <c r="AJ97" s="846" t="s">
        <v>194</v>
      </c>
      <c r="AK97" s="846" t="s">
        <v>194</v>
      </c>
      <c r="AL97" s="846" t="s">
        <v>194</v>
      </c>
      <c r="AM97" s="846" t="s">
        <v>194</v>
      </c>
      <c r="AN97" s="846" t="s">
        <v>194</v>
      </c>
    </row>
    <row r="98" ht="15.75" customHeight="1">
      <c r="A98" s="846" t="s">
        <v>194</v>
      </c>
      <c r="B98" s="846" t="s">
        <v>194</v>
      </c>
      <c r="C98" s="846" t="s">
        <v>194</v>
      </c>
      <c r="D98" s="846" t="s">
        <v>194</v>
      </c>
      <c r="E98" s="846" t="s">
        <v>194</v>
      </c>
      <c r="F98" s="846" t="s">
        <v>194</v>
      </c>
      <c r="G98" s="846" t="s">
        <v>194</v>
      </c>
      <c r="H98" s="846" t="s">
        <v>194</v>
      </c>
      <c r="I98" s="846" t="s">
        <v>194</v>
      </c>
      <c r="J98" s="846" t="s">
        <v>194</v>
      </c>
      <c r="K98" s="846" t="s">
        <v>194</v>
      </c>
      <c r="L98" s="846" t="s">
        <v>194</v>
      </c>
      <c r="M98" s="846" t="s">
        <v>194</v>
      </c>
      <c r="N98" s="846" t="s">
        <v>194</v>
      </c>
      <c r="O98" s="846" t="s">
        <v>194</v>
      </c>
      <c r="P98" s="846" t="s">
        <v>194</v>
      </c>
      <c r="Q98" s="846" t="s">
        <v>194</v>
      </c>
      <c r="R98" s="846" t="s">
        <v>194</v>
      </c>
      <c r="S98" s="846" t="s">
        <v>194</v>
      </c>
      <c r="T98" s="846" t="s">
        <v>194</v>
      </c>
      <c r="U98" s="846" t="s">
        <v>194</v>
      </c>
      <c r="V98" s="846" t="s">
        <v>194</v>
      </c>
      <c r="W98" s="846" t="s">
        <v>194</v>
      </c>
      <c r="X98" s="846" t="s">
        <v>194</v>
      </c>
      <c r="Y98" s="846" t="s">
        <v>194</v>
      </c>
      <c r="Z98" s="846" t="s">
        <v>194</v>
      </c>
      <c r="AA98" s="846" t="s">
        <v>194</v>
      </c>
      <c r="AB98" s="846" t="s">
        <v>194</v>
      </c>
      <c r="AC98" s="846" t="s">
        <v>194</v>
      </c>
      <c r="AD98" s="846" t="s">
        <v>194</v>
      </c>
      <c r="AE98" s="846" t="s">
        <v>194</v>
      </c>
      <c r="AF98" s="846" t="s">
        <v>194</v>
      </c>
      <c r="AG98" s="846" t="s">
        <v>194</v>
      </c>
      <c r="AH98" s="846" t="s">
        <v>194</v>
      </c>
      <c r="AI98" s="846" t="s">
        <v>194</v>
      </c>
      <c r="AJ98" s="846" t="s">
        <v>194</v>
      </c>
      <c r="AK98" s="846" t="s">
        <v>194</v>
      </c>
      <c r="AL98" s="846" t="s">
        <v>194</v>
      </c>
      <c r="AM98" s="846" t="s">
        <v>194</v>
      </c>
      <c r="AN98" s="846" t="s">
        <v>194</v>
      </c>
    </row>
    <row r="99" ht="15.75" customHeight="1">
      <c r="A99" s="846" t="s">
        <v>194</v>
      </c>
      <c r="B99" s="846" t="s">
        <v>194</v>
      </c>
      <c r="C99" s="846" t="s">
        <v>194</v>
      </c>
      <c r="D99" s="846" t="s">
        <v>194</v>
      </c>
      <c r="E99" s="846" t="s">
        <v>194</v>
      </c>
      <c r="F99" s="846" t="s">
        <v>194</v>
      </c>
      <c r="G99" s="846" t="s">
        <v>194</v>
      </c>
      <c r="H99" s="846" t="s">
        <v>194</v>
      </c>
      <c r="I99" s="846" t="s">
        <v>194</v>
      </c>
      <c r="J99" s="846" t="s">
        <v>194</v>
      </c>
      <c r="K99" s="846" t="s">
        <v>194</v>
      </c>
      <c r="L99" s="846" t="s">
        <v>194</v>
      </c>
      <c r="M99" s="846" t="s">
        <v>194</v>
      </c>
      <c r="N99" s="846" t="s">
        <v>194</v>
      </c>
      <c r="O99" s="846" t="s">
        <v>194</v>
      </c>
      <c r="P99" s="846" t="s">
        <v>194</v>
      </c>
      <c r="Q99" s="846" t="s">
        <v>194</v>
      </c>
      <c r="R99" s="846" t="s">
        <v>194</v>
      </c>
      <c r="S99" s="846" t="s">
        <v>194</v>
      </c>
      <c r="T99" s="846" t="s">
        <v>194</v>
      </c>
      <c r="U99" s="846" t="s">
        <v>194</v>
      </c>
      <c r="V99" s="846" t="s">
        <v>194</v>
      </c>
      <c r="W99" s="846" t="s">
        <v>194</v>
      </c>
      <c r="X99" s="846" t="s">
        <v>194</v>
      </c>
      <c r="Y99" s="846" t="s">
        <v>194</v>
      </c>
      <c r="Z99" s="846" t="s">
        <v>194</v>
      </c>
      <c r="AA99" s="846" t="s">
        <v>194</v>
      </c>
      <c r="AB99" s="846" t="s">
        <v>194</v>
      </c>
      <c r="AC99" s="846" t="s">
        <v>194</v>
      </c>
      <c r="AD99" s="846" t="s">
        <v>194</v>
      </c>
      <c r="AE99" s="846" t="s">
        <v>194</v>
      </c>
      <c r="AF99" s="846" t="s">
        <v>194</v>
      </c>
      <c r="AG99" s="846" t="s">
        <v>194</v>
      </c>
      <c r="AH99" s="846" t="s">
        <v>194</v>
      </c>
      <c r="AI99" s="846" t="s">
        <v>194</v>
      </c>
      <c r="AJ99" s="846" t="s">
        <v>194</v>
      </c>
      <c r="AK99" s="846" t="s">
        <v>194</v>
      </c>
      <c r="AL99" s="846" t="s">
        <v>194</v>
      </c>
      <c r="AM99" s="846" t="s">
        <v>194</v>
      </c>
      <c r="AN99" s="846" t="s">
        <v>194</v>
      </c>
    </row>
    <row r="100" ht="15.75" customHeight="1">
      <c r="A100" s="846" t="s">
        <v>194</v>
      </c>
      <c r="B100" s="846" t="s">
        <v>194</v>
      </c>
      <c r="C100" s="846" t="s">
        <v>194</v>
      </c>
      <c r="D100" s="846" t="s">
        <v>194</v>
      </c>
      <c r="E100" s="846" t="s">
        <v>194</v>
      </c>
      <c r="F100" s="846" t="s">
        <v>194</v>
      </c>
      <c r="G100" s="846" t="s">
        <v>194</v>
      </c>
      <c r="H100" s="846" t="s">
        <v>194</v>
      </c>
      <c r="I100" s="846" t="s">
        <v>194</v>
      </c>
      <c r="J100" s="846" t="s">
        <v>194</v>
      </c>
      <c r="K100" s="846" t="s">
        <v>194</v>
      </c>
      <c r="L100" s="846" t="s">
        <v>194</v>
      </c>
      <c r="M100" s="846" t="s">
        <v>194</v>
      </c>
      <c r="N100" s="846" t="s">
        <v>194</v>
      </c>
      <c r="O100" s="846" t="s">
        <v>194</v>
      </c>
      <c r="P100" s="846" t="s">
        <v>194</v>
      </c>
      <c r="Q100" s="846" t="s">
        <v>194</v>
      </c>
      <c r="R100" s="846" t="s">
        <v>194</v>
      </c>
      <c r="S100" s="846" t="s">
        <v>194</v>
      </c>
      <c r="T100" s="846" t="s">
        <v>194</v>
      </c>
      <c r="U100" s="846" t="s">
        <v>194</v>
      </c>
      <c r="V100" s="846" t="s">
        <v>194</v>
      </c>
      <c r="W100" s="846" t="s">
        <v>194</v>
      </c>
      <c r="X100" s="846" t="s">
        <v>194</v>
      </c>
      <c r="Y100" s="846" t="s">
        <v>194</v>
      </c>
      <c r="Z100" s="846" t="s">
        <v>194</v>
      </c>
      <c r="AA100" s="846" t="s">
        <v>194</v>
      </c>
      <c r="AB100" s="846" t="s">
        <v>194</v>
      </c>
      <c r="AC100" s="846" t="s">
        <v>194</v>
      </c>
      <c r="AD100" s="846" t="s">
        <v>194</v>
      </c>
      <c r="AE100" s="846" t="s">
        <v>194</v>
      </c>
      <c r="AF100" s="846" t="s">
        <v>194</v>
      </c>
      <c r="AG100" s="846" t="s">
        <v>194</v>
      </c>
      <c r="AH100" s="846" t="s">
        <v>194</v>
      </c>
      <c r="AI100" s="846" t="s">
        <v>194</v>
      </c>
      <c r="AJ100" s="846" t="s">
        <v>194</v>
      </c>
      <c r="AK100" s="846" t="s">
        <v>194</v>
      </c>
      <c r="AL100" s="846" t="s">
        <v>194</v>
      </c>
      <c r="AM100" s="846" t="s">
        <v>194</v>
      </c>
      <c r="AN100" s="846" t="s">
        <v>194</v>
      </c>
    </row>
    <row r="101" ht="15.75" customHeight="1">
      <c r="A101" s="846" t="s">
        <v>194</v>
      </c>
      <c r="B101" s="846" t="s">
        <v>194</v>
      </c>
      <c r="C101" s="846" t="s">
        <v>194</v>
      </c>
      <c r="D101" s="846" t="s">
        <v>194</v>
      </c>
      <c r="E101" s="846" t="s">
        <v>194</v>
      </c>
      <c r="F101" s="846" t="s">
        <v>194</v>
      </c>
      <c r="G101" s="846" t="s">
        <v>194</v>
      </c>
      <c r="H101" s="846" t="s">
        <v>194</v>
      </c>
      <c r="I101" s="846" t="s">
        <v>194</v>
      </c>
      <c r="J101" s="846" t="s">
        <v>194</v>
      </c>
      <c r="K101" s="846" t="s">
        <v>194</v>
      </c>
      <c r="L101" s="846" t="s">
        <v>194</v>
      </c>
      <c r="M101" s="846" t="s">
        <v>194</v>
      </c>
      <c r="N101" s="846" t="s">
        <v>194</v>
      </c>
      <c r="O101" s="846" t="s">
        <v>194</v>
      </c>
      <c r="P101" s="846" t="s">
        <v>194</v>
      </c>
      <c r="Q101" s="846" t="s">
        <v>194</v>
      </c>
      <c r="R101" s="846" t="s">
        <v>194</v>
      </c>
      <c r="S101" s="846" t="s">
        <v>194</v>
      </c>
      <c r="T101" s="846" t="s">
        <v>194</v>
      </c>
      <c r="U101" s="846" t="s">
        <v>194</v>
      </c>
      <c r="V101" s="846" t="s">
        <v>194</v>
      </c>
      <c r="W101" s="846" t="s">
        <v>194</v>
      </c>
      <c r="X101" s="846" t="s">
        <v>194</v>
      </c>
      <c r="Y101" s="846" t="s">
        <v>194</v>
      </c>
      <c r="Z101" s="846" t="s">
        <v>194</v>
      </c>
      <c r="AA101" s="846" t="s">
        <v>194</v>
      </c>
      <c r="AB101" s="846" t="s">
        <v>194</v>
      </c>
      <c r="AC101" s="846" t="s">
        <v>194</v>
      </c>
      <c r="AD101" s="846" t="s">
        <v>194</v>
      </c>
      <c r="AE101" s="846" t="s">
        <v>194</v>
      </c>
      <c r="AF101" s="846" t="s">
        <v>194</v>
      </c>
      <c r="AG101" s="846" t="s">
        <v>194</v>
      </c>
      <c r="AH101" s="846" t="s">
        <v>194</v>
      </c>
      <c r="AI101" s="846" t="s">
        <v>194</v>
      </c>
      <c r="AJ101" s="846" t="s">
        <v>194</v>
      </c>
      <c r="AK101" s="846" t="s">
        <v>194</v>
      </c>
      <c r="AL101" s="846" t="s">
        <v>194</v>
      </c>
      <c r="AM101" s="846" t="s">
        <v>194</v>
      </c>
      <c r="AN101" s="846" t="s">
        <v>194</v>
      </c>
    </row>
    <row r="102" ht="15.75" customHeight="1">
      <c r="A102" s="846" t="s">
        <v>194</v>
      </c>
      <c r="B102" s="846" t="s">
        <v>194</v>
      </c>
      <c r="C102" s="846" t="s">
        <v>194</v>
      </c>
      <c r="D102" s="846" t="s">
        <v>194</v>
      </c>
      <c r="E102" s="846" t="s">
        <v>194</v>
      </c>
      <c r="F102" s="846" t="s">
        <v>194</v>
      </c>
      <c r="G102" s="846" t="s">
        <v>194</v>
      </c>
      <c r="H102" s="846" t="s">
        <v>194</v>
      </c>
      <c r="I102" s="846" t="s">
        <v>194</v>
      </c>
      <c r="J102" s="846" t="s">
        <v>194</v>
      </c>
      <c r="K102" s="846" t="s">
        <v>194</v>
      </c>
      <c r="L102" s="846" t="s">
        <v>194</v>
      </c>
      <c r="M102" s="846" t="s">
        <v>194</v>
      </c>
      <c r="N102" s="846" t="s">
        <v>194</v>
      </c>
      <c r="O102" s="846" t="s">
        <v>194</v>
      </c>
      <c r="P102" s="846" t="s">
        <v>194</v>
      </c>
      <c r="Q102" s="846" t="s">
        <v>194</v>
      </c>
      <c r="R102" s="846" t="s">
        <v>194</v>
      </c>
      <c r="S102" s="846" t="s">
        <v>194</v>
      </c>
      <c r="T102" s="846" t="s">
        <v>194</v>
      </c>
      <c r="U102" s="846" t="s">
        <v>194</v>
      </c>
      <c r="V102" s="846" t="s">
        <v>194</v>
      </c>
      <c r="W102" s="846" t="s">
        <v>194</v>
      </c>
      <c r="X102" s="846" t="s">
        <v>194</v>
      </c>
      <c r="Y102" s="846" t="s">
        <v>194</v>
      </c>
      <c r="Z102" s="846" t="s">
        <v>194</v>
      </c>
      <c r="AA102" s="846" t="s">
        <v>194</v>
      </c>
      <c r="AB102" s="846" t="s">
        <v>194</v>
      </c>
      <c r="AC102" s="846" t="s">
        <v>194</v>
      </c>
      <c r="AD102" s="846" t="s">
        <v>194</v>
      </c>
      <c r="AE102" s="846" t="s">
        <v>194</v>
      </c>
      <c r="AF102" s="846" t="s">
        <v>194</v>
      </c>
      <c r="AG102" s="846" t="s">
        <v>194</v>
      </c>
      <c r="AH102" s="846" t="s">
        <v>194</v>
      </c>
      <c r="AI102" s="846" t="s">
        <v>194</v>
      </c>
      <c r="AJ102" s="846" t="s">
        <v>194</v>
      </c>
      <c r="AK102" s="846" t="s">
        <v>194</v>
      </c>
      <c r="AL102" s="846" t="s">
        <v>194</v>
      </c>
      <c r="AM102" s="846" t="s">
        <v>194</v>
      </c>
      <c r="AN102" s="846" t="s">
        <v>194</v>
      </c>
    </row>
    <row r="103" ht="15.75" customHeight="1">
      <c r="A103" s="846" t="s">
        <v>194</v>
      </c>
      <c r="B103" s="846" t="s">
        <v>194</v>
      </c>
      <c r="C103" s="846" t="s">
        <v>194</v>
      </c>
      <c r="D103" s="846" t="s">
        <v>194</v>
      </c>
      <c r="E103" s="846" t="s">
        <v>194</v>
      </c>
      <c r="F103" s="846" t="s">
        <v>194</v>
      </c>
      <c r="G103" s="846" t="s">
        <v>194</v>
      </c>
      <c r="H103" s="846" t="s">
        <v>194</v>
      </c>
      <c r="I103" s="846" t="s">
        <v>194</v>
      </c>
      <c r="J103" s="846" t="s">
        <v>194</v>
      </c>
      <c r="K103" s="846" t="s">
        <v>194</v>
      </c>
      <c r="L103" s="846" t="s">
        <v>194</v>
      </c>
      <c r="M103" s="846" t="s">
        <v>194</v>
      </c>
      <c r="N103" s="846" t="s">
        <v>194</v>
      </c>
      <c r="O103" s="846" t="s">
        <v>194</v>
      </c>
      <c r="P103" s="846" t="s">
        <v>194</v>
      </c>
      <c r="Q103" s="846" t="s">
        <v>194</v>
      </c>
      <c r="R103" s="846" t="s">
        <v>194</v>
      </c>
      <c r="S103" s="846" t="s">
        <v>194</v>
      </c>
      <c r="T103" s="846" t="s">
        <v>194</v>
      </c>
      <c r="U103" s="846" t="s">
        <v>194</v>
      </c>
      <c r="V103" s="846" t="s">
        <v>194</v>
      </c>
      <c r="W103" s="846" t="s">
        <v>194</v>
      </c>
      <c r="X103" s="846" t="s">
        <v>194</v>
      </c>
      <c r="Y103" s="846" t="s">
        <v>194</v>
      </c>
      <c r="Z103" s="846" t="s">
        <v>194</v>
      </c>
      <c r="AA103" s="846" t="s">
        <v>194</v>
      </c>
      <c r="AB103" s="846" t="s">
        <v>194</v>
      </c>
      <c r="AC103" s="846" t="s">
        <v>194</v>
      </c>
      <c r="AD103" s="846" t="s">
        <v>194</v>
      </c>
      <c r="AE103" s="846" t="s">
        <v>194</v>
      </c>
      <c r="AF103" s="846" t="s">
        <v>194</v>
      </c>
      <c r="AG103" s="846" t="s">
        <v>194</v>
      </c>
      <c r="AH103" s="846" t="s">
        <v>194</v>
      </c>
      <c r="AI103" s="846" t="s">
        <v>194</v>
      </c>
      <c r="AJ103" s="846" t="s">
        <v>194</v>
      </c>
      <c r="AK103" s="846" t="s">
        <v>194</v>
      </c>
      <c r="AL103" s="846" t="s">
        <v>194</v>
      </c>
      <c r="AM103" s="846" t="s">
        <v>194</v>
      </c>
      <c r="AN103" s="846" t="s">
        <v>194</v>
      </c>
    </row>
    <row r="104" ht="15.75" customHeight="1">
      <c r="A104" s="846" t="s">
        <v>194</v>
      </c>
      <c r="B104" s="846" t="s">
        <v>194</v>
      </c>
      <c r="C104" s="846" t="s">
        <v>194</v>
      </c>
      <c r="D104" s="846" t="s">
        <v>194</v>
      </c>
      <c r="E104" s="846" t="s">
        <v>194</v>
      </c>
      <c r="F104" s="846" t="s">
        <v>194</v>
      </c>
      <c r="G104" s="846" t="s">
        <v>194</v>
      </c>
      <c r="H104" s="846" t="s">
        <v>194</v>
      </c>
      <c r="I104" s="846" t="s">
        <v>194</v>
      </c>
      <c r="J104" s="846" t="s">
        <v>194</v>
      </c>
      <c r="K104" s="846" t="s">
        <v>194</v>
      </c>
      <c r="L104" s="846" t="s">
        <v>194</v>
      </c>
      <c r="M104" s="846" t="s">
        <v>194</v>
      </c>
      <c r="N104" s="846" t="s">
        <v>194</v>
      </c>
      <c r="O104" s="846" t="s">
        <v>194</v>
      </c>
      <c r="P104" s="846" t="s">
        <v>194</v>
      </c>
      <c r="Q104" s="846" t="s">
        <v>194</v>
      </c>
      <c r="R104" s="846" t="s">
        <v>194</v>
      </c>
      <c r="S104" s="846" t="s">
        <v>194</v>
      </c>
      <c r="T104" s="846" t="s">
        <v>194</v>
      </c>
      <c r="U104" s="846" t="s">
        <v>194</v>
      </c>
      <c r="V104" s="846" t="s">
        <v>194</v>
      </c>
      <c r="W104" s="846" t="s">
        <v>194</v>
      </c>
      <c r="X104" s="846" t="s">
        <v>194</v>
      </c>
      <c r="Y104" s="846" t="s">
        <v>194</v>
      </c>
      <c r="Z104" s="846" t="s">
        <v>194</v>
      </c>
      <c r="AA104" s="846" t="s">
        <v>194</v>
      </c>
      <c r="AB104" s="846" t="s">
        <v>194</v>
      </c>
      <c r="AC104" s="846" t="s">
        <v>194</v>
      </c>
      <c r="AD104" s="846" t="s">
        <v>194</v>
      </c>
      <c r="AE104" s="846" t="s">
        <v>194</v>
      </c>
      <c r="AF104" s="846" t="s">
        <v>194</v>
      </c>
      <c r="AG104" s="846" t="s">
        <v>194</v>
      </c>
      <c r="AH104" s="846" t="s">
        <v>194</v>
      </c>
      <c r="AI104" s="846" t="s">
        <v>194</v>
      </c>
      <c r="AJ104" s="846" t="s">
        <v>194</v>
      </c>
      <c r="AK104" s="846" t="s">
        <v>194</v>
      </c>
      <c r="AL104" s="846" t="s">
        <v>194</v>
      </c>
      <c r="AM104" s="846" t="s">
        <v>194</v>
      </c>
      <c r="AN104" s="846" t="s">
        <v>194</v>
      </c>
    </row>
    <row r="105" ht="15.75" customHeight="1">
      <c r="A105" s="846" t="s">
        <v>194</v>
      </c>
      <c r="B105" s="846" t="s">
        <v>194</v>
      </c>
      <c r="C105" s="846" t="s">
        <v>194</v>
      </c>
      <c r="D105" s="846" t="s">
        <v>194</v>
      </c>
      <c r="E105" s="846" t="s">
        <v>194</v>
      </c>
      <c r="F105" s="846" t="s">
        <v>194</v>
      </c>
      <c r="G105" s="846" t="s">
        <v>194</v>
      </c>
      <c r="H105" s="846" t="s">
        <v>194</v>
      </c>
      <c r="I105" s="846" t="s">
        <v>194</v>
      </c>
      <c r="J105" s="846" t="s">
        <v>194</v>
      </c>
      <c r="K105" s="846" t="s">
        <v>194</v>
      </c>
      <c r="L105" s="846" t="s">
        <v>194</v>
      </c>
      <c r="M105" s="846" t="s">
        <v>194</v>
      </c>
      <c r="N105" s="846" t="s">
        <v>194</v>
      </c>
      <c r="O105" s="846" t="s">
        <v>194</v>
      </c>
      <c r="P105" s="846" t="s">
        <v>194</v>
      </c>
      <c r="Q105" s="846" t="s">
        <v>194</v>
      </c>
      <c r="R105" s="846" t="s">
        <v>194</v>
      </c>
      <c r="S105" s="846" t="s">
        <v>194</v>
      </c>
      <c r="T105" s="846" t="s">
        <v>194</v>
      </c>
      <c r="U105" s="846" t="s">
        <v>194</v>
      </c>
      <c r="V105" s="846" t="s">
        <v>194</v>
      </c>
      <c r="W105" s="846" t="s">
        <v>194</v>
      </c>
      <c r="X105" s="846" t="s">
        <v>194</v>
      </c>
      <c r="Y105" s="846" t="s">
        <v>194</v>
      </c>
      <c r="Z105" s="846" t="s">
        <v>194</v>
      </c>
      <c r="AA105" s="846" t="s">
        <v>194</v>
      </c>
      <c r="AB105" s="846" t="s">
        <v>194</v>
      </c>
      <c r="AC105" s="846" t="s">
        <v>194</v>
      </c>
      <c r="AD105" s="846" t="s">
        <v>194</v>
      </c>
      <c r="AE105" s="846" t="s">
        <v>194</v>
      </c>
      <c r="AF105" s="846" t="s">
        <v>194</v>
      </c>
      <c r="AG105" s="846" t="s">
        <v>194</v>
      </c>
      <c r="AH105" s="846" t="s">
        <v>194</v>
      </c>
      <c r="AI105" s="846" t="s">
        <v>194</v>
      </c>
      <c r="AJ105" s="846" t="s">
        <v>194</v>
      </c>
      <c r="AK105" s="846" t="s">
        <v>194</v>
      </c>
      <c r="AL105" s="846" t="s">
        <v>194</v>
      </c>
      <c r="AM105" s="846" t="s">
        <v>194</v>
      </c>
      <c r="AN105" s="846" t="s">
        <v>194</v>
      </c>
    </row>
    <row r="106" ht="15.75" customHeight="1">
      <c r="A106" s="846" t="s">
        <v>194</v>
      </c>
      <c r="B106" s="846" t="s">
        <v>194</v>
      </c>
      <c r="C106" s="846" t="s">
        <v>194</v>
      </c>
      <c r="D106" s="846" t="s">
        <v>194</v>
      </c>
      <c r="E106" s="846" t="s">
        <v>194</v>
      </c>
      <c r="F106" s="846" t="s">
        <v>194</v>
      </c>
      <c r="G106" s="846" t="s">
        <v>194</v>
      </c>
      <c r="H106" s="846" t="s">
        <v>194</v>
      </c>
      <c r="I106" s="846" t="s">
        <v>194</v>
      </c>
      <c r="J106" s="846" t="s">
        <v>194</v>
      </c>
      <c r="K106" s="846" t="s">
        <v>194</v>
      </c>
      <c r="L106" s="846" t="s">
        <v>194</v>
      </c>
      <c r="M106" s="846" t="s">
        <v>194</v>
      </c>
      <c r="N106" s="846" t="s">
        <v>194</v>
      </c>
      <c r="O106" s="846" t="s">
        <v>194</v>
      </c>
      <c r="P106" s="846" t="s">
        <v>194</v>
      </c>
      <c r="Q106" s="846" t="s">
        <v>194</v>
      </c>
      <c r="R106" s="846" t="s">
        <v>194</v>
      </c>
      <c r="S106" s="846" t="s">
        <v>194</v>
      </c>
      <c r="T106" s="846" t="s">
        <v>194</v>
      </c>
      <c r="U106" s="846" t="s">
        <v>194</v>
      </c>
      <c r="V106" s="846" t="s">
        <v>194</v>
      </c>
      <c r="W106" s="846" t="s">
        <v>194</v>
      </c>
      <c r="X106" s="846" t="s">
        <v>194</v>
      </c>
      <c r="Y106" s="846" t="s">
        <v>194</v>
      </c>
      <c r="Z106" s="846" t="s">
        <v>194</v>
      </c>
      <c r="AA106" s="846" t="s">
        <v>194</v>
      </c>
      <c r="AB106" s="846" t="s">
        <v>194</v>
      </c>
      <c r="AC106" s="846" t="s">
        <v>194</v>
      </c>
      <c r="AD106" s="846" t="s">
        <v>194</v>
      </c>
      <c r="AE106" s="846" t="s">
        <v>194</v>
      </c>
      <c r="AF106" s="846" t="s">
        <v>194</v>
      </c>
      <c r="AG106" s="846" t="s">
        <v>194</v>
      </c>
      <c r="AH106" s="846" t="s">
        <v>194</v>
      </c>
      <c r="AI106" s="846" t="s">
        <v>194</v>
      </c>
      <c r="AJ106" s="846" t="s">
        <v>194</v>
      </c>
      <c r="AK106" s="846" t="s">
        <v>194</v>
      </c>
      <c r="AL106" s="846" t="s">
        <v>194</v>
      </c>
      <c r="AM106" s="846" t="s">
        <v>194</v>
      </c>
      <c r="AN106" s="846" t="s">
        <v>194</v>
      </c>
    </row>
    <row r="107" ht="15.75" customHeight="1">
      <c r="A107" s="846" t="s">
        <v>194</v>
      </c>
      <c r="B107" s="846" t="s">
        <v>194</v>
      </c>
      <c r="C107" s="846" t="s">
        <v>194</v>
      </c>
      <c r="D107" s="846" t="s">
        <v>194</v>
      </c>
      <c r="E107" s="846" t="s">
        <v>194</v>
      </c>
      <c r="F107" s="846" t="s">
        <v>194</v>
      </c>
      <c r="G107" s="846" t="s">
        <v>194</v>
      </c>
      <c r="H107" s="846" t="s">
        <v>194</v>
      </c>
      <c r="I107" s="846" t="s">
        <v>194</v>
      </c>
      <c r="J107" s="846" t="s">
        <v>194</v>
      </c>
      <c r="K107" s="846" t="s">
        <v>194</v>
      </c>
      <c r="L107" s="846" t="s">
        <v>194</v>
      </c>
      <c r="M107" s="846" t="s">
        <v>194</v>
      </c>
      <c r="N107" s="846" t="s">
        <v>194</v>
      </c>
      <c r="O107" s="846" t="s">
        <v>194</v>
      </c>
      <c r="P107" s="846" t="s">
        <v>194</v>
      </c>
      <c r="Q107" s="846" t="s">
        <v>194</v>
      </c>
      <c r="R107" s="846" t="s">
        <v>194</v>
      </c>
      <c r="S107" s="846" t="s">
        <v>194</v>
      </c>
      <c r="T107" s="846" t="s">
        <v>194</v>
      </c>
      <c r="U107" s="846" t="s">
        <v>194</v>
      </c>
      <c r="V107" s="846" t="s">
        <v>194</v>
      </c>
      <c r="W107" s="846" t="s">
        <v>194</v>
      </c>
      <c r="X107" s="846" t="s">
        <v>194</v>
      </c>
      <c r="Y107" s="846" t="s">
        <v>194</v>
      </c>
      <c r="Z107" s="846" t="s">
        <v>194</v>
      </c>
      <c r="AA107" s="846" t="s">
        <v>194</v>
      </c>
      <c r="AB107" s="846" t="s">
        <v>194</v>
      </c>
      <c r="AC107" s="846" t="s">
        <v>194</v>
      </c>
      <c r="AD107" s="846" t="s">
        <v>194</v>
      </c>
      <c r="AE107" s="846" t="s">
        <v>194</v>
      </c>
      <c r="AF107" s="846" t="s">
        <v>194</v>
      </c>
      <c r="AG107" s="846" t="s">
        <v>194</v>
      </c>
      <c r="AH107" s="846" t="s">
        <v>194</v>
      </c>
      <c r="AI107" s="846" t="s">
        <v>194</v>
      </c>
      <c r="AJ107" s="846" t="s">
        <v>194</v>
      </c>
      <c r="AK107" s="846" t="s">
        <v>194</v>
      </c>
      <c r="AL107" s="846" t="s">
        <v>194</v>
      </c>
      <c r="AM107" s="846" t="s">
        <v>194</v>
      </c>
      <c r="AN107" s="846" t="s">
        <v>194</v>
      </c>
    </row>
    <row r="108" ht="15.75" customHeight="1">
      <c r="A108" s="846" t="s">
        <v>194</v>
      </c>
      <c r="B108" s="846" t="s">
        <v>194</v>
      </c>
      <c r="C108" s="846" t="s">
        <v>194</v>
      </c>
      <c r="D108" s="846" t="s">
        <v>194</v>
      </c>
      <c r="E108" s="846" t="s">
        <v>194</v>
      </c>
      <c r="F108" s="846" t="s">
        <v>194</v>
      </c>
      <c r="G108" s="846" t="s">
        <v>194</v>
      </c>
      <c r="H108" s="846" t="s">
        <v>194</v>
      </c>
      <c r="I108" s="846" t="s">
        <v>194</v>
      </c>
      <c r="J108" s="846" t="s">
        <v>194</v>
      </c>
      <c r="K108" s="846" t="s">
        <v>194</v>
      </c>
      <c r="L108" s="846" t="s">
        <v>194</v>
      </c>
      <c r="M108" s="846" t="s">
        <v>194</v>
      </c>
      <c r="N108" s="846" t="s">
        <v>194</v>
      </c>
      <c r="O108" s="846" t="s">
        <v>194</v>
      </c>
      <c r="P108" s="846" t="s">
        <v>194</v>
      </c>
      <c r="Q108" s="846" t="s">
        <v>194</v>
      </c>
      <c r="R108" s="846" t="s">
        <v>194</v>
      </c>
      <c r="S108" s="846" t="s">
        <v>194</v>
      </c>
      <c r="T108" s="846" t="s">
        <v>194</v>
      </c>
      <c r="U108" s="846" t="s">
        <v>194</v>
      </c>
      <c r="V108" s="846" t="s">
        <v>194</v>
      </c>
      <c r="W108" s="846" t="s">
        <v>194</v>
      </c>
      <c r="X108" s="846" t="s">
        <v>194</v>
      </c>
      <c r="Y108" s="846" t="s">
        <v>194</v>
      </c>
      <c r="Z108" s="846" t="s">
        <v>194</v>
      </c>
      <c r="AA108" s="846" t="s">
        <v>194</v>
      </c>
      <c r="AB108" s="846" t="s">
        <v>194</v>
      </c>
      <c r="AC108" s="846" t="s">
        <v>194</v>
      </c>
      <c r="AD108" s="846" t="s">
        <v>194</v>
      </c>
      <c r="AE108" s="846" t="s">
        <v>194</v>
      </c>
      <c r="AF108" s="846" t="s">
        <v>194</v>
      </c>
      <c r="AG108" s="846" t="s">
        <v>194</v>
      </c>
      <c r="AH108" s="846" t="s">
        <v>194</v>
      </c>
      <c r="AI108" s="846" t="s">
        <v>194</v>
      </c>
      <c r="AJ108" s="846" t="s">
        <v>194</v>
      </c>
      <c r="AK108" s="846" t="s">
        <v>194</v>
      </c>
      <c r="AL108" s="846" t="s">
        <v>194</v>
      </c>
      <c r="AM108" s="846" t="s">
        <v>194</v>
      </c>
      <c r="AN108" s="846" t="s">
        <v>194</v>
      </c>
    </row>
    <row r="109" ht="15.75" customHeight="1">
      <c r="A109" s="846" t="s">
        <v>194</v>
      </c>
      <c r="B109" s="846" t="s">
        <v>194</v>
      </c>
      <c r="C109" s="846" t="s">
        <v>194</v>
      </c>
      <c r="D109" s="846" t="s">
        <v>194</v>
      </c>
      <c r="E109" s="846" t="s">
        <v>194</v>
      </c>
      <c r="F109" s="846" t="s">
        <v>194</v>
      </c>
      <c r="G109" s="846" t="s">
        <v>194</v>
      </c>
      <c r="H109" s="846" t="s">
        <v>194</v>
      </c>
      <c r="I109" s="846" t="s">
        <v>194</v>
      </c>
      <c r="J109" s="846" t="s">
        <v>194</v>
      </c>
      <c r="K109" s="846" t="s">
        <v>194</v>
      </c>
      <c r="L109" s="846" t="s">
        <v>194</v>
      </c>
      <c r="M109" s="846" t="s">
        <v>194</v>
      </c>
      <c r="N109" s="846" t="s">
        <v>194</v>
      </c>
      <c r="O109" s="846" t="s">
        <v>194</v>
      </c>
      <c r="P109" s="846" t="s">
        <v>194</v>
      </c>
      <c r="Q109" s="846" t="s">
        <v>194</v>
      </c>
      <c r="R109" s="846" t="s">
        <v>194</v>
      </c>
      <c r="S109" s="846" t="s">
        <v>194</v>
      </c>
      <c r="T109" s="846" t="s">
        <v>194</v>
      </c>
      <c r="U109" s="846" t="s">
        <v>194</v>
      </c>
      <c r="V109" s="846" t="s">
        <v>194</v>
      </c>
      <c r="W109" s="846" t="s">
        <v>194</v>
      </c>
      <c r="X109" s="846" t="s">
        <v>194</v>
      </c>
      <c r="Y109" s="846" t="s">
        <v>194</v>
      </c>
      <c r="Z109" s="846" t="s">
        <v>194</v>
      </c>
      <c r="AA109" s="846" t="s">
        <v>194</v>
      </c>
      <c r="AB109" s="846" t="s">
        <v>194</v>
      </c>
      <c r="AC109" s="846" t="s">
        <v>194</v>
      </c>
      <c r="AD109" s="846" t="s">
        <v>194</v>
      </c>
      <c r="AE109" s="846" t="s">
        <v>194</v>
      </c>
      <c r="AF109" s="846" t="s">
        <v>194</v>
      </c>
      <c r="AG109" s="846" t="s">
        <v>194</v>
      </c>
      <c r="AH109" s="846" t="s">
        <v>194</v>
      </c>
      <c r="AI109" s="846" t="s">
        <v>194</v>
      </c>
      <c r="AJ109" s="846" t="s">
        <v>194</v>
      </c>
      <c r="AK109" s="846" t="s">
        <v>194</v>
      </c>
      <c r="AL109" s="846" t="s">
        <v>194</v>
      </c>
      <c r="AM109" s="846" t="s">
        <v>194</v>
      </c>
      <c r="AN109" s="846" t="s">
        <v>194</v>
      </c>
    </row>
    <row r="110" ht="15.75" customHeight="1">
      <c r="A110" s="846" t="s">
        <v>194</v>
      </c>
      <c r="B110" s="846" t="s">
        <v>194</v>
      </c>
      <c r="C110" s="846" t="s">
        <v>194</v>
      </c>
      <c r="D110" s="846" t="s">
        <v>194</v>
      </c>
      <c r="E110" s="846" t="s">
        <v>194</v>
      </c>
      <c r="F110" s="846" t="s">
        <v>194</v>
      </c>
      <c r="G110" s="846" t="s">
        <v>194</v>
      </c>
      <c r="H110" s="846" t="s">
        <v>194</v>
      </c>
      <c r="I110" s="846" t="s">
        <v>194</v>
      </c>
      <c r="J110" s="846" t="s">
        <v>194</v>
      </c>
      <c r="K110" s="846" t="s">
        <v>194</v>
      </c>
      <c r="L110" s="846" t="s">
        <v>194</v>
      </c>
      <c r="M110" s="846" t="s">
        <v>194</v>
      </c>
      <c r="N110" s="846" t="s">
        <v>194</v>
      </c>
      <c r="O110" s="846" t="s">
        <v>194</v>
      </c>
      <c r="P110" s="846" t="s">
        <v>194</v>
      </c>
      <c r="Q110" s="846" t="s">
        <v>194</v>
      </c>
      <c r="R110" s="846" t="s">
        <v>194</v>
      </c>
      <c r="S110" s="846" t="s">
        <v>194</v>
      </c>
      <c r="T110" s="846" t="s">
        <v>194</v>
      </c>
      <c r="U110" s="846" t="s">
        <v>194</v>
      </c>
      <c r="V110" s="846" t="s">
        <v>194</v>
      </c>
      <c r="W110" s="846" t="s">
        <v>194</v>
      </c>
      <c r="X110" s="846" t="s">
        <v>194</v>
      </c>
      <c r="Y110" s="846" t="s">
        <v>194</v>
      </c>
      <c r="Z110" s="846" t="s">
        <v>194</v>
      </c>
      <c r="AA110" s="846" t="s">
        <v>194</v>
      </c>
      <c r="AB110" s="846" t="s">
        <v>194</v>
      </c>
      <c r="AC110" s="846" t="s">
        <v>194</v>
      </c>
      <c r="AD110" s="846" t="s">
        <v>194</v>
      </c>
      <c r="AE110" s="846" t="s">
        <v>194</v>
      </c>
      <c r="AF110" s="846" t="s">
        <v>194</v>
      </c>
      <c r="AG110" s="846" t="s">
        <v>194</v>
      </c>
      <c r="AH110" s="846" t="s">
        <v>194</v>
      </c>
      <c r="AI110" s="846" t="s">
        <v>194</v>
      </c>
      <c r="AJ110" s="846" t="s">
        <v>194</v>
      </c>
      <c r="AK110" s="846" t="s">
        <v>194</v>
      </c>
      <c r="AL110" s="846" t="s">
        <v>194</v>
      </c>
      <c r="AM110" s="846" t="s">
        <v>194</v>
      </c>
      <c r="AN110" s="846" t="s">
        <v>194</v>
      </c>
    </row>
    <row r="111" ht="15.75" customHeight="1">
      <c r="A111" s="846" t="s">
        <v>194</v>
      </c>
      <c r="B111" s="846" t="s">
        <v>194</v>
      </c>
      <c r="C111" s="846" t="s">
        <v>194</v>
      </c>
      <c r="D111" s="846" t="s">
        <v>194</v>
      </c>
      <c r="E111" s="846" t="s">
        <v>194</v>
      </c>
      <c r="F111" s="846" t="s">
        <v>194</v>
      </c>
      <c r="G111" s="846" t="s">
        <v>194</v>
      </c>
      <c r="H111" s="846" t="s">
        <v>194</v>
      </c>
      <c r="I111" s="846" t="s">
        <v>194</v>
      </c>
      <c r="J111" s="846" t="s">
        <v>194</v>
      </c>
      <c r="K111" s="846" t="s">
        <v>194</v>
      </c>
      <c r="L111" s="846" t="s">
        <v>194</v>
      </c>
      <c r="M111" s="846" t="s">
        <v>194</v>
      </c>
      <c r="N111" s="846" t="s">
        <v>194</v>
      </c>
      <c r="O111" s="846" t="s">
        <v>194</v>
      </c>
      <c r="P111" s="846" t="s">
        <v>194</v>
      </c>
      <c r="Q111" s="846" t="s">
        <v>194</v>
      </c>
      <c r="R111" s="846" t="s">
        <v>194</v>
      </c>
      <c r="S111" s="846" t="s">
        <v>194</v>
      </c>
      <c r="T111" s="846" t="s">
        <v>194</v>
      </c>
      <c r="U111" s="846" t="s">
        <v>194</v>
      </c>
      <c r="V111" s="846" t="s">
        <v>194</v>
      </c>
      <c r="W111" s="846" t="s">
        <v>194</v>
      </c>
      <c r="X111" s="846" t="s">
        <v>194</v>
      </c>
      <c r="Y111" s="846" t="s">
        <v>194</v>
      </c>
      <c r="Z111" s="846" t="s">
        <v>194</v>
      </c>
      <c r="AA111" s="846" t="s">
        <v>194</v>
      </c>
      <c r="AB111" s="846" t="s">
        <v>194</v>
      </c>
      <c r="AC111" s="846" t="s">
        <v>194</v>
      </c>
      <c r="AD111" s="846" t="s">
        <v>194</v>
      </c>
      <c r="AE111" s="846" t="s">
        <v>194</v>
      </c>
      <c r="AF111" s="846" t="s">
        <v>194</v>
      </c>
      <c r="AG111" s="846" t="s">
        <v>194</v>
      </c>
      <c r="AH111" s="846" t="s">
        <v>194</v>
      </c>
      <c r="AI111" s="846" t="s">
        <v>194</v>
      </c>
      <c r="AJ111" s="846" t="s">
        <v>194</v>
      </c>
      <c r="AK111" s="846" t="s">
        <v>194</v>
      </c>
      <c r="AL111" s="846" t="s">
        <v>194</v>
      </c>
      <c r="AM111" s="846" t="s">
        <v>194</v>
      </c>
      <c r="AN111" s="846" t="s">
        <v>194</v>
      </c>
    </row>
    <row r="112" ht="15.75" customHeight="1">
      <c r="A112" s="846" t="s">
        <v>194</v>
      </c>
      <c r="B112" s="846" t="s">
        <v>194</v>
      </c>
      <c r="C112" s="846" t="s">
        <v>194</v>
      </c>
      <c r="D112" s="846" t="s">
        <v>194</v>
      </c>
      <c r="E112" s="846" t="s">
        <v>194</v>
      </c>
      <c r="F112" s="846" t="s">
        <v>194</v>
      </c>
      <c r="G112" s="846" t="s">
        <v>194</v>
      </c>
      <c r="H112" s="846" t="s">
        <v>194</v>
      </c>
      <c r="I112" s="846" t="s">
        <v>194</v>
      </c>
      <c r="J112" s="846" t="s">
        <v>194</v>
      </c>
      <c r="K112" s="846" t="s">
        <v>194</v>
      </c>
      <c r="L112" s="846" t="s">
        <v>194</v>
      </c>
      <c r="M112" s="846" t="s">
        <v>194</v>
      </c>
      <c r="N112" s="846" t="s">
        <v>194</v>
      </c>
      <c r="O112" s="846" t="s">
        <v>194</v>
      </c>
      <c r="P112" s="846" t="s">
        <v>194</v>
      </c>
      <c r="Q112" s="846" t="s">
        <v>194</v>
      </c>
      <c r="R112" s="846" t="s">
        <v>194</v>
      </c>
      <c r="S112" s="846" t="s">
        <v>194</v>
      </c>
      <c r="T112" s="846" t="s">
        <v>194</v>
      </c>
      <c r="U112" s="846" t="s">
        <v>194</v>
      </c>
      <c r="V112" s="846" t="s">
        <v>194</v>
      </c>
      <c r="W112" s="846" t="s">
        <v>194</v>
      </c>
      <c r="X112" s="846" t="s">
        <v>194</v>
      </c>
      <c r="Y112" s="846" t="s">
        <v>194</v>
      </c>
      <c r="Z112" s="846" t="s">
        <v>194</v>
      </c>
      <c r="AA112" s="846" t="s">
        <v>194</v>
      </c>
      <c r="AB112" s="846" t="s">
        <v>194</v>
      </c>
      <c r="AC112" s="846" t="s">
        <v>194</v>
      </c>
      <c r="AD112" s="846" t="s">
        <v>194</v>
      </c>
      <c r="AE112" s="846" t="s">
        <v>194</v>
      </c>
      <c r="AF112" s="846" t="s">
        <v>194</v>
      </c>
      <c r="AG112" s="846" t="s">
        <v>194</v>
      </c>
      <c r="AH112" s="846" t="s">
        <v>194</v>
      </c>
      <c r="AI112" s="846" t="s">
        <v>194</v>
      </c>
      <c r="AJ112" s="846" t="s">
        <v>194</v>
      </c>
      <c r="AK112" s="846" t="s">
        <v>194</v>
      </c>
      <c r="AL112" s="846" t="s">
        <v>194</v>
      </c>
      <c r="AM112" s="846" t="s">
        <v>194</v>
      </c>
      <c r="AN112" s="846" t="s">
        <v>194</v>
      </c>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row>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5:D6"/>
    <mergeCell ref="E5:E6"/>
    <mergeCell ref="F5:F6"/>
    <mergeCell ref="G5:G6"/>
    <mergeCell ref="H5:H6"/>
    <mergeCell ref="I5:I6"/>
    <mergeCell ref="J5:J6"/>
    <mergeCell ref="K5:K6"/>
  </mergeCells>
  <conditionalFormatting sqref="D10:Q10 D16:Q16 D20:Q21 D32:Q39 D43:Q43 D47:Q49 D54:Q54 D72:Q72">
    <cfRule type="expression" dxfId="1" priority="1">
      <formula>NOT(SUBTOTAL(109,$A11)=$A11)</formula>
    </cfRule>
  </conditionalFormatting>
  <printOptions/>
  <pageMargins bottom="0.75" footer="0.0" header="0.0" left="0.7" right="0.7" top="0.75"/>
  <pageSetup paperSize="9"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EEAF6"/>
    <outlinePr summaryBelow="0"/>
    <pageSetUpPr/>
  </sheetPr>
  <sheetViews>
    <sheetView showGridLines="0"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4.43" defaultRowHeight="15.0" outlineLevelCol="1"/>
  <cols>
    <col customWidth="1" min="1" max="1" width="1.0"/>
    <col customWidth="1" min="2" max="2" width="2.0"/>
    <col customWidth="1" min="3" max="3" width="50.57"/>
    <col customWidth="1" hidden="1" min="4" max="6" width="12.57" outlineLevel="1"/>
    <col customWidth="1" min="7" max="10" width="12.57" outlineLevel="1"/>
    <col customWidth="1" min="11" max="11" width="10.57" outlineLevel="1"/>
    <col customWidth="1" min="12" max="12" width="2.57"/>
    <col customWidth="1" min="13" max="17" width="14.57"/>
    <col customWidth="1" min="18" max="18" width="1.86"/>
    <col customWidth="1" min="19" max="40" width="14.57"/>
  </cols>
  <sheetData>
    <row r="1" ht="6.0" customHeight="1">
      <c r="A1" s="846"/>
      <c r="B1" s="847"/>
      <c r="C1" s="847"/>
      <c r="D1" s="847"/>
      <c r="E1" s="847"/>
      <c r="F1" s="847"/>
      <c r="G1" s="847"/>
      <c r="H1" s="847"/>
      <c r="I1" s="847"/>
      <c r="J1" s="847"/>
      <c r="K1" s="847"/>
      <c r="L1" s="847"/>
      <c r="M1" s="847"/>
      <c r="N1" s="847"/>
      <c r="O1" s="847"/>
      <c r="P1" s="847"/>
      <c r="Q1" s="847"/>
      <c r="R1" s="847"/>
      <c r="S1" s="846"/>
      <c r="T1" s="846"/>
      <c r="U1" s="846"/>
      <c r="V1" s="846"/>
      <c r="W1" s="846"/>
      <c r="X1" s="846"/>
      <c r="Y1" s="846"/>
      <c r="Z1" s="846"/>
      <c r="AA1" s="846"/>
      <c r="AB1" s="846"/>
      <c r="AC1" s="846"/>
      <c r="AD1" s="846"/>
      <c r="AE1" s="846"/>
      <c r="AF1" s="846"/>
      <c r="AG1" s="846"/>
      <c r="AH1" s="846"/>
      <c r="AI1" s="846"/>
      <c r="AJ1" s="846"/>
      <c r="AK1" s="846"/>
      <c r="AL1" s="846"/>
      <c r="AM1" s="846"/>
      <c r="AN1" s="846"/>
    </row>
    <row r="2" ht="39.75" customHeight="1">
      <c r="A2" s="849"/>
      <c r="B2" s="15"/>
      <c r="C2" s="15"/>
      <c r="D2" s="15"/>
      <c r="E2" s="15"/>
      <c r="F2" s="15"/>
      <c r="G2" s="15"/>
      <c r="H2" s="15"/>
      <c r="I2" s="15"/>
      <c r="J2" s="15"/>
      <c r="K2" s="15"/>
      <c r="L2" s="15"/>
      <c r="M2" s="15"/>
      <c r="N2" s="15"/>
      <c r="O2" s="15"/>
      <c r="P2" s="15"/>
      <c r="Q2" s="15"/>
      <c r="R2" s="15"/>
      <c r="S2" s="851"/>
      <c r="T2" s="846"/>
      <c r="U2" s="846"/>
      <c r="V2" s="846"/>
      <c r="W2" s="846"/>
      <c r="X2" s="846"/>
      <c r="Y2" s="846"/>
      <c r="Z2" s="846"/>
      <c r="AA2" s="846"/>
      <c r="AB2" s="846"/>
      <c r="AC2" s="846"/>
      <c r="AD2" s="846"/>
      <c r="AE2" s="846"/>
      <c r="AF2" s="846"/>
      <c r="AG2" s="846"/>
      <c r="AH2" s="846"/>
      <c r="AI2" s="846"/>
      <c r="AJ2" s="846"/>
      <c r="AK2" s="846"/>
      <c r="AL2" s="846"/>
      <c r="AM2" s="846"/>
      <c r="AN2" s="846"/>
    </row>
    <row r="3" ht="18.75" customHeight="1">
      <c r="A3" s="849"/>
      <c r="B3" s="15"/>
      <c r="C3" s="852" t="s">
        <v>382</v>
      </c>
      <c r="D3" s="15"/>
      <c r="E3" s="15"/>
      <c r="F3" s="15"/>
      <c r="G3" s="15"/>
      <c r="H3" s="15"/>
      <c r="I3" s="15"/>
      <c r="J3" s="15"/>
      <c r="K3" s="15"/>
      <c r="L3" s="15"/>
      <c r="M3" s="15"/>
      <c r="N3" s="15"/>
      <c r="O3" s="15"/>
      <c r="P3" s="15"/>
      <c r="Q3" s="15"/>
      <c r="R3" s="15"/>
      <c r="S3" s="851"/>
      <c r="T3" s="846"/>
      <c r="U3" s="846"/>
      <c r="V3" s="846"/>
      <c r="W3" s="846"/>
      <c r="X3" s="846"/>
      <c r="Y3" s="846"/>
      <c r="Z3" s="846"/>
      <c r="AA3" s="846"/>
      <c r="AB3" s="846"/>
      <c r="AC3" s="846"/>
      <c r="AD3" s="846"/>
      <c r="AE3" s="846"/>
      <c r="AF3" s="846"/>
      <c r="AG3" s="846"/>
      <c r="AH3" s="846"/>
      <c r="AI3" s="846"/>
      <c r="AJ3" s="846"/>
      <c r="AK3" s="846"/>
      <c r="AL3" s="846"/>
      <c r="AM3" s="846"/>
      <c r="AN3" s="846"/>
    </row>
    <row r="4">
      <c r="A4" s="849" t="s">
        <v>194</v>
      </c>
      <c r="B4" s="15"/>
      <c r="C4" s="853" t="s">
        <v>364</v>
      </c>
      <c r="D4" s="854" t="s">
        <v>196</v>
      </c>
      <c r="E4" s="855" t="s">
        <v>194</v>
      </c>
      <c r="F4" s="855" t="s">
        <v>194</v>
      </c>
      <c r="G4" s="855" t="s">
        <v>194</v>
      </c>
      <c r="H4" s="855" t="s">
        <v>194</v>
      </c>
      <c r="I4" s="855" t="s">
        <v>194</v>
      </c>
      <c r="J4" s="855" t="s">
        <v>194</v>
      </c>
      <c r="K4" s="855" t="s">
        <v>194</v>
      </c>
      <c r="L4" s="15"/>
      <c r="M4" s="15"/>
      <c r="N4" s="15"/>
      <c r="O4" s="15"/>
      <c r="P4" s="15"/>
      <c r="Q4" s="15"/>
      <c r="R4" s="15"/>
      <c r="S4" s="851" t="s">
        <v>194</v>
      </c>
      <c r="T4" s="846" t="s">
        <v>194</v>
      </c>
      <c r="U4" s="846" t="s">
        <v>194</v>
      </c>
      <c r="V4" s="846" t="s">
        <v>194</v>
      </c>
      <c r="W4" s="846" t="s">
        <v>194</v>
      </c>
      <c r="X4" s="846" t="s">
        <v>194</v>
      </c>
      <c r="Y4" s="846" t="s">
        <v>194</v>
      </c>
      <c r="Z4" s="846" t="s">
        <v>194</v>
      </c>
      <c r="AA4" s="846" t="s">
        <v>194</v>
      </c>
      <c r="AB4" s="846" t="s">
        <v>194</v>
      </c>
      <c r="AC4" s="846" t="s">
        <v>194</v>
      </c>
      <c r="AD4" s="846" t="s">
        <v>194</v>
      </c>
      <c r="AE4" s="846" t="s">
        <v>194</v>
      </c>
      <c r="AF4" s="846" t="s">
        <v>194</v>
      </c>
      <c r="AG4" s="846" t="s">
        <v>194</v>
      </c>
      <c r="AH4" s="846" t="s">
        <v>194</v>
      </c>
      <c r="AI4" s="846" t="s">
        <v>194</v>
      </c>
      <c r="AJ4" s="846" t="s">
        <v>194</v>
      </c>
      <c r="AK4" s="846" t="s">
        <v>194</v>
      </c>
      <c r="AL4" s="846" t="s">
        <v>194</v>
      </c>
      <c r="AM4" s="846" t="s">
        <v>194</v>
      </c>
      <c r="AN4" s="846" t="s">
        <v>194</v>
      </c>
    </row>
    <row r="5">
      <c r="A5" s="849" t="s">
        <v>194</v>
      </c>
      <c r="B5" s="15"/>
      <c r="C5" s="853" t="s">
        <v>359</v>
      </c>
      <c r="D5" s="856" t="s">
        <v>174</v>
      </c>
      <c r="E5" s="856" t="s">
        <v>198</v>
      </c>
      <c r="F5" s="856" t="s">
        <v>199</v>
      </c>
      <c r="G5" s="856" t="s">
        <v>200</v>
      </c>
      <c r="H5" s="856" t="s">
        <v>201</v>
      </c>
      <c r="I5" s="856" t="s">
        <v>202</v>
      </c>
      <c r="J5" s="856" t="s">
        <v>203</v>
      </c>
      <c r="K5" s="856" t="s">
        <v>204</v>
      </c>
      <c r="L5" s="15"/>
      <c r="M5" s="858" t="str">
        <f>HYPERLINK("https://my.pitchbook.com?c=52157-62", "FY 2018")</f>
        <v>FY 2018</v>
      </c>
      <c r="N5" s="858" t="str">
        <f>HYPERLINK("https://my.pitchbook.com?c=52157-62", "FY 2017")</f>
        <v>FY 2017</v>
      </c>
      <c r="O5" s="858" t="str">
        <f>HYPERLINK("https://my.pitchbook.com?c=52157-62", "FY 2016")</f>
        <v>FY 2016</v>
      </c>
      <c r="P5" s="858" t="str">
        <f>HYPERLINK("https://my.pitchbook.com?c=52157-62", "FY 2015")</f>
        <v>FY 2015</v>
      </c>
      <c r="Q5" s="858" t="str">
        <f>HYPERLINK("https://my.pitchbook.com?c=52157-62", "FY 2014")</f>
        <v>FY 2014</v>
      </c>
      <c r="R5" s="15"/>
      <c r="S5" s="851" t="s">
        <v>194</v>
      </c>
      <c r="T5" s="846" t="s">
        <v>194</v>
      </c>
      <c r="U5" s="846" t="s">
        <v>194</v>
      </c>
      <c r="V5" s="846" t="s">
        <v>194</v>
      </c>
      <c r="W5" s="846" t="s">
        <v>194</v>
      </c>
      <c r="X5" s="846" t="s">
        <v>194</v>
      </c>
      <c r="Y5" s="846" t="s">
        <v>194</v>
      </c>
      <c r="Z5" s="846" t="s">
        <v>194</v>
      </c>
      <c r="AA5" s="846" t="s">
        <v>194</v>
      </c>
      <c r="AB5" s="846" t="s">
        <v>194</v>
      </c>
      <c r="AC5" s="846" t="s">
        <v>194</v>
      </c>
      <c r="AD5" s="846" t="s">
        <v>194</v>
      </c>
      <c r="AE5" s="846" t="s">
        <v>194</v>
      </c>
      <c r="AF5" s="846" t="s">
        <v>194</v>
      </c>
      <c r="AG5" s="846" t="s">
        <v>194</v>
      </c>
      <c r="AH5" s="846" t="s">
        <v>194</v>
      </c>
      <c r="AI5" s="846" t="s">
        <v>194</v>
      </c>
      <c r="AJ5" s="846" t="s">
        <v>194</v>
      </c>
      <c r="AK5" s="846" t="s">
        <v>194</v>
      </c>
      <c r="AL5" s="846" t="s">
        <v>194</v>
      </c>
      <c r="AM5" s="846" t="s">
        <v>194</v>
      </c>
      <c r="AN5" s="846" t="s">
        <v>194</v>
      </c>
    </row>
    <row r="6">
      <c r="A6" s="849" t="s">
        <v>194</v>
      </c>
      <c r="B6" s="15"/>
      <c r="C6" s="859" t="s">
        <v>221</v>
      </c>
      <c r="D6" s="860"/>
      <c r="E6" s="860"/>
      <c r="F6" s="860"/>
      <c r="G6" s="860"/>
      <c r="H6" s="860"/>
      <c r="I6" s="860"/>
      <c r="J6" s="860"/>
      <c r="K6" s="860"/>
      <c r="L6" s="15"/>
      <c r="M6" s="15"/>
      <c r="N6" s="15"/>
      <c r="O6" s="15"/>
      <c r="P6" s="15"/>
      <c r="Q6" s="15"/>
      <c r="R6" s="15"/>
      <c r="S6" s="851" t="s">
        <v>194</v>
      </c>
      <c r="T6" s="846" t="s">
        <v>194</v>
      </c>
      <c r="U6" s="846" t="s">
        <v>194</v>
      </c>
      <c r="V6" s="846" t="s">
        <v>194</v>
      </c>
      <c r="W6" s="846" t="s">
        <v>194</v>
      </c>
      <c r="X6" s="846" t="s">
        <v>194</v>
      </c>
      <c r="Y6" s="846" t="s">
        <v>194</v>
      </c>
      <c r="Z6" s="846" t="s">
        <v>194</v>
      </c>
      <c r="AA6" s="846" t="s">
        <v>194</v>
      </c>
      <c r="AB6" s="846" t="s">
        <v>194</v>
      </c>
      <c r="AC6" s="846" t="s">
        <v>194</v>
      </c>
      <c r="AD6" s="846" t="s">
        <v>194</v>
      </c>
      <c r="AE6" s="846" t="s">
        <v>194</v>
      </c>
      <c r="AF6" s="846" t="s">
        <v>194</v>
      </c>
      <c r="AG6" s="846" t="s">
        <v>194</v>
      </c>
      <c r="AH6" s="846" t="s">
        <v>194</v>
      </c>
      <c r="AI6" s="846" t="s">
        <v>194</v>
      </c>
      <c r="AJ6" s="846" t="s">
        <v>194</v>
      </c>
      <c r="AK6" s="846" t="s">
        <v>194</v>
      </c>
      <c r="AL6" s="846" t="s">
        <v>194</v>
      </c>
      <c r="AM6" s="846" t="s">
        <v>194</v>
      </c>
      <c r="AN6" s="846" t="s">
        <v>194</v>
      </c>
    </row>
    <row r="7">
      <c r="A7" s="849" t="s">
        <v>194</v>
      </c>
      <c r="B7" s="15"/>
      <c r="C7" s="15"/>
      <c r="D7" s="855" t="s">
        <v>194</v>
      </c>
      <c r="E7" s="855" t="s">
        <v>194</v>
      </c>
      <c r="F7" s="855" t="s">
        <v>194</v>
      </c>
      <c r="G7" s="855" t="s">
        <v>194</v>
      </c>
      <c r="H7" s="855" t="s">
        <v>194</v>
      </c>
      <c r="I7" s="855" t="s">
        <v>194</v>
      </c>
      <c r="J7" s="855" t="s">
        <v>194</v>
      </c>
      <c r="K7" s="855" t="s">
        <v>194</v>
      </c>
      <c r="L7" s="15"/>
      <c r="M7" s="15"/>
      <c r="N7" s="15"/>
      <c r="O7" s="15"/>
      <c r="P7" s="15"/>
      <c r="Q7" s="15"/>
      <c r="R7" s="15"/>
      <c r="S7" s="851" t="s">
        <v>194</v>
      </c>
      <c r="T7" s="846" t="s">
        <v>194</v>
      </c>
      <c r="U7" s="846" t="s">
        <v>194</v>
      </c>
      <c r="V7" s="846" t="s">
        <v>194</v>
      </c>
      <c r="W7" s="846" t="s">
        <v>194</v>
      </c>
      <c r="X7" s="846" t="s">
        <v>194</v>
      </c>
      <c r="Y7" s="846" t="s">
        <v>194</v>
      </c>
      <c r="Z7" s="846" t="s">
        <v>194</v>
      </c>
      <c r="AA7" s="846" t="s">
        <v>194</v>
      </c>
      <c r="AB7" s="846" t="s">
        <v>194</v>
      </c>
      <c r="AC7" s="846" t="s">
        <v>194</v>
      </c>
      <c r="AD7" s="846" t="s">
        <v>194</v>
      </c>
      <c r="AE7" s="846" t="s">
        <v>194</v>
      </c>
      <c r="AF7" s="846" t="s">
        <v>194</v>
      </c>
      <c r="AG7" s="846" t="s">
        <v>194</v>
      </c>
      <c r="AH7" s="846" t="s">
        <v>194</v>
      </c>
      <c r="AI7" s="846" t="s">
        <v>194</v>
      </c>
      <c r="AJ7" s="846" t="s">
        <v>194</v>
      </c>
      <c r="AK7" s="846" t="s">
        <v>194</v>
      </c>
      <c r="AL7" s="846" t="s">
        <v>194</v>
      </c>
      <c r="AM7" s="846" t="s">
        <v>194</v>
      </c>
      <c r="AN7" s="846" t="s">
        <v>194</v>
      </c>
    </row>
    <row r="8">
      <c r="A8" s="849" t="s">
        <v>194</v>
      </c>
      <c r="B8" s="15"/>
      <c r="C8" s="15"/>
      <c r="D8" s="855" t="s">
        <v>194</v>
      </c>
      <c r="E8" s="855" t="s">
        <v>194</v>
      </c>
      <c r="F8" s="855" t="s">
        <v>194</v>
      </c>
      <c r="G8" s="855" t="s">
        <v>194</v>
      </c>
      <c r="H8" s="855" t="s">
        <v>194</v>
      </c>
      <c r="I8" s="855" t="s">
        <v>194</v>
      </c>
      <c r="J8" s="855" t="s">
        <v>194</v>
      </c>
      <c r="K8" s="855" t="s">
        <v>194</v>
      </c>
      <c r="L8" s="15"/>
      <c r="M8" s="15"/>
      <c r="N8" s="15"/>
      <c r="O8" s="15"/>
      <c r="P8" s="15"/>
      <c r="Q8" s="15"/>
      <c r="R8" s="15"/>
      <c r="S8" s="851" t="s">
        <v>194</v>
      </c>
      <c r="T8" s="846" t="s">
        <v>194</v>
      </c>
      <c r="U8" s="846" t="s">
        <v>194</v>
      </c>
      <c r="V8" s="846" t="s">
        <v>194</v>
      </c>
      <c r="W8" s="846" t="s">
        <v>194</v>
      </c>
      <c r="X8" s="846" t="s">
        <v>194</v>
      </c>
      <c r="Y8" s="846" t="s">
        <v>194</v>
      </c>
      <c r="Z8" s="846" t="s">
        <v>194</v>
      </c>
      <c r="AA8" s="846" t="s">
        <v>194</v>
      </c>
      <c r="AB8" s="846" t="s">
        <v>194</v>
      </c>
      <c r="AC8" s="846" t="s">
        <v>194</v>
      </c>
      <c r="AD8" s="846" t="s">
        <v>194</v>
      </c>
      <c r="AE8" s="846" t="s">
        <v>194</v>
      </c>
      <c r="AF8" s="846" t="s">
        <v>194</v>
      </c>
      <c r="AG8" s="846" t="s">
        <v>194</v>
      </c>
      <c r="AH8" s="846" t="s">
        <v>194</v>
      </c>
      <c r="AI8" s="846" t="s">
        <v>194</v>
      </c>
      <c r="AJ8" s="846" t="s">
        <v>194</v>
      </c>
      <c r="AK8" s="846" t="s">
        <v>194</v>
      </c>
      <c r="AL8" s="846" t="s">
        <v>194</v>
      </c>
      <c r="AM8" s="846" t="s">
        <v>194</v>
      </c>
      <c r="AN8" s="846" t="s">
        <v>194</v>
      </c>
    </row>
    <row r="9">
      <c r="A9" s="849" t="s">
        <v>194</v>
      </c>
      <c r="B9" s="15"/>
      <c r="C9" s="15"/>
      <c r="D9" s="855" t="s">
        <v>194</v>
      </c>
      <c r="E9" s="855" t="s">
        <v>194</v>
      </c>
      <c r="F9" s="855" t="s">
        <v>194</v>
      </c>
      <c r="G9" s="855" t="s">
        <v>194</v>
      </c>
      <c r="H9" s="855" t="s">
        <v>194</v>
      </c>
      <c r="I9" s="855" t="s">
        <v>194</v>
      </c>
      <c r="J9" s="855" t="s">
        <v>194</v>
      </c>
      <c r="K9" s="855" t="s">
        <v>194</v>
      </c>
      <c r="L9" s="15"/>
      <c r="M9" s="15"/>
      <c r="N9" s="15"/>
      <c r="O9" s="15"/>
      <c r="P9" s="15"/>
      <c r="Q9" s="15"/>
      <c r="R9" s="15"/>
      <c r="S9" s="851" t="s">
        <v>194</v>
      </c>
      <c r="T9" s="846" t="s">
        <v>194</v>
      </c>
      <c r="U9" s="846" t="s">
        <v>194</v>
      </c>
      <c r="V9" s="846" t="s">
        <v>194</v>
      </c>
      <c r="W9" s="846" t="s">
        <v>194</v>
      </c>
      <c r="X9" s="846" t="s">
        <v>194</v>
      </c>
      <c r="Y9" s="846" t="s">
        <v>194</v>
      </c>
      <c r="Z9" s="846" t="s">
        <v>194</v>
      </c>
      <c r="AA9" s="846" t="s">
        <v>194</v>
      </c>
      <c r="AB9" s="846" t="s">
        <v>194</v>
      </c>
      <c r="AC9" s="846" t="s">
        <v>194</v>
      </c>
      <c r="AD9" s="846" t="s">
        <v>194</v>
      </c>
      <c r="AE9" s="846" t="s">
        <v>194</v>
      </c>
      <c r="AF9" s="846" t="s">
        <v>194</v>
      </c>
      <c r="AG9" s="846" t="s">
        <v>194</v>
      </c>
      <c r="AH9" s="846" t="s">
        <v>194</v>
      </c>
      <c r="AI9" s="846" t="s">
        <v>194</v>
      </c>
      <c r="AJ9" s="846" t="s">
        <v>194</v>
      </c>
      <c r="AK9" s="846" t="s">
        <v>194</v>
      </c>
      <c r="AL9" s="846" t="s">
        <v>194</v>
      </c>
      <c r="AM9" s="846" t="s">
        <v>194</v>
      </c>
      <c r="AN9" s="846" t="s">
        <v>194</v>
      </c>
    </row>
    <row r="10">
      <c r="A10" s="849">
        <v>1.0</v>
      </c>
      <c r="B10" s="15"/>
      <c r="C10" s="855" t="str">
        <f>"Profitability"</f>
        <v>Profitability</v>
      </c>
      <c r="D10" s="867" t="s">
        <v>194</v>
      </c>
      <c r="E10" s="867" t="s">
        <v>194</v>
      </c>
      <c r="F10" s="867" t="s">
        <v>194</v>
      </c>
      <c r="G10" s="867" t="s">
        <v>194</v>
      </c>
      <c r="H10" s="867" t="s">
        <v>194</v>
      </c>
      <c r="I10" s="867" t="s">
        <v>194</v>
      </c>
      <c r="J10" s="867" t="s">
        <v>194</v>
      </c>
      <c r="K10" s="867" t="s">
        <v>194</v>
      </c>
      <c r="L10" s="867" t="s">
        <v>194</v>
      </c>
      <c r="M10" s="867" t="s">
        <v>194</v>
      </c>
      <c r="N10" s="867" t="s">
        <v>194</v>
      </c>
      <c r="O10" s="867" t="s">
        <v>194</v>
      </c>
      <c r="P10" s="867" t="s">
        <v>194</v>
      </c>
      <c r="Q10" s="867" t="s">
        <v>194</v>
      </c>
      <c r="R10" s="15"/>
      <c r="S10" s="851" t="s">
        <v>194</v>
      </c>
      <c r="T10" s="846" t="s">
        <v>194</v>
      </c>
      <c r="U10" s="846" t="s">
        <v>194</v>
      </c>
      <c r="V10" s="846" t="s">
        <v>194</v>
      </c>
      <c r="W10" s="846" t="s">
        <v>194</v>
      </c>
      <c r="X10" s="846" t="s">
        <v>194</v>
      </c>
      <c r="Y10" s="846" t="s">
        <v>194</v>
      </c>
      <c r="Z10" s="846" t="s">
        <v>194</v>
      </c>
      <c r="AA10" s="846" t="s">
        <v>194</v>
      </c>
      <c r="AB10" s="846" t="s">
        <v>194</v>
      </c>
      <c r="AC10" s="846" t="s">
        <v>194</v>
      </c>
      <c r="AD10" s="846" t="s">
        <v>194</v>
      </c>
      <c r="AE10" s="846" t="s">
        <v>194</v>
      </c>
      <c r="AF10" s="846" t="s">
        <v>194</v>
      </c>
      <c r="AG10" s="846" t="s">
        <v>194</v>
      </c>
      <c r="AH10" s="846" t="s">
        <v>194</v>
      </c>
      <c r="AI10" s="846" t="s">
        <v>194</v>
      </c>
      <c r="AJ10" s="846" t="s">
        <v>194</v>
      </c>
      <c r="AK10" s="846" t="s">
        <v>194</v>
      </c>
      <c r="AL10" s="846" t="s">
        <v>194</v>
      </c>
      <c r="AM10" s="846" t="s">
        <v>194</v>
      </c>
      <c r="AN10" s="846" t="s">
        <v>194</v>
      </c>
    </row>
    <row r="11">
      <c r="A11" s="849">
        <v>1.0</v>
      </c>
      <c r="B11" s="15"/>
      <c r="C11" s="869" t="str">
        <f>"    Return on Invested Capital (ROIC)"</f>
        <v>    Return on Invested Capital (ROIC)</v>
      </c>
      <c r="D11" s="938">
        <f t="shared" ref="D11:D18" si="1">IF(COUNT(M11:Q11)&gt;0,MEDIAN(M11:Q11),"")</f>
        <v>-0.3360358148</v>
      </c>
      <c r="E11" s="938">
        <f t="shared" ref="E11:E18" si="2">IF(COUNT(M11:Q11)&gt;0,AVERAGE(M11:Q11),"")</f>
        <v>-0.3360358148</v>
      </c>
      <c r="F11" s="938">
        <f t="shared" ref="F11:F18" si="3">IF(COUNT(M11:Q11)&gt;0,MIN(M11:Q11),"")</f>
        <v>-0.4535922742</v>
      </c>
      <c r="G11" s="938">
        <f t="shared" ref="G11:G18" si="4">IF(COUNT(M11:Q11)&gt;0,MAX(M11:Q11),"")</f>
        <v>-0.2184793555</v>
      </c>
      <c r="H11" s="938">
        <f t="shared" ref="H11:H18" si="5">IF(COUNT(M11:Q11)&gt;0,QUARTILE(M11:Q11,1),"")</f>
        <v>-0.3948140445</v>
      </c>
      <c r="I11" s="938">
        <f t="shared" ref="I11:I18" si="6">IF(COUNT(M11:Q11)&gt;0,QUARTILE(M11:Q11,3),"")</f>
        <v>-0.2772575852</v>
      </c>
      <c r="J11" s="938">
        <f t="shared" ref="J11:J18" si="7">IF(COUNT(M11:Q11)&gt;1,STDEV(M11:Q11),"")</f>
        <v>0.1662499391</v>
      </c>
      <c r="K11" s="871">
        <f t="shared" ref="K11:K18" si="8">IF(COUNT(M11:Q11)&gt;1,STDEV(M11:Q11)/AVERAGE(M11:Q11),"")</f>
        <v>-0.4947387505</v>
      </c>
      <c r="L11" s="939" t="s">
        <v>194</v>
      </c>
      <c r="M11" s="939">
        <v>-0.4535922741703311</v>
      </c>
      <c r="N11" s="939">
        <v>-0.21847935548841893</v>
      </c>
      <c r="O11" s="939" t="s">
        <v>194</v>
      </c>
      <c r="P11" s="939" t="s">
        <v>194</v>
      </c>
      <c r="Q11" s="939" t="s">
        <v>194</v>
      </c>
      <c r="R11" s="15"/>
      <c r="S11" s="851" t="s">
        <v>194</v>
      </c>
      <c r="T11" s="846" t="s">
        <v>194</v>
      </c>
      <c r="U11" s="846" t="s">
        <v>194</v>
      </c>
      <c r="V11" s="846" t="s">
        <v>194</v>
      </c>
      <c r="W11" s="846" t="s">
        <v>194</v>
      </c>
      <c r="X11" s="846" t="s">
        <v>194</v>
      </c>
      <c r="Y11" s="846" t="s">
        <v>194</v>
      </c>
      <c r="Z11" s="846" t="s">
        <v>194</v>
      </c>
      <c r="AA11" s="846" t="s">
        <v>194</v>
      </c>
      <c r="AB11" s="846" t="s">
        <v>194</v>
      </c>
      <c r="AC11" s="846" t="s">
        <v>194</v>
      </c>
      <c r="AD11" s="846" t="s">
        <v>194</v>
      </c>
      <c r="AE11" s="846" t="s">
        <v>194</v>
      </c>
      <c r="AF11" s="846" t="s">
        <v>194</v>
      </c>
      <c r="AG11" s="846" t="s">
        <v>194</v>
      </c>
      <c r="AH11" s="846" t="s">
        <v>194</v>
      </c>
      <c r="AI11" s="846" t="s">
        <v>194</v>
      </c>
      <c r="AJ11" s="846" t="s">
        <v>194</v>
      </c>
      <c r="AK11" s="846" t="s">
        <v>194</v>
      </c>
      <c r="AL11" s="846" t="s">
        <v>194</v>
      </c>
      <c r="AM11" s="846" t="s">
        <v>194</v>
      </c>
      <c r="AN11" s="846" t="s">
        <v>194</v>
      </c>
    </row>
    <row r="12">
      <c r="A12" s="849">
        <v>1.0</v>
      </c>
      <c r="B12" s="15"/>
      <c r="C12" s="869" t="str">
        <f>"    Normalized Return on Invested Capital"</f>
        <v>    Normalized Return on Invested Capital</v>
      </c>
      <c r="D12" s="938">
        <f t="shared" si="1"/>
        <v>-0.3248277391</v>
      </c>
      <c r="E12" s="938">
        <f t="shared" si="2"/>
        <v>-0.3248277391</v>
      </c>
      <c r="F12" s="938">
        <f t="shared" si="3"/>
        <v>-0.4312516515</v>
      </c>
      <c r="G12" s="938">
        <f t="shared" si="4"/>
        <v>-0.2184038268</v>
      </c>
      <c r="H12" s="938">
        <f t="shared" si="5"/>
        <v>-0.3780396953</v>
      </c>
      <c r="I12" s="938">
        <f t="shared" si="6"/>
        <v>-0.271615783</v>
      </c>
      <c r="J12" s="938">
        <f t="shared" si="7"/>
        <v>0.1505061402</v>
      </c>
      <c r="K12" s="871">
        <f t="shared" si="8"/>
        <v>-0.4633414024</v>
      </c>
      <c r="L12" s="939" t="s">
        <v>194</v>
      </c>
      <c r="M12" s="939">
        <v>-0.43125165145031846</v>
      </c>
      <c r="N12" s="939">
        <v>-0.21840382678751258</v>
      </c>
      <c r="O12" s="939" t="s">
        <v>194</v>
      </c>
      <c r="P12" s="939" t="s">
        <v>194</v>
      </c>
      <c r="Q12" s="939" t="s">
        <v>194</v>
      </c>
      <c r="R12" s="15"/>
      <c r="S12" s="851" t="s">
        <v>194</v>
      </c>
      <c r="T12" s="846" t="s">
        <v>194</v>
      </c>
      <c r="U12" s="846" t="s">
        <v>194</v>
      </c>
      <c r="V12" s="846" t="s">
        <v>194</v>
      </c>
      <c r="W12" s="846" t="s">
        <v>194</v>
      </c>
      <c r="X12" s="846" t="s">
        <v>194</v>
      </c>
      <c r="Y12" s="846" t="s">
        <v>194</v>
      </c>
      <c r="Z12" s="846" t="s">
        <v>194</v>
      </c>
      <c r="AA12" s="846" t="s">
        <v>194</v>
      </c>
      <c r="AB12" s="846" t="s">
        <v>194</v>
      </c>
      <c r="AC12" s="846" t="s">
        <v>194</v>
      </c>
      <c r="AD12" s="846" t="s">
        <v>194</v>
      </c>
      <c r="AE12" s="846" t="s">
        <v>194</v>
      </c>
      <c r="AF12" s="846" t="s">
        <v>194</v>
      </c>
      <c r="AG12" s="846" t="s">
        <v>194</v>
      </c>
      <c r="AH12" s="846" t="s">
        <v>194</v>
      </c>
      <c r="AI12" s="846" t="s">
        <v>194</v>
      </c>
      <c r="AJ12" s="846" t="s">
        <v>194</v>
      </c>
      <c r="AK12" s="846" t="s">
        <v>194</v>
      </c>
      <c r="AL12" s="846" t="s">
        <v>194</v>
      </c>
      <c r="AM12" s="846" t="s">
        <v>194</v>
      </c>
      <c r="AN12" s="846" t="s">
        <v>194</v>
      </c>
    </row>
    <row r="13">
      <c r="A13" s="849">
        <v>1.0</v>
      </c>
      <c r="B13" s="15"/>
      <c r="C13" s="869" t="str">
        <f>"    Return on Equity (ROE)"</f>
        <v>    Return on Equity (ROE)</v>
      </c>
      <c r="D13" s="938">
        <f t="shared" si="1"/>
        <v>-0.5312979654</v>
      </c>
      <c r="E13" s="938">
        <f t="shared" si="2"/>
        <v>-0.5312979654</v>
      </c>
      <c r="F13" s="938">
        <f t="shared" si="3"/>
        <v>-0.7207314798</v>
      </c>
      <c r="G13" s="938">
        <f t="shared" si="4"/>
        <v>-0.3418644511</v>
      </c>
      <c r="H13" s="938">
        <f t="shared" si="5"/>
        <v>-0.6260147226</v>
      </c>
      <c r="I13" s="938">
        <f t="shared" si="6"/>
        <v>-0.4365812083</v>
      </c>
      <c r="J13" s="938">
        <f t="shared" si="7"/>
        <v>0.2678994451</v>
      </c>
      <c r="K13" s="871">
        <f t="shared" si="8"/>
        <v>-0.5042357821</v>
      </c>
      <c r="L13" s="939" t="s">
        <v>194</v>
      </c>
      <c r="M13" s="939">
        <v>-0.7207314797536853</v>
      </c>
      <c r="N13" s="939">
        <v>-0.34186445109374547</v>
      </c>
      <c r="O13" s="939" t="s">
        <v>194</v>
      </c>
      <c r="P13" s="939" t="s">
        <v>194</v>
      </c>
      <c r="Q13" s="939" t="s">
        <v>194</v>
      </c>
      <c r="R13" s="15"/>
      <c r="S13" s="851" t="s">
        <v>194</v>
      </c>
      <c r="T13" s="846" t="s">
        <v>194</v>
      </c>
      <c r="U13" s="846" t="s">
        <v>194</v>
      </c>
      <c r="V13" s="846" t="s">
        <v>194</v>
      </c>
      <c r="W13" s="846" t="s">
        <v>194</v>
      </c>
      <c r="X13" s="846" t="s">
        <v>194</v>
      </c>
      <c r="Y13" s="846" t="s">
        <v>194</v>
      </c>
      <c r="Z13" s="846" t="s">
        <v>194</v>
      </c>
      <c r="AA13" s="846" t="s">
        <v>194</v>
      </c>
      <c r="AB13" s="846" t="s">
        <v>194</v>
      </c>
      <c r="AC13" s="846" t="s">
        <v>194</v>
      </c>
      <c r="AD13" s="846" t="s">
        <v>194</v>
      </c>
      <c r="AE13" s="846" t="s">
        <v>194</v>
      </c>
      <c r="AF13" s="846" t="s">
        <v>194</v>
      </c>
      <c r="AG13" s="846" t="s">
        <v>194</v>
      </c>
      <c r="AH13" s="846" t="s">
        <v>194</v>
      </c>
      <c r="AI13" s="846" t="s">
        <v>194</v>
      </c>
      <c r="AJ13" s="846" t="s">
        <v>194</v>
      </c>
      <c r="AK13" s="846" t="s">
        <v>194</v>
      </c>
      <c r="AL13" s="846" t="s">
        <v>194</v>
      </c>
      <c r="AM13" s="846" t="s">
        <v>194</v>
      </c>
      <c r="AN13" s="846" t="s">
        <v>194</v>
      </c>
    </row>
    <row r="14">
      <c r="A14" s="849">
        <v>1.0</v>
      </c>
      <c r="B14" s="15"/>
      <c r="C14" s="869" t="str">
        <f>"    Normalized Return on Equity"</f>
        <v>    Normalized Return on Equity</v>
      </c>
      <c r="D14" s="938">
        <f t="shared" si="1"/>
        <v>-0.5143326686</v>
      </c>
      <c r="E14" s="938">
        <f t="shared" si="2"/>
        <v>-0.5143326686</v>
      </c>
      <c r="F14" s="938">
        <f t="shared" si="3"/>
        <v>-0.6869054674</v>
      </c>
      <c r="G14" s="938">
        <f t="shared" si="4"/>
        <v>-0.3417598699</v>
      </c>
      <c r="H14" s="938">
        <f t="shared" si="5"/>
        <v>-0.600619068</v>
      </c>
      <c r="I14" s="938">
        <f t="shared" si="6"/>
        <v>-0.4280462693</v>
      </c>
      <c r="J14" s="938">
        <f t="shared" si="7"/>
        <v>0.2440547925</v>
      </c>
      <c r="K14" s="871">
        <f t="shared" si="8"/>
        <v>-0.4745076629</v>
      </c>
      <c r="L14" s="939" t="s">
        <v>194</v>
      </c>
      <c r="M14" s="939">
        <v>-0.6869054674379549</v>
      </c>
      <c r="N14" s="939">
        <v>-0.3417598698544578</v>
      </c>
      <c r="O14" s="939" t="s">
        <v>194</v>
      </c>
      <c r="P14" s="939" t="s">
        <v>194</v>
      </c>
      <c r="Q14" s="939" t="s">
        <v>194</v>
      </c>
      <c r="R14" s="15"/>
      <c r="S14" s="851" t="s">
        <v>194</v>
      </c>
      <c r="T14" s="846" t="s">
        <v>194</v>
      </c>
      <c r="U14" s="846" t="s">
        <v>194</v>
      </c>
      <c r="V14" s="846" t="s">
        <v>194</v>
      </c>
      <c r="W14" s="846" t="s">
        <v>194</v>
      </c>
      <c r="X14" s="846" t="s">
        <v>194</v>
      </c>
      <c r="Y14" s="846" t="s">
        <v>194</v>
      </c>
      <c r="Z14" s="846" t="s">
        <v>194</v>
      </c>
      <c r="AA14" s="846" t="s">
        <v>194</v>
      </c>
      <c r="AB14" s="846" t="s">
        <v>194</v>
      </c>
      <c r="AC14" s="846" t="s">
        <v>194</v>
      </c>
      <c r="AD14" s="846" t="s">
        <v>194</v>
      </c>
      <c r="AE14" s="846" t="s">
        <v>194</v>
      </c>
      <c r="AF14" s="846" t="s">
        <v>194</v>
      </c>
      <c r="AG14" s="846" t="s">
        <v>194</v>
      </c>
      <c r="AH14" s="846" t="s">
        <v>194</v>
      </c>
      <c r="AI14" s="846" t="s">
        <v>194</v>
      </c>
      <c r="AJ14" s="846" t="s">
        <v>194</v>
      </c>
      <c r="AK14" s="846" t="s">
        <v>194</v>
      </c>
      <c r="AL14" s="846" t="s">
        <v>194</v>
      </c>
      <c r="AM14" s="846" t="s">
        <v>194</v>
      </c>
      <c r="AN14" s="846" t="s">
        <v>194</v>
      </c>
    </row>
    <row r="15">
      <c r="A15" s="849">
        <v>1.0</v>
      </c>
      <c r="B15" s="15"/>
      <c r="C15" s="869" t="str">
        <f>"    Forward ROE"</f>
        <v>    Forward ROE</v>
      </c>
      <c r="D15" s="938">
        <f t="shared" si="1"/>
        <v>-0.5144890649</v>
      </c>
      <c r="E15" s="938">
        <f t="shared" si="2"/>
        <v>-0.5144890649</v>
      </c>
      <c r="F15" s="938">
        <f t="shared" si="3"/>
        <v>-0.7086621811</v>
      </c>
      <c r="G15" s="938">
        <f t="shared" si="4"/>
        <v>-0.3203159488</v>
      </c>
      <c r="H15" s="938">
        <f t="shared" si="5"/>
        <v>-0.611575623</v>
      </c>
      <c r="I15" s="938">
        <f t="shared" si="6"/>
        <v>-0.4174025069</v>
      </c>
      <c r="J15" s="938">
        <f t="shared" si="7"/>
        <v>0.2746022543</v>
      </c>
      <c r="K15" s="871">
        <f t="shared" si="8"/>
        <v>-0.5337377858</v>
      </c>
      <c r="L15" s="939" t="s">
        <v>194</v>
      </c>
      <c r="M15" s="939">
        <v>-0.7086621811188593</v>
      </c>
      <c r="N15" s="939">
        <v>-0.3203159487756034</v>
      </c>
      <c r="O15" s="939" t="s">
        <v>194</v>
      </c>
      <c r="P15" s="939" t="s">
        <v>194</v>
      </c>
      <c r="Q15" s="939" t="s">
        <v>194</v>
      </c>
      <c r="R15" s="15"/>
      <c r="S15" s="851" t="s">
        <v>194</v>
      </c>
      <c r="T15" s="846" t="s">
        <v>194</v>
      </c>
      <c r="U15" s="846" t="s">
        <v>194</v>
      </c>
      <c r="V15" s="846" t="s">
        <v>194</v>
      </c>
      <c r="W15" s="846" t="s">
        <v>194</v>
      </c>
      <c r="X15" s="846" t="s">
        <v>194</v>
      </c>
      <c r="Y15" s="846" t="s">
        <v>194</v>
      </c>
      <c r="Z15" s="846" t="s">
        <v>194</v>
      </c>
      <c r="AA15" s="846" t="s">
        <v>194</v>
      </c>
      <c r="AB15" s="846" t="s">
        <v>194</v>
      </c>
      <c r="AC15" s="846" t="s">
        <v>194</v>
      </c>
      <c r="AD15" s="846" t="s">
        <v>194</v>
      </c>
      <c r="AE15" s="846" t="s">
        <v>194</v>
      </c>
      <c r="AF15" s="846" t="s">
        <v>194</v>
      </c>
      <c r="AG15" s="846" t="s">
        <v>194</v>
      </c>
      <c r="AH15" s="846" t="s">
        <v>194</v>
      </c>
      <c r="AI15" s="846" t="s">
        <v>194</v>
      </c>
      <c r="AJ15" s="846" t="s">
        <v>194</v>
      </c>
      <c r="AK15" s="846" t="s">
        <v>194</v>
      </c>
      <c r="AL15" s="846" t="s">
        <v>194</v>
      </c>
      <c r="AM15" s="846" t="s">
        <v>194</v>
      </c>
      <c r="AN15" s="846" t="s">
        <v>194</v>
      </c>
    </row>
    <row r="16">
      <c r="A16" s="849">
        <v>1.0</v>
      </c>
      <c r="B16" s="15"/>
      <c r="C16" s="869" t="str">
        <f>"    Return on Asset (ROA)"</f>
        <v>    Return on Asset (ROA)</v>
      </c>
      <c r="D16" s="938">
        <f t="shared" si="1"/>
        <v>-0.3819121713</v>
      </c>
      <c r="E16" s="938">
        <f t="shared" si="2"/>
        <v>-0.500084447</v>
      </c>
      <c r="F16" s="938">
        <f t="shared" si="3"/>
        <v>-0.855367659</v>
      </c>
      <c r="G16" s="938">
        <f t="shared" si="4"/>
        <v>-0.2168984698</v>
      </c>
      <c r="H16" s="938">
        <f t="shared" si="5"/>
        <v>-0.8087476277</v>
      </c>
      <c r="I16" s="938">
        <f t="shared" si="6"/>
        <v>-0.2374963074</v>
      </c>
      <c r="J16" s="938">
        <f t="shared" si="7"/>
        <v>0.310084922</v>
      </c>
      <c r="K16" s="871">
        <f t="shared" si="8"/>
        <v>-0.6200651186</v>
      </c>
      <c r="L16" s="939" t="s">
        <v>194</v>
      </c>
      <c r="M16" s="939">
        <v>-0.38191217127511046</v>
      </c>
      <c r="N16" s="939">
        <v>-0.21689846984101238</v>
      </c>
      <c r="O16" s="939">
        <v>-0.23749630740564</v>
      </c>
      <c r="P16" s="939">
        <v>-0.808747627746936</v>
      </c>
      <c r="Q16" s="939">
        <v>-0.8553676589767141</v>
      </c>
      <c r="R16" s="15"/>
      <c r="S16" s="851" t="s">
        <v>194</v>
      </c>
      <c r="T16" s="846" t="s">
        <v>194</v>
      </c>
      <c r="U16" s="846" t="s">
        <v>194</v>
      </c>
      <c r="V16" s="846" t="s">
        <v>194</v>
      </c>
      <c r="W16" s="846" t="s">
        <v>194</v>
      </c>
      <c r="X16" s="846" t="s">
        <v>194</v>
      </c>
      <c r="Y16" s="846" t="s">
        <v>194</v>
      </c>
      <c r="Z16" s="846" t="s">
        <v>194</v>
      </c>
      <c r="AA16" s="846" t="s">
        <v>194</v>
      </c>
      <c r="AB16" s="846" t="s">
        <v>194</v>
      </c>
      <c r="AC16" s="846" t="s">
        <v>194</v>
      </c>
      <c r="AD16" s="846" t="s">
        <v>194</v>
      </c>
      <c r="AE16" s="846" t="s">
        <v>194</v>
      </c>
      <c r="AF16" s="846" t="s">
        <v>194</v>
      </c>
      <c r="AG16" s="846" t="s">
        <v>194</v>
      </c>
      <c r="AH16" s="846" t="s">
        <v>194</v>
      </c>
      <c r="AI16" s="846" t="s">
        <v>194</v>
      </c>
      <c r="AJ16" s="846" t="s">
        <v>194</v>
      </c>
      <c r="AK16" s="846" t="s">
        <v>194</v>
      </c>
      <c r="AL16" s="846" t="s">
        <v>194</v>
      </c>
      <c r="AM16" s="846" t="s">
        <v>194</v>
      </c>
      <c r="AN16" s="846" t="s">
        <v>194</v>
      </c>
    </row>
    <row r="17">
      <c r="A17" s="849">
        <v>1.0</v>
      </c>
      <c r="B17" s="15"/>
      <c r="C17" s="869" t="str">
        <f>"    Normalized Return on Assets"</f>
        <v>    Normalized Return on Assets</v>
      </c>
      <c r="D17" s="938">
        <f t="shared" si="1"/>
        <v>-0.3639879288</v>
      </c>
      <c r="E17" s="938">
        <f t="shared" si="2"/>
        <v>-0.4963397433</v>
      </c>
      <c r="F17" s="938">
        <f t="shared" si="3"/>
        <v>-0.8549894646</v>
      </c>
      <c r="G17" s="938">
        <f t="shared" si="4"/>
        <v>-0.2168321175</v>
      </c>
      <c r="H17" s="938">
        <f t="shared" si="5"/>
        <v>-0.8083928983</v>
      </c>
      <c r="I17" s="938">
        <f t="shared" si="6"/>
        <v>-0.2374963074</v>
      </c>
      <c r="J17" s="938">
        <f t="shared" si="7"/>
        <v>0.3117082908</v>
      </c>
      <c r="K17" s="871">
        <f t="shared" si="8"/>
        <v>-0.6280139662</v>
      </c>
      <c r="L17" s="939" t="s">
        <v>194</v>
      </c>
      <c r="M17" s="939">
        <v>-0.36398792879094105</v>
      </c>
      <c r="N17" s="939">
        <v>-0.2168321174878999</v>
      </c>
      <c r="O17" s="939">
        <v>-0.23749630740564</v>
      </c>
      <c r="P17" s="939">
        <v>-0.8083928983168088</v>
      </c>
      <c r="Q17" s="939">
        <v>-0.8549894645847966</v>
      </c>
      <c r="R17" s="15"/>
      <c r="S17" s="851" t="s">
        <v>194</v>
      </c>
      <c r="T17" s="846" t="s">
        <v>194</v>
      </c>
      <c r="U17" s="846" t="s">
        <v>194</v>
      </c>
      <c r="V17" s="846" t="s">
        <v>194</v>
      </c>
      <c r="W17" s="846" t="s">
        <v>194</v>
      </c>
      <c r="X17" s="846" t="s">
        <v>194</v>
      </c>
      <c r="Y17" s="846" t="s">
        <v>194</v>
      </c>
      <c r="Z17" s="846" t="s">
        <v>194</v>
      </c>
      <c r="AA17" s="846" t="s">
        <v>194</v>
      </c>
      <c r="AB17" s="846" t="s">
        <v>194</v>
      </c>
      <c r="AC17" s="846" t="s">
        <v>194</v>
      </c>
      <c r="AD17" s="846" t="s">
        <v>194</v>
      </c>
      <c r="AE17" s="846" t="s">
        <v>194</v>
      </c>
      <c r="AF17" s="846" t="s">
        <v>194</v>
      </c>
      <c r="AG17" s="846" t="s">
        <v>194</v>
      </c>
      <c r="AH17" s="846" t="s">
        <v>194</v>
      </c>
      <c r="AI17" s="846" t="s">
        <v>194</v>
      </c>
      <c r="AJ17" s="846" t="s">
        <v>194</v>
      </c>
      <c r="AK17" s="846" t="s">
        <v>194</v>
      </c>
      <c r="AL17" s="846" t="s">
        <v>194</v>
      </c>
      <c r="AM17" s="846" t="s">
        <v>194</v>
      </c>
      <c r="AN17" s="846" t="s">
        <v>194</v>
      </c>
    </row>
    <row r="18">
      <c r="A18" s="849">
        <v>1.0</v>
      </c>
      <c r="B18" s="15"/>
      <c r="C18" s="869" t="str">
        <f>"    Forward ROA"</f>
        <v>    Forward ROA</v>
      </c>
      <c r="D18" s="938">
        <f t="shared" si="1"/>
        <v>-0.3809143348</v>
      </c>
      <c r="E18" s="938">
        <f t="shared" si="2"/>
        <v>-0.6038065878</v>
      </c>
      <c r="F18" s="938">
        <f t="shared" si="3"/>
        <v>-1.225863189</v>
      </c>
      <c r="G18" s="938">
        <f t="shared" si="4"/>
        <v>-0.2046422397</v>
      </c>
      <c r="H18" s="938">
        <f t="shared" si="5"/>
        <v>-0.8033887618</v>
      </c>
      <c r="I18" s="938">
        <f t="shared" si="6"/>
        <v>-0.2927782872</v>
      </c>
      <c r="J18" s="938">
        <f t="shared" si="7"/>
        <v>0.5458789005</v>
      </c>
      <c r="K18" s="871">
        <f t="shared" si="8"/>
        <v>-0.9040625121</v>
      </c>
      <c r="L18" s="939" t="s">
        <v>194</v>
      </c>
      <c r="M18" s="939">
        <v>-0.380914334770441</v>
      </c>
      <c r="N18" s="939">
        <v>-0.20464223972167145</v>
      </c>
      <c r="O18" s="939">
        <v>-1.2258631888181155</v>
      </c>
      <c r="P18" s="939" t="s">
        <v>194</v>
      </c>
      <c r="Q18" s="939" t="s">
        <v>194</v>
      </c>
      <c r="R18" s="15"/>
      <c r="S18" s="851" t="s">
        <v>194</v>
      </c>
      <c r="T18" s="846" t="s">
        <v>194</v>
      </c>
      <c r="U18" s="846" t="s">
        <v>194</v>
      </c>
      <c r="V18" s="846" t="s">
        <v>194</v>
      </c>
      <c r="W18" s="846" t="s">
        <v>194</v>
      </c>
      <c r="X18" s="846" t="s">
        <v>194</v>
      </c>
      <c r="Y18" s="846" t="s">
        <v>194</v>
      </c>
      <c r="Z18" s="846" t="s">
        <v>194</v>
      </c>
      <c r="AA18" s="846" t="s">
        <v>194</v>
      </c>
      <c r="AB18" s="846" t="s">
        <v>194</v>
      </c>
      <c r="AC18" s="846" t="s">
        <v>194</v>
      </c>
      <c r="AD18" s="846" t="s">
        <v>194</v>
      </c>
      <c r="AE18" s="846" t="s">
        <v>194</v>
      </c>
      <c r="AF18" s="846" t="s">
        <v>194</v>
      </c>
      <c r="AG18" s="846" t="s">
        <v>194</v>
      </c>
      <c r="AH18" s="846" t="s">
        <v>194</v>
      </c>
      <c r="AI18" s="846" t="s">
        <v>194</v>
      </c>
      <c r="AJ18" s="846" t="s">
        <v>194</v>
      </c>
      <c r="AK18" s="846" t="s">
        <v>194</v>
      </c>
      <c r="AL18" s="846" t="s">
        <v>194</v>
      </c>
      <c r="AM18" s="846" t="s">
        <v>194</v>
      </c>
      <c r="AN18" s="846" t="s">
        <v>194</v>
      </c>
    </row>
    <row r="19">
      <c r="A19" s="849">
        <v>1.0</v>
      </c>
      <c r="B19" s="15"/>
      <c r="C19" s="855" t="str">
        <f>"Efficiency"</f>
        <v>Efficiency</v>
      </c>
      <c r="D19" s="867" t="s">
        <v>194</v>
      </c>
      <c r="E19" s="867" t="s">
        <v>194</v>
      </c>
      <c r="F19" s="867" t="s">
        <v>194</v>
      </c>
      <c r="G19" s="867" t="s">
        <v>194</v>
      </c>
      <c r="H19" s="867" t="s">
        <v>194</v>
      </c>
      <c r="I19" s="867" t="s">
        <v>194</v>
      </c>
      <c r="J19" s="867" t="s">
        <v>194</v>
      </c>
      <c r="K19" s="867" t="s">
        <v>194</v>
      </c>
      <c r="L19" s="867" t="s">
        <v>194</v>
      </c>
      <c r="M19" s="867" t="s">
        <v>194</v>
      </c>
      <c r="N19" s="867" t="s">
        <v>194</v>
      </c>
      <c r="O19" s="867" t="s">
        <v>194</v>
      </c>
      <c r="P19" s="867" t="s">
        <v>194</v>
      </c>
      <c r="Q19" s="867" t="s">
        <v>194</v>
      </c>
      <c r="R19" s="15"/>
      <c r="S19" s="851" t="s">
        <v>194</v>
      </c>
      <c r="T19" s="846" t="s">
        <v>194</v>
      </c>
      <c r="U19" s="846" t="s">
        <v>194</v>
      </c>
      <c r="V19" s="846" t="s">
        <v>194</v>
      </c>
      <c r="W19" s="846" t="s">
        <v>194</v>
      </c>
      <c r="X19" s="846" t="s">
        <v>194</v>
      </c>
      <c r="Y19" s="846" t="s">
        <v>194</v>
      </c>
      <c r="Z19" s="846" t="s">
        <v>194</v>
      </c>
      <c r="AA19" s="846" t="s">
        <v>194</v>
      </c>
      <c r="AB19" s="846" t="s">
        <v>194</v>
      </c>
      <c r="AC19" s="846" t="s">
        <v>194</v>
      </c>
      <c r="AD19" s="846" t="s">
        <v>194</v>
      </c>
      <c r="AE19" s="846" t="s">
        <v>194</v>
      </c>
      <c r="AF19" s="846" t="s">
        <v>194</v>
      </c>
      <c r="AG19" s="846" t="s">
        <v>194</v>
      </c>
      <c r="AH19" s="846" t="s">
        <v>194</v>
      </c>
      <c r="AI19" s="846" t="s">
        <v>194</v>
      </c>
      <c r="AJ19" s="846" t="s">
        <v>194</v>
      </c>
      <c r="AK19" s="846" t="s">
        <v>194</v>
      </c>
      <c r="AL19" s="846" t="s">
        <v>194</v>
      </c>
      <c r="AM19" s="846" t="s">
        <v>194</v>
      </c>
      <c r="AN19" s="846" t="s">
        <v>194</v>
      </c>
    </row>
    <row r="20">
      <c r="A20" s="849">
        <v>1.0</v>
      </c>
      <c r="B20" s="15"/>
      <c r="C20" s="869" t="str">
        <f>"    Cash to Assets"</f>
        <v>    Cash to Assets</v>
      </c>
      <c r="D20" s="886">
        <f t="shared" ref="D20:D33" si="9">IF(COUNT(M20:Q20)&gt;0,MEDIAN(M20:Q20),"")</f>
        <v>0.6656104774</v>
      </c>
      <c r="E20" s="886">
        <f t="shared" ref="E20:E33" si="10">IF(COUNT(M20:Q20)&gt;0,AVERAGE(M20:Q20),"")</f>
        <v>0.6644415442</v>
      </c>
      <c r="F20" s="886">
        <f t="shared" ref="F20:F33" si="11">IF(COUNT(M20:Q20)&gt;0,MIN(M20:Q20),"")</f>
        <v>0.4656113242</v>
      </c>
      <c r="G20" s="886">
        <f t="shared" ref="G20:G33" si="12">IF(COUNT(M20:Q20)&gt;0,MAX(M20:Q20),"")</f>
        <v>0.7689354957</v>
      </c>
      <c r="H20" s="886">
        <f t="shared" ref="H20:H33" si="13">IF(COUNT(M20:Q20)&gt;0,QUARTILE(M20:Q20,1),"")</f>
        <v>0.6544398964</v>
      </c>
      <c r="I20" s="886">
        <f t="shared" ref="I20:I33" si="14">IF(COUNT(M20:Q20)&gt;0,QUARTILE(M20:Q20,3),"")</f>
        <v>0.7676105272</v>
      </c>
      <c r="J20" s="886">
        <f t="shared" ref="J20:J33" si="15">IF(COUNT(M20:Q20)&gt;1,STDEV(M20:Q20),"")</f>
        <v>0.123690825</v>
      </c>
      <c r="K20" s="871">
        <f t="shared" ref="K20:K33" si="16">IF(COUNT(M20:Q20)&gt;1,STDEV(M20:Q20)/AVERAGE(M20:Q20),"")</f>
        <v>0.1861575725</v>
      </c>
      <c r="L20" s="887" t="s">
        <v>194</v>
      </c>
      <c r="M20" s="887">
        <v>0.6544398964163395</v>
      </c>
      <c r="N20" s="887">
        <v>0.768935495744537</v>
      </c>
      <c r="O20" s="887">
        <v>0.7676105272300877</v>
      </c>
      <c r="P20" s="887">
        <v>0.6656104773975496</v>
      </c>
      <c r="Q20" s="887">
        <v>0.46561132422064944</v>
      </c>
      <c r="R20" s="15"/>
      <c r="S20" s="851" t="s">
        <v>194</v>
      </c>
      <c r="T20" s="846" t="s">
        <v>194</v>
      </c>
      <c r="U20" s="846" t="s">
        <v>194</v>
      </c>
      <c r="V20" s="846" t="s">
        <v>194</v>
      </c>
      <c r="W20" s="846" t="s">
        <v>194</v>
      </c>
      <c r="X20" s="846" t="s">
        <v>194</v>
      </c>
      <c r="Y20" s="846" t="s">
        <v>194</v>
      </c>
      <c r="Z20" s="846" t="s">
        <v>194</v>
      </c>
      <c r="AA20" s="846" t="s">
        <v>194</v>
      </c>
      <c r="AB20" s="846" t="s">
        <v>194</v>
      </c>
      <c r="AC20" s="846" t="s">
        <v>194</v>
      </c>
      <c r="AD20" s="846" t="s">
        <v>194</v>
      </c>
      <c r="AE20" s="846" t="s">
        <v>194</v>
      </c>
      <c r="AF20" s="846" t="s">
        <v>194</v>
      </c>
      <c r="AG20" s="846" t="s">
        <v>194</v>
      </c>
      <c r="AH20" s="846" t="s">
        <v>194</v>
      </c>
      <c r="AI20" s="846" t="s">
        <v>194</v>
      </c>
      <c r="AJ20" s="846" t="s">
        <v>194</v>
      </c>
      <c r="AK20" s="846" t="s">
        <v>194</v>
      </c>
      <c r="AL20" s="846" t="s">
        <v>194</v>
      </c>
      <c r="AM20" s="846" t="s">
        <v>194</v>
      </c>
      <c r="AN20" s="846" t="s">
        <v>194</v>
      </c>
    </row>
    <row r="21" ht="15.75" customHeight="1">
      <c r="A21" s="849">
        <v>1.0</v>
      </c>
      <c r="B21" s="15"/>
      <c r="C21" s="869" t="str">
        <f>"    Cash Turnover"</f>
        <v>    Cash Turnover</v>
      </c>
      <c r="D21" s="886">
        <f t="shared" si="9"/>
        <v>1.630194902</v>
      </c>
      <c r="E21" s="886">
        <f t="shared" si="10"/>
        <v>1.642456952</v>
      </c>
      <c r="F21" s="886">
        <f t="shared" si="11"/>
        <v>0.9453249078</v>
      </c>
      <c r="G21" s="886">
        <f t="shared" si="12"/>
        <v>2.523671385</v>
      </c>
      <c r="H21" s="886">
        <f t="shared" si="13"/>
        <v>0.9762757318</v>
      </c>
      <c r="I21" s="886">
        <f t="shared" si="14"/>
        <v>2.136817832</v>
      </c>
      <c r="J21" s="886">
        <f t="shared" si="15"/>
        <v>0.6983681731</v>
      </c>
      <c r="K21" s="871">
        <f t="shared" si="16"/>
        <v>0.4251972463</v>
      </c>
      <c r="L21" s="887" t="s">
        <v>194</v>
      </c>
      <c r="M21" s="887">
        <v>1.6301949022168605</v>
      </c>
      <c r="N21" s="887">
        <v>0.9453249077552743</v>
      </c>
      <c r="O21" s="887">
        <v>0.976275731764921</v>
      </c>
      <c r="P21" s="887">
        <v>2.1368178324365874</v>
      </c>
      <c r="Q21" s="887">
        <v>2.523671385472267</v>
      </c>
      <c r="R21" s="15"/>
      <c r="S21" s="851" t="s">
        <v>194</v>
      </c>
      <c r="T21" s="846" t="s">
        <v>194</v>
      </c>
      <c r="U21" s="846" t="s">
        <v>194</v>
      </c>
      <c r="V21" s="846" t="s">
        <v>194</v>
      </c>
      <c r="W21" s="846" t="s">
        <v>194</v>
      </c>
      <c r="X21" s="846" t="s">
        <v>194</v>
      </c>
      <c r="Y21" s="846" t="s">
        <v>194</v>
      </c>
      <c r="Z21" s="846" t="s">
        <v>194</v>
      </c>
      <c r="AA21" s="846" t="s">
        <v>194</v>
      </c>
      <c r="AB21" s="846" t="s">
        <v>194</v>
      </c>
      <c r="AC21" s="846" t="s">
        <v>194</v>
      </c>
      <c r="AD21" s="846" t="s">
        <v>194</v>
      </c>
      <c r="AE21" s="846" t="s">
        <v>194</v>
      </c>
      <c r="AF21" s="846" t="s">
        <v>194</v>
      </c>
      <c r="AG21" s="846" t="s">
        <v>194</v>
      </c>
      <c r="AH21" s="846" t="s">
        <v>194</v>
      </c>
      <c r="AI21" s="846" t="s">
        <v>194</v>
      </c>
      <c r="AJ21" s="846" t="s">
        <v>194</v>
      </c>
      <c r="AK21" s="846" t="s">
        <v>194</v>
      </c>
      <c r="AL21" s="846" t="s">
        <v>194</v>
      </c>
      <c r="AM21" s="846" t="s">
        <v>194</v>
      </c>
      <c r="AN21" s="846" t="s">
        <v>194</v>
      </c>
    </row>
    <row r="22" ht="15.75" customHeight="1">
      <c r="A22" s="849">
        <v>1.0</v>
      </c>
      <c r="B22" s="15"/>
      <c r="C22" s="869" t="str">
        <f>"    Inventory Turnover"</f>
        <v>    Inventory Turnover</v>
      </c>
      <c r="D22" s="886">
        <f t="shared" si="9"/>
        <v>16.47573964</v>
      </c>
      <c r="E22" s="886">
        <f t="shared" si="10"/>
        <v>16.60727558</v>
      </c>
      <c r="F22" s="886">
        <f t="shared" si="11"/>
        <v>12.94743276</v>
      </c>
      <c r="G22" s="886">
        <f t="shared" si="12"/>
        <v>20.60293725</v>
      </c>
      <c r="H22" s="886">
        <f t="shared" si="13"/>
        <v>14.9770759</v>
      </c>
      <c r="I22" s="886">
        <f t="shared" si="14"/>
        <v>18.03319232</v>
      </c>
      <c r="J22" s="886">
        <f t="shared" si="15"/>
        <v>2.918383665</v>
      </c>
      <c r="K22" s="871">
        <f t="shared" si="16"/>
        <v>0.1757292249</v>
      </c>
      <c r="L22" s="887" t="s">
        <v>194</v>
      </c>
      <c r="M22" s="887">
        <v>20.602937249666223</v>
      </c>
      <c r="N22" s="887">
        <v>18.033192320208265</v>
      </c>
      <c r="O22" s="887">
        <v>16.475739644970414</v>
      </c>
      <c r="P22" s="887">
        <v>14.977075904228222</v>
      </c>
      <c r="Q22" s="887">
        <v>12.947432762836186</v>
      </c>
      <c r="R22" s="15"/>
      <c r="S22" s="851" t="s">
        <v>194</v>
      </c>
      <c r="T22" s="846" t="s">
        <v>194</v>
      </c>
      <c r="U22" s="846" t="s">
        <v>194</v>
      </c>
      <c r="V22" s="846" t="s">
        <v>194</v>
      </c>
      <c r="W22" s="846" t="s">
        <v>194</v>
      </c>
      <c r="X22" s="846" t="s">
        <v>194</v>
      </c>
      <c r="Y22" s="846" t="s">
        <v>194</v>
      </c>
      <c r="Z22" s="846" t="s">
        <v>194</v>
      </c>
      <c r="AA22" s="846" t="s">
        <v>194</v>
      </c>
      <c r="AB22" s="846" t="s">
        <v>194</v>
      </c>
      <c r="AC22" s="846" t="s">
        <v>194</v>
      </c>
      <c r="AD22" s="846" t="s">
        <v>194</v>
      </c>
      <c r="AE22" s="846" t="s">
        <v>194</v>
      </c>
      <c r="AF22" s="846" t="s">
        <v>194</v>
      </c>
      <c r="AG22" s="846" t="s">
        <v>194</v>
      </c>
      <c r="AH22" s="846" t="s">
        <v>194</v>
      </c>
      <c r="AI22" s="846" t="s">
        <v>194</v>
      </c>
      <c r="AJ22" s="846" t="s">
        <v>194</v>
      </c>
      <c r="AK22" s="846" t="s">
        <v>194</v>
      </c>
      <c r="AL22" s="846" t="s">
        <v>194</v>
      </c>
      <c r="AM22" s="846" t="s">
        <v>194</v>
      </c>
      <c r="AN22" s="846" t="s">
        <v>194</v>
      </c>
    </row>
    <row r="23" ht="15.75" customHeight="1">
      <c r="A23" s="849">
        <v>1.0</v>
      </c>
      <c r="B23" s="15"/>
      <c r="C23" s="869" t="str">
        <f>"    Receivable Turnover"</f>
        <v>    Receivable Turnover</v>
      </c>
      <c r="D23" s="886">
        <f t="shared" si="9"/>
        <v>8.433610077</v>
      </c>
      <c r="E23" s="886">
        <f t="shared" si="10"/>
        <v>7.167478577</v>
      </c>
      <c r="F23" s="886">
        <f t="shared" si="11"/>
        <v>3.715872202</v>
      </c>
      <c r="G23" s="886">
        <f t="shared" si="12"/>
        <v>8.811574757</v>
      </c>
      <c r="H23" s="886">
        <f t="shared" si="13"/>
        <v>6.323709536</v>
      </c>
      <c r="I23" s="886">
        <f t="shared" si="14"/>
        <v>8.55262631</v>
      </c>
      <c r="J23" s="886">
        <f t="shared" si="15"/>
        <v>2.170847083</v>
      </c>
      <c r="K23" s="871">
        <f t="shared" si="16"/>
        <v>0.3028745827</v>
      </c>
      <c r="L23" s="887" t="s">
        <v>194</v>
      </c>
      <c r="M23" s="887">
        <v>8.433610077297452</v>
      </c>
      <c r="N23" s="887">
        <v>8.811574757368398</v>
      </c>
      <c r="O23" s="887">
        <v>8.552626309817793</v>
      </c>
      <c r="P23" s="887">
        <v>6.323709536307962</v>
      </c>
      <c r="Q23" s="887">
        <v>3.7158722022894244</v>
      </c>
      <c r="R23" s="15"/>
      <c r="S23" s="851" t="s">
        <v>194</v>
      </c>
      <c r="T23" s="846" t="s">
        <v>194</v>
      </c>
      <c r="U23" s="846" t="s">
        <v>194</v>
      </c>
      <c r="V23" s="846" t="s">
        <v>194</v>
      </c>
      <c r="W23" s="846" t="s">
        <v>194</v>
      </c>
      <c r="X23" s="846" t="s">
        <v>194</v>
      </c>
      <c r="Y23" s="846" t="s">
        <v>194</v>
      </c>
      <c r="Z23" s="846" t="s">
        <v>194</v>
      </c>
      <c r="AA23" s="846" t="s">
        <v>194</v>
      </c>
      <c r="AB23" s="846" t="s">
        <v>194</v>
      </c>
      <c r="AC23" s="846" t="s">
        <v>194</v>
      </c>
      <c r="AD23" s="846" t="s">
        <v>194</v>
      </c>
      <c r="AE23" s="846" t="s">
        <v>194</v>
      </c>
      <c r="AF23" s="846" t="s">
        <v>194</v>
      </c>
      <c r="AG23" s="846" t="s">
        <v>194</v>
      </c>
      <c r="AH23" s="846" t="s">
        <v>194</v>
      </c>
      <c r="AI23" s="846" t="s">
        <v>194</v>
      </c>
      <c r="AJ23" s="846" t="s">
        <v>194</v>
      </c>
      <c r="AK23" s="846" t="s">
        <v>194</v>
      </c>
      <c r="AL23" s="846" t="s">
        <v>194</v>
      </c>
      <c r="AM23" s="846" t="s">
        <v>194</v>
      </c>
      <c r="AN23" s="846" t="s">
        <v>194</v>
      </c>
    </row>
    <row r="24" ht="15.75" customHeight="1">
      <c r="A24" s="849">
        <v>1.0</v>
      </c>
      <c r="B24" s="15"/>
      <c r="C24" s="869" t="str">
        <f>"    Payable Turnover"</f>
        <v>    Payable Turnover</v>
      </c>
      <c r="D24" s="886">
        <f t="shared" si="9"/>
        <v>8.847953216</v>
      </c>
      <c r="E24" s="886">
        <f t="shared" si="10"/>
        <v>9.703913575</v>
      </c>
      <c r="F24" s="886">
        <f t="shared" si="11"/>
        <v>8.818586887</v>
      </c>
      <c r="G24" s="886">
        <f t="shared" si="12"/>
        <v>11.06927711</v>
      </c>
      <c r="H24" s="886">
        <f t="shared" si="13"/>
        <v>8.847379888</v>
      </c>
      <c r="I24" s="886">
        <f t="shared" si="14"/>
        <v>10.93637078</v>
      </c>
      <c r="J24" s="886">
        <f t="shared" si="15"/>
        <v>1.18672762</v>
      </c>
      <c r="K24" s="871">
        <f t="shared" si="16"/>
        <v>0.1222937128</v>
      </c>
      <c r="L24" s="887" t="s">
        <v>194</v>
      </c>
      <c r="M24" s="887">
        <v>8.847379887627566</v>
      </c>
      <c r="N24" s="887">
        <v>8.81858688733291</v>
      </c>
      <c r="O24" s="887">
        <v>10.936370777690495</v>
      </c>
      <c r="P24" s="887">
        <v>11.069277108433734</v>
      </c>
      <c r="Q24" s="887">
        <v>8.847953216374268</v>
      </c>
      <c r="R24" s="15"/>
      <c r="S24" s="851" t="s">
        <v>194</v>
      </c>
      <c r="T24" s="846" t="s">
        <v>194</v>
      </c>
      <c r="U24" s="846" t="s">
        <v>194</v>
      </c>
      <c r="V24" s="846" t="s">
        <v>194</v>
      </c>
      <c r="W24" s="846" t="s">
        <v>194</v>
      </c>
      <c r="X24" s="846" t="s">
        <v>194</v>
      </c>
      <c r="Y24" s="846" t="s">
        <v>194</v>
      </c>
      <c r="Z24" s="846" t="s">
        <v>194</v>
      </c>
      <c r="AA24" s="846" t="s">
        <v>194</v>
      </c>
      <c r="AB24" s="846" t="s">
        <v>194</v>
      </c>
      <c r="AC24" s="846" t="s">
        <v>194</v>
      </c>
      <c r="AD24" s="846" t="s">
        <v>194</v>
      </c>
      <c r="AE24" s="846" t="s">
        <v>194</v>
      </c>
      <c r="AF24" s="846" t="s">
        <v>194</v>
      </c>
      <c r="AG24" s="846" t="s">
        <v>194</v>
      </c>
      <c r="AH24" s="846" t="s">
        <v>194</v>
      </c>
      <c r="AI24" s="846" t="s">
        <v>194</v>
      </c>
      <c r="AJ24" s="846" t="s">
        <v>194</v>
      </c>
      <c r="AK24" s="846" t="s">
        <v>194</v>
      </c>
      <c r="AL24" s="846" t="s">
        <v>194</v>
      </c>
      <c r="AM24" s="846" t="s">
        <v>194</v>
      </c>
      <c r="AN24" s="846" t="s">
        <v>194</v>
      </c>
    </row>
    <row r="25" ht="15.75" customHeight="1">
      <c r="A25" s="849">
        <v>1.0</v>
      </c>
      <c r="B25" s="15"/>
      <c r="C25" s="869" t="str">
        <f>"    Fixed Asset Turnover"</f>
        <v>    Fixed Asset Turnover</v>
      </c>
      <c r="D25" s="886">
        <f t="shared" si="9"/>
        <v>19.15742263</v>
      </c>
      <c r="E25" s="886">
        <f t="shared" si="10"/>
        <v>22.26510361</v>
      </c>
      <c r="F25" s="886">
        <f t="shared" si="11"/>
        <v>18.11826375</v>
      </c>
      <c r="G25" s="886">
        <f t="shared" si="12"/>
        <v>28.96005326</v>
      </c>
      <c r="H25" s="886">
        <f t="shared" si="13"/>
        <v>19.1550816</v>
      </c>
      <c r="I25" s="886">
        <f t="shared" si="14"/>
        <v>25.93469681</v>
      </c>
      <c r="J25" s="886">
        <f t="shared" si="15"/>
        <v>4.868635944</v>
      </c>
      <c r="K25" s="871">
        <f t="shared" si="16"/>
        <v>0.2186666646</v>
      </c>
      <c r="L25" s="887" t="s">
        <v>194</v>
      </c>
      <c r="M25" s="887">
        <v>19.155081604785746</v>
      </c>
      <c r="N25" s="887">
        <v>18.118263748390657</v>
      </c>
      <c r="O25" s="887">
        <v>19.15742263417551</v>
      </c>
      <c r="P25" s="887">
        <v>25.93469680660208</v>
      </c>
      <c r="Q25" s="887">
        <v>28.96005326231691</v>
      </c>
      <c r="R25" s="15"/>
      <c r="S25" s="851" t="s">
        <v>194</v>
      </c>
      <c r="T25" s="846" t="s">
        <v>194</v>
      </c>
      <c r="U25" s="846" t="s">
        <v>194</v>
      </c>
      <c r="V25" s="846" t="s">
        <v>194</v>
      </c>
      <c r="W25" s="846" t="s">
        <v>194</v>
      </c>
      <c r="X25" s="846" t="s">
        <v>194</v>
      </c>
      <c r="Y25" s="846" t="s">
        <v>194</v>
      </c>
      <c r="Z25" s="846" t="s">
        <v>194</v>
      </c>
      <c r="AA25" s="846" t="s">
        <v>194</v>
      </c>
      <c r="AB25" s="846" t="s">
        <v>194</v>
      </c>
      <c r="AC25" s="846" t="s">
        <v>194</v>
      </c>
      <c r="AD25" s="846" t="s">
        <v>194</v>
      </c>
      <c r="AE25" s="846" t="s">
        <v>194</v>
      </c>
      <c r="AF25" s="846" t="s">
        <v>194</v>
      </c>
      <c r="AG25" s="846" t="s">
        <v>194</v>
      </c>
      <c r="AH25" s="846" t="s">
        <v>194</v>
      </c>
      <c r="AI25" s="846" t="s">
        <v>194</v>
      </c>
      <c r="AJ25" s="846" t="s">
        <v>194</v>
      </c>
      <c r="AK25" s="846" t="s">
        <v>194</v>
      </c>
      <c r="AL25" s="846" t="s">
        <v>194</v>
      </c>
      <c r="AM25" s="846" t="s">
        <v>194</v>
      </c>
      <c r="AN25" s="846" t="s">
        <v>194</v>
      </c>
    </row>
    <row r="26" ht="15.75" customHeight="1">
      <c r="A26" s="849">
        <v>1.0</v>
      </c>
      <c r="B26" s="15"/>
      <c r="C26" s="869" t="str">
        <f>"    Total Asset Turnover"</f>
        <v>    Total Asset Turnover</v>
      </c>
      <c r="D26" s="886">
        <f t="shared" si="9"/>
        <v>1.165140626</v>
      </c>
      <c r="E26" s="886">
        <f t="shared" si="10"/>
        <v>1.01528277</v>
      </c>
      <c r="F26" s="886">
        <f t="shared" si="11"/>
        <v>0.7262559948</v>
      </c>
      <c r="G26" s="886">
        <f t="shared" si="12"/>
        <v>1.28199216</v>
      </c>
      <c r="H26" s="886">
        <f t="shared" si="13"/>
        <v>0.7279750949</v>
      </c>
      <c r="I26" s="886">
        <f t="shared" si="14"/>
        <v>1.175049976</v>
      </c>
      <c r="J26" s="886">
        <f t="shared" si="15"/>
        <v>0.2670201365</v>
      </c>
      <c r="K26" s="871">
        <f t="shared" si="16"/>
        <v>0.2630007563</v>
      </c>
      <c r="L26" s="887" t="s">
        <v>194</v>
      </c>
      <c r="M26" s="887">
        <v>1.1651406264213928</v>
      </c>
      <c r="N26" s="887">
        <v>0.7262559947507916</v>
      </c>
      <c r="O26" s="887">
        <v>0.7279750948712704</v>
      </c>
      <c r="P26" s="887">
        <v>1.2819921604795943</v>
      </c>
      <c r="Q26" s="887">
        <v>1.1750499756875035</v>
      </c>
      <c r="R26" s="15"/>
      <c r="S26" s="851" t="s">
        <v>194</v>
      </c>
      <c r="T26" s="846" t="s">
        <v>194</v>
      </c>
      <c r="U26" s="846" t="s">
        <v>194</v>
      </c>
      <c r="V26" s="846" t="s">
        <v>194</v>
      </c>
      <c r="W26" s="846" t="s">
        <v>194</v>
      </c>
      <c r="X26" s="846" t="s">
        <v>194</v>
      </c>
      <c r="Y26" s="846" t="s">
        <v>194</v>
      </c>
      <c r="Z26" s="846" t="s">
        <v>194</v>
      </c>
      <c r="AA26" s="846" t="s">
        <v>194</v>
      </c>
      <c r="AB26" s="846" t="s">
        <v>194</v>
      </c>
      <c r="AC26" s="846" t="s">
        <v>194</v>
      </c>
      <c r="AD26" s="846" t="s">
        <v>194</v>
      </c>
      <c r="AE26" s="846" t="s">
        <v>194</v>
      </c>
      <c r="AF26" s="846" t="s">
        <v>194</v>
      </c>
      <c r="AG26" s="846" t="s">
        <v>194</v>
      </c>
      <c r="AH26" s="846" t="s">
        <v>194</v>
      </c>
      <c r="AI26" s="846" t="s">
        <v>194</v>
      </c>
      <c r="AJ26" s="846" t="s">
        <v>194</v>
      </c>
      <c r="AK26" s="846" t="s">
        <v>194</v>
      </c>
      <c r="AL26" s="846" t="s">
        <v>194</v>
      </c>
      <c r="AM26" s="846" t="s">
        <v>194</v>
      </c>
      <c r="AN26" s="846" t="s">
        <v>194</v>
      </c>
    </row>
    <row r="27" ht="15.75" customHeight="1">
      <c r="A27" s="849">
        <v>1.0</v>
      </c>
      <c r="B27" s="15"/>
      <c r="C27" s="869" t="str">
        <f>"    Equity Turnover"</f>
        <v>    Equity Turnover</v>
      </c>
      <c r="D27" s="886">
        <f t="shared" si="9"/>
        <v>1.671750678</v>
      </c>
      <c r="E27" s="886">
        <f t="shared" si="10"/>
        <v>1.671750678</v>
      </c>
      <c r="F27" s="886">
        <f t="shared" si="11"/>
        <v>1.144688145</v>
      </c>
      <c r="G27" s="886">
        <f t="shared" si="12"/>
        <v>2.198813211</v>
      </c>
      <c r="H27" s="886">
        <f t="shared" si="13"/>
        <v>1.408219411</v>
      </c>
      <c r="I27" s="886">
        <f t="shared" si="14"/>
        <v>1.935281945</v>
      </c>
      <c r="J27" s="886">
        <f t="shared" si="15"/>
        <v>0.745378983</v>
      </c>
      <c r="K27" s="871">
        <f t="shared" si="16"/>
        <v>0.4458673131</v>
      </c>
      <c r="L27" s="887" t="s">
        <v>194</v>
      </c>
      <c r="M27" s="887">
        <v>2.198813211420041</v>
      </c>
      <c r="N27" s="887">
        <v>1.144688144554513</v>
      </c>
      <c r="O27" s="887" t="s">
        <v>194</v>
      </c>
      <c r="P27" s="887" t="s">
        <v>194</v>
      </c>
      <c r="Q27" s="887" t="s">
        <v>194</v>
      </c>
      <c r="R27" s="15"/>
      <c r="S27" s="851" t="s">
        <v>194</v>
      </c>
      <c r="T27" s="846" t="s">
        <v>194</v>
      </c>
      <c r="U27" s="846" t="s">
        <v>194</v>
      </c>
      <c r="V27" s="846" t="s">
        <v>194</v>
      </c>
      <c r="W27" s="846" t="s">
        <v>194</v>
      </c>
      <c r="X27" s="846" t="s">
        <v>194</v>
      </c>
      <c r="Y27" s="846" t="s">
        <v>194</v>
      </c>
      <c r="Z27" s="846" t="s">
        <v>194</v>
      </c>
      <c r="AA27" s="846" t="s">
        <v>194</v>
      </c>
      <c r="AB27" s="846" t="s">
        <v>194</v>
      </c>
      <c r="AC27" s="846" t="s">
        <v>194</v>
      </c>
      <c r="AD27" s="846" t="s">
        <v>194</v>
      </c>
      <c r="AE27" s="846" t="s">
        <v>194</v>
      </c>
      <c r="AF27" s="846" t="s">
        <v>194</v>
      </c>
      <c r="AG27" s="846" t="s">
        <v>194</v>
      </c>
      <c r="AH27" s="846" t="s">
        <v>194</v>
      </c>
      <c r="AI27" s="846" t="s">
        <v>194</v>
      </c>
      <c r="AJ27" s="846" t="s">
        <v>194</v>
      </c>
      <c r="AK27" s="846" t="s">
        <v>194</v>
      </c>
      <c r="AL27" s="846" t="s">
        <v>194</v>
      </c>
      <c r="AM27" s="846" t="s">
        <v>194</v>
      </c>
      <c r="AN27" s="846" t="s">
        <v>194</v>
      </c>
    </row>
    <row r="28" ht="15.75" customHeight="1">
      <c r="A28" s="849">
        <v>1.0</v>
      </c>
      <c r="B28" s="15"/>
      <c r="C28" s="869" t="str">
        <f>"    Days In Sales"</f>
        <v>    Days In Sales</v>
      </c>
      <c r="D28" s="886">
        <f t="shared" si="9"/>
        <v>43.27921218</v>
      </c>
      <c r="E28" s="886">
        <f t="shared" si="10"/>
        <v>56.66510225</v>
      </c>
      <c r="F28" s="886">
        <f t="shared" si="11"/>
        <v>41.42278878</v>
      </c>
      <c r="G28" s="886">
        <f t="shared" si="12"/>
        <v>98.22727482</v>
      </c>
      <c r="H28" s="886">
        <f t="shared" si="13"/>
        <v>42.67694937</v>
      </c>
      <c r="I28" s="886">
        <f t="shared" si="14"/>
        <v>57.71928611</v>
      </c>
      <c r="J28" s="886">
        <f t="shared" si="15"/>
        <v>24.16456127</v>
      </c>
      <c r="K28" s="871">
        <f t="shared" si="16"/>
        <v>0.4264452072</v>
      </c>
      <c r="L28" s="887" t="s">
        <v>194</v>
      </c>
      <c r="M28" s="887">
        <v>43.27921218252055</v>
      </c>
      <c r="N28" s="887">
        <v>41.422788780720545</v>
      </c>
      <c r="O28" s="887">
        <v>42.676949369459365</v>
      </c>
      <c r="P28" s="887">
        <v>57.71928610957388</v>
      </c>
      <c r="Q28" s="887">
        <v>98.22727481723297</v>
      </c>
      <c r="R28" s="15"/>
      <c r="S28" s="851" t="s">
        <v>194</v>
      </c>
      <c r="T28" s="846" t="s">
        <v>194</v>
      </c>
      <c r="U28" s="846" t="s">
        <v>194</v>
      </c>
      <c r="V28" s="846" t="s">
        <v>194</v>
      </c>
      <c r="W28" s="846" t="s">
        <v>194</v>
      </c>
      <c r="X28" s="846" t="s">
        <v>194</v>
      </c>
      <c r="Y28" s="846" t="s">
        <v>194</v>
      </c>
      <c r="Z28" s="846" t="s">
        <v>194</v>
      </c>
      <c r="AA28" s="846" t="s">
        <v>194</v>
      </c>
      <c r="AB28" s="846" t="s">
        <v>194</v>
      </c>
      <c r="AC28" s="846" t="s">
        <v>194</v>
      </c>
      <c r="AD28" s="846" t="s">
        <v>194</v>
      </c>
      <c r="AE28" s="846" t="s">
        <v>194</v>
      </c>
      <c r="AF28" s="846" t="s">
        <v>194</v>
      </c>
      <c r="AG28" s="846" t="s">
        <v>194</v>
      </c>
      <c r="AH28" s="846" t="s">
        <v>194</v>
      </c>
      <c r="AI28" s="846" t="s">
        <v>194</v>
      </c>
      <c r="AJ28" s="846" t="s">
        <v>194</v>
      </c>
      <c r="AK28" s="846" t="s">
        <v>194</v>
      </c>
      <c r="AL28" s="846" t="s">
        <v>194</v>
      </c>
      <c r="AM28" s="846" t="s">
        <v>194</v>
      </c>
      <c r="AN28" s="846" t="s">
        <v>194</v>
      </c>
    </row>
    <row r="29" ht="15.75" customHeight="1">
      <c r="A29" s="849">
        <v>1.0</v>
      </c>
      <c r="B29" s="15"/>
      <c r="C29" s="869" t="str">
        <f>"    Days In Inventory"</f>
        <v>    Days In Inventory</v>
      </c>
      <c r="D29" s="886">
        <f t="shared" si="9"/>
        <v>22.15378538</v>
      </c>
      <c r="E29" s="886">
        <f t="shared" si="10"/>
        <v>22.534331</v>
      </c>
      <c r="F29" s="886">
        <f t="shared" si="11"/>
        <v>17.71592058</v>
      </c>
      <c r="G29" s="886">
        <f t="shared" si="12"/>
        <v>28.19091682</v>
      </c>
      <c r="H29" s="886">
        <f t="shared" si="13"/>
        <v>20.24045402</v>
      </c>
      <c r="I29" s="886">
        <f t="shared" si="14"/>
        <v>24.37057823</v>
      </c>
      <c r="J29" s="886">
        <f t="shared" si="15"/>
        <v>3.999766635</v>
      </c>
      <c r="K29" s="871">
        <f t="shared" si="16"/>
        <v>0.1774965778</v>
      </c>
      <c r="L29" s="887" t="s">
        <v>194</v>
      </c>
      <c r="M29" s="887">
        <v>17.7159205785531</v>
      </c>
      <c r="N29" s="887">
        <v>20.240454020499495</v>
      </c>
      <c r="O29" s="887">
        <v>22.153785375664416</v>
      </c>
      <c r="P29" s="887">
        <v>24.370578231292516</v>
      </c>
      <c r="Q29" s="887">
        <v>28.190916816164666</v>
      </c>
      <c r="R29" s="15"/>
      <c r="S29" s="851" t="s">
        <v>194</v>
      </c>
      <c r="T29" s="846" t="s">
        <v>194</v>
      </c>
      <c r="U29" s="846" t="s">
        <v>194</v>
      </c>
      <c r="V29" s="846" t="s">
        <v>194</v>
      </c>
      <c r="W29" s="846" t="s">
        <v>194</v>
      </c>
      <c r="X29" s="846" t="s">
        <v>194</v>
      </c>
      <c r="Y29" s="846" t="s">
        <v>194</v>
      </c>
      <c r="Z29" s="846" t="s">
        <v>194</v>
      </c>
      <c r="AA29" s="846" t="s">
        <v>194</v>
      </c>
      <c r="AB29" s="846" t="s">
        <v>194</v>
      </c>
      <c r="AC29" s="846" t="s">
        <v>194</v>
      </c>
      <c r="AD29" s="846" t="s">
        <v>194</v>
      </c>
      <c r="AE29" s="846" t="s">
        <v>194</v>
      </c>
      <c r="AF29" s="846" t="s">
        <v>194</v>
      </c>
      <c r="AG29" s="846" t="s">
        <v>194</v>
      </c>
      <c r="AH29" s="846" t="s">
        <v>194</v>
      </c>
      <c r="AI29" s="846" t="s">
        <v>194</v>
      </c>
      <c r="AJ29" s="846" t="s">
        <v>194</v>
      </c>
      <c r="AK29" s="846" t="s">
        <v>194</v>
      </c>
      <c r="AL29" s="846" t="s">
        <v>194</v>
      </c>
      <c r="AM29" s="846" t="s">
        <v>194</v>
      </c>
      <c r="AN29" s="846" t="s">
        <v>194</v>
      </c>
    </row>
    <row r="30" ht="15.75" customHeight="1">
      <c r="A30" s="849">
        <v>1.0</v>
      </c>
      <c r="B30" s="15"/>
      <c r="C30" s="869" t="str">
        <f>"    Days In Payment"</f>
        <v>    Days In Payment</v>
      </c>
      <c r="D30" s="886">
        <f t="shared" si="9"/>
        <v>41.25247852</v>
      </c>
      <c r="E30" s="886">
        <f t="shared" si="10"/>
        <v>38.04930111</v>
      </c>
      <c r="F30" s="886">
        <f t="shared" si="11"/>
        <v>32.97414966</v>
      </c>
      <c r="G30" s="886">
        <f t="shared" si="12"/>
        <v>41.38985131</v>
      </c>
      <c r="H30" s="886">
        <f t="shared" si="13"/>
        <v>33.3748743</v>
      </c>
      <c r="I30" s="886">
        <f t="shared" si="14"/>
        <v>41.25515177</v>
      </c>
      <c r="J30" s="886">
        <f t="shared" si="15"/>
        <v>4.452654484</v>
      </c>
      <c r="K30" s="871">
        <f t="shared" si="16"/>
        <v>0.1170232923</v>
      </c>
      <c r="L30" s="887" t="s">
        <v>194</v>
      </c>
      <c r="M30" s="887">
        <v>41.255151766505094</v>
      </c>
      <c r="N30" s="887">
        <v>41.38985130648188</v>
      </c>
      <c r="O30" s="887">
        <v>33.374874299669585</v>
      </c>
      <c r="P30" s="887">
        <v>32.97414965986395</v>
      </c>
      <c r="Q30" s="887">
        <v>41.25247851949769</v>
      </c>
      <c r="R30" s="15"/>
      <c r="S30" s="851" t="s">
        <v>194</v>
      </c>
      <c r="T30" s="846" t="s">
        <v>194</v>
      </c>
      <c r="U30" s="846" t="s">
        <v>194</v>
      </c>
      <c r="V30" s="846" t="s">
        <v>194</v>
      </c>
      <c r="W30" s="846" t="s">
        <v>194</v>
      </c>
      <c r="X30" s="846" t="s">
        <v>194</v>
      </c>
      <c r="Y30" s="846" t="s">
        <v>194</v>
      </c>
      <c r="Z30" s="846" t="s">
        <v>194</v>
      </c>
      <c r="AA30" s="846" t="s">
        <v>194</v>
      </c>
      <c r="AB30" s="846" t="s">
        <v>194</v>
      </c>
      <c r="AC30" s="846" t="s">
        <v>194</v>
      </c>
      <c r="AD30" s="846" t="s">
        <v>194</v>
      </c>
      <c r="AE30" s="846" t="s">
        <v>194</v>
      </c>
      <c r="AF30" s="846" t="s">
        <v>194</v>
      </c>
      <c r="AG30" s="846" t="s">
        <v>194</v>
      </c>
      <c r="AH30" s="846" t="s">
        <v>194</v>
      </c>
      <c r="AI30" s="846" t="s">
        <v>194</v>
      </c>
      <c r="AJ30" s="846" t="s">
        <v>194</v>
      </c>
      <c r="AK30" s="846" t="s">
        <v>194</v>
      </c>
      <c r="AL30" s="846" t="s">
        <v>194</v>
      </c>
      <c r="AM30" s="846" t="s">
        <v>194</v>
      </c>
      <c r="AN30" s="846" t="s">
        <v>194</v>
      </c>
    </row>
    <row r="31" ht="15.75" customHeight="1">
      <c r="A31" s="849">
        <v>1.0</v>
      </c>
      <c r="B31" s="15"/>
      <c r="C31" s="869" t="str">
        <f>"    Cash Conversion Cycle"</f>
        <v>    Cash Conversion Cycle</v>
      </c>
      <c r="D31" s="886">
        <f t="shared" si="9"/>
        <v>31.45586045</v>
      </c>
      <c r="E31" s="886">
        <f t="shared" si="10"/>
        <v>41.15013215</v>
      </c>
      <c r="F31" s="886">
        <f t="shared" si="11"/>
        <v>19.73998099</v>
      </c>
      <c r="G31" s="886">
        <f t="shared" si="12"/>
        <v>85.16571311</v>
      </c>
      <c r="H31" s="886">
        <f t="shared" si="13"/>
        <v>20.27339149</v>
      </c>
      <c r="I31" s="886">
        <f t="shared" si="14"/>
        <v>49.11571468</v>
      </c>
      <c r="J31" s="886">
        <f t="shared" si="15"/>
        <v>27.33602774</v>
      </c>
      <c r="K31" s="871">
        <f t="shared" si="16"/>
        <v>0.6642998773</v>
      </c>
      <c r="L31" s="887" t="s">
        <v>194</v>
      </c>
      <c r="M31" s="887">
        <v>19.739980994568555</v>
      </c>
      <c r="N31" s="887">
        <v>20.273391494738156</v>
      </c>
      <c r="O31" s="887">
        <v>31.455860445454192</v>
      </c>
      <c r="P31" s="887">
        <v>49.11571468100245</v>
      </c>
      <c r="Q31" s="887">
        <v>85.16571311389995</v>
      </c>
      <c r="R31" s="15"/>
      <c r="S31" s="851" t="s">
        <v>194</v>
      </c>
      <c r="T31" s="846" t="s">
        <v>194</v>
      </c>
      <c r="U31" s="846" t="s">
        <v>194</v>
      </c>
      <c r="V31" s="846" t="s">
        <v>194</v>
      </c>
      <c r="W31" s="846" t="s">
        <v>194</v>
      </c>
      <c r="X31" s="846" t="s">
        <v>194</v>
      </c>
      <c r="Y31" s="846" t="s">
        <v>194</v>
      </c>
      <c r="Z31" s="846" t="s">
        <v>194</v>
      </c>
      <c r="AA31" s="846" t="s">
        <v>194</v>
      </c>
      <c r="AB31" s="846" t="s">
        <v>194</v>
      </c>
      <c r="AC31" s="846" t="s">
        <v>194</v>
      </c>
      <c r="AD31" s="846" t="s">
        <v>194</v>
      </c>
      <c r="AE31" s="846" t="s">
        <v>194</v>
      </c>
      <c r="AF31" s="846" t="s">
        <v>194</v>
      </c>
      <c r="AG31" s="846" t="s">
        <v>194</v>
      </c>
      <c r="AH31" s="846" t="s">
        <v>194</v>
      </c>
      <c r="AI31" s="846" t="s">
        <v>194</v>
      </c>
      <c r="AJ31" s="846" t="s">
        <v>194</v>
      </c>
      <c r="AK31" s="846" t="s">
        <v>194</v>
      </c>
      <c r="AL31" s="846" t="s">
        <v>194</v>
      </c>
      <c r="AM31" s="846" t="s">
        <v>194</v>
      </c>
      <c r="AN31" s="846" t="s">
        <v>194</v>
      </c>
    </row>
    <row r="32" ht="15.75" customHeight="1">
      <c r="A32" s="849">
        <v>1.0</v>
      </c>
      <c r="B32" s="15"/>
      <c r="C32" s="869" t="str">
        <f>"    Sales Per Full Time Employee"</f>
        <v>    Sales Per Full Time Employee</v>
      </c>
      <c r="D32" s="870">
        <f t="shared" si="9"/>
        <v>111.4295652</v>
      </c>
      <c r="E32" s="870">
        <f t="shared" si="10"/>
        <v>110.7136225</v>
      </c>
      <c r="F32" s="870">
        <f t="shared" si="11"/>
        <v>89.01477833</v>
      </c>
      <c r="G32" s="870">
        <f t="shared" si="12"/>
        <v>131.6965241</v>
      </c>
      <c r="H32" s="870">
        <f t="shared" si="13"/>
        <v>100.2221718</v>
      </c>
      <c r="I32" s="870">
        <f t="shared" si="14"/>
        <v>121.5630446</v>
      </c>
      <c r="J32" s="870">
        <f t="shared" si="15"/>
        <v>21.34987787</v>
      </c>
      <c r="K32" s="871">
        <f t="shared" si="16"/>
        <v>0.1928387617</v>
      </c>
      <c r="L32" s="872" t="s">
        <v>194</v>
      </c>
      <c r="M32" s="872">
        <v>131.69652406417111</v>
      </c>
      <c r="N32" s="872">
        <v>111.42956521739131</v>
      </c>
      <c r="O32" s="872">
        <v>89.01477832512316</v>
      </c>
      <c r="P32" s="872" t="s">
        <v>194</v>
      </c>
      <c r="Q32" s="872" t="s">
        <v>194</v>
      </c>
      <c r="R32" s="15"/>
      <c r="S32" s="851" t="s">
        <v>194</v>
      </c>
      <c r="T32" s="846" t="s">
        <v>194</v>
      </c>
      <c r="U32" s="846" t="s">
        <v>194</v>
      </c>
      <c r="V32" s="846" t="s">
        <v>194</v>
      </c>
      <c r="W32" s="846" t="s">
        <v>194</v>
      </c>
      <c r="X32" s="846" t="s">
        <v>194</v>
      </c>
      <c r="Y32" s="846" t="s">
        <v>194</v>
      </c>
      <c r="Z32" s="846" t="s">
        <v>194</v>
      </c>
      <c r="AA32" s="846" t="s">
        <v>194</v>
      </c>
      <c r="AB32" s="846" t="s">
        <v>194</v>
      </c>
      <c r="AC32" s="846" t="s">
        <v>194</v>
      </c>
      <c r="AD32" s="846" t="s">
        <v>194</v>
      </c>
      <c r="AE32" s="846" t="s">
        <v>194</v>
      </c>
      <c r="AF32" s="846" t="s">
        <v>194</v>
      </c>
      <c r="AG32" s="846" t="s">
        <v>194</v>
      </c>
      <c r="AH32" s="846" t="s">
        <v>194</v>
      </c>
      <c r="AI32" s="846" t="s">
        <v>194</v>
      </c>
      <c r="AJ32" s="846" t="s">
        <v>194</v>
      </c>
      <c r="AK32" s="846" t="s">
        <v>194</v>
      </c>
      <c r="AL32" s="846" t="s">
        <v>194</v>
      </c>
      <c r="AM32" s="846" t="s">
        <v>194</v>
      </c>
      <c r="AN32" s="846" t="s">
        <v>194</v>
      </c>
    </row>
    <row r="33" ht="15.75" customHeight="1">
      <c r="A33" s="849">
        <v>1.0</v>
      </c>
      <c r="B33" s="15"/>
      <c r="C33" s="869" t="str">
        <f>"    Net Income per Full Time Employee"</f>
        <v>    Net Income per Full Time Employee</v>
      </c>
      <c r="D33" s="870">
        <f t="shared" si="9"/>
        <v>-39.3315508</v>
      </c>
      <c r="E33" s="870">
        <f t="shared" si="10"/>
        <v>-43.9465889</v>
      </c>
      <c r="F33" s="870">
        <f t="shared" si="11"/>
        <v>-56.15517241</v>
      </c>
      <c r="G33" s="870">
        <f t="shared" si="12"/>
        <v>-36.35304348</v>
      </c>
      <c r="H33" s="870">
        <f t="shared" si="13"/>
        <v>-47.74336161</v>
      </c>
      <c r="I33" s="870">
        <f t="shared" si="14"/>
        <v>-37.84229714</v>
      </c>
      <c r="J33" s="870">
        <f t="shared" si="15"/>
        <v>10.67731287</v>
      </c>
      <c r="K33" s="871">
        <f t="shared" si="16"/>
        <v>-0.2429611293</v>
      </c>
      <c r="L33" s="872" t="s">
        <v>194</v>
      </c>
      <c r="M33" s="872">
        <v>-39.331550802139034</v>
      </c>
      <c r="N33" s="872">
        <v>-36.35304347826087</v>
      </c>
      <c r="O33" s="872">
        <v>-56.1551724137931</v>
      </c>
      <c r="P33" s="872" t="s">
        <v>194</v>
      </c>
      <c r="Q33" s="872" t="s">
        <v>194</v>
      </c>
      <c r="R33" s="15"/>
      <c r="S33" s="851" t="s">
        <v>194</v>
      </c>
      <c r="T33" s="846" t="s">
        <v>194</v>
      </c>
      <c r="U33" s="846" t="s">
        <v>194</v>
      </c>
      <c r="V33" s="846" t="s">
        <v>194</v>
      </c>
      <c r="W33" s="846" t="s">
        <v>194</v>
      </c>
      <c r="X33" s="846" t="s">
        <v>194</v>
      </c>
      <c r="Y33" s="846" t="s">
        <v>194</v>
      </c>
      <c r="Z33" s="846" t="s">
        <v>194</v>
      </c>
      <c r="AA33" s="846" t="s">
        <v>194</v>
      </c>
      <c r="AB33" s="846" t="s">
        <v>194</v>
      </c>
      <c r="AC33" s="846" t="s">
        <v>194</v>
      </c>
      <c r="AD33" s="846" t="s">
        <v>194</v>
      </c>
      <c r="AE33" s="846" t="s">
        <v>194</v>
      </c>
      <c r="AF33" s="846" t="s">
        <v>194</v>
      </c>
      <c r="AG33" s="846" t="s">
        <v>194</v>
      </c>
      <c r="AH33" s="846" t="s">
        <v>194</v>
      </c>
      <c r="AI33" s="846" t="s">
        <v>194</v>
      </c>
      <c r="AJ33" s="846" t="s">
        <v>194</v>
      </c>
      <c r="AK33" s="846" t="s">
        <v>194</v>
      </c>
      <c r="AL33" s="846" t="s">
        <v>194</v>
      </c>
      <c r="AM33" s="846" t="s">
        <v>194</v>
      </c>
      <c r="AN33" s="846" t="s">
        <v>194</v>
      </c>
    </row>
    <row r="34" ht="15.75" customHeight="1">
      <c r="A34" s="849">
        <v>1.0</v>
      </c>
      <c r="B34" s="15"/>
      <c r="C34" s="855" t="str">
        <f>"Margins"</f>
        <v>Margins</v>
      </c>
      <c r="D34" s="867" t="s">
        <v>194</v>
      </c>
      <c r="E34" s="867" t="s">
        <v>194</v>
      </c>
      <c r="F34" s="867" t="s">
        <v>194</v>
      </c>
      <c r="G34" s="867" t="s">
        <v>194</v>
      </c>
      <c r="H34" s="867" t="s">
        <v>194</v>
      </c>
      <c r="I34" s="867" t="s">
        <v>194</v>
      </c>
      <c r="J34" s="867" t="s">
        <v>194</v>
      </c>
      <c r="K34" s="867" t="s">
        <v>194</v>
      </c>
      <c r="L34" s="867" t="s">
        <v>194</v>
      </c>
      <c r="M34" s="867" t="s">
        <v>194</v>
      </c>
      <c r="N34" s="867" t="s">
        <v>194</v>
      </c>
      <c r="O34" s="867" t="s">
        <v>194</v>
      </c>
      <c r="P34" s="867" t="s">
        <v>194</v>
      </c>
      <c r="Q34" s="867" t="s">
        <v>194</v>
      </c>
      <c r="R34" s="15"/>
      <c r="S34" s="851" t="s">
        <v>194</v>
      </c>
      <c r="T34" s="846" t="s">
        <v>194</v>
      </c>
      <c r="U34" s="846" t="s">
        <v>194</v>
      </c>
      <c r="V34" s="846" t="s">
        <v>194</v>
      </c>
      <c r="W34" s="846" t="s">
        <v>194</v>
      </c>
      <c r="X34" s="846" t="s">
        <v>194</v>
      </c>
      <c r="Y34" s="846" t="s">
        <v>194</v>
      </c>
      <c r="Z34" s="846" t="s">
        <v>194</v>
      </c>
      <c r="AA34" s="846" t="s">
        <v>194</v>
      </c>
      <c r="AB34" s="846" t="s">
        <v>194</v>
      </c>
      <c r="AC34" s="846" t="s">
        <v>194</v>
      </c>
      <c r="AD34" s="846" t="s">
        <v>194</v>
      </c>
      <c r="AE34" s="846" t="s">
        <v>194</v>
      </c>
      <c r="AF34" s="846" t="s">
        <v>194</v>
      </c>
      <c r="AG34" s="846" t="s">
        <v>194</v>
      </c>
      <c r="AH34" s="846" t="s">
        <v>194</v>
      </c>
      <c r="AI34" s="846" t="s">
        <v>194</v>
      </c>
      <c r="AJ34" s="846" t="s">
        <v>194</v>
      </c>
      <c r="AK34" s="846" t="s">
        <v>194</v>
      </c>
      <c r="AL34" s="846" t="s">
        <v>194</v>
      </c>
      <c r="AM34" s="846" t="s">
        <v>194</v>
      </c>
      <c r="AN34" s="846" t="s">
        <v>194</v>
      </c>
    </row>
    <row r="35" ht="15.75" customHeight="1">
      <c r="A35" s="849">
        <v>1.0</v>
      </c>
      <c r="B35" s="15"/>
      <c r="C35" s="869" t="str">
        <f>"    Gross Margin"</f>
        <v>    Gross Margin</v>
      </c>
      <c r="D35" s="938">
        <f t="shared" ref="D35:D47" si="17">IF(COUNT(M35:Q35)&gt;0,MEDIAN(M35:Q35),"")</f>
        <v>0.6740697965</v>
      </c>
      <c r="E35" s="938">
        <f t="shared" ref="E35:E47" si="18">IF(COUNT(M35:Q35)&gt;0,AVERAGE(M35:Q35),"")</f>
        <v>0.6474318892</v>
      </c>
      <c r="F35" s="938">
        <f t="shared" ref="F35:F47" si="19">IF(COUNT(M35:Q35)&gt;0,MIN(M35:Q35),"")</f>
        <v>0.5130350821</v>
      </c>
      <c r="G35" s="938">
        <f t="shared" ref="G35:G47" si="20">IF(COUNT(M35:Q35)&gt;0,MAX(M35:Q35),"")</f>
        <v>0.7380798816</v>
      </c>
      <c r="H35" s="938">
        <f t="shared" ref="H35:H47" si="21">IF(COUNT(M35:Q35)&gt;0,QUARTILE(M35:Q35,1),"")</f>
        <v>0.5932484781</v>
      </c>
      <c r="I35" s="938">
        <f t="shared" ref="I35:I47" si="22">IF(COUNT(M35:Q35)&gt;0,QUARTILE(M35:Q35,3),"")</f>
        <v>0.7187262078</v>
      </c>
      <c r="J35" s="938">
        <f t="shared" ref="J35:J47" si="23">IF(COUNT(M35:Q35)&gt;1,STDEV(M35:Q35),"")</f>
        <v>0.09355193783</v>
      </c>
      <c r="K35" s="871">
        <f t="shared" ref="K35:K47" si="24">IF(COUNT(M35:Q35)&gt;1,STDEV(M35:Q35)/AVERAGE(M35:Q35),"")</f>
        <v>0.144496957</v>
      </c>
      <c r="L35" s="939" t="s">
        <v>194</v>
      </c>
      <c r="M35" s="939">
        <v>0.7380798815965457</v>
      </c>
      <c r="N35" s="939">
        <v>0.7187262077576668</v>
      </c>
      <c r="O35" s="939">
        <v>0.6740697964789611</v>
      </c>
      <c r="P35" s="939">
        <v>0.5932484781405645</v>
      </c>
      <c r="Q35" s="939">
        <v>0.513035082072739</v>
      </c>
      <c r="R35" s="15"/>
      <c r="S35" s="851" t="s">
        <v>194</v>
      </c>
      <c r="T35" s="846" t="s">
        <v>194</v>
      </c>
      <c r="U35" s="846" t="s">
        <v>194</v>
      </c>
      <c r="V35" s="846" t="s">
        <v>194</v>
      </c>
      <c r="W35" s="846" t="s">
        <v>194</v>
      </c>
      <c r="X35" s="846" t="s">
        <v>194</v>
      </c>
      <c r="Y35" s="846" t="s">
        <v>194</v>
      </c>
      <c r="Z35" s="846" t="s">
        <v>194</v>
      </c>
      <c r="AA35" s="846" t="s">
        <v>194</v>
      </c>
      <c r="AB35" s="846" t="s">
        <v>194</v>
      </c>
      <c r="AC35" s="846" t="s">
        <v>194</v>
      </c>
      <c r="AD35" s="846" t="s">
        <v>194</v>
      </c>
      <c r="AE35" s="846" t="s">
        <v>194</v>
      </c>
      <c r="AF35" s="846" t="s">
        <v>194</v>
      </c>
      <c r="AG35" s="846" t="s">
        <v>194</v>
      </c>
      <c r="AH35" s="846" t="s">
        <v>194</v>
      </c>
      <c r="AI35" s="846" t="s">
        <v>194</v>
      </c>
      <c r="AJ35" s="846" t="s">
        <v>194</v>
      </c>
      <c r="AK35" s="846" t="s">
        <v>194</v>
      </c>
      <c r="AL35" s="846" t="s">
        <v>194</v>
      </c>
      <c r="AM35" s="846" t="s">
        <v>194</v>
      </c>
      <c r="AN35" s="846" t="s">
        <v>194</v>
      </c>
    </row>
    <row r="36" ht="15.75" customHeight="1">
      <c r="A36" s="849">
        <v>1.0</v>
      </c>
      <c r="B36" s="15"/>
      <c r="C36" s="869" t="str">
        <f>"    Selling, General and Admin Expense Margin"</f>
        <v>    Selling, General and Admin Expense Margin</v>
      </c>
      <c r="D36" s="938">
        <f t="shared" si="17"/>
        <v>0.8933350533</v>
      </c>
      <c r="E36" s="938">
        <f t="shared" si="18"/>
        <v>0.9010468331</v>
      </c>
      <c r="F36" s="938">
        <f t="shared" si="19"/>
        <v>0.8056717443</v>
      </c>
      <c r="G36" s="938">
        <f t="shared" si="20"/>
        <v>1.01610404</v>
      </c>
      <c r="H36" s="938">
        <f t="shared" si="21"/>
        <v>0.8601955151</v>
      </c>
      <c r="I36" s="938">
        <f t="shared" si="22"/>
        <v>0.9299278128</v>
      </c>
      <c r="J36" s="938">
        <f t="shared" si="23"/>
        <v>0.07889388618</v>
      </c>
      <c r="K36" s="871">
        <f t="shared" si="24"/>
        <v>0.0875580306</v>
      </c>
      <c r="L36" s="939" t="s">
        <v>194</v>
      </c>
      <c r="M36" s="939">
        <v>0.8933350532611869</v>
      </c>
      <c r="N36" s="939">
        <v>0.8601955151305972</v>
      </c>
      <c r="O36" s="939">
        <v>0.8056717442876764</v>
      </c>
      <c r="P36" s="939">
        <v>1.016104039845047</v>
      </c>
      <c r="Q36" s="939">
        <v>0.9299278127730011</v>
      </c>
      <c r="R36" s="15"/>
      <c r="S36" s="851" t="s">
        <v>194</v>
      </c>
      <c r="T36" s="846" t="s">
        <v>194</v>
      </c>
      <c r="U36" s="846" t="s">
        <v>194</v>
      </c>
      <c r="V36" s="846" t="s">
        <v>194</v>
      </c>
      <c r="W36" s="846" t="s">
        <v>194</v>
      </c>
      <c r="X36" s="846" t="s">
        <v>194</v>
      </c>
      <c r="Y36" s="846" t="s">
        <v>194</v>
      </c>
      <c r="Z36" s="846" t="s">
        <v>194</v>
      </c>
      <c r="AA36" s="846" t="s">
        <v>194</v>
      </c>
      <c r="AB36" s="846" t="s">
        <v>194</v>
      </c>
      <c r="AC36" s="846" t="s">
        <v>194</v>
      </c>
      <c r="AD36" s="846" t="s">
        <v>194</v>
      </c>
      <c r="AE36" s="846" t="s">
        <v>194</v>
      </c>
      <c r="AF36" s="846" t="s">
        <v>194</v>
      </c>
      <c r="AG36" s="846" t="s">
        <v>194</v>
      </c>
      <c r="AH36" s="846" t="s">
        <v>194</v>
      </c>
      <c r="AI36" s="846" t="s">
        <v>194</v>
      </c>
      <c r="AJ36" s="846" t="s">
        <v>194</v>
      </c>
      <c r="AK36" s="846" t="s">
        <v>194</v>
      </c>
      <c r="AL36" s="846" t="s">
        <v>194</v>
      </c>
      <c r="AM36" s="846" t="s">
        <v>194</v>
      </c>
      <c r="AN36" s="846" t="s">
        <v>194</v>
      </c>
    </row>
    <row r="37" ht="15.75" customHeight="1">
      <c r="A37" s="849">
        <v>1.0</v>
      </c>
      <c r="B37" s="15"/>
      <c r="C37" s="869" t="str">
        <f>"    EBITDAR Margin"</f>
        <v>    EBITDAR Margin</v>
      </c>
      <c r="D37" s="938">
        <f t="shared" si="17"/>
        <v>-0.2909303226</v>
      </c>
      <c r="E37" s="938">
        <f t="shared" si="18"/>
        <v>-0.4149691821</v>
      </c>
      <c r="F37" s="938">
        <f t="shared" si="19"/>
        <v>-0.6812267231</v>
      </c>
      <c r="G37" s="938">
        <f t="shared" si="20"/>
        <v>-0.2480687044</v>
      </c>
      <c r="H37" s="938">
        <f t="shared" si="21"/>
        <v>-0.5879358052</v>
      </c>
      <c r="I37" s="938">
        <f t="shared" si="22"/>
        <v>-0.2666843551</v>
      </c>
      <c r="J37" s="938">
        <f t="shared" si="23"/>
        <v>0.2037402322</v>
      </c>
      <c r="K37" s="871">
        <f t="shared" si="24"/>
        <v>-0.4909767786</v>
      </c>
      <c r="L37" s="939" t="s">
        <v>194</v>
      </c>
      <c r="M37" s="939">
        <v>-0.2909303225543644</v>
      </c>
      <c r="N37" s="939">
        <v>-0.2480687043823407</v>
      </c>
      <c r="O37" s="939">
        <v>-0.2666843551005119</v>
      </c>
      <c r="P37" s="939">
        <v>-0.5879358052019923</v>
      </c>
      <c r="Q37" s="939">
        <v>-0.6812267230677272</v>
      </c>
      <c r="R37" s="15"/>
      <c r="S37" s="851" t="s">
        <v>194</v>
      </c>
      <c r="T37" s="846" t="s">
        <v>194</v>
      </c>
      <c r="U37" s="846" t="s">
        <v>194</v>
      </c>
      <c r="V37" s="846" t="s">
        <v>194</v>
      </c>
      <c r="W37" s="846" t="s">
        <v>194</v>
      </c>
      <c r="X37" s="846" t="s">
        <v>194</v>
      </c>
      <c r="Y37" s="846" t="s">
        <v>194</v>
      </c>
      <c r="Z37" s="846" t="s">
        <v>194</v>
      </c>
      <c r="AA37" s="846" t="s">
        <v>194</v>
      </c>
      <c r="AB37" s="846" t="s">
        <v>194</v>
      </c>
      <c r="AC37" s="846" t="s">
        <v>194</v>
      </c>
      <c r="AD37" s="846" t="s">
        <v>194</v>
      </c>
      <c r="AE37" s="846" t="s">
        <v>194</v>
      </c>
      <c r="AF37" s="846" t="s">
        <v>194</v>
      </c>
      <c r="AG37" s="846" t="s">
        <v>194</v>
      </c>
      <c r="AH37" s="846" t="s">
        <v>194</v>
      </c>
      <c r="AI37" s="846" t="s">
        <v>194</v>
      </c>
      <c r="AJ37" s="846" t="s">
        <v>194</v>
      </c>
      <c r="AK37" s="846" t="s">
        <v>194</v>
      </c>
      <c r="AL37" s="846" t="s">
        <v>194</v>
      </c>
      <c r="AM37" s="846" t="s">
        <v>194</v>
      </c>
      <c r="AN37" s="846" t="s">
        <v>194</v>
      </c>
    </row>
    <row r="38" ht="15.75" customHeight="1">
      <c r="A38" s="849">
        <v>1.0</v>
      </c>
      <c r="B38" s="15"/>
      <c r="C38" s="869" t="str">
        <f>"    Normalized EBITDAR Margin"</f>
        <v>    Normalized EBITDAR Margin</v>
      </c>
      <c r="D38" s="938">
        <f t="shared" si="17"/>
        <v>-0.2698566802</v>
      </c>
      <c r="E38" s="938">
        <f t="shared" si="18"/>
        <v>-0.41061647</v>
      </c>
      <c r="F38" s="938">
        <f t="shared" si="19"/>
        <v>-0.6809048692</v>
      </c>
      <c r="G38" s="938">
        <f t="shared" si="20"/>
        <v>-0.2479773422</v>
      </c>
      <c r="H38" s="938">
        <f t="shared" si="21"/>
        <v>-0.5876591035</v>
      </c>
      <c r="I38" s="938">
        <f t="shared" si="22"/>
        <v>-0.2666843551</v>
      </c>
      <c r="J38" s="938">
        <f t="shared" si="23"/>
        <v>0.206991045</v>
      </c>
      <c r="K38" s="871">
        <f t="shared" si="24"/>
        <v>-0.5040982525</v>
      </c>
      <c r="L38" s="939" t="s">
        <v>194</v>
      </c>
      <c r="M38" s="939">
        <v>-0.2698566802224138</v>
      </c>
      <c r="N38" s="939">
        <v>-0.24797734217178125</v>
      </c>
      <c r="O38" s="939">
        <v>-0.2666843551005119</v>
      </c>
      <c r="P38" s="939">
        <v>-0.5876591034864416</v>
      </c>
      <c r="Q38" s="939">
        <v>-0.680904869189388</v>
      </c>
      <c r="R38" s="15"/>
      <c r="S38" s="851" t="s">
        <v>194</v>
      </c>
      <c r="T38" s="846" t="s">
        <v>194</v>
      </c>
      <c r="U38" s="846" t="s">
        <v>194</v>
      </c>
      <c r="V38" s="846" t="s">
        <v>194</v>
      </c>
      <c r="W38" s="846" t="s">
        <v>194</v>
      </c>
      <c r="X38" s="846" t="s">
        <v>194</v>
      </c>
      <c r="Y38" s="846" t="s">
        <v>194</v>
      </c>
      <c r="Z38" s="846" t="s">
        <v>194</v>
      </c>
      <c r="AA38" s="846" t="s">
        <v>194</v>
      </c>
      <c r="AB38" s="846" t="s">
        <v>194</v>
      </c>
      <c r="AC38" s="846" t="s">
        <v>194</v>
      </c>
      <c r="AD38" s="846" t="s">
        <v>194</v>
      </c>
      <c r="AE38" s="846" t="s">
        <v>194</v>
      </c>
      <c r="AF38" s="846" t="s">
        <v>194</v>
      </c>
      <c r="AG38" s="846" t="s">
        <v>194</v>
      </c>
      <c r="AH38" s="846" t="s">
        <v>194</v>
      </c>
      <c r="AI38" s="846" t="s">
        <v>194</v>
      </c>
      <c r="AJ38" s="846" t="s">
        <v>194</v>
      </c>
      <c r="AK38" s="846" t="s">
        <v>194</v>
      </c>
      <c r="AL38" s="846" t="s">
        <v>194</v>
      </c>
      <c r="AM38" s="846" t="s">
        <v>194</v>
      </c>
      <c r="AN38" s="846" t="s">
        <v>194</v>
      </c>
    </row>
    <row r="39" ht="15.75" customHeight="1">
      <c r="A39" s="849">
        <v>1.0</v>
      </c>
      <c r="B39" s="15"/>
      <c r="C39" s="869" t="str">
        <f>"    EBITDA Margin"</f>
        <v>    EBITDA Margin</v>
      </c>
      <c r="D39" s="938">
        <f t="shared" si="17"/>
        <v>-0.2909303226</v>
      </c>
      <c r="E39" s="938">
        <f t="shared" si="18"/>
        <v>-0.4149691821</v>
      </c>
      <c r="F39" s="938">
        <f t="shared" si="19"/>
        <v>-0.6812267231</v>
      </c>
      <c r="G39" s="938">
        <f t="shared" si="20"/>
        <v>-0.2480687044</v>
      </c>
      <c r="H39" s="938">
        <f t="shared" si="21"/>
        <v>-0.5879358052</v>
      </c>
      <c r="I39" s="938">
        <f t="shared" si="22"/>
        <v>-0.2666843551</v>
      </c>
      <c r="J39" s="938">
        <f t="shared" si="23"/>
        <v>0.2037402322</v>
      </c>
      <c r="K39" s="871">
        <f t="shared" si="24"/>
        <v>-0.4909767786</v>
      </c>
      <c r="L39" s="939" t="s">
        <v>194</v>
      </c>
      <c r="M39" s="939">
        <v>-0.2909303225543644</v>
      </c>
      <c r="N39" s="939">
        <v>-0.2480687043823407</v>
      </c>
      <c r="O39" s="939">
        <v>-0.2666843551005119</v>
      </c>
      <c r="P39" s="939">
        <v>-0.5879358052019923</v>
      </c>
      <c r="Q39" s="939">
        <v>-0.6812267230677272</v>
      </c>
      <c r="R39" s="15"/>
      <c r="S39" s="851" t="s">
        <v>194</v>
      </c>
      <c r="T39" s="846" t="s">
        <v>194</v>
      </c>
      <c r="U39" s="846" t="s">
        <v>194</v>
      </c>
      <c r="V39" s="846" t="s">
        <v>194</v>
      </c>
      <c r="W39" s="846" t="s">
        <v>194</v>
      </c>
      <c r="X39" s="846" t="s">
        <v>194</v>
      </c>
      <c r="Y39" s="846" t="s">
        <v>194</v>
      </c>
      <c r="Z39" s="846" t="s">
        <v>194</v>
      </c>
      <c r="AA39" s="846" t="s">
        <v>194</v>
      </c>
      <c r="AB39" s="846" t="s">
        <v>194</v>
      </c>
      <c r="AC39" s="846" t="s">
        <v>194</v>
      </c>
      <c r="AD39" s="846" t="s">
        <v>194</v>
      </c>
      <c r="AE39" s="846" t="s">
        <v>194</v>
      </c>
      <c r="AF39" s="846" t="s">
        <v>194</v>
      </c>
      <c r="AG39" s="846" t="s">
        <v>194</v>
      </c>
      <c r="AH39" s="846" t="s">
        <v>194</v>
      </c>
      <c r="AI39" s="846" t="s">
        <v>194</v>
      </c>
      <c r="AJ39" s="846" t="s">
        <v>194</v>
      </c>
      <c r="AK39" s="846" t="s">
        <v>194</v>
      </c>
      <c r="AL39" s="846" t="s">
        <v>194</v>
      </c>
      <c r="AM39" s="846" t="s">
        <v>194</v>
      </c>
      <c r="AN39" s="846" t="s">
        <v>194</v>
      </c>
    </row>
    <row r="40" ht="15.75" customHeight="1">
      <c r="A40" s="849">
        <v>1.0</v>
      </c>
      <c r="B40" s="15"/>
      <c r="C40" s="869" t="str">
        <f>"    Normalized EBITDA Margin"</f>
        <v>    Normalized EBITDA Margin</v>
      </c>
      <c r="D40" s="938">
        <f t="shared" si="17"/>
        <v>-0.2698566802</v>
      </c>
      <c r="E40" s="938">
        <f t="shared" si="18"/>
        <v>-0.41061647</v>
      </c>
      <c r="F40" s="938">
        <f t="shared" si="19"/>
        <v>-0.6809048692</v>
      </c>
      <c r="G40" s="938">
        <f t="shared" si="20"/>
        <v>-0.2479773422</v>
      </c>
      <c r="H40" s="938">
        <f t="shared" si="21"/>
        <v>-0.5876591035</v>
      </c>
      <c r="I40" s="938">
        <f t="shared" si="22"/>
        <v>-0.2666843551</v>
      </c>
      <c r="J40" s="938">
        <f t="shared" si="23"/>
        <v>0.206991045</v>
      </c>
      <c r="K40" s="871">
        <f t="shared" si="24"/>
        <v>-0.5040982525</v>
      </c>
      <c r="L40" s="939" t="s">
        <v>194</v>
      </c>
      <c r="M40" s="939">
        <v>-0.2698566802224138</v>
      </c>
      <c r="N40" s="939">
        <v>-0.24797734217178125</v>
      </c>
      <c r="O40" s="939">
        <v>-0.2666843551005119</v>
      </c>
      <c r="P40" s="939">
        <v>-0.5876591034864416</v>
      </c>
      <c r="Q40" s="939">
        <v>-0.680904869189388</v>
      </c>
      <c r="R40" s="15"/>
      <c r="S40" s="851" t="s">
        <v>194</v>
      </c>
      <c r="T40" s="846" t="s">
        <v>194</v>
      </c>
      <c r="U40" s="846" t="s">
        <v>194</v>
      </c>
      <c r="V40" s="846" t="s">
        <v>194</v>
      </c>
      <c r="W40" s="846" t="s">
        <v>194</v>
      </c>
      <c r="X40" s="846" t="s">
        <v>194</v>
      </c>
      <c r="Y40" s="846" t="s">
        <v>194</v>
      </c>
      <c r="Z40" s="846" t="s">
        <v>194</v>
      </c>
      <c r="AA40" s="846" t="s">
        <v>194</v>
      </c>
      <c r="AB40" s="846" t="s">
        <v>194</v>
      </c>
      <c r="AC40" s="846" t="s">
        <v>194</v>
      </c>
      <c r="AD40" s="846" t="s">
        <v>194</v>
      </c>
      <c r="AE40" s="846" t="s">
        <v>194</v>
      </c>
      <c r="AF40" s="846" t="s">
        <v>194</v>
      </c>
      <c r="AG40" s="846" t="s">
        <v>194</v>
      </c>
      <c r="AH40" s="846" t="s">
        <v>194</v>
      </c>
      <c r="AI40" s="846" t="s">
        <v>194</v>
      </c>
      <c r="AJ40" s="846" t="s">
        <v>194</v>
      </c>
      <c r="AK40" s="846" t="s">
        <v>194</v>
      </c>
      <c r="AL40" s="846" t="s">
        <v>194</v>
      </c>
      <c r="AM40" s="846" t="s">
        <v>194</v>
      </c>
      <c r="AN40" s="846" t="s">
        <v>194</v>
      </c>
    </row>
    <row r="41" ht="15.75" customHeight="1">
      <c r="A41" s="849">
        <v>1.0</v>
      </c>
      <c r="B41" s="15"/>
      <c r="C41" s="869" t="str">
        <f>"    EBITA Margin"</f>
        <v>    EBITA Margin</v>
      </c>
      <c r="D41" s="938">
        <f t="shared" si="17"/>
        <v>-0.2909303226</v>
      </c>
      <c r="E41" s="938">
        <f t="shared" si="18"/>
        <v>-0.4149691821</v>
      </c>
      <c r="F41" s="938">
        <f t="shared" si="19"/>
        <v>-0.6812267231</v>
      </c>
      <c r="G41" s="938">
        <f t="shared" si="20"/>
        <v>-0.2480687044</v>
      </c>
      <c r="H41" s="938">
        <f t="shared" si="21"/>
        <v>-0.5879358052</v>
      </c>
      <c r="I41" s="938">
        <f t="shared" si="22"/>
        <v>-0.2666843551</v>
      </c>
      <c r="J41" s="938">
        <f t="shared" si="23"/>
        <v>0.2037402322</v>
      </c>
      <c r="K41" s="871">
        <f t="shared" si="24"/>
        <v>-0.4909767786</v>
      </c>
      <c r="L41" s="939" t="s">
        <v>194</v>
      </c>
      <c r="M41" s="939">
        <v>-0.2909303225543644</v>
      </c>
      <c r="N41" s="939">
        <v>-0.2480687043823407</v>
      </c>
      <c r="O41" s="939">
        <v>-0.2666843551005119</v>
      </c>
      <c r="P41" s="939">
        <v>-0.5879358052019923</v>
      </c>
      <c r="Q41" s="939">
        <v>-0.6812267230677272</v>
      </c>
      <c r="R41" s="15"/>
      <c r="S41" s="851" t="s">
        <v>194</v>
      </c>
      <c r="T41" s="846" t="s">
        <v>194</v>
      </c>
      <c r="U41" s="846" t="s">
        <v>194</v>
      </c>
      <c r="V41" s="846" t="s">
        <v>194</v>
      </c>
      <c r="W41" s="846" t="s">
        <v>194</v>
      </c>
      <c r="X41" s="846" t="s">
        <v>194</v>
      </c>
      <c r="Y41" s="846" t="s">
        <v>194</v>
      </c>
      <c r="Z41" s="846" t="s">
        <v>194</v>
      </c>
      <c r="AA41" s="846" t="s">
        <v>194</v>
      </c>
      <c r="AB41" s="846" t="s">
        <v>194</v>
      </c>
      <c r="AC41" s="846" t="s">
        <v>194</v>
      </c>
      <c r="AD41" s="846" t="s">
        <v>194</v>
      </c>
      <c r="AE41" s="846" t="s">
        <v>194</v>
      </c>
      <c r="AF41" s="846" t="s">
        <v>194</v>
      </c>
      <c r="AG41" s="846" t="s">
        <v>194</v>
      </c>
      <c r="AH41" s="846" t="s">
        <v>194</v>
      </c>
      <c r="AI41" s="846" t="s">
        <v>194</v>
      </c>
      <c r="AJ41" s="846" t="s">
        <v>194</v>
      </c>
      <c r="AK41" s="846" t="s">
        <v>194</v>
      </c>
      <c r="AL41" s="846" t="s">
        <v>194</v>
      </c>
      <c r="AM41" s="846" t="s">
        <v>194</v>
      </c>
      <c r="AN41" s="846" t="s">
        <v>194</v>
      </c>
    </row>
    <row r="42" ht="15.75" customHeight="1">
      <c r="A42" s="849">
        <v>1.0</v>
      </c>
      <c r="B42" s="15"/>
      <c r="C42" s="869" t="str">
        <f>"    Operating Margin"</f>
        <v>    Operating Margin</v>
      </c>
      <c r="D42" s="938">
        <f t="shared" si="17"/>
        <v>-0.2961308412</v>
      </c>
      <c r="E42" s="938">
        <f t="shared" si="18"/>
        <v>-0.4187157829</v>
      </c>
      <c r="F42" s="938">
        <f t="shared" si="19"/>
        <v>-0.6788817877</v>
      </c>
      <c r="G42" s="938">
        <f t="shared" si="20"/>
        <v>-0.2431951555</v>
      </c>
      <c r="H42" s="938">
        <f t="shared" si="21"/>
        <v>-0.5985334809</v>
      </c>
      <c r="I42" s="938">
        <f t="shared" si="22"/>
        <v>-0.2768376494</v>
      </c>
      <c r="J42" s="938">
        <f t="shared" si="23"/>
        <v>0.2037061106</v>
      </c>
      <c r="K42" s="871">
        <f t="shared" si="24"/>
        <v>-0.4865021068</v>
      </c>
      <c r="L42" s="939" t="s">
        <v>194</v>
      </c>
      <c r="M42" s="939">
        <v>-0.29613084124839606</v>
      </c>
      <c r="N42" s="939">
        <v>-0.27683764935183586</v>
      </c>
      <c r="O42" s="939">
        <v>-0.2431951554501186</v>
      </c>
      <c r="P42" s="939">
        <v>-0.5985334809075816</v>
      </c>
      <c r="Q42" s="939">
        <v>-0.6788817876683986</v>
      </c>
      <c r="R42" s="15"/>
      <c r="S42" s="851" t="s">
        <v>194</v>
      </c>
      <c r="T42" s="846" t="s">
        <v>194</v>
      </c>
      <c r="U42" s="846" t="s">
        <v>194</v>
      </c>
      <c r="V42" s="846" t="s">
        <v>194</v>
      </c>
      <c r="W42" s="846" t="s">
        <v>194</v>
      </c>
      <c r="X42" s="846" t="s">
        <v>194</v>
      </c>
      <c r="Y42" s="846" t="s">
        <v>194</v>
      </c>
      <c r="Z42" s="846" t="s">
        <v>194</v>
      </c>
      <c r="AA42" s="846" t="s">
        <v>194</v>
      </c>
      <c r="AB42" s="846" t="s">
        <v>194</v>
      </c>
      <c r="AC42" s="846" t="s">
        <v>194</v>
      </c>
      <c r="AD42" s="846" t="s">
        <v>194</v>
      </c>
      <c r="AE42" s="846" t="s">
        <v>194</v>
      </c>
      <c r="AF42" s="846" t="s">
        <v>194</v>
      </c>
      <c r="AG42" s="846" t="s">
        <v>194</v>
      </c>
      <c r="AH42" s="846" t="s">
        <v>194</v>
      </c>
      <c r="AI42" s="846" t="s">
        <v>194</v>
      </c>
      <c r="AJ42" s="846" t="s">
        <v>194</v>
      </c>
      <c r="AK42" s="846" t="s">
        <v>194</v>
      </c>
      <c r="AL42" s="846" t="s">
        <v>194</v>
      </c>
      <c r="AM42" s="846" t="s">
        <v>194</v>
      </c>
      <c r="AN42" s="846" t="s">
        <v>194</v>
      </c>
    </row>
    <row r="43" ht="15.75" customHeight="1">
      <c r="A43" s="849">
        <v>1.0</v>
      </c>
      <c r="B43" s="15"/>
      <c r="C43" s="869" t="str">
        <f>"    EBIT Margin"</f>
        <v>    EBIT Margin</v>
      </c>
      <c r="D43" s="938">
        <f t="shared" si="17"/>
        <v>-0.3063349922</v>
      </c>
      <c r="E43" s="938">
        <f t="shared" si="18"/>
        <v>-0.4280135992</v>
      </c>
      <c r="F43" s="938">
        <f t="shared" si="19"/>
        <v>-0.6923536714</v>
      </c>
      <c r="G43" s="938">
        <f t="shared" si="20"/>
        <v>-0.2642804211</v>
      </c>
      <c r="H43" s="938">
        <f t="shared" si="21"/>
        <v>-0.6015495296</v>
      </c>
      <c r="I43" s="938">
        <f t="shared" si="22"/>
        <v>-0.2755493819</v>
      </c>
      <c r="J43" s="938">
        <f t="shared" si="23"/>
        <v>0.2030086005</v>
      </c>
      <c r="K43" s="871">
        <f t="shared" si="24"/>
        <v>-0.4743040895</v>
      </c>
      <c r="L43" s="939" t="s">
        <v>194</v>
      </c>
      <c r="M43" s="939">
        <v>-0.3063349921584868</v>
      </c>
      <c r="N43" s="939">
        <v>-0.2642804210782771</v>
      </c>
      <c r="O43" s="939">
        <v>-0.27554938194531153</v>
      </c>
      <c r="P43" s="939">
        <v>-0.6015495296070835</v>
      </c>
      <c r="Q43" s="939">
        <v>-0.6923536714331694</v>
      </c>
      <c r="R43" s="15"/>
      <c r="S43" s="851" t="s">
        <v>194</v>
      </c>
      <c r="T43" s="846" t="s">
        <v>194</v>
      </c>
      <c r="U43" s="846" t="s">
        <v>194</v>
      </c>
      <c r="V43" s="846" t="s">
        <v>194</v>
      </c>
      <c r="W43" s="846" t="s">
        <v>194</v>
      </c>
      <c r="X43" s="846" t="s">
        <v>194</v>
      </c>
      <c r="Y43" s="846" t="s">
        <v>194</v>
      </c>
      <c r="Z43" s="846" t="s">
        <v>194</v>
      </c>
      <c r="AA43" s="846" t="s">
        <v>194</v>
      </c>
      <c r="AB43" s="846" t="s">
        <v>194</v>
      </c>
      <c r="AC43" s="846" t="s">
        <v>194</v>
      </c>
      <c r="AD43" s="846" t="s">
        <v>194</v>
      </c>
      <c r="AE43" s="846" t="s">
        <v>194</v>
      </c>
      <c r="AF43" s="846" t="s">
        <v>194</v>
      </c>
      <c r="AG43" s="846" t="s">
        <v>194</v>
      </c>
      <c r="AH43" s="846" t="s">
        <v>194</v>
      </c>
      <c r="AI43" s="846" t="s">
        <v>194</v>
      </c>
      <c r="AJ43" s="846" t="s">
        <v>194</v>
      </c>
      <c r="AK43" s="846" t="s">
        <v>194</v>
      </c>
      <c r="AL43" s="846" t="s">
        <v>194</v>
      </c>
      <c r="AM43" s="846" t="s">
        <v>194</v>
      </c>
      <c r="AN43" s="846" t="s">
        <v>194</v>
      </c>
    </row>
    <row r="44" ht="15.75" customHeight="1">
      <c r="A44" s="849">
        <v>1.0</v>
      </c>
      <c r="B44" s="15"/>
      <c r="C44" s="869" t="str">
        <f>"    Normalized EBIT Margin"</f>
        <v>    Normalized EBIT Margin</v>
      </c>
      <c r="D44" s="938">
        <f t="shared" si="17"/>
        <v>-0.2852613498</v>
      </c>
      <c r="E44" s="938">
        <f t="shared" si="18"/>
        <v>-0.4236608872</v>
      </c>
      <c r="F44" s="938">
        <f t="shared" si="19"/>
        <v>-0.6920318176</v>
      </c>
      <c r="G44" s="938">
        <f t="shared" si="20"/>
        <v>-0.2641890589</v>
      </c>
      <c r="H44" s="938">
        <f t="shared" si="21"/>
        <v>-0.6012728279</v>
      </c>
      <c r="I44" s="938">
        <f t="shared" si="22"/>
        <v>-0.2755493819</v>
      </c>
      <c r="J44" s="938">
        <f t="shared" si="23"/>
        <v>0.2062108579</v>
      </c>
      <c r="K44" s="871">
        <f t="shared" si="24"/>
        <v>-0.4867356514</v>
      </c>
      <c r="L44" s="939" t="s">
        <v>194</v>
      </c>
      <c r="M44" s="939">
        <v>-0.2852613498265362</v>
      </c>
      <c r="N44" s="939">
        <v>-0.26418905886771765</v>
      </c>
      <c r="O44" s="939">
        <v>-0.27554938194531153</v>
      </c>
      <c r="P44" s="939">
        <v>-0.6012728278915329</v>
      </c>
      <c r="Q44" s="939">
        <v>-0.6920318175548301</v>
      </c>
      <c r="R44" s="15"/>
      <c r="S44" s="851" t="s">
        <v>194</v>
      </c>
      <c r="T44" s="846" t="s">
        <v>194</v>
      </c>
      <c r="U44" s="846" t="s">
        <v>194</v>
      </c>
      <c r="V44" s="846" t="s">
        <v>194</v>
      </c>
      <c r="W44" s="846" t="s">
        <v>194</v>
      </c>
      <c r="X44" s="846" t="s">
        <v>194</v>
      </c>
      <c r="Y44" s="846" t="s">
        <v>194</v>
      </c>
      <c r="Z44" s="846" t="s">
        <v>194</v>
      </c>
      <c r="AA44" s="846" t="s">
        <v>194</v>
      </c>
      <c r="AB44" s="846" t="s">
        <v>194</v>
      </c>
      <c r="AC44" s="846" t="s">
        <v>194</v>
      </c>
      <c r="AD44" s="846" t="s">
        <v>194</v>
      </c>
      <c r="AE44" s="846" t="s">
        <v>194</v>
      </c>
      <c r="AF44" s="846" t="s">
        <v>194</v>
      </c>
      <c r="AG44" s="846" t="s">
        <v>194</v>
      </c>
      <c r="AH44" s="846" t="s">
        <v>194</v>
      </c>
      <c r="AI44" s="846" t="s">
        <v>194</v>
      </c>
      <c r="AJ44" s="846" t="s">
        <v>194</v>
      </c>
      <c r="AK44" s="846" t="s">
        <v>194</v>
      </c>
      <c r="AL44" s="846" t="s">
        <v>194</v>
      </c>
      <c r="AM44" s="846" t="s">
        <v>194</v>
      </c>
      <c r="AN44" s="846" t="s">
        <v>194</v>
      </c>
    </row>
    <row r="45" ht="15.75" customHeight="1">
      <c r="A45" s="849">
        <v>1.0</v>
      </c>
      <c r="B45" s="15"/>
      <c r="C45" s="869" t="str">
        <f>"    EBT Margin"</f>
        <v>    EBT Margin</v>
      </c>
      <c r="D45" s="938">
        <f t="shared" si="17"/>
        <v>-0.3274833156</v>
      </c>
      <c r="E45" s="938">
        <f t="shared" si="18"/>
        <v>-0.4622344677</v>
      </c>
      <c r="F45" s="938">
        <f t="shared" si="19"/>
        <v>-0.7279415146</v>
      </c>
      <c r="G45" s="938">
        <f t="shared" si="20"/>
        <v>-0.298652915</v>
      </c>
      <c r="H45" s="938">
        <f t="shared" si="21"/>
        <v>-0.6308522413</v>
      </c>
      <c r="I45" s="938">
        <f t="shared" si="22"/>
        <v>-0.3262423524</v>
      </c>
      <c r="J45" s="938">
        <f t="shared" si="23"/>
        <v>0.2015209922</v>
      </c>
      <c r="K45" s="871">
        <f t="shared" si="24"/>
        <v>-0.4359713657</v>
      </c>
      <c r="L45" s="939" t="s">
        <v>194</v>
      </c>
      <c r="M45" s="939">
        <v>-0.3274833155682891</v>
      </c>
      <c r="N45" s="939">
        <v>-0.2986529149620847</v>
      </c>
      <c r="O45" s="939">
        <v>-0.3262423523536022</v>
      </c>
      <c r="P45" s="939">
        <v>-0.6308522412838959</v>
      </c>
      <c r="Q45" s="939">
        <v>-0.7279415145523932</v>
      </c>
      <c r="R45" s="15"/>
      <c r="S45" s="851" t="s">
        <v>194</v>
      </c>
      <c r="T45" s="846" t="s">
        <v>194</v>
      </c>
      <c r="U45" s="846" t="s">
        <v>194</v>
      </c>
      <c r="V45" s="846" t="s">
        <v>194</v>
      </c>
      <c r="W45" s="846" t="s">
        <v>194</v>
      </c>
      <c r="X45" s="846" t="s">
        <v>194</v>
      </c>
      <c r="Y45" s="846" t="s">
        <v>194</v>
      </c>
      <c r="Z45" s="846" t="s">
        <v>194</v>
      </c>
      <c r="AA45" s="846" t="s">
        <v>194</v>
      </c>
      <c r="AB45" s="846" t="s">
        <v>194</v>
      </c>
      <c r="AC45" s="846" t="s">
        <v>194</v>
      </c>
      <c r="AD45" s="846" t="s">
        <v>194</v>
      </c>
      <c r="AE45" s="846" t="s">
        <v>194</v>
      </c>
      <c r="AF45" s="846" t="s">
        <v>194</v>
      </c>
      <c r="AG45" s="846" t="s">
        <v>194</v>
      </c>
      <c r="AH45" s="846" t="s">
        <v>194</v>
      </c>
      <c r="AI45" s="846" t="s">
        <v>194</v>
      </c>
      <c r="AJ45" s="846" t="s">
        <v>194</v>
      </c>
      <c r="AK45" s="846" t="s">
        <v>194</v>
      </c>
      <c r="AL45" s="846" t="s">
        <v>194</v>
      </c>
      <c r="AM45" s="846" t="s">
        <v>194</v>
      </c>
      <c r="AN45" s="846" t="s">
        <v>194</v>
      </c>
    </row>
    <row r="46" ht="15.75" customHeight="1">
      <c r="A46" s="849">
        <v>1.0</v>
      </c>
      <c r="B46" s="15"/>
      <c r="C46" s="869" t="str">
        <f>"    Net Profit Margin"</f>
        <v>    Net Profit Margin</v>
      </c>
      <c r="D46" s="938">
        <f t="shared" si="17"/>
        <v>-0.3277820399</v>
      </c>
      <c r="E46" s="938">
        <f t="shared" si="18"/>
        <v>-0.4622942126</v>
      </c>
      <c r="F46" s="938">
        <f t="shared" si="19"/>
        <v>-0.7279415146</v>
      </c>
      <c r="G46" s="938">
        <f t="shared" si="20"/>
        <v>-0.298652915</v>
      </c>
      <c r="H46" s="938">
        <f t="shared" si="21"/>
        <v>-0.6308522413</v>
      </c>
      <c r="I46" s="938">
        <f t="shared" si="22"/>
        <v>-0.3262423524</v>
      </c>
      <c r="J46" s="938">
        <f t="shared" si="23"/>
        <v>0.2014710932</v>
      </c>
      <c r="K46" s="871">
        <f t="shared" si="24"/>
        <v>-0.4358070851</v>
      </c>
      <c r="L46" s="939" t="s">
        <v>194</v>
      </c>
      <c r="M46" s="939">
        <v>-0.32778203987969556</v>
      </c>
      <c r="N46" s="939">
        <v>-0.2986529149620847</v>
      </c>
      <c r="O46" s="939">
        <v>-0.3262423523536022</v>
      </c>
      <c r="P46" s="939">
        <v>-0.6308522412838959</v>
      </c>
      <c r="Q46" s="939">
        <v>-0.7279415145523932</v>
      </c>
      <c r="R46" s="15"/>
      <c r="S46" s="851" t="s">
        <v>194</v>
      </c>
      <c r="T46" s="846" t="s">
        <v>194</v>
      </c>
      <c r="U46" s="846" t="s">
        <v>194</v>
      </c>
      <c r="V46" s="846" t="s">
        <v>194</v>
      </c>
      <c r="W46" s="846" t="s">
        <v>194</v>
      </c>
      <c r="X46" s="846" t="s">
        <v>194</v>
      </c>
      <c r="Y46" s="846" t="s">
        <v>194</v>
      </c>
      <c r="Z46" s="846" t="s">
        <v>194</v>
      </c>
      <c r="AA46" s="846" t="s">
        <v>194</v>
      </c>
      <c r="AB46" s="846" t="s">
        <v>194</v>
      </c>
      <c r="AC46" s="846" t="s">
        <v>194</v>
      </c>
      <c r="AD46" s="846" t="s">
        <v>194</v>
      </c>
      <c r="AE46" s="846" t="s">
        <v>194</v>
      </c>
      <c r="AF46" s="846" t="s">
        <v>194</v>
      </c>
      <c r="AG46" s="846" t="s">
        <v>194</v>
      </c>
      <c r="AH46" s="846" t="s">
        <v>194</v>
      </c>
      <c r="AI46" s="846" t="s">
        <v>194</v>
      </c>
      <c r="AJ46" s="846" t="s">
        <v>194</v>
      </c>
      <c r="AK46" s="846" t="s">
        <v>194</v>
      </c>
      <c r="AL46" s="846" t="s">
        <v>194</v>
      </c>
      <c r="AM46" s="846" t="s">
        <v>194</v>
      </c>
      <c r="AN46" s="846" t="s">
        <v>194</v>
      </c>
    </row>
    <row r="47" ht="15.75" customHeight="1">
      <c r="A47" s="849">
        <v>1.0</v>
      </c>
      <c r="B47" s="15"/>
      <c r="C47" s="869" t="str">
        <f>"    Normalized Net Profit Margin"</f>
        <v>    Normalized Net Profit Margin</v>
      </c>
      <c r="D47" s="938">
        <f t="shared" si="17"/>
        <v>-0.3262423524</v>
      </c>
      <c r="E47" s="938">
        <f t="shared" si="18"/>
        <v>-0.4590794773</v>
      </c>
      <c r="F47" s="938">
        <f t="shared" si="19"/>
        <v>-0.7276196607</v>
      </c>
      <c r="G47" s="938">
        <f t="shared" si="20"/>
        <v>-0.2985615528</v>
      </c>
      <c r="H47" s="938">
        <f t="shared" si="21"/>
        <v>-0.6305755396</v>
      </c>
      <c r="I47" s="938">
        <f t="shared" si="22"/>
        <v>-0.312398281</v>
      </c>
      <c r="J47" s="938">
        <f t="shared" si="23"/>
        <v>0.2039925297</v>
      </c>
      <c r="K47" s="871">
        <f t="shared" si="24"/>
        <v>-0.4443512285</v>
      </c>
      <c r="L47" s="939" t="s">
        <v>194</v>
      </c>
      <c r="M47" s="939">
        <v>-0.31239828097737166</v>
      </c>
      <c r="N47" s="939">
        <v>-0.29856155275152524</v>
      </c>
      <c r="O47" s="939">
        <v>-0.3262423523536022</v>
      </c>
      <c r="P47" s="939">
        <v>-0.6305755395683453</v>
      </c>
      <c r="Q47" s="939">
        <v>-0.7276196606740539</v>
      </c>
      <c r="R47" s="15"/>
      <c r="S47" s="851" t="s">
        <v>194</v>
      </c>
      <c r="T47" s="846" t="s">
        <v>194</v>
      </c>
      <c r="U47" s="846" t="s">
        <v>194</v>
      </c>
      <c r="V47" s="846" t="s">
        <v>194</v>
      </c>
      <c r="W47" s="846" t="s">
        <v>194</v>
      </c>
      <c r="X47" s="846" t="s">
        <v>194</v>
      </c>
      <c r="Y47" s="846" t="s">
        <v>194</v>
      </c>
      <c r="Z47" s="846" t="s">
        <v>194</v>
      </c>
      <c r="AA47" s="846" t="s">
        <v>194</v>
      </c>
      <c r="AB47" s="846" t="s">
        <v>194</v>
      </c>
      <c r="AC47" s="846" t="s">
        <v>194</v>
      </c>
      <c r="AD47" s="846" t="s">
        <v>194</v>
      </c>
      <c r="AE47" s="846" t="s">
        <v>194</v>
      </c>
      <c r="AF47" s="846" t="s">
        <v>194</v>
      </c>
      <c r="AG47" s="846" t="s">
        <v>194</v>
      </c>
      <c r="AH47" s="846" t="s">
        <v>194</v>
      </c>
      <c r="AI47" s="846" t="s">
        <v>194</v>
      </c>
      <c r="AJ47" s="846" t="s">
        <v>194</v>
      </c>
      <c r="AK47" s="846" t="s">
        <v>194</v>
      </c>
      <c r="AL47" s="846" t="s">
        <v>194</v>
      </c>
      <c r="AM47" s="846" t="s">
        <v>194</v>
      </c>
      <c r="AN47" s="846" t="s">
        <v>194</v>
      </c>
    </row>
    <row r="48" ht="15.75" customHeight="1">
      <c r="A48" s="849">
        <v>1.0</v>
      </c>
      <c r="B48" s="15"/>
      <c r="C48" s="855" t="str">
        <f>"Growth Rates"</f>
        <v>Growth Rates</v>
      </c>
      <c r="D48" s="867" t="s">
        <v>194</v>
      </c>
      <c r="E48" s="867" t="s">
        <v>194</v>
      </c>
      <c r="F48" s="867" t="s">
        <v>194</v>
      </c>
      <c r="G48" s="867" t="s">
        <v>194</v>
      </c>
      <c r="H48" s="867" t="s">
        <v>194</v>
      </c>
      <c r="I48" s="867" t="s">
        <v>194</v>
      </c>
      <c r="J48" s="867" t="s">
        <v>194</v>
      </c>
      <c r="K48" s="867" t="s">
        <v>194</v>
      </c>
      <c r="L48" s="867" t="s">
        <v>194</v>
      </c>
      <c r="M48" s="867" t="s">
        <v>194</v>
      </c>
      <c r="N48" s="867" t="s">
        <v>194</v>
      </c>
      <c r="O48" s="867" t="s">
        <v>194</v>
      </c>
      <c r="P48" s="867" t="s">
        <v>194</v>
      </c>
      <c r="Q48" s="867" t="s">
        <v>194</v>
      </c>
      <c r="R48" s="15"/>
      <c r="S48" s="851" t="s">
        <v>194</v>
      </c>
      <c r="T48" s="846" t="s">
        <v>194</v>
      </c>
      <c r="U48" s="846" t="s">
        <v>194</v>
      </c>
      <c r="V48" s="846" t="s">
        <v>194</v>
      </c>
      <c r="W48" s="846" t="s">
        <v>194</v>
      </c>
      <c r="X48" s="846" t="s">
        <v>194</v>
      </c>
      <c r="Y48" s="846" t="s">
        <v>194</v>
      </c>
      <c r="Z48" s="846" t="s">
        <v>194</v>
      </c>
      <c r="AA48" s="846" t="s">
        <v>194</v>
      </c>
      <c r="AB48" s="846" t="s">
        <v>194</v>
      </c>
      <c r="AC48" s="846" t="s">
        <v>194</v>
      </c>
      <c r="AD48" s="846" t="s">
        <v>194</v>
      </c>
      <c r="AE48" s="846" t="s">
        <v>194</v>
      </c>
      <c r="AF48" s="846" t="s">
        <v>194</v>
      </c>
      <c r="AG48" s="846" t="s">
        <v>194</v>
      </c>
      <c r="AH48" s="846" t="s">
        <v>194</v>
      </c>
      <c r="AI48" s="846" t="s">
        <v>194</v>
      </c>
      <c r="AJ48" s="846" t="s">
        <v>194</v>
      </c>
      <c r="AK48" s="846" t="s">
        <v>194</v>
      </c>
      <c r="AL48" s="846" t="s">
        <v>194</v>
      </c>
      <c r="AM48" s="846" t="s">
        <v>194</v>
      </c>
      <c r="AN48" s="846" t="s">
        <v>194</v>
      </c>
    </row>
    <row r="49" ht="15.75" customHeight="1">
      <c r="A49" s="849">
        <v>1.0</v>
      </c>
      <c r="B49" s="15"/>
      <c r="C49" s="869" t="str">
        <f>"    Revenue % Growth"</f>
        <v>    Revenue % Growth</v>
      </c>
      <c r="D49" s="938">
        <f>IF(COUNT(M49:Q49)&gt;0,MEDIAN(M49:Q49),"")</f>
        <v>0.599579531</v>
      </c>
      <c r="E49" s="938">
        <f>IF(COUNT(M49:Q49)&gt;0,AVERAGE(M49:Q49),"")</f>
        <v>0.6168165202</v>
      </c>
      <c r="F49" s="938">
        <f>IF(COUNT(M49:Q49)&gt;0,MIN(M49:Q49),"")</f>
        <v>0.4952237867</v>
      </c>
      <c r="G49" s="938">
        <f>IF(COUNT(M49:Q49)&gt;0,MAX(M49:Q49),"")</f>
        <v>0.7728832319</v>
      </c>
      <c r="H49" s="938">
        <f>IF(COUNT(M49:Q49)&gt;0,QUARTILE(M49:Q49,1),"")</f>
        <v>0.5269110472</v>
      </c>
      <c r="I49" s="938">
        <f>IF(COUNT(M49:Q49)&gt;0,QUARTILE(M49:Q49,3),"")</f>
        <v>0.689485004</v>
      </c>
      <c r="J49" s="938">
        <f>IF(COUNT(M49:Q49)&gt;1,STDEV(M49:Q49),"")</f>
        <v>0.1257645488</v>
      </c>
      <c r="K49" s="871">
        <f>IF(COUNT(M49:Q49)&gt;1,STDEV(M49:Q49)/AVERAGE(M49:Q49),"")</f>
        <v>0.2038929645</v>
      </c>
      <c r="L49" s="939" t="s">
        <v>194</v>
      </c>
      <c r="M49" s="939">
        <v>0.49522378665908695</v>
      </c>
      <c r="N49" s="939">
        <v>0.5374734673492321</v>
      </c>
      <c r="O49" s="939">
        <v>0.7728832318760377</v>
      </c>
      <c r="P49" s="939">
        <v>0.661685594739988</v>
      </c>
      <c r="Q49" s="939" t="s">
        <v>194</v>
      </c>
      <c r="R49" s="15"/>
      <c r="S49" s="851" t="s">
        <v>194</v>
      </c>
      <c r="T49" s="846" t="s">
        <v>194</v>
      </c>
      <c r="U49" s="846" t="s">
        <v>194</v>
      </c>
      <c r="V49" s="846" t="s">
        <v>194</v>
      </c>
      <c r="W49" s="846" t="s">
        <v>194</v>
      </c>
      <c r="X49" s="846" t="s">
        <v>194</v>
      </c>
      <c r="Y49" s="846" t="s">
        <v>194</v>
      </c>
      <c r="Z49" s="846" t="s">
        <v>194</v>
      </c>
      <c r="AA49" s="846" t="s">
        <v>194</v>
      </c>
      <c r="AB49" s="846" t="s">
        <v>194</v>
      </c>
      <c r="AC49" s="846" t="s">
        <v>194</v>
      </c>
      <c r="AD49" s="846" t="s">
        <v>194</v>
      </c>
      <c r="AE49" s="846" t="s">
        <v>194</v>
      </c>
      <c r="AF49" s="846" t="s">
        <v>194</v>
      </c>
      <c r="AG49" s="846" t="s">
        <v>194</v>
      </c>
      <c r="AH49" s="846" t="s">
        <v>194</v>
      </c>
      <c r="AI49" s="846" t="s">
        <v>194</v>
      </c>
      <c r="AJ49" s="846" t="s">
        <v>194</v>
      </c>
      <c r="AK49" s="846" t="s">
        <v>194</v>
      </c>
      <c r="AL49" s="846" t="s">
        <v>194</v>
      </c>
      <c r="AM49" s="846" t="s">
        <v>194</v>
      </c>
      <c r="AN49" s="846" t="s">
        <v>194</v>
      </c>
    </row>
    <row r="50" ht="15.75" customHeight="1">
      <c r="A50" s="849">
        <v>1.0</v>
      </c>
      <c r="B50" s="15"/>
      <c r="C50" s="855" t="str">
        <f>"Leverage"</f>
        <v>Leverage</v>
      </c>
      <c r="D50" s="867" t="s">
        <v>194</v>
      </c>
      <c r="E50" s="867" t="s">
        <v>194</v>
      </c>
      <c r="F50" s="867" t="s">
        <v>194</v>
      </c>
      <c r="G50" s="867" t="s">
        <v>194</v>
      </c>
      <c r="H50" s="867" t="s">
        <v>194</v>
      </c>
      <c r="I50" s="867" t="s">
        <v>194</v>
      </c>
      <c r="J50" s="867" t="s">
        <v>194</v>
      </c>
      <c r="K50" s="867" t="s">
        <v>194</v>
      </c>
      <c r="L50" s="867" t="s">
        <v>194</v>
      </c>
      <c r="M50" s="867" t="s">
        <v>194</v>
      </c>
      <c r="N50" s="867" t="s">
        <v>194</v>
      </c>
      <c r="O50" s="867" t="s">
        <v>194</v>
      </c>
      <c r="P50" s="867" t="s">
        <v>194</v>
      </c>
      <c r="Q50" s="867" t="s">
        <v>194</v>
      </c>
      <c r="R50" s="15"/>
      <c r="S50" s="851" t="s">
        <v>194</v>
      </c>
      <c r="T50" s="846" t="s">
        <v>194</v>
      </c>
      <c r="U50" s="846" t="s">
        <v>194</v>
      </c>
      <c r="V50" s="846" t="s">
        <v>194</v>
      </c>
      <c r="W50" s="846" t="s">
        <v>194</v>
      </c>
      <c r="X50" s="846" t="s">
        <v>194</v>
      </c>
      <c r="Y50" s="846" t="s">
        <v>194</v>
      </c>
      <c r="Z50" s="846" t="s">
        <v>194</v>
      </c>
      <c r="AA50" s="846" t="s">
        <v>194</v>
      </c>
      <c r="AB50" s="846" t="s">
        <v>194</v>
      </c>
      <c r="AC50" s="846" t="s">
        <v>194</v>
      </c>
      <c r="AD50" s="846" t="s">
        <v>194</v>
      </c>
      <c r="AE50" s="846" t="s">
        <v>194</v>
      </c>
      <c r="AF50" s="846" t="s">
        <v>194</v>
      </c>
      <c r="AG50" s="846" t="s">
        <v>194</v>
      </c>
      <c r="AH50" s="846" t="s">
        <v>194</v>
      </c>
      <c r="AI50" s="846" t="s">
        <v>194</v>
      </c>
      <c r="AJ50" s="846" t="s">
        <v>194</v>
      </c>
      <c r="AK50" s="846" t="s">
        <v>194</v>
      </c>
      <c r="AL50" s="846" t="s">
        <v>194</v>
      </c>
      <c r="AM50" s="846" t="s">
        <v>194</v>
      </c>
      <c r="AN50" s="846" t="s">
        <v>194</v>
      </c>
    </row>
    <row r="51" ht="15.75" customHeight="1">
      <c r="A51" s="849">
        <v>1.0</v>
      </c>
      <c r="B51" s="15"/>
      <c r="C51" s="869" t="str">
        <f>"    Degree of Operational Leverage (TTM)"</f>
        <v>    Degree of Operational Leverage (TTM)</v>
      </c>
      <c r="D51" s="886">
        <f t="shared" ref="D51:D59" si="25">IF(COUNT(M51:Q51)&gt;0,MEDIAN(M51:Q51),"")</f>
        <v>0.8241553152</v>
      </c>
      <c r="E51" s="886">
        <f t="shared" ref="E51:E59" si="26">IF(COUNT(M51:Q51)&gt;0,AVERAGE(M51:Q51),"")</f>
        <v>0.7855970671</v>
      </c>
      <c r="F51" s="886">
        <f t="shared" ref="F51:F59" si="27">IF(COUNT(M51:Q51)&gt;0,MIN(M51:Q51),"")</f>
        <v>-0.6337825135</v>
      </c>
      <c r="G51" s="886">
        <f t="shared" ref="G51:G59" si="28">IF(COUNT(M51:Q51)&gt;0,MAX(M51:Q51),"")</f>
        <v>2.166418399</v>
      </c>
      <c r="H51" s="886">
        <f t="shared" ref="H51:H59" si="29">IF(COUNT(M51:Q51)&gt;0,QUARTILE(M51:Q51,1),"")</f>
        <v>0.09518640087</v>
      </c>
      <c r="I51" s="886">
        <f t="shared" ref="I51:I59" si="30">IF(COUNT(M51:Q51)&gt;0,QUARTILE(M51:Q51,3),"")</f>
        <v>1.495286857</v>
      </c>
      <c r="J51" s="886">
        <f t="shared" ref="J51:J59" si="31">IF(COUNT(M51:Q51)&gt;1,STDEV(M51:Q51),"")</f>
        <v>1.400498605</v>
      </c>
      <c r="K51" s="871">
        <f t="shared" ref="K51:K59" si="32">IF(COUNT(M51:Q51)&gt;1,STDEV(M51:Q51)/AVERAGE(M51:Q51),"")</f>
        <v>1.782718729</v>
      </c>
      <c r="L51" s="887" t="s">
        <v>194</v>
      </c>
      <c r="M51" s="887">
        <v>0.8241553151944087</v>
      </c>
      <c r="N51" s="887">
        <v>2.166418399469067</v>
      </c>
      <c r="O51" s="887">
        <v>-0.6337825134588633</v>
      </c>
      <c r="P51" s="887" t="s">
        <v>194</v>
      </c>
      <c r="Q51" s="887" t="s">
        <v>194</v>
      </c>
      <c r="R51" s="15"/>
      <c r="S51" s="851" t="s">
        <v>194</v>
      </c>
      <c r="T51" s="846" t="s">
        <v>194</v>
      </c>
      <c r="U51" s="846" t="s">
        <v>194</v>
      </c>
      <c r="V51" s="846" t="s">
        <v>194</v>
      </c>
      <c r="W51" s="846" t="s">
        <v>194</v>
      </c>
      <c r="X51" s="846" t="s">
        <v>194</v>
      </c>
      <c r="Y51" s="846" t="s">
        <v>194</v>
      </c>
      <c r="Z51" s="846" t="s">
        <v>194</v>
      </c>
      <c r="AA51" s="846" t="s">
        <v>194</v>
      </c>
      <c r="AB51" s="846" t="s">
        <v>194</v>
      </c>
      <c r="AC51" s="846" t="s">
        <v>194</v>
      </c>
      <c r="AD51" s="846" t="s">
        <v>194</v>
      </c>
      <c r="AE51" s="846" t="s">
        <v>194</v>
      </c>
      <c r="AF51" s="846" t="s">
        <v>194</v>
      </c>
      <c r="AG51" s="846" t="s">
        <v>194</v>
      </c>
      <c r="AH51" s="846" t="s">
        <v>194</v>
      </c>
      <c r="AI51" s="846" t="s">
        <v>194</v>
      </c>
      <c r="AJ51" s="846" t="s">
        <v>194</v>
      </c>
      <c r="AK51" s="846" t="s">
        <v>194</v>
      </c>
      <c r="AL51" s="846" t="s">
        <v>194</v>
      </c>
      <c r="AM51" s="846" t="s">
        <v>194</v>
      </c>
      <c r="AN51" s="846" t="s">
        <v>194</v>
      </c>
    </row>
    <row r="52" ht="15.75" customHeight="1">
      <c r="A52" s="849">
        <v>1.0</v>
      </c>
      <c r="B52" s="15"/>
      <c r="C52" s="869" t="str">
        <f>"    Degree of Combined Leverage (TTM)"</f>
        <v>    Degree of Combined Leverage (TTM)</v>
      </c>
      <c r="D52" s="886">
        <f t="shared" si="25"/>
        <v>0.7043546977</v>
      </c>
      <c r="E52" s="886">
        <f t="shared" si="26"/>
        <v>0.7044365475</v>
      </c>
      <c r="F52" s="886">
        <f t="shared" si="27"/>
        <v>-0.4603915519</v>
      </c>
      <c r="G52" s="886">
        <f t="shared" si="28"/>
        <v>1.869346497</v>
      </c>
      <c r="H52" s="886">
        <f t="shared" si="29"/>
        <v>0.1219815729</v>
      </c>
      <c r="I52" s="886">
        <f t="shared" si="30"/>
        <v>1.286850597</v>
      </c>
      <c r="J52" s="886">
        <f t="shared" si="31"/>
        <v>1.164869027</v>
      </c>
      <c r="K52" s="871">
        <f t="shared" si="32"/>
        <v>1.653618102</v>
      </c>
      <c r="L52" s="887" t="s">
        <v>194</v>
      </c>
      <c r="M52" s="887">
        <v>0.7043546977456807</v>
      </c>
      <c r="N52" s="887">
        <v>1.8693464967397946</v>
      </c>
      <c r="O52" s="887">
        <v>-0.46039155194864995</v>
      </c>
      <c r="P52" s="887" t="s">
        <v>194</v>
      </c>
      <c r="Q52" s="887" t="s">
        <v>194</v>
      </c>
      <c r="R52" s="15"/>
      <c r="S52" s="851" t="s">
        <v>194</v>
      </c>
      <c r="T52" s="846" t="s">
        <v>194</v>
      </c>
      <c r="U52" s="846" t="s">
        <v>194</v>
      </c>
      <c r="V52" s="846" t="s">
        <v>194</v>
      </c>
      <c r="W52" s="846" t="s">
        <v>194</v>
      </c>
      <c r="X52" s="846" t="s">
        <v>194</v>
      </c>
      <c r="Y52" s="846" t="s">
        <v>194</v>
      </c>
      <c r="Z52" s="846" t="s">
        <v>194</v>
      </c>
      <c r="AA52" s="846" t="s">
        <v>194</v>
      </c>
      <c r="AB52" s="846" t="s">
        <v>194</v>
      </c>
      <c r="AC52" s="846" t="s">
        <v>194</v>
      </c>
      <c r="AD52" s="846" t="s">
        <v>194</v>
      </c>
      <c r="AE52" s="846" t="s">
        <v>194</v>
      </c>
      <c r="AF52" s="846" t="s">
        <v>194</v>
      </c>
      <c r="AG52" s="846" t="s">
        <v>194</v>
      </c>
      <c r="AH52" s="846" t="s">
        <v>194</v>
      </c>
      <c r="AI52" s="846" t="s">
        <v>194</v>
      </c>
      <c r="AJ52" s="846" t="s">
        <v>194</v>
      </c>
      <c r="AK52" s="846" t="s">
        <v>194</v>
      </c>
      <c r="AL52" s="846" t="s">
        <v>194</v>
      </c>
      <c r="AM52" s="846" t="s">
        <v>194</v>
      </c>
      <c r="AN52" s="846" t="s">
        <v>194</v>
      </c>
    </row>
    <row r="53" ht="15.75" customHeight="1">
      <c r="A53" s="849">
        <v>1.0</v>
      </c>
      <c r="B53" s="15"/>
      <c r="C53" s="869" t="str">
        <f>"    Debt to Equity"</f>
        <v>    Debt to Equity</v>
      </c>
      <c r="D53" s="886">
        <f t="shared" si="25"/>
        <v>0.4084195442</v>
      </c>
      <c r="E53" s="886">
        <f t="shared" si="26"/>
        <v>0.4659508594</v>
      </c>
      <c r="F53" s="886">
        <f t="shared" si="27"/>
        <v>0.3481666343</v>
      </c>
      <c r="G53" s="886">
        <f t="shared" si="28"/>
        <v>0.6412663996</v>
      </c>
      <c r="H53" s="886">
        <f t="shared" si="29"/>
        <v>0.3782930892</v>
      </c>
      <c r="I53" s="886">
        <f t="shared" si="30"/>
        <v>0.5248429719</v>
      </c>
      <c r="J53" s="886">
        <f t="shared" si="31"/>
        <v>0.1547877814</v>
      </c>
      <c r="K53" s="871">
        <f t="shared" si="32"/>
        <v>0.332197652</v>
      </c>
      <c r="L53" s="887" t="s">
        <v>194</v>
      </c>
      <c r="M53" s="887">
        <v>0.6412663996178016</v>
      </c>
      <c r="N53" s="887">
        <v>0.40841954420323556</v>
      </c>
      <c r="O53" s="887">
        <v>0.3481666342559582</v>
      </c>
      <c r="P53" s="887" t="s">
        <v>194</v>
      </c>
      <c r="Q53" s="887" t="s">
        <v>194</v>
      </c>
      <c r="R53" s="15"/>
      <c r="S53" s="851" t="s">
        <v>194</v>
      </c>
      <c r="T53" s="846" t="s">
        <v>194</v>
      </c>
      <c r="U53" s="846" t="s">
        <v>194</v>
      </c>
      <c r="V53" s="846" t="s">
        <v>194</v>
      </c>
      <c r="W53" s="846" t="s">
        <v>194</v>
      </c>
      <c r="X53" s="846" t="s">
        <v>194</v>
      </c>
      <c r="Y53" s="846" t="s">
        <v>194</v>
      </c>
      <c r="Z53" s="846" t="s">
        <v>194</v>
      </c>
      <c r="AA53" s="846" t="s">
        <v>194</v>
      </c>
      <c r="AB53" s="846" t="s">
        <v>194</v>
      </c>
      <c r="AC53" s="846" t="s">
        <v>194</v>
      </c>
      <c r="AD53" s="846" t="s">
        <v>194</v>
      </c>
      <c r="AE53" s="846" t="s">
        <v>194</v>
      </c>
      <c r="AF53" s="846" t="s">
        <v>194</v>
      </c>
      <c r="AG53" s="846" t="s">
        <v>194</v>
      </c>
      <c r="AH53" s="846" t="s">
        <v>194</v>
      </c>
      <c r="AI53" s="846" t="s">
        <v>194</v>
      </c>
      <c r="AJ53" s="846" t="s">
        <v>194</v>
      </c>
      <c r="AK53" s="846" t="s">
        <v>194</v>
      </c>
      <c r="AL53" s="846" t="s">
        <v>194</v>
      </c>
      <c r="AM53" s="846" t="s">
        <v>194</v>
      </c>
      <c r="AN53" s="846" t="s">
        <v>194</v>
      </c>
    </row>
    <row r="54" ht="15.75" customHeight="1">
      <c r="A54" s="849">
        <v>1.0</v>
      </c>
      <c r="B54" s="15"/>
      <c r="C54" s="869" t="str">
        <f>"    Total Debt to Equity"</f>
        <v>    Total Debt to Equity</v>
      </c>
      <c r="D54" s="886">
        <f t="shared" si="25"/>
        <v>0.4271114854</v>
      </c>
      <c r="E54" s="886">
        <f t="shared" si="26"/>
        <v>0.4721815064</v>
      </c>
      <c r="F54" s="886">
        <f t="shared" si="27"/>
        <v>0.3481666343</v>
      </c>
      <c r="G54" s="886">
        <f t="shared" si="28"/>
        <v>0.6412663996</v>
      </c>
      <c r="H54" s="886">
        <f t="shared" si="29"/>
        <v>0.3876390598</v>
      </c>
      <c r="I54" s="886">
        <f t="shared" si="30"/>
        <v>0.5341889425</v>
      </c>
      <c r="J54" s="886">
        <f t="shared" si="31"/>
        <v>0.1516586569</v>
      </c>
      <c r="K54" s="871">
        <f t="shared" si="32"/>
        <v>0.321187202</v>
      </c>
      <c r="L54" s="887" t="s">
        <v>194</v>
      </c>
      <c r="M54" s="887">
        <v>0.6412663996178016</v>
      </c>
      <c r="N54" s="887">
        <v>0.42711148542481114</v>
      </c>
      <c r="O54" s="887">
        <v>0.3481666342559582</v>
      </c>
      <c r="P54" s="887" t="s">
        <v>194</v>
      </c>
      <c r="Q54" s="887" t="s">
        <v>194</v>
      </c>
      <c r="R54" s="15"/>
      <c r="S54" s="851" t="s">
        <v>194</v>
      </c>
      <c r="T54" s="846" t="s">
        <v>194</v>
      </c>
      <c r="U54" s="846" t="s">
        <v>194</v>
      </c>
      <c r="V54" s="846" t="s">
        <v>194</v>
      </c>
      <c r="W54" s="846" t="s">
        <v>194</v>
      </c>
      <c r="X54" s="846" t="s">
        <v>194</v>
      </c>
      <c r="Y54" s="846" t="s">
        <v>194</v>
      </c>
      <c r="Z54" s="846" t="s">
        <v>194</v>
      </c>
      <c r="AA54" s="846" t="s">
        <v>194</v>
      </c>
      <c r="AB54" s="846" t="s">
        <v>194</v>
      </c>
      <c r="AC54" s="846" t="s">
        <v>194</v>
      </c>
      <c r="AD54" s="846" t="s">
        <v>194</v>
      </c>
      <c r="AE54" s="846" t="s">
        <v>194</v>
      </c>
      <c r="AF54" s="846" t="s">
        <v>194</v>
      </c>
      <c r="AG54" s="846" t="s">
        <v>194</v>
      </c>
      <c r="AH54" s="846" t="s">
        <v>194</v>
      </c>
      <c r="AI54" s="846" t="s">
        <v>194</v>
      </c>
      <c r="AJ54" s="846" t="s">
        <v>194</v>
      </c>
      <c r="AK54" s="846" t="s">
        <v>194</v>
      </c>
      <c r="AL54" s="846" t="s">
        <v>194</v>
      </c>
      <c r="AM54" s="846" t="s">
        <v>194</v>
      </c>
      <c r="AN54" s="846" t="s">
        <v>194</v>
      </c>
    </row>
    <row r="55" ht="15.75" customHeight="1">
      <c r="A55" s="849">
        <v>1.0</v>
      </c>
      <c r="B55" s="15"/>
      <c r="C55" s="869" t="str">
        <f>"    Long Term Debt to Assets"</f>
        <v>    Long Term Debt to Assets</v>
      </c>
      <c r="D55" s="886">
        <f t="shared" si="25"/>
        <v>0.2915295297</v>
      </c>
      <c r="E55" s="886">
        <f t="shared" si="26"/>
        <v>0.3827046815</v>
      </c>
      <c r="F55" s="886">
        <f t="shared" si="27"/>
        <v>0.2332652943</v>
      </c>
      <c r="G55" s="886">
        <f t="shared" si="28"/>
        <v>0.8067173638</v>
      </c>
      <c r="H55" s="886">
        <f t="shared" si="29"/>
        <v>0.2440675165</v>
      </c>
      <c r="I55" s="886">
        <f t="shared" si="30"/>
        <v>0.3379437031</v>
      </c>
      <c r="J55" s="886">
        <f t="shared" si="31"/>
        <v>0.2406530709</v>
      </c>
      <c r="K55" s="871">
        <f t="shared" si="32"/>
        <v>0.6288218634</v>
      </c>
      <c r="L55" s="887" t="s">
        <v>194</v>
      </c>
      <c r="M55" s="887">
        <v>0.2915295296967672</v>
      </c>
      <c r="N55" s="887">
        <v>0.24406751650729025</v>
      </c>
      <c r="O55" s="887">
        <v>0.23326529430498857</v>
      </c>
      <c r="P55" s="887">
        <v>0.8067173637515843</v>
      </c>
      <c r="Q55" s="887">
        <v>0.33794370306337457</v>
      </c>
      <c r="R55" s="15"/>
      <c r="S55" s="851" t="s">
        <v>194</v>
      </c>
      <c r="T55" s="846" t="s">
        <v>194</v>
      </c>
      <c r="U55" s="846" t="s">
        <v>194</v>
      </c>
      <c r="V55" s="846" t="s">
        <v>194</v>
      </c>
      <c r="W55" s="846" t="s">
        <v>194</v>
      </c>
      <c r="X55" s="846" t="s">
        <v>194</v>
      </c>
      <c r="Y55" s="846" t="s">
        <v>194</v>
      </c>
      <c r="Z55" s="846" t="s">
        <v>194</v>
      </c>
      <c r="AA55" s="846" t="s">
        <v>194</v>
      </c>
      <c r="AB55" s="846" t="s">
        <v>194</v>
      </c>
      <c r="AC55" s="846" t="s">
        <v>194</v>
      </c>
      <c r="AD55" s="846" t="s">
        <v>194</v>
      </c>
      <c r="AE55" s="846" t="s">
        <v>194</v>
      </c>
      <c r="AF55" s="846" t="s">
        <v>194</v>
      </c>
      <c r="AG55" s="846" t="s">
        <v>194</v>
      </c>
      <c r="AH55" s="846" t="s">
        <v>194</v>
      </c>
      <c r="AI55" s="846" t="s">
        <v>194</v>
      </c>
      <c r="AJ55" s="846" t="s">
        <v>194</v>
      </c>
      <c r="AK55" s="846" t="s">
        <v>194</v>
      </c>
      <c r="AL55" s="846" t="s">
        <v>194</v>
      </c>
      <c r="AM55" s="846" t="s">
        <v>194</v>
      </c>
      <c r="AN55" s="846" t="s">
        <v>194</v>
      </c>
    </row>
    <row r="56" ht="15.75" customHeight="1">
      <c r="A56" s="849">
        <v>1.0</v>
      </c>
      <c r="B56" s="15"/>
      <c r="C56" s="869" t="str">
        <f>"    Debt to Assets"</f>
        <v>    Debt to Assets</v>
      </c>
      <c r="D56" s="886">
        <f t="shared" si="25"/>
        <v>0.2915295297</v>
      </c>
      <c r="E56" s="886">
        <f t="shared" si="26"/>
        <v>0.3849387056</v>
      </c>
      <c r="F56" s="886">
        <f t="shared" si="27"/>
        <v>0.2332652943</v>
      </c>
      <c r="G56" s="886">
        <f t="shared" si="28"/>
        <v>0.8067173638</v>
      </c>
      <c r="H56" s="886">
        <f t="shared" si="29"/>
        <v>0.2552376374</v>
      </c>
      <c r="I56" s="886">
        <f t="shared" si="30"/>
        <v>0.3379437031</v>
      </c>
      <c r="J56" s="886">
        <f t="shared" si="31"/>
        <v>0.239091108</v>
      </c>
      <c r="K56" s="871">
        <f t="shared" si="32"/>
        <v>0.6211147502</v>
      </c>
      <c r="L56" s="887" t="s">
        <v>194</v>
      </c>
      <c r="M56" s="887">
        <v>0.2915295296967672</v>
      </c>
      <c r="N56" s="887">
        <v>0.25523763737295585</v>
      </c>
      <c r="O56" s="887">
        <v>0.23326529430498857</v>
      </c>
      <c r="P56" s="887">
        <v>0.8067173637515843</v>
      </c>
      <c r="Q56" s="887">
        <v>0.33794370306337457</v>
      </c>
      <c r="R56" s="15"/>
      <c r="S56" s="851" t="s">
        <v>194</v>
      </c>
      <c r="T56" s="846" t="s">
        <v>194</v>
      </c>
      <c r="U56" s="846" t="s">
        <v>194</v>
      </c>
      <c r="V56" s="846" t="s">
        <v>194</v>
      </c>
      <c r="W56" s="846" t="s">
        <v>194</v>
      </c>
      <c r="X56" s="846" t="s">
        <v>194</v>
      </c>
      <c r="Y56" s="846" t="s">
        <v>194</v>
      </c>
      <c r="Z56" s="846" t="s">
        <v>194</v>
      </c>
      <c r="AA56" s="846" t="s">
        <v>194</v>
      </c>
      <c r="AB56" s="846" t="s">
        <v>194</v>
      </c>
      <c r="AC56" s="846" t="s">
        <v>194</v>
      </c>
      <c r="AD56" s="846" t="s">
        <v>194</v>
      </c>
      <c r="AE56" s="846" t="s">
        <v>194</v>
      </c>
      <c r="AF56" s="846" t="s">
        <v>194</v>
      </c>
      <c r="AG56" s="846" t="s">
        <v>194</v>
      </c>
      <c r="AH56" s="846" t="s">
        <v>194</v>
      </c>
      <c r="AI56" s="846" t="s">
        <v>194</v>
      </c>
      <c r="AJ56" s="846" t="s">
        <v>194</v>
      </c>
      <c r="AK56" s="846" t="s">
        <v>194</v>
      </c>
      <c r="AL56" s="846" t="s">
        <v>194</v>
      </c>
      <c r="AM56" s="846" t="s">
        <v>194</v>
      </c>
      <c r="AN56" s="846" t="s">
        <v>194</v>
      </c>
    </row>
    <row r="57" ht="15.75" customHeight="1">
      <c r="A57" s="849">
        <v>1.0</v>
      </c>
      <c r="B57" s="15"/>
      <c r="C57" s="869" t="str">
        <f>"    Long Term Debt to Invested Capital"</f>
        <v>    Long Term Debt to Invested Capital</v>
      </c>
      <c r="D57" s="886">
        <f t="shared" si="25"/>
        <v>0.2861861518</v>
      </c>
      <c r="E57" s="886">
        <f t="shared" si="26"/>
        <v>0.3117174902</v>
      </c>
      <c r="F57" s="886">
        <f t="shared" si="27"/>
        <v>0.2582519293</v>
      </c>
      <c r="G57" s="886">
        <f t="shared" si="28"/>
        <v>0.3907143897</v>
      </c>
      <c r="H57" s="886">
        <f t="shared" si="29"/>
        <v>0.2722190405</v>
      </c>
      <c r="I57" s="886">
        <f t="shared" si="30"/>
        <v>0.3384502707</v>
      </c>
      <c r="J57" s="886">
        <f t="shared" si="31"/>
        <v>0.06982451423</v>
      </c>
      <c r="K57" s="871">
        <f t="shared" si="32"/>
        <v>0.2239993469</v>
      </c>
      <c r="L57" s="887" t="s">
        <v>194</v>
      </c>
      <c r="M57" s="887">
        <v>0.39071438967320116</v>
      </c>
      <c r="N57" s="887">
        <v>0.28618615179994894</v>
      </c>
      <c r="O57" s="887">
        <v>0.25825192925658513</v>
      </c>
      <c r="P57" s="887" t="s">
        <v>194</v>
      </c>
      <c r="Q57" s="887" t="s">
        <v>194</v>
      </c>
      <c r="R57" s="15"/>
      <c r="S57" s="851" t="s">
        <v>194</v>
      </c>
      <c r="T57" s="846" t="s">
        <v>194</v>
      </c>
      <c r="U57" s="846" t="s">
        <v>194</v>
      </c>
      <c r="V57" s="846" t="s">
        <v>194</v>
      </c>
      <c r="W57" s="846" t="s">
        <v>194</v>
      </c>
      <c r="X57" s="846" t="s">
        <v>194</v>
      </c>
      <c r="Y57" s="846" t="s">
        <v>194</v>
      </c>
      <c r="Z57" s="846" t="s">
        <v>194</v>
      </c>
      <c r="AA57" s="846" t="s">
        <v>194</v>
      </c>
      <c r="AB57" s="846" t="s">
        <v>194</v>
      </c>
      <c r="AC57" s="846" t="s">
        <v>194</v>
      </c>
      <c r="AD57" s="846" t="s">
        <v>194</v>
      </c>
      <c r="AE57" s="846" t="s">
        <v>194</v>
      </c>
      <c r="AF57" s="846" t="s">
        <v>194</v>
      </c>
      <c r="AG57" s="846" t="s">
        <v>194</v>
      </c>
      <c r="AH57" s="846" t="s">
        <v>194</v>
      </c>
      <c r="AI57" s="846" t="s">
        <v>194</v>
      </c>
      <c r="AJ57" s="846" t="s">
        <v>194</v>
      </c>
      <c r="AK57" s="846" t="s">
        <v>194</v>
      </c>
      <c r="AL57" s="846" t="s">
        <v>194</v>
      </c>
      <c r="AM57" s="846" t="s">
        <v>194</v>
      </c>
      <c r="AN57" s="846" t="s">
        <v>194</v>
      </c>
    </row>
    <row r="58" ht="15.75" customHeight="1">
      <c r="A58" s="849">
        <v>1.0</v>
      </c>
      <c r="B58" s="15"/>
      <c r="C58" s="869" t="str">
        <f>"    Total Debt to Invested Capital"</f>
        <v>    Total Debt to Invested Capital</v>
      </c>
      <c r="D58" s="886">
        <f t="shared" si="25"/>
        <v>0.299283896</v>
      </c>
      <c r="E58" s="886">
        <f t="shared" si="26"/>
        <v>0.316083405</v>
      </c>
      <c r="F58" s="886">
        <f t="shared" si="27"/>
        <v>0.2582519293</v>
      </c>
      <c r="G58" s="886">
        <f t="shared" si="28"/>
        <v>0.3907143897</v>
      </c>
      <c r="H58" s="886">
        <f t="shared" si="29"/>
        <v>0.2787679126</v>
      </c>
      <c r="I58" s="886">
        <f t="shared" si="30"/>
        <v>0.3449991429</v>
      </c>
      <c r="J58" s="886">
        <f t="shared" si="31"/>
        <v>0.06781034936</v>
      </c>
      <c r="K58" s="871">
        <f t="shared" si="32"/>
        <v>0.2145330893</v>
      </c>
      <c r="L58" s="887" t="s">
        <v>194</v>
      </c>
      <c r="M58" s="887">
        <v>0.39071438967320116</v>
      </c>
      <c r="N58" s="887">
        <v>0.29928389602839756</v>
      </c>
      <c r="O58" s="887">
        <v>0.25825192925658513</v>
      </c>
      <c r="P58" s="887" t="s">
        <v>194</v>
      </c>
      <c r="Q58" s="887" t="s">
        <v>194</v>
      </c>
      <c r="R58" s="15"/>
      <c r="S58" s="851" t="s">
        <v>194</v>
      </c>
      <c r="T58" s="846" t="s">
        <v>194</v>
      </c>
      <c r="U58" s="846" t="s">
        <v>194</v>
      </c>
      <c r="V58" s="846" t="s">
        <v>194</v>
      </c>
      <c r="W58" s="846" t="s">
        <v>194</v>
      </c>
      <c r="X58" s="846" t="s">
        <v>194</v>
      </c>
      <c r="Y58" s="846" t="s">
        <v>194</v>
      </c>
      <c r="Z58" s="846" t="s">
        <v>194</v>
      </c>
      <c r="AA58" s="846" t="s">
        <v>194</v>
      </c>
      <c r="AB58" s="846" t="s">
        <v>194</v>
      </c>
      <c r="AC58" s="846" t="s">
        <v>194</v>
      </c>
      <c r="AD58" s="846" t="s">
        <v>194</v>
      </c>
      <c r="AE58" s="846" t="s">
        <v>194</v>
      </c>
      <c r="AF58" s="846" t="s">
        <v>194</v>
      </c>
      <c r="AG58" s="846" t="s">
        <v>194</v>
      </c>
      <c r="AH58" s="846" t="s">
        <v>194</v>
      </c>
      <c r="AI58" s="846" t="s">
        <v>194</v>
      </c>
      <c r="AJ58" s="846" t="s">
        <v>194</v>
      </c>
      <c r="AK58" s="846" t="s">
        <v>194</v>
      </c>
      <c r="AL58" s="846" t="s">
        <v>194</v>
      </c>
      <c r="AM58" s="846" t="s">
        <v>194</v>
      </c>
      <c r="AN58" s="846" t="s">
        <v>194</v>
      </c>
    </row>
    <row r="59" ht="15.75" customHeight="1">
      <c r="A59" s="849">
        <v>1.0</v>
      </c>
      <c r="B59" s="15"/>
      <c r="C59" s="869" t="str">
        <f>"    Equity Multiplier"</f>
        <v>    Equity Multiplier</v>
      </c>
      <c r="D59" s="886">
        <f t="shared" si="25"/>
        <v>1.673387553</v>
      </c>
      <c r="E59" s="886">
        <f t="shared" si="26"/>
        <v>1.788542467</v>
      </c>
      <c r="F59" s="886">
        <f t="shared" si="27"/>
        <v>1.492577948</v>
      </c>
      <c r="G59" s="886">
        <f t="shared" si="28"/>
        <v>2.199661901</v>
      </c>
      <c r="H59" s="886">
        <f t="shared" si="29"/>
        <v>1.58298275</v>
      </c>
      <c r="I59" s="886">
        <f t="shared" si="30"/>
        <v>1.936524727</v>
      </c>
      <c r="J59" s="886">
        <f t="shared" si="31"/>
        <v>0.3673382911</v>
      </c>
      <c r="K59" s="871">
        <f t="shared" si="32"/>
        <v>0.2053841594</v>
      </c>
      <c r="L59" s="887" t="s">
        <v>194</v>
      </c>
      <c r="M59" s="887">
        <v>2.1996619014369188</v>
      </c>
      <c r="N59" s="887">
        <v>1.67338755295212</v>
      </c>
      <c r="O59" s="887">
        <v>1.4925779477539378</v>
      </c>
      <c r="P59" s="887" t="s">
        <v>194</v>
      </c>
      <c r="Q59" s="887" t="s">
        <v>194</v>
      </c>
      <c r="R59" s="15"/>
      <c r="S59" s="851" t="s">
        <v>194</v>
      </c>
      <c r="T59" s="846" t="s">
        <v>194</v>
      </c>
      <c r="U59" s="846" t="s">
        <v>194</v>
      </c>
      <c r="V59" s="846" t="s">
        <v>194</v>
      </c>
      <c r="W59" s="846" t="s">
        <v>194</v>
      </c>
      <c r="X59" s="846" t="s">
        <v>194</v>
      </c>
      <c r="Y59" s="846" t="s">
        <v>194</v>
      </c>
      <c r="Z59" s="846" t="s">
        <v>194</v>
      </c>
      <c r="AA59" s="846" t="s">
        <v>194</v>
      </c>
      <c r="AB59" s="846" t="s">
        <v>194</v>
      </c>
      <c r="AC59" s="846" t="s">
        <v>194</v>
      </c>
      <c r="AD59" s="846" t="s">
        <v>194</v>
      </c>
      <c r="AE59" s="846" t="s">
        <v>194</v>
      </c>
      <c r="AF59" s="846" t="s">
        <v>194</v>
      </c>
      <c r="AG59" s="846" t="s">
        <v>194</v>
      </c>
      <c r="AH59" s="846" t="s">
        <v>194</v>
      </c>
      <c r="AI59" s="846" t="s">
        <v>194</v>
      </c>
      <c r="AJ59" s="846" t="s">
        <v>194</v>
      </c>
      <c r="AK59" s="846" t="s">
        <v>194</v>
      </c>
      <c r="AL59" s="846" t="s">
        <v>194</v>
      </c>
      <c r="AM59" s="846" t="s">
        <v>194</v>
      </c>
      <c r="AN59" s="846" t="s">
        <v>194</v>
      </c>
    </row>
    <row r="60" ht="15.75" customHeight="1">
      <c r="A60" s="849">
        <v>1.0</v>
      </c>
      <c r="B60" s="15"/>
      <c r="C60" s="855" t="str">
        <f>"Financial Health"</f>
        <v>Financial Health</v>
      </c>
      <c r="D60" s="867" t="s">
        <v>194</v>
      </c>
      <c r="E60" s="867" t="s">
        <v>194</v>
      </c>
      <c r="F60" s="867" t="s">
        <v>194</v>
      </c>
      <c r="G60" s="867" t="s">
        <v>194</v>
      </c>
      <c r="H60" s="867" t="s">
        <v>194</v>
      </c>
      <c r="I60" s="867" t="s">
        <v>194</v>
      </c>
      <c r="J60" s="867" t="s">
        <v>194</v>
      </c>
      <c r="K60" s="867" t="s">
        <v>194</v>
      </c>
      <c r="L60" s="867" t="s">
        <v>194</v>
      </c>
      <c r="M60" s="867" t="s">
        <v>194</v>
      </c>
      <c r="N60" s="867" t="s">
        <v>194</v>
      </c>
      <c r="O60" s="867" t="s">
        <v>194</v>
      </c>
      <c r="P60" s="867" t="s">
        <v>194</v>
      </c>
      <c r="Q60" s="867" t="s">
        <v>194</v>
      </c>
      <c r="R60" s="15"/>
      <c r="S60" s="851" t="s">
        <v>194</v>
      </c>
      <c r="T60" s="846" t="s">
        <v>194</v>
      </c>
      <c r="U60" s="846" t="s">
        <v>194</v>
      </c>
      <c r="V60" s="846" t="s">
        <v>194</v>
      </c>
      <c r="W60" s="846" t="s">
        <v>194</v>
      </c>
      <c r="X60" s="846" t="s">
        <v>194</v>
      </c>
      <c r="Y60" s="846" t="s">
        <v>194</v>
      </c>
      <c r="Z60" s="846" t="s">
        <v>194</v>
      </c>
      <c r="AA60" s="846" t="s">
        <v>194</v>
      </c>
      <c r="AB60" s="846" t="s">
        <v>194</v>
      </c>
      <c r="AC60" s="846" t="s">
        <v>194</v>
      </c>
      <c r="AD60" s="846" t="s">
        <v>194</v>
      </c>
      <c r="AE60" s="846" t="s">
        <v>194</v>
      </c>
      <c r="AF60" s="846" t="s">
        <v>194</v>
      </c>
      <c r="AG60" s="846" t="s">
        <v>194</v>
      </c>
      <c r="AH60" s="846" t="s">
        <v>194</v>
      </c>
      <c r="AI60" s="846" t="s">
        <v>194</v>
      </c>
      <c r="AJ60" s="846" t="s">
        <v>194</v>
      </c>
      <c r="AK60" s="846" t="s">
        <v>194</v>
      </c>
      <c r="AL60" s="846" t="s">
        <v>194</v>
      </c>
      <c r="AM60" s="846" t="s">
        <v>194</v>
      </c>
      <c r="AN60" s="846" t="s">
        <v>194</v>
      </c>
    </row>
    <row r="61" ht="15.75" customHeight="1">
      <c r="A61" s="849">
        <v>1.0</v>
      </c>
      <c r="B61" s="15"/>
      <c r="C61" s="869" t="str">
        <f>"    Current Ratio"</f>
        <v>    Current Ratio</v>
      </c>
      <c r="D61" s="886">
        <f t="shared" ref="D61:D68" si="33">IF(COUNT(M61:Q61)&gt;0,MEDIAN(M61:Q61),"")</f>
        <v>3.741196581</v>
      </c>
      <c r="E61" s="886">
        <f t="shared" ref="E61:E68" si="34">IF(COUNT(M61:Q61)&gt;0,AVERAGE(M61:Q61),"")</f>
        <v>5.03013765</v>
      </c>
      <c r="F61" s="886">
        <f t="shared" ref="F61:F68" si="35">IF(COUNT(M61:Q61)&gt;0,MIN(M61:Q61),"")</f>
        <v>3.195884774</v>
      </c>
      <c r="G61" s="886">
        <f t="shared" ref="G61:G68" si="36">IF(COUNT(M61:Q61)&gt;0,MAX(M61:Q61),"")</f>
        <v>8.975255392</v>
      </c>
      <c r="H61" s="886">
        <f t="shared" ref="H61:H68" si="37">IF(COUNT(M61:Q61)&gt;0,QUARTILE(M61:Q61,1),"")</f>
        <v>3.521695992</v>
      </c>
      <c r="I61" s="886">
        <f t="shared" ref="I61:I68" si="38">IF(COUNT(M61:Q61)&gt;0,QUARTILE(M61:Q61,3),"")</f>
        <v>5.716655512</v>
      </c>
      <c r="J61" s="886">
        <f t="shared" ref="J61:J68" si="39">IF(COUNT(M61:Q61)&gt;1,STDEV(M61:Q61),"")</f>
        <v>2.415393845</v>
      </c>
      <c r="K61" s="871">
        <f t="shared" ref="K61:K68" si="40">IF(COUNT(M61:Q61)&gt;1,STDEV(M61:Q61)/AVERAGE(M61:Q61),"")</f>
        <v>0.4801844428</v>
      </c>
      <c r="L61" s="887" t="s">
        <v>194</v>
      </c>
      <c r="M61" s="887">
        <v>3.5216959915332717</v>
      </c>
      <c r="N61" s="887">
        <v>5.716655511999235</v>
      </c>
      <c r="O61" s="887">
        <v>8.975255391600454</v>
      </c>
      <c r="P61" s="887">
        <v>3.741196581196581</v>
      </c>
      <c r="Q61" s="887">
        <v>3.1958847736625513</v>
      </c>
      <c r="R61" s="15"/>
      <c r="S61" s="851" t="s">
        <v>194</v>
      </c>
      <c r="T61" s="846" t="s">
        <v>194</v>
      </c>
      <c r="U61" s="846" t="s">
        <v>194</v>
      </c>
      <c r="V61" s="846" t="s">
        <v>194</v>
      </c>
      <c r="W61" s="846" t="s">
        <v>194</v>
      </c>
      <c r="X61" s="846" t="s">
        <v>194</v>
      </c>
      <c r="Y61" s="846" t="s">
        <v>194</v>
      </c>
      <c r="Z61" s="846" t="s">
        <v>194</v>
      </c>
      <c r="AA61" s="846" t="s">
        <v>194</v>
      </c>
      <c r="AB61" s="846" t="s">
        <v>194</v>
      </c>
      <c r="AC61" s="846" t="s">
        <v>194</v>
      </c>
      <c r="AD61" s="846" t="s">
        <v>194</v>
      </c>
      <c r="AE61" s="846" t="s">
        <v>194</v>
      </c>
      <c r="AF61" s="846" t="s">
        <v>194</v>
      </c>
      <c r="AG61" s="846" t="s">
        <v>194</v>
      </c>
      <c r="AH61" s="846" t="s">
        <v>194</v>
      </c>
      <c r="AI61" s="846" t="s">
        <v>194</v>
      </c>
      <c r="AJ61" s="846" t="s">
        <v>194</v>
      </c>
      <c r="AK61" s="846" t="s">
        <v>194</v>
      </c>
      <c r="AL61" s="846" t="s">
        <v>194</v>
      </c>
      <c r="AM61" s="846" t="s">
        <v>194</v>
      </c>
      <c r="AN61" s="846" t="s">
        <v>194</v>
      </c>
    </row>
    <row r="62" ht="15.75" customHeight="1">
      <c r="A62" s="849">
        <v>1.0</v>
      </c>
      <c r="B62" s="15"/>
      <c r="C62" s="869" t="str">
        <f>"    Quick Ratio"</f>
        <v>    Quick Ratio</v>
      </c>
      <c r="D62" s="886">
        <f t="shared" si="33"/>
        <v>3.508262108</v>
      </c>
      <c r="E62" s="886">
        <f t="shared" si="34"/>
        <v>4.8106472</v>
      </c>
      <c r="F62" s="886">
        <f t="shared" si="35"/>
        <v>2.977572016</v>
      </c>
      <c r="G62" s="886">
        <f t="shared" si="36"/>
        <v>8.736738555</v>
      </c>
      <c r="H62" s="886">
        <f t="shared" si="37"/>
        <v>3.317899193</v>
      </c>
      <c r="I62" s="886">
        <f t="shared" si="38"/>
        <v>5.512764127</v>
      </c>
      <c r="J62" s="886">
        <f t="shared" si="39"/>
        <v>2.40789481</v>
      </c>
      <c r="K62" s="871">
        <f t="shared" si="40"/>
        <v>0.5005344833</v>
      </c>
      <c r="L62" s="887" t="s">
        <v>194</v>
      </c>
      <c r="M62" s="887">
        <v>3.317899193014949</v>
      </c>
      <c r="N62" s="887">
        <v>5.51276412658954</v>
      </c>
      <c r="O62" s="887">
        <v>8.736738554672721</v>
      </c>
      <c r="P62" s="887">
        <v>3.5082621082621084</v>
      </c>
      <c r="Q62" s="887">
        <v>2.9775720164609054</v>
      </c>
      <c r="R62" s="15"/>
      <c r="S62" s="851" t="s">
        <v>194</v>
      </c>
      <c r="T62" s="846" t="s">
        <v>194</v>
      </c>
      <c r="U62" s="846" t="s">
        <v>194</v>
      </c>
      <c r="V62" s="846" t="s">
        <v>194</v>
      </c>
      <c r="W62" s="846" t="s">
        <v>194</v>
      </c>
      <c r="X62" s="846" t="s">
        <v>194</v>
      </c>
      <c r="Y62" s="846" t="s">
        <v>194</v>
      </c>
      <c r="Z62" s="846" t="s">
        <v>194</v>
      </c>
      <c r="AA62" s="846" t="s">
        <v>194</v>
      </c>
      <c r="AB62" s="846" t="s">
        <v>194</v>
      </c>
      <c r="AC62" s="846" t="s">
        <v>194</v>
      </c>
      <c r="AD62" s="846" t="s">
        <v>194</v>
      </c>
      <c r="AE62" s="846" t="s">
        <v>194</v>
      </c>
      <c r="AF62" s="846" t="s">
        <v>194</v>
      </c>
      <c r="AG62" s="846" t="s">
        <v>194</v>
      </c>
      <c r="AH62" s="846" t="s">
        <v>194</v>
      </c>
      <c r="AI62" s="846" t="s">
        <v>194</v>
      </c>
      <c r="AJ62" s="846" t="s">
        <v>194</v>
      </c>
      <c r="AK62" s="846" t="s">
        <v>194</v>
      </c>
      <c r="AL62" s="846" t="s">
        <v>194</v>
      </c>
      <c r="AM62" s="846" t="s">
        <v>194</v>
      </c>
      <c r="AN62" s="846" t="s">
        <v>194</v>
      </c>
    </row>
    <row r="63" ht="15.75" customHeight="1">
      <c r="A63" s="849">
        <v>1.0</v>
      </c>
      <c r="B63" s="15"/>
      <c r="C63" s="869" t="str">
        <f>"    Cash Ratio"</f>
        <v>    Cash Ratio</v>
      </c>
      <c r="D63" s="886">
        <f t="shared" si="33"/>
        <v>2.872706553</v>
      </c>
      <c r="E63" s="886">
        <f t="shared" si="34"/>
        <v>4.031103255</v>
      </c>
      <c r="F63" s="886">
        <f t="shared" si="35"/>
        <v>1.773251029</v>
      </c>
      <c r="G63" s="886">
        <f t="shared" si="36"/>
        <v>8.024971623</v>
      </c>
      <c r="H63" s="886">
        <f t="shared" si="37"/>
        <v>2.591050403</v>
      </c>
      <c r="I63" s="886">
        <f t="shared" si="38"/>
        <v>4.893536667</v>
      </c>
      <c r="J63" s="886">
        <f t="shared" si="39"/>
        <v>2.510393781</v>
      </c>
      <c r="K63" s="871">
        <f t="shared" si="40"/>
        <v>0.6227560105</v>
      </c>
      <c r="L63" s="887" t="s">
        <v>194</v>
      </c>
      <c r="M63" s="887">
        <v>2.5910504034925252</v>
      </c>
      <c r="N63" s="887">
        <v>4.893536666985371</v>
      </c>
      <c r="O63" s="887">
        <v>8.024971623155505</v>
      </c>
      <c r="P63" s="887">
        <v>2.8727065527065525</v>
      </c>
      <c r="Q63" s="887">
        <v>1.7732510288065844</v>
      </c>
      <c r="R63" s="15"/>
      <c r="S63" s="851" t="s">
        <v>194</v>
      </c>
      <c r="T63" s="846" t="s">
        <v>194</v>
      </c>
      <c r="U63" s="846" t="s">
        <v>194</v>
      </c>
      <c r="V63" s="846" t="s">
        <v>194</v>
      </c>
      <c r="W63" s="846" t="s">
        <v>194</v>
      </c>
      <c r="X63" s="846" t="s">
        <v>194</v>
      </c>
      <c r="Y63" s="846" t="s">
        <v>194</v>
      </c>
      <c r="Z63" s="846" t="s">
        <v>194</v>
      </c>
      <c r="AA63" s="846" t="s">
        <v>194</v>
      </c>
      <c r="AB63" s="846" t="s">
        <v>194</v>
      </c>
      <c r="AC63" s="846" t="s">
        <v>194</v>
      </c>
      <c r="AD63" s="846" t="s">
        <v>194</v>
      </c>
      <c r="AE63" s="846" t="s">
        <v>194</v>
      </c>
      <c r="AF63" s="846" t="s">
        <v>194</v>
      </c>
      <c r="AG63" s="846" t="s">
        <v>194</v>
      </c>
      <c r="AH63" s="846" t="s">
        <v>194</v>
      </c>
      <c r="AI63" s="846" t="s">
        <v>194</v>
      </c>
      <c r="AJ63" s="846" t="s">
        <v>194</v>
      </c>
      <c r="AK63" s="846" t="s">
        <v>194</v>
      </c>
      <c r="AL63" s="846" t="s">
        <v>194</v>
      </c>
      <c r="AM63" s="846" t="s">
        <v>194</v>
      </c>
      <c r="AN63" s="846" t="s">
        <v>194</v>
      </c>
    </row>
    <row r="64" ht="15.75" customHeight="1">
      <c r="A64" s="849">
        <v>1.0</v>
      </c>
      <c r="B64" s="15"/>
      <c r="C64" s="869" t="str">
        <f>"    Cash Flow to Debt"</f>
        <v>    Cash Flow to Debt</v>
      </c>
      <c r="D64" s="886">
        <f t="shared" si="33"/>
        <v>-0.4413084194</v>
      </c>
      <c r="E64" s="886">
        <f t="shared" si="34"/>
        <v>-0.8499643562</v>
      </c>
      <c r="F64" s="886">
        <f t="shared" si="35"/>
        <v>-2.244764189</v>
      </c>
      <c r="G64" s="886">
        <f t="shared" si="36"/>
        <v>-0.2063288271</v>
      </c>
      <c r="H64" s="886">
        <f t="shared" si="37"/>
        <v>-1.041486674</v>
      </c>
      <c r="I64" s="886">
        <f t="shared" si="38"/>
        <v>-0.3159336721</v>
      </c>
      <c r="J64" s="886">
        <f t="shared" si="39"/>
        <v>0.8438901752</v>
      </c>
      <c r="K64" s="871">
        <f t="shared" si="40"/>
        <v>-0.9928536051</v>
      </c>
      <c r="L64" s="887" t="s">
        <v>194</v>
      </c>
      <c r="M64" s="887">
        <v>-0.44130841935624376</v>
      </c>
      <c r="N64" s="887">
        <v>-0.20632882712786044</v>
      </c>
      <c r="O64" s="887">
        <v>-0.31593367208780004</v>
      </c>
      <c r="P64" s="887">
        <v>-1.0414866737305404</v>
      </c>
      <c r="Q64" s="887">
        <v>-2.244764188649081</v>
      </c>
      <c r="R64" s="15"/>
      <c r="S64" s="851" t="s">
        <v>194</v>
      </c>
      <c r="T64" s="846" t="s">
        <v>194</v>
      </c>
      <c r="U64" s="846" t="s">
        <v>194</v>
      </c>
      <c r="V64" s="846" t="s">
        <v>194</v>
      </c>
      <c r="W64" s="846" t="s">
        <v>194</v>
      </c>
      <c r="X64" s="846" t="s">
        <v>194</v>
      </c>
      <c r="Y64" s="846" t="s">
        <v>194</v>
      </c>
      <c r="Z64" s="846" t="s">
        <v>194</v>
      </c>
      <c r="AA64" s="846" t="s">
        <v>194</v>
      </c>
      <c r="AB64" s="846" t="s">
        <v>194</v>
      </c>
      <c r="AC64" s="846" t="s">
        <v>194</v>
      </c>
      <c r="AD64" s="846" t="s">
        <v>194</v>
      </c>
      <c r="AE64" s="846" t="s">
        <v>194</v>
      </c>
      <c r="AF64" s="846" t="s">
        <v>194</v>
      </c>
      <c r="AG64" s="846" t="s">
        <v>194</v>
      </c>
      <c r="AH64" s="846" t="s">
        <v>194</v>
      </c>
      <c r="AI64" s="846" t="s">
        <v>194</v>
      </c>
      <c r="AJ64" s="846" t="s">
        <v>194</v>
      </c>
      <c r="AK64" s="846" t="s">
        <v>194</v>
      </c>
      <c r="AL64" s="846" t="s">
        <v>194</v>
      </c>
      <c r="AM64" s="846" t="s">
        <v>194</v>
      </c>
      <c r="AN64" s="846" t="s">
        <v>194</v>
      </c>
    </row>
    <row r="65" ht="15.75" customHeight="1">
      <c r="A65" s="849">
        <v>1.0</v>
      </c>
      <c r="B65" s="15"/>
      <c r="C65" s="869" t="str">
        <f>"    Interest Coverage"</f>
        <v>    Interest Coverage</v>
      </c>
      <c r="D65" s="886">
        <f t="shared" si="33"/>
        <v>-14.48507223</v>
      </c>
      <c r="E65" s="886">
        <f t="shared" si="34"/>
        <v>-13.51860486</v>
      </c>
      <c r="F65" s="886">
        <f t="shared" si="35"/>
        <v>-20.52880076</v>
      </c>
      <c r="G65" s="886">
        <f t="shared" si="36"/>
        <v>-5.435652709</v>
      </c>
      <c r="H65" s="886">
        <f t="shared" si="37"/>
        <v>-19.45478036</v>
      </c>
      <c r="I65" s="886">
        <f t="shared" si="38"/>
        <v>-7.688718252</v>
      </c>
      <c r="J65" s="886">
        <f t="shared" si="39"/>
        <v>6.794055832</v>
      </c>
      <c r="K65" s="871">
        <f t="shared" si="40"/>
        <v>-0.5025707831</v>
      </c>
      <c r="L65" s="887" t="s">
        <v>194</v>
      </c>
      <c r="M65" s="887">
        <v>-14.485072231139647</v>
      </c>
      <c r="N65" s="887">
        <v>-7.688718251624335</v>
      </c>
      <c r="O65" s="887">
        <v>-5.435652709359606</v>
      </c>
      <c r="P65" s="887">
        <v>-20.52880075542965</v>
      </c>
      <c r="Q65" s="887">
        <v>-19.454780361757106</v>
      </c>
      <c r="R65" s="15"/>
      <c r="S65" s="851" t="s">
        <v>194</v>
      </c>
      <c r="T65" s="846" t="s">
        <v>194</v>
      </c>
      <c r="U65" s="846" t="s">
        <v>194</v>
      </c>
      <c r="V65" s="846" t="s">
        <v>194</v>
      </c>
      <c r="W65" s="846" t="s">
        <v>194</v>
      </c>
      <c r="X65" s="846" t="s">
        <v>194</v>
      </c>
      <c r="Y65" s="846" t="s">
        <v>194</v>
      </c>
      <c r="Z65" s="846" t="s">
        <v>194</v>
      </c>
      <c r="AA65" s="846" t="s">
        <v>194</v>
      </c>
      <c r="AB65" s="846" t="s">
        <v>194</v>
      </c>
      <c r="AC65" s="846" t="s">
        <v>194</v>
      </c>
      <c r="AD65" s="846" t="s">
        <v>194</v>
      </c>
      <c r="AE65" s="846" t="s">
        <v>194</v>
      </c>
      <c r="AF65" s="846" t="s">
        <v>194</v>
      </c>
      <c r="AG65" s="846" t="s">
        <v>194</v>
      </c>
      <c r="AH65" s="846" t="s">
        <v>194</v>
      </c>
      <c r="AI65" s="846" t="s">
        <v>194</v>
      </c>
      <c r="AJ65" s="846" t="s">
        <v>194</v>
      </c>
      <c r="AK65" s="846" t="s">
        <v>194</v>
      </c>
      <c r="AL65" s="846" t="s">
        <v>194</v>
      </c>
      <c r="AM65" s="846" t="s">
        <v>194</v>
      </c>
      <c r="AN65" s="846" t="s">
        <v>194</v>
      </c>
    </row>
    <row r="66" ht="15.75" customHeight="1">
      <c r="A66" s="849">
        <v>1.0</v>
      </c>
      <c r="B66" s="15"/>
      <c r="C66" s="869" t="str">
        <f>"    EBITDA Interest Coverage"</f>
        <v>    EBITDA Interest Coverage</v>
      </c>
      <c r="D66" s="886">
        <f t="shared" si="33"/>
        <v>-13.75666132</v>
      </c>
      <c r="E66" s="886">
        <f t="shared" si="34"/>
        <v>-13.08816757</v>
      </c>
      <c r="F66" s="886">
        <f t="shared" si="35"/>
        <v>-20.06421152</v>
      </c>
      <c r="G66" s="886">
        <f t="shared" si="36"/>
        <v>-5.260775862</v>
      </c>
      <c r="H66" s="886">
        <f t="shared" si="37"/>
        <v>-19.14211886</v>
      </c>
      <c r="I66" s="886">
        <f t="shared" si="38"/>
        <v>-7.217070289</v>
      </c>
      <c r="J66" s="886">
        <f t="shared" si="39"/>
        <v>6.736101313</v>
      </c>
      <c r="K66" s="871">
        <f t="shared" si="40"/>
        <v>-0.514671078</v>
      </c>
      <c r="L66" s="887" t="s">
        <v>194</v>
      </c>
      <c r="M66" s="887">
        <v>-13.756661316211877</v>
      </c>
      <c r="N66" s="887">
        <v>-7.217070289427053</v>
      </c>
      <c r="O66" s="887">
        <v>-5.260775862068965</v>
      </c>
      <c r="P66" s="887">
        <v>-20.064211520302173</v>
      </c>
      <c r="Q66" s="887">
        <v>-19.142118863049095</v>
      </c>
      <c r="R66" s="15"/>
      <c r="S66" s="851" t="s">
        <v>194</v>
      </c>
      <c r="T66" s="846" t="s">
        <v>194</v>
      </c>
      <c r="U66" s="846" t="s">
        <v>194</v>
      </c>
      <c r="V66" s="846" t="s">
        <v>194</v>
      </c>
      <c r="W66" s="846" t="s">
        <v>194</v>
      </c>
      <c r="X66" s="846" t="s">
        <v>194</v>
      </c>
      <c r="Y66" s="846" t="s">
        <v>194</v>
      </c>
      <c r="Z66" s="846" t="s">
        <v>194</v>
      </c>
      <c r="AA66" s="846" t="s">
        <v>194</v>
      </c>
      <c r="AB66" s="846" t="s">
        <v>194</v>
      </c>
      <c r="AC66" s="846" t="s">
        <v>194</v>
      </c>
      <c r="AD66" s="846" t="s">
        <v>194</v>
      </c>
      <c r="AE66" s="846" t="s">
        <v>194</v>
      </c>
      <c r="AF66" s="846" t="s">
        <v>194</v>
      </c>
      <c r="AG66" s="846" t="s">
        <v>194</v>
      </c>
      <c r="AH66" s="846" t="s">
        <v>194</v>
      </c>
      <c r="AI66" s="846" t="s">
        <v>194</v>
      </c>
      <c r="AJ66" s="846" t="s">
        <v>194</v>
      </c>
      <c r="AK66" s="846" t="s">
        <v>194</v>
      </c>
      <c r="AL66" s="846" t="s">
        <v>194</v>
      </c>
      <c r="AM66" s="846" t="s">
        <v>194</v>
      </c>
      <c r="AN66" s="846" t="s">
        <v>194</v>
      </c>
    </row>
    <row r="67" ht="15.75" customHeight="1">
      <c r="A67" s="849">
        <v>1.0</v>
      </c>
      <c r="B67" s="15"/>
      <c r="C67" s="869" t="str">
        <f>"    Capital Expenditure to Sales"</f>
        <v>    Capital Expenditure to Sales</v>
      </c>
      <c r="D67" s="886">
        <f t="shared" si="33"/>
        <v>0.1</v>
      </c>
      <c r="E67" s="886">
        <f t="shared" si="34"/>
        <v>0.1</v>
      </c>
      <c r="F67" s="886">
        <f t="shared" si="35"/>
        <v>0.1</v>
      </c>
      <c r="G67" s="886">
        <f t="shared" si="36"/>
        <v>0.1</v>
      </c>
      <c r="H67" s="886">
        <f t="shared" si="37"/>
        <v>0.1</v>
      </c>
      <c r="I67" s="886">
        <f t="shared" si="38"/>
        <v>0.1</v>
      </c>
      <c r="J67" s="886">
        <f t="shared" si="39"/>
        <v>0</v>
      </c>
      <c r="K67" s="871">
        <f t="shared" si="40"/>
        <v>0</v>
      </c>
      <c r="L67" s="887" t="s">
        <v>194</v>
      </c>
      <c r="M67" s="887">
        <v>0.1</v>
      </c>
      <c r="N67" s="887">
        <v>0.1</v>
      </c>
      <c r="O67" s="887">
        <v>0.1</v>
      </c>
      <c r="P67" s="887">
        <v>0.1</v>
      </c>
      <c r="Q67" s="887">
        <v>0.1</v>
      </c>
      <c r="R67" s="15"/>
      <c r="S67" s="851" t="s">
        <v>194</v>
      </c>
      <c r="T67" s="846" t="s">
        <v>194</v>
      </c>
      <c r="U67" s="846" t="s">
        <v>194</v>
      </c>
      <c r="V67" s="846" t="s">
        <v>194</v>
      </c>
      <c r="W67" s="846" t="s">
        <v>194</v>
      </c>
      <c r="X67" s="846" t="s">
        <v>194</v>
      </c>
      <c r="Y67" s="846" t="s">
        <v>194</v>
      </c>
      <c r="Z67" s="846" t="s">
        <v>194</v>
      </c>
      <c r="AA67" s="846" t="s">
        <v>194</v>
      </c>
      <c r="AB67" s="846" t="s">
        <v>194</v>
      </c>
      <c r="AC67" s="846" t="s">
        <v>194</v>
      </c>
      <c r="AD67" s="846" t="s">
        <v>194</v>
      </c>
      <c r="AE67" s="846" t="s">
        <v>194</v>
      </c>
      <c r="AF67" s="846" t="s">
        <v>194</v>
      </c>
      <c r="AG67" s="846" t="s">
        <v>194</v>
      </c>
      <c r="AH67" s="846" t="s">
        <v>194</v>
      </c>
      <c r="AI67" s="846" t="s">
        <v>194</v>
      </c>
      <c r="AJ67" s="846" t="s">
        <v>194</v>
      </c>
      <c r="AK67" s="846" t="s">
        <v>194</v>
      </c>
      <c r="AL67" s="846" t="s">
        <v>194</v>
      </c>
      <c r="AM67" s="846" t="s">
        <v>194</v>
      </c>
      <c r="AN67" s="846" t="s">
        <v>194</v>
      </c>
    </row>
    <row r="68" ht="15.75" customHeight="1">
      <c r="A68" s="849">
        <v>1.0</v>
      </c>
      <c r="B68" s="15"/>
      <c r="C68" s="869" t="str">
        <f>"    Altman Z-score (TTM)"</f>
        <v>    Altman Z-score (TTM)</v>
      </c>
      <c r="D68" s="886">
        <f t="shared" si="33"/>
        <v>15.49624038</v>
      </c>
      <c r="E68" s="886">
        <f t="shared" si="34"/>
        <v>9.216266627</v>
      </c>
      <c r="F68" s="886">
        <f t="shared" si="35"/>
        <v>-4.854638947</v>
      </c>
      <c r="G68" s="886">
        <f t="shared" si="36"/>
        <v>17.00719845</v>
      </c>
      <c r="H68" s="886">
        <f t="shared" si="37"/>
        <v>5.320800714</v>
      </c>
      <c r="I68" s="886">
        <f t="shared" si="38"/>
        <v>16.25171941</v>
      </c>
      <c r="J68" s="886">
        <f t="shared" si="39"/>
        <v>12.20915789</v>
      </c>
      <c r="K68" s="871">
        <f t="shared" si="40"/>
        <v>1.324740091</v>
      </c>
      <c r="L68" s="887" t="s">
        <v>194</v>
      </c>
      <c r="M68" s="887">
        <v>17.007198452923635</v>
      </c>
      <c r="N68" s="887">
        <v>15.496240375428284</v>
      </c>
      <c r="O68" s="887">
        <v>-4.854638947422474</v>
      </c>
      <c r="P68" s="887" t="s">
        <v>194</v>
      </c>
      <c r="Q68" s="887" t="s">
        <v>194</v>
      </c>
      <c r="R68" s="15"/>
      <c r="S68" s="851" t="s">
        <v>194</v>
      </c>
      <c r="T68" s="846" t="s">
        <v>194</v>
      </c>
      <c r="U68" s="846" t="s">
        <v>194</v>
      </c>
      <c r="V68" s="846" t="s">
        <v>194</v>
      </c>
      <c r="W68" s="846" t="s">
        <v>194</v>
      </c>
      <c r="X68" s="846" t="s">
        <v>194</v>
      </c>
      <c r="Y68" s="846" t="s">
        <v>194</v>
      </c>
      <c r="Z68" s="846" t="s">
        <v>194</v>
      </c>
      <c r="AA68" s="846" t="s">
        <v>194</v>
      </c>
      <c r="AB68" s="846" t="s">
        <v>194</v>
      </c>
      <c r="AC68" s="846" t="s">
        <v>194</v>
      </c>
      <c r="AD68" s="846" t="s">
        <v>194</v>
      </c>
      <c r="AE68" s="846" t="s">
        <v>194</v>
      </c>
      <c r="AF68" s="846" t="s">
        <v>194</v>
      </c>
      <c r="AG68" s="846" t="s">
        <v>194</v>
      </c>
      <c r="AH68" s="846" t="s">
        <v>194</v>
      </c>
      <c r="AI68" s="846" t="s">
        <v>194</v>
      </c>
      <c r="AJ68" s="846" t="s">
        <v>194</v>
      </c>
      <c r="AK68" s="846" t="s">
        <v>194</v>
      </c>
      <c r="AL68" s="846" t="s">
        <v>194</v>
      </c>
      <c r="AM68" s="846" t="s">
        <v>194</v>
      </c>
      <c r="AN68" s="846" t="s">
        <v>194</v>
      </c>
    </row>
    <row r="69" ht="15.75" customHeight="1">
      <c r="A69" s="849">
        <v>1.0</v>
      </c>
      <c r="B69" s="15"/>
      <c r="C69" s="855" t="str">
        <f>"Dividend Metrics"</f>
        <v>Dividend Metrics</v>
      </c>
      <c r="D69" s="867" t="s">
        <v>194</v>
      </c>
      <c r="E69" s="867" t="s">
        <v>194</v>
      </c>
      <c r="F69" s="867" t="s">
        <v>194</v>
      </c>
      <c r="G69" s="867" t="s">
        <v>194</v>
      </c>
      <c r="H69" s="867" t="s">
        <v>194</v>
      </c>
      <c r="I69" s="867" t="s">
        <v>194</v>
      </c>
      <c r="J69" s="867" t="s">
        <v>194</v>
      </c>
      <c r="K69" s="867" t="s">
        <v>194</v>
      </c>
      <c r="L69" s="867" t="s">
        <v>194</v>
      </c>
      <c r="M69" s="867" t="s">
        <v>194</v>
      </c>
      <c r="N69" s="867" t="s">
        <v>194</v>
      </c>
      <c r="O69" s="867" t="s">
        <v>194</v>
      </c>
      <c r="P69" s="867" t="s">
        <v>194</v>
      </c>
      <c r="Q69" s="867" t="s">
        <v>194</v>
      </c>
      <c r="R69" s="15"/>
      <c r="S69" s="851" t="s">
        <v>194</v>
      </c>
      <c r="T69" s="846" t="s">
        <v>194</v>
      </c>
      <c r="U69" s="846" t="s">
        <v>194</v>
      </c>
      <c r="V69" s="846" t="s">
        <v>194</v>
      </c>
      <c r="W69" s="846" t="s">
        <v>194</v>
      </c>
      <c r="X69" s="846" t="s">
        <v>194</v>
      </c>
      <c r="Y69" s="846" t="s">
        <v>194</v>
      </c>
      <c r="Z69" s="846" t="s">
        <v>194</v>
      </c>
      <c r="AA69" s="846" t="s">
        <v>194</v>
      </c>
      <c r="AB69" s="846" t="s">
        <v>194</v>
      </c>
      <c r="AC69" s="846" t="s">
        <v>194</v>
      </c>
      <c r="AD69" s="846" t="s">
        <v>194</v>
      </c>
      <c r="AE69" s="846" t="s">
        <v>194</v>
      </c>
      <c r="AF69" s="846" t="s">
        <v>194</v>
      </c>
      <c r="AG69" s="846" t="s">
        <v>194</v>
      </c>
      <c r="AH69" s="846" t="s">
        <v>194</v>
      </c>
      <c r="AI69" s="846" t="s">
        <v>194</v>
      </c>
      <c r="AJ69" s="846" t="s">
        <v>194</v>
      </c>
      <c r="AK69" s="846" t="s">
        <v>194</v>
      </c>
      <c r="AL69" s="846" t="s">
        <v>194</v>
      </c>
      <c r="AM69" s="846" t="s">
        <v>194</v>
      </c>
      <c r="AN69" s="846" t="s">
        <v>194</v>
      </c>
    </row>
    <row r="70" ht="15.75" customHeight="1">
      <c r="A70" s="849">
        <v>1.0</v>
      </c>
      <c r="B70" s="15"/>
      <c r="C70" s="869" t="str">
        <f>"    Normalized Dividend Payout"</f>
        <v>    Normalized Dividend Payout</v>
      </c>
      <c r="D70" s="886">
        <f t="shared" ref="D70:D74" si="41">IF(COUNT(M70:Q70)&gt;0,MEDIAN(M70:Q70),"")</f>
        <v>0</v>
      </c>
      <c r="E70" s="886">
        <f t="shared" ref="E70:E74" si="42">IF(COUNT(M70:Q70)&gt;0,AVERAGE(M70:Q70),"")</f>
        <v>0</v>
      </c>
      <c r="F70" s="886">
        <f t="shared" ref="F70:F74" si="43">IF(COUNT(M70:Q70)&gt;0,MIN(M70:Q70),"")</f>
        <v>0</v>
      </c>
      <c r="G70" s="886">
        <f t="shared" ref="G70:G74" si="44">IF(COUNT(M70:Q70)&gt;0,MAX(M70:Q70),"")</f>
        <v>0</v>
      </c>
      <c r="H70" s="886">
        <f t="shared" ref="H70:H74" si="45">IF(COUNT(M70:Q70)&gt;0,QUARTILE(M70:Q70,1),"")</f>
        <v>0</v>
      </c>
      <c r="I70" s="886">
        <f t="shared" ref="I70:I74" si="46">IF(COUNT(M70:Q70)&gt;0,QUARTILE(M70:Q70,3),"")</f>
        <v>0</v>
      </c>
      <c r="J70" s="886">
        <f t="shared" ref="J70:J74" si="47">IF(COUNT(M70:Q70)&gt;1,STDEV(M70:Q70),"")</f>
        <v>0</v>
      </c>
      <c r="K70" s="871" t="str">
        <f t="shared" ref="K70:K74" si="48">IF(COUNT(M70:Q70)&gt;1,STDEV(M70:Q70)/AVERAGE(M70:Q70),"")</f>
        <v>#DIV/0!</v>
      </c>
      <c r="L70" s="887" t="s">
        <v>194</v>
      </c>
      <c r="M70" s="887">
        <v>0.0</v>
      </c>
      <c r="N70" s="887">
        <v>0.0</v>
      </c>
      <c r="O70" s="887">
        <v>0.0</v>
      </c>
      <c r="P70" s="887">
        <v>0.0</v>
      </c>
      <c r="Q70" s="887" t="s">
        <v>194</v>
      </c>
      <c r="R70" s="15"/>
      <c r="S70" s="851" t="s">
        <v>194</v>
      </c>
      <c r="T70" s="846" t="s">
        <v>194</v>
      </c>
      <c r="U70" s="846" t="s">
        <v>194</v>
      </c>
      <c r="V70" s="846" t="s">
        <v>194</v>
      </c>
      <c r="W70" s="846" t="s">
        <v>194</v>
      </c>
      <c r="X70" s="846" t="s">
        <v>194</v>
      </c>
      <c r="Y70" s="846" t="s">
        <v>194</v>
      </c>
      <c r="Z70" s="846" t="s">
        <v>194</v>
      </c>
      <c r="AA70" s="846" t="s">
        <v>194</v>
      </c>
      <c r="AB70" s="846" t="s">
        <v>194</v>
      </c>
      <c r="AC70" s="846" t="s">
        <v>194</v>
      </c>
      <c r="AD70" s="846" t="s">
        <v>194</v>
      </c>
      <c r="AE70" s="846" t="s">
        <v>194</v>
      </c>
      <c r="AF70" s="846" t="s">
        <v>194</v>
      </c>
      <c r="AG70" s="846" t="s">
        <v>194</v>
      </c>
      <c r="AH70" s="846" t="s">
        <v>194</v>
      </c>
      <c r="AI70" s="846" t="s">
        <v>194</v>
      </c>
      <c r="AJ70" s="846" t="s">
        <v>194</v>
      </c>
      <c r="AK70" s="846" t="s">
        <v>194</v>
      </c>
      <c r="AL70" s="846" t="s">
        <v>194</v>
      </c>
      <c r="AM70" s="846" t="s">
        <v>194</v>
      </c>
      <c r="AN70" s="846" t="s">
        <v>194</v>
      </c>
    </row>
    <row r="71" ht="15.75" customHeight="1">
      <c r="A71" s="849">
        <v>1.0</v>
      </c>
      <c r="B71" s="15"/>
      <c r="C71" s="869" t="str">
        <f>"    Reinvestment Rate"</f>
        <v>    Reinvestment Rate</v>
      </c>
      <c r="D71" s="938">
        <f t="shared" si="41"/>
        <v>-0.5439791068</v>
      </c>
      <c r="E71" s="938">
        <f t="shared" si="42"/>
        <v>-0.5439791068</v>
      </c>
      <c r="F71" s="938">
        <f t="shared" si="43"/>
        <v>-0.7348163084</v>
      </c>
      <c r="G71" s="938">
        <f t="shared" si="44"/>
        <v>-0.3531419051</v>
      </c>
      <c r="H71" s="938">
        <f t="shared" si="45"/>
        <v>-0.6393977076</v>
      </c>
      <c r="I71" s="938">
        <f t="shared" si="46"/>
        <v>-0.4485605059</v>
      </c>
      <c r="J71" s="938">
        <f t="shared" si="47"/>
        <v>0.2698845588</v>
      </c>
      <c r="K71" s="871">
        <f t="shared" si="48"/>
        <v>-0.496130376</v>
      </c>
      <c r="L71" s="939" t="s">
        <v>194</v>
      </c>
      <c r="M71" s="939">
        <v>-0.7348163084157493</v>
      </c>
      <c r="N71" s="939">
        <v>-0.3531419051215757</v>
      </c>
      <c r="O71" s="939" t="s">
        <v>194</v>
      </c>
      <c r="P71" s="939" t="s">
        <v>194</v>
      </c>
      <c r="Q71" s="939" t="s">
        <v>194</v>
      </c>
      <c r="R71" s="15"/>
      <c r="S71" s="851" t="s">
        <v>194</v>
      </c>
      <c r="T71" s="846" t="s">
        <v>194</v>
      </c>
      <c r="U71" s="846" t="s">
        <v>194</v>
      </c>
      <c r="V71" s="846" t="s">
        <v>194</v>
      </c>
      <c r="W71" s="846" t="s">
        <v>194</v>
      </c>
      <c r="X71" s="846" t="s">
        <v>194</v>
      </c>
      <c r="Y71" s="846" t="s">
        <v>194</v>
      </c>
      <c r="Z71" s="846" t="s">
        <v>194</v>
      </c>
      <c r="AA71" s="846" t="s">
        <v>194</v>
      </c>
      <c r="AB71" s="846" t="s">
        <v>194</v>
      </c>
      <c r="AC71" s="846" t="s">
        <v>194</v>
      </c>
      <c r="AD71" s="846" t="s">
        <v>194</v>
      </c>
      <c r="AE71" s="846" t="s">
        <v>194</v>
      </c>
      <c r="AF71" s="846" t="s">
        <v>194</v>
      </c>
      <c r="AG71" s="846" t="s">
        <v>194</v>
      </c>
      <c r="AH71" s="846" t="s">
        <v>194</v>
      </c>
      <c r="AI71" s="846" t="s">
        <v>194</v>
      </c>
      <c r="AJ71" s="846" t="s">
        <v>194</v>
      </c>
      <c r="AK71" s="846" t="s">
        <v>194</v>
      </c>
      <c r="AL71" s="846" t="s">
        <v>194</v>
      </c>
      <c r="AM71" s="846" t="s">
        <v>194</v>
      </c>
      <c r="AN71" s="846" t="s">
        <v>194</v>
      </c>
    </row>
    <row r="72" ht="15.75" customHeight="1">
      <c r="A72" s="849">
        <v>1.0</v>
      </c>
      <c r="B72" s="15"/>
      <c r="C72" s="869" t="str">
        <f>"    Normalized Reinvestment Rate"</f>
        <v>    Normalized Reinvestment Rate</v>
      </c>
      <c r="D72" s="938">
        <f t="shared" si="41"/>
        <v>-0.5266706319</v>
      </c>
      <c r="E72" s="938">
        <f t="shared" si="42"/>
        <v>-0.5266706319</v>
      </c>
      <c r="F72" s="938">
        <f t="shared" si="43"/>
        <v>-0.7003074062</v>
      </c>
      <c r="G72" s="938">
        <f t="shared" si="44"/>
        <v>-0.3530338575</v>
      </c>
      <c r="H72" s="938">
        <f t="shared" si="45"/>
        <v>-0.613489019</v>
      </c>
      <c r="I72" s="938">
        <f t="shared" si="46"/>
        <v>-0.4398522447</v>
      </c>
      <c r="J72" s="938">
        <f t="shared" si="47"/>
        <v>0.2455594812</v>
      </c>
      <c r="K72" s="871">
        <f t="shared" si="48"/>
        <v>-0.4662486692</v>
      </c>
      <c r="L72" s="939" t="s">
        <v>194</v>
      </c>
      <c r="M72" s="939">
        <v>-0.7003074062273238</v>
      </c>
      <c r="N72" s="939">
        <v>-0.35303385751286265</v>
      </c>
      <c r="O72" s="939" t="s">
        <v>194</v>
      </c>
      <c r="P72" s="939" t="s">
        <v>194</v>
      </c>
      <c r="Q72" s="939" t="s">
        <v>194</v>
      </c>
      <c r="R72" s="15"/>
      <c r="S72" s="851" t="s">
        <v>194</v>
      </c>
      <c r="T72" s="846" t="s">
        <v>194</v>
      </c>
      <c r="U72" s="846" t="s">
        <v>194</v>
      </c>
      <c r="V72" s="846" t="s">
        <v>194</v>
      </c>
      <c r="W72" s="846" t="s">
        <v>194</v>
      </c>
      <c r="X72" s="846" t="s">
        <v>194</v>
      </c>
      <c r="Y72" s="846" t="s">
        <v>194</v>
      </c>
      <c r="Z72" s="846" t="s">
        <v>194</v>
      </c>
      <c r="AA72" s="846" t="s">
        <v>194</v>
      </c>
      <c r="AB72" s="846" t="s">
        <v>194</v>
      </c>
      <c r="AC72" s="846" t="s">
        <v>194</v>
      </c>
      <c r="AD72" s="846" t="s">
        <v>194</v>
      </c>
      <c r="AE72" s="846" t="s">
        <v>194</v>
      </c>
      <c r="AF72" s="846" t="s">
        <v>194</v>
      </c>
      <c r="AG72" s="846" t="s">
        <v>194</v>
      </c>
      <c r="AH72" s="846" t="s">
        <v>194</v>
      </c>
      <c r="AI72" s="846" t="s">
        <v>194</v>
      </c>
      <c r="AJ72" s="846" t="s">
        <v>194</v>
      </c>
      <c r="AK72" s="846" t="s">
        <v>194</v>
      </c>
      <c r="AL72" s="846" t="s">
        <v>194</v>
      </c>
      <c r="AM72" s="846" t="s">
        <v>194</v>
      </c>
      <c r="AN72" s="846" t="s">
        <v>194</v>
      </c>
    </row>
    <row r="73" ht="15.75" customHeight="1">
      <c r="A73" s="849">
        <v>1.0</v>
      </c>
      <c r="B73" s="15"/>
      <c r="C73" s="869" t="str">
        <f>"    Normalized Retention Rate"</f>
        <v>    Normalized Retention Rate</v>
      </c>
      <c r="D73" s="938">
        <f t="shared" si="41"/>
        <v>1</v>
      </c>
      <c r="E73" s="938">
        <f t="shared" si="42"/>
        <v>1</v>
      </c>
      <c r="F73" s="938">
        <f t="shared" si="43"/>
        <v>1</v>
      </c>
      <c r="G73" s="938">
        <f t="shared" si="44"/>
        <v>1</v>
      </c>
      <c r="H73" s="938">
        <f t="shared" si="45"/>
        <v>1</v>
      </c>
      <c r="I73" s="938">
        <f t="shared" si="46"/>
        <v>1</v>
      </c>
      <c r="J73" s="938">
        <f t="shared" si="47"/>
        <v>0</v>
      </c>
      <c r="K73" s="871">
        <f t="shared" si="48"/>
        <v>0</v>
      </c>
      <c r="L73" s="939" t="s">
        <v>194</v>
      </c>
      <c r="M73" s="939">
        <v>1.0</v>
      </c>
      <c r="N73" s="939">
        <v>1.0</v>
      </c>
      <c r="O73" s="939">
        <v>1.0</v>
      </c>
      <c r="P73" s="939">
        <v>1.0</v>
      </c>
      <c r="Q73" s="939" t="s">
        <v>194</v>
      </c>
      <c r="R73" s="15"/>
      <c r="S73" s="851" t="s">
        <v>194</v>
      </c>
      <c r="T73" s="846" t="s">
        <v>194</v>
      </c>
      <c r="U73" s="846" t="s">
        <v>194</v>
      </c>
      <c r="V73" s="846" t="s">
        <v>194</v>
      </c>
      <c r="W73" s="846" t="s">
        <v>194</v>
      </c>
      <c r="X73" s="846" t="s">
        <v>194</v>
      </c>
      <c r="Y73" s="846" t="s">
        <v>194</v>
      </c>
      <c r="Z73" s="846" t="s">
        <v>194</v>
      </c>
      <c r="AA73" s="846" t="s">
        <v>194</v>
      </c>
      <c r="AB73" s="846" t="s">
        <v>194</v>
      </c>
      <c r="AC73" s="846" t="s">
        <v>194</v>
      </c>
      <c r="AD73" s="846" t="s">
        <v>194</v>
      </c>
      <c r="AE73" s="846" t="s">
        <v>194</v>
      </c>
      <c r="AF73" s="846" t="s">
        <v>194</v>
      </c>
      <c r="AG73" s="846" t="s">
        <v>194</v>
      </c>
      <c r="AH73" s="846" t="s">
        <v>194</v>
      </c>
      <c r="AI73" s="846" t="s">
        <v>194</v>
      </c>
      <c r="AJ73" s="846" t="s">
        <v>194</v>
      </c>
      <c r="AK73" s="846" t="s">
        <v>194</v>
      </c>
      <c r="AL73" s="846" t="s">
        <v>194</v>
      </c>
      <c r="AM73" s="846" t="s">
        <v>194</v>
      </c>
      <c r="AN73" s="846" t="s">
        <v>194</v>
      </c>
    </row>
    <row r="74" ht="15.75" customHeight="1">
      <c r="A74" s="849">
        <v>1.0</v>
      </c>
      <c r="B74" s="15"/>
      <c r="C74" s="869" t="str">
        <f>"    Sustainable Growth Rate"</f>
        <v>    Sustainable Growth Rate</v>
      </c>
      <c r="D74" s="938">
        <f t="shared" si="41"/>
        <v>-0.5312979654</v>
      </c>
      <c r="E74" s="938">
        <f t="shared" si="42"/>
        <v>-0.5312979654</v>
      </c>
      <c r="F74" s="938">
        <f t="shared" si="43"/>
        <v>-0.7207314798</v>
      </c>
      <c r="G74" s="938">
        <f t="shared" si="44"/>
        <v>-0.3418644511</v>
      </c>
      <c r="H74" s="938">
        <f t="shared" si="45"/>
        <v>-0.6260147226</v>
      </c>
      <c r="I74" s="938">
        <f t="shared" si="46"/>
        <v>-0.4365812083</v>
      </c>
      <c r="J74" s="938">
        <f t="shared" si="47"/>
        <v>0.2678994451</v>
      </c>
      <c r="K74" s="871">
        <f t="shared" si="48"/>
        <v>-0.5042357821</v>
      </c>
      <c r="L74" s="939" t="s">
        <v>194</v>
      </c>
      <c r="M74" s="939">
        <v>-0.7207314797536853</v>
      </c>
      <c r="N74" s="939">
        <v>-0.34186445109374547</v>
      </c>
      <c r="O74" s="939" t="s">
        <v>194</v>
      </c>
      <c r="P74" s="939" t="s">
        <v>194</v>
      </c>
      <c r="Q74" s="939" t="s">
        <v>194</v>
      </c>
      <c r="R74" s="15"/>
      <c r="S74" s="851" t="s">
        <v>194</v>
      </c>
      <c r="T74" s="846" t="s">
        <v>194</v>
      </c>
      <c r="U74" s="846" t="s">
        <v>194</v>
      </c>
      <c r="V74" s="846" t="s">
        <v>194</v>
      </c>
      <c r="W74" s="846" t="s">
        <v>194</v>
      </c>
      <c r="X74" s="846" t="s">
        <v>194</v>
      </c>
      <c r="Y74" s="846" t="s">
        <v>194</v>
      </c>
      <c r="Z74" s="846" t="s">
        <v>194</v>
      </c>
      <c r="AA74" s="846" t="s">
        <v>194</v>
      </c>
      <c r="AB74" s="846" t="s">
        <v>194</v>
      </c>
      <c r="AC74" s="846" t="s">
        <v>194</v>
      </c>
      <c r="AD74" s="846" t="s">
        <v>194</v>
      </c>
      <c r="AE74" s="846" t="s">
        <v>194</v>
      </c>
      <c r="AF74" s="846" t="s">
        <v>194</v>
      </c>
      <c r="AG74" s="846" t="s">
        <v>194</v>
      </c>
      <c r="AH74" s="846" t="s">
        <v>194</v>
      </c>
      <c r="AI74" s="846" t="s">
        <v>194</v>
      </c>
      <c r="AJ74" s="846" t="s">
        <v>194</v>
      </c>
      <c r="AK74" s="846" t="s">
        <v>194</v>
      </c>
      <c r="AL74" s="846" t="s">
        <v>194</v>
      </c>
      <c r="AM74" s="846" t="s">
        <v>194</v>
      </c>
      <c r="AN74" s="846" t="s">
        <v>194</v>
      </c>
    </row>
    <row r="75" ht="15.75" customHeight="1">
      <c r="A75" s="849">
        <v>1.0</v>
      </c>
      <c r="B75" s="15"/>
      <c r="C75" s="855" t="str">
        <f>"Momentum"</f>
        <v>Momentum</v>
      </c>
      <c r="D75" s="867" t="s">
        <v>194</v>
      </c>
      <c r="E75" s="867" t="s">
        <v>194</v>
      </c>
      <c r="F75" s="867" t="s">
        <v>194</v>
      </c>
      <c r="G75" s="867" t="s">
        <v>194</v>
      </c>
      <c r="H75" s="867" t="s">
        <v>194</v>
      </c>
      <c r="I75" s="867" t="s">
        <v>194</v>
      </c>
      <c r="J75" s="867" t="s">
        <v>194</v>
      </c>
      <c r="K75" s="867" t="s">
        <v>194</v>
      </c>
      <c r="L75" s="867" t="s">
        <v>194</v>
      </c>
      <c r="M75" s="867" t="s">
        <v>194</v>
      </c>
      <c r="N75" s="867" t="s">
        <v>194</v>
      </c>
      <c r="O75" s="867" t="s">
        <v>194</v>
      </c>
      <c r="P75" s="867" t="s">
        <v>194</v>
      </c>
      <c r="Q75" s="867" t="s">
        <v>194</v>
      </c>
      <c r="R75" s="15"/>
      <c r="S75" s="851" t="s">
        <v>194</v>
      </c>
      <c r="T75" s="846" t="s">
        <v>194</v>
      </c>
      <c r="U75" s="846" t="s">
        <v>194</v>
      </c>
      <c r="V75" s="846" t="s">
        <v>194</v>
      </c>
      <c r="W75" s="846" t="s">
        <v>194</v>
      </c>
      <c r="X75" s="846" t="s">
        <v>194</v>
      </c>
      <c r="Y75" s="846" t="s">
        <v>194</v>
      </c>
      <c r="Z75" s="846" t="s">
        <v>194</v>
      </c>
      <c r="AA75" s="846" t="s">
        <v>194</v>
      </c>
      <c r="AB75" s="846" t="s">
        <v>194</v>
      </c>
      <c r="AC75" s="846" t="s">
        <v>194</v>
      </c>
      <c r="AD75" s="846" t="s">
        <v>194</v>
      </c>
      <c r="AE75" s="846" t="s">
        <v>194</v>
      </c>
      <c r="AF75" s="846" t="s">
        <v>194</v>
      </c>
      <c r="AG75" s="846" t="s">
        <v>194</v>
      </c>
      <c r="AH75" s="846" t="s">
        <v>194</v>
      </c>
      <c r="AI75" s="846" t="s">
        <v>194</v>
      </c>
      <c r="AJ75" s="846" t="s">
        <v>194</v>
      </c>
      <c r="AK75" s="846" t="s">
        <v>194</v>
      </c>
      <c r="AL75" s="846" t="s">
        <v>194</v>
      </c>
      <c r="AM75" s="846" t="s">
        <v>194</v>
      </c>
      <c r="AN75" s="846" t="s">
        <v>194</v>
      </c>
    </row>
    <row r="76" ht="15.75" customHeight="1">
      <c r="A76" s="849">
        <v>1.0</v>
      </c>
      <c r="B76" s="15"/>
      <c r="C76" s="869" t="str">
        <f>"    Sales Momentum"</f>
        <v>    Sales Momentum</v>
      </c>
      <c r="D76" s="938">
        <f>IF(COUNT(M76:Q76)&gt;0,MEDIAN(M76:Q76),"")</f>
        <v>0.113157497</v>
      </c>
      <c r="E76" s="938">
        <f>IF(COUNT(M76:Q76)&gt;0,AVERAGE(M76:Q76),"")</f>
        <v>0.1197466187</v>
      </c>
      <c r="F76" s="938">
        <f>IF(COUNT(M76:Q76)&gt;0,MIN(M76:Q76),"")</f>
        <v>0.1064573014</v>
      </c>
      <c r="G76" s="938">
        <f>IF(COUNT(M76:Q76)&gt;0,MAX(M76:Q76),"")</f>
        <v>0.1396250578</v>
      </c>
      <c r="H76" s="938">
        <f>IF(COUNT(M76:Q76)&gt;0,QUARTILE(M76:Q76,1),"")</f>
        <v>0.1098073992</v>
      </c>
      <c r="I76" s="938">
        <f>IF(COUNT(M76:Q76)&gt;0,QUARTILE(M76:Q76,3),"")</f>
        <v>0.1263912774</v>
      </c>
      <c r="J76" s="938">
        <f>IF(COUNT(M76:Q76)&gt;1,STDEV(M76:Q76),"")</f>
        <v>0.0175381701</v>
      </c>
      <c r="K76" s="871">
        <f>IF(COUNT(M76:Q76)&gt;1,STDEV(M76:Q76)/AVERAGE(M76:Q76),"")</f>
        <v>0.1464606708</v>
      </c>
      <c r="L76" s="939" t="s">
        <v>194</v>
      </c>
      <c r="M76" s="939">
        <v>0.11315749697702532</v>
      </c>
      <c r="N76" s="939">
        <v>0.10645730138940368</v>
      </c>
      <c r="O76" s="939">
        <v>0.13962505780655265</v>
      </c>
      <c r="P76" s="939" t="s">
        <v>194</v>
      </c>
      <c r="Q76" s="939" t="s">
        <v>194</v>
      </c>
      <c r="R76" s="15"/>
      <c r="S76" s="851" t="s">
        <v>194</v>
      </c>
      <c r="T76" s="846" t="s">
        <v>194</v>
      </c>
      <c r="U76" s="846" t="s">
        <v>194</v>
      </c>
      <c r="V76" s="846" t="s">
        <v>194</v>
      </c>
      <c r="W76" s="846" t="s">
        <v>194</v>
      </c>
      <c r="X76" s="846" t="s">
        <v>194</v>
      </c>
      <c r="Y76" s="846" t="s">
        <v>194</v>
      </c>
      <c r="Z76" s="846" t="s">
        <v>194</v>
      </c>
      <c r="AA76" s="846" t="s">
        <v>194</v>
      </c>
      <c r="AB76" s="846" t="s">
        <v>194</v>
      </c>
      <c r="AC76" s="846" t="s">
        <v>194</v>
      </c>
      <c r="AD76" s="846" t="s">
        <v>194</v>
      </c>
      <c r="AE76" s="846" t="s">
        <v>194</v>
      </c>
      <c r="AF76" s="846" t="s">
        <v>194</v>
      </c>
      <c r="AG76" s="846" t="s">
        <v>194</v>
      </c>
      <c r="AH76" s="846" t="s">
        <v>194</v>
      </c>
      <c r="AI76" s="846" t="s">
        <v>194</v>
      </c>
      <c r="AJ76" s="846" t="s">
        <v>194</v>
      </c>
      <c r="AK76" s="846" t="s">
        <v>194</v>
      </c>
      <c r="AL76" s="846" t="s">
        <v>194</v>
      </c>
      <c r="AM76" s="846" t="s">
        <v>194</v>
      </c>
      <c r="AN76" s="846" t="s">
        <v>194</v>
      </c>
    </row>
    <row r="77" ht="15.75" customHeight="1">
      <c r="A77" s="849">
        <v>1.0</v>
      </c>
      <c r="B77" s="15"/>
      <c r="C77" s="855" t="str">
        <f>"Other Ratios"</f>
        <v>Other Ratios</v>
      </c>
      <c r="D77" s="867" t="s">
        <v>194</v>
      </c>
      <c r="E77" s="867" t="s">
        <v>194</v>
      </c>
      <c r="F77" s="867" t="s">
        <v>194</v>
      </c>
      <c r="G77" s="867" t="s">
        <v>194</v>
      </c>
      <c r="H77" s="867" t="s">
        <v>194</v>
      </c>
      <c r="I77" s="867" t="s">
        <v>194</v>
      </c>
      <c r="J77" s="867" t="s">
        <v>194</v>
      </c>
      <c r="K77" s="867" t="s">
        <v>194</v>
      </c>
      <c r="L77" s="867" t="s">
        <v>194</v>
      </c>
      <c r="M77" s="867" t="s">
        <v>194</v>
      </c>
      <c r="N77" s="867" t="s">
        <v>194</v>
      </c>
      <c r="O77" s="867" t="s">
        <v>194</v>
      </c>
      <c r="P77" s="867" t="s">
        <v>194</v>
      </c>
      <c r="Q77" s="867" t="s">
        <v>194</v>
      </c>
      <c r="R77" s="15"/>
      <c r="S77" s="851" t="s">
        <v>194</v>
      </c>
      <c r="T77" s="846" t="s">
        <v>194</v>
      </c>
      <c r="U77" s="846" t="s">
        <v>194</v>
      </c>
      <c r="V77" s="846" t="s">
        <v>194</v>
      </c>
      <c r="W77" s="846" t="s">
        <v>194</v>
      </c>
      <c r="X77" s="846" t="s">
        <v>194</v>
      </c>
      <c r="Y77" s="846" t="s">
        <v>194</v>
      </c>
      <c r="Z77" s="846" t="s">
        <v>194</v>
      </c>
      <c r="AA77" s="846" t="s">
        <v>194</v>
      </c>
      <c r="AB77" s="846" t="s">
        <v>194</v>
      </c>
      <c r="AC77" s="846" t="s">
        <v>194</v>
      </c>
      <c r="AD77" s="846" t="s">
        <v>194</v>
      </c>
      <c r="AE77" s="846" t="s">
        <v>194</v>
      </c>
      <c r="AF77" s="846" t="s">
        <v>194</v>
      </c>
      <c r="AG77" s="846" t="s">
        <v>194</v>
      </c>
      <c r="AH77" s="846" t="s">
        <v>194</v>
      </c>
      <c r="AI77" s="846" t="s">
        <v>194</v>
      </c>
      <c r="AJ77" s="846" t="s">
        <v>194</v>
      </c>
      <c r="AK77" s="846" t="s">
        <v>194</v>
      </c>
      <c r="AL77" s="846" t="s">
        <v>194</v>
      </c>
      <c r="AM77" s="846" t="s">
        <v>194</v>
      </c>
      <c r="AN77" s="846" t="s">
        <v>194</v>
      </c>
    </row>
    <row r="78" ht="15.75" customHeight="1">
      <c r="A78" s="849">
        <v>1.0</v>
      </c>
      <c r="B78" s="15"/>
      <c r="C78" s="869" t="str">
        <f>"    Free Cash Flow to Sales"</f>
        <v>    Free Cash Flow to Sales</v>
      </c>
      <c r="D78" s="886">
        <f t="shared" ref="D78:D80" si="49">IF(COUNT(M78:Q78)&gt;0,MEDIAN(M78:Q78),"")</f>
        <v>-0.1979023598</v>
      </c>
      <c r="E78" s="886">
        <f t="shared" ref="E78:E80" si="50">IF(COUNT(M78:Q78)&gt;0,AVERAGE(M78:Q78),"")</f>
        <v>-0.3383843549</v>
      </c>
      <c r="F78" s="886">
        <f t="shared" ref="F78:F80" si="51">IF(COUNT(M78:Q78)&gt;0,MIN(M78:Q78),"")</f>
        <v>-0.6703756495</v>
      </c>
      <c r="G78" s="886">
        <f t="shared" ref="G78:G80" si="52">IF(COUNT(M78:Q78)&gt;0,MAX(M78:Q78),"")</f>
        <v>-0.1054928991</v>
      </c>
      <c r="H78" s="886">
        <f t="shared" ref="H78:H80" si="53">IF(COUNT(M78:Q78)&gt;0,QUARTILE(M78:Q78,1),"")</f>
        <v>-0.5798007748</v>
      </c>
      <c r="I78" s="886">
        <f t="shared" ref="I78:I80" si="54">IF(COUNT(M78:Q78)&gt;0,QUARTILE(M78:Q78,3),"")</f>
        <v>-0.1383500913</v>
      </c>
      <c r="J78" s="886">
        <f t="shared" ref="J78:J80" si="55">IF(COUNT(M78:Q78)&gt;1,STDEV(M78:Q78),"")</f>
        <v>0.2657477352</v>
      </c>
      <c r="K78" s="871">
        <f t="shared" ref="K78:K80" si="56">IF(COUNT(M78:Q78)&gt;1,STDEV(M78:Q78)/AVERAGE(M78:Q78),"")</f>
        <v>-0.7853428547</v>
      </c>
      <c r="L78" s="887" t="s">
        <v>194</v>
      </c>
      <c r="M78" s="887">
        <v>-0.13835009131459064</v>
      </c>
      <c r="N78" s="887">
        <v>-0.10549289912596818</v>
      </c>
      <c r="O78" s="887">
        <v>-0.19790235984517418</v>
      </c>
      <c r="P78" s="887">
        <v>-0.5798007747648035</v>
      </c>
      <c r="Q78" s="887">
        <v>-0.6703756494551474</v>
      </c>
      <c r="R78" s="15"/>
      <c r="S78" s="851" t="s">
        <v>194</v>
      </c>
      <c r="T78" s="846" t="s">
        <v>194</v>
      </c>
      <c r="U78" s="846" t="s">
        <v>194</v>
      </c>
      <c r="V78" s="846" t="s">
        <v>194</v>
      </c>
      <c r="W78" s="846" t="s">
        <v>194</v>
      </c>
      <c r="X78" s="846" t="s">
        <v>194</v>
      </c>
      <c r="Y78" s="846" t="s">
        <v>194</v>
      </c>
      <c r="Z78" s="846" t="s">
        <v>194</v>
      </c>
      <c r="AA78" s="846" t="s">
        <v>194</v>
      </c>
      <c r="AB78" s="846" t="s">
        <v>194</v>
      </c>
      <c r="AC78" s="846" t="s">
        <v>194</v>
      </c>
      <c r="AD78" s="846" t="s">
        <v>194</v>
      </c>
      <c r="AE78" s="846" t="s">
        <v>194</v>
      </c>
      <c r="AF78" s="846" t="s">
        <v>194</v>
      </c>
      <c r="AG78" s="846" t="s">
        <v>194</v>
      </c>
      <c r="AH78" s="846" t="s">
        <v>194</v>
      </c>
      <c r="AI78" s="846" t="s">
        <v>194</v>
      </c>
      <c r="AJ78" s="846" t="s">
        <v>194</v>
      </c>
      <c r="AK78" s="846" t="s">
        <v>194</v>
      </c>
      <c r="AL78" s="846" t="s">
        <v>194</v>
      </c>
      <c r="AM78" s="846" t="s">
        <v>194</v>
      </c>
      <c r="AN78" s="846" t="s">
        <v>194</v>
      </c>
    </row>
    <row r="79" ht="15.75" customHeight="1">
      <c r="A79" s="849">
        <v>1.0</v>
      </c>
      <c r="B79" s="15"/>
      <c r="C79" s="869" t="str">
        <f>"    Free Cash Flow to Net Income"</f>
        <v>    Free Cash Flow to Net Income</v>
      </c>
      <c r="D79" s="886">
        <f t="shared" si="49"/>
        <v>0.6066114912</v>
      </c>
      <c r="E79" s="886">
        <f t="shared" si="50"/>
        <v>0.6443830355</v>
      </c>
      <c r="F79" s="886">
        <f t="shared" si="51"/>
        <v>0.3532290959</v>
      </c>
      <c r="G79" s="886">
        <f t="shared" si="52"/>
        <v>0.9209196564</v>
      </c>
      <c r="H79" s="886">
        <f t="shared" si="53"/>
        <v>0.422079536</v>
      </c>
      <c r="I79" s="886">
        <f t="shared" si="54"/>
        <v>0.919075398</v>
      </c>
      <c r="J79" s="886">
        <f t="shared" si="55"/>
        <v>0.2681159025</v>
      </c>
      <c r="K79" s="871">
        <f t="shared" si="56"/>
        <v>0.416081566</v>
      </c>
      <c r="L79" s="887" t="s">
        <v>194</v>
      </c>
      <c r="M79" s="887">
        <v>0.422079536039768</v>
      </c>
      <c r="N79" s="887">
        <v>0.3532290958531611</v>
      </c>
      <c r="O79" s="887">
        <v>0.6066114911735158</v>
      </c>
      <c r="P79" s="887">
        <v>0.9190753980437738</v>
      </c>
      <c r="Q79" s="887">
        <v>0.9209196563921173</v>
      </c>
      <c r="R79" s="15"/>
      <c r="S79" s="851" t="s">
        <v>194</v>
      </c>
      <c r="T79" s="846" t="s">
        <v>194</v>
      </c>
      <c r="U79" s="846" t="s">
        <v>194</v>
      </c>
      <c r="V79" s="846" t="s">
        <v>194</v>
      </c>
      <c r="W79" s="846" t="s">
        <v>194</v>
      </c>
      <c r="X79" s="846" t="s">
        <v>194</v>
      </c>
      <c r="Y79" s="846" t="s">
        <v>194</v>
      </c>
      <c r="Z79" s="846" t="s">
        <v>194</v>
      </c>
      <c r="AA79" s="846" t="s">
        <v>194</v>
      </c>
      <c r="AB79" s="846" t="s">
        <v>194</v>
      </c>
      <c r="AC79" s="846" t="s">
        <v>194</v>
      </c>
      <c r="AD79" s="846" t="s">
        <v>194</v>
      </c>
      <c r="AE79" s="846" t="s">
        <v>194</v>
      </c>
      <c r="AF79" s="846" t="s">
        <v>194</v>
      </c>
      <c r="AG79" s="846" t="s">
        <v>194</v>
      </c>
      <c r="AH79" s="846" t="s">
        <v>194</v>
      </c>
      <c r="AI79" s="846" t="s">
        <v>194</v>
      </c>
      <c r="AJ79" s="846" t="s">
        <v>194</v>
      </c>
      <c r="AK79" s="846" t="s">
        <v>194</v>
      </c>
      <c r="AL79" s="846" t="s">
        <v>194</v>
      </c>
      <c r="AM79" s="846" t="s">
        <v>194</v>
      </c>
      <c r="AN79" s="846" t="s">
        <v>194</v>
      </c>
    </row>
    <row r="80" ht="15.75" customHeight="1">
      <c r="A80" s="849">
        <v>1.0</v>
      </c>
      <c r="B80" s="15"/>
      <c r="C80" s="869" t="str">
        <f>"    Book Value to Revenue"</f>
        <v>    Book Value to Revenue</v>
      </c>
      <c r="D80" s="886">
        <f t="shared" si="49"/>
        <v>-0.1</v>
      </c>
      <c r="E80" s="886">
        <f t="shared" si="50"/>
        <v>-0.9990522831</v>
      </c>
      <c r="F80" s="886">
        <f t="shared" si="51"/>
        <v>-3.703342682</v>
      </c>
      <c r="G80" s="886">
        <f t="shared" si="52"/>
        <v>0.8736003817</v>
      </c>
      <c r="H80" s="886">
        <f t="shared" si="53"/>
        <v>-2.520309906</v>
      </c>
      <c r="I80" s="886">
        <f t="shared" si="54"/>
        <v>0.4547907911</v>
      </c>
      <c r="J80" s="886">
        <f t="shared" si="55"/>
        <v>2.003509048</v>
      </c>
      <c r="K80" s="871">
        <f t="shared" si="56"/>
        <v>-2.005409608</v>
      </c>
      <c r="L80" s="887" t="s">
        <v>194</v>
      </c>
      <c r="M80" s="887">
        <v>0.454790791144182</v>
      </c>
      <c r="N80" s="887">
        <v>0.873600381691013</v>
      </c>
      <c r="O80" s="887">
        <v>-0.1</v>
      </c>
      <c r="P80" s="887">
        <v>-2.5203099059214167</v>
      </c>
      <c r="Q80" s="887">
        <v>-3.7033426824221802</v>
      </c>
      <c r="R80" s="15"/>
      <c r="S80" s="851" t="s">
        <v>194</v>
      </c>
      <c r="T80" s="846" t="s">
        <v>194</v>
      </c>
      <c r="U80" s="846" t="s">
        <v>194</v>
      </c>
      <c r="V80" s="846" t="s">
        <v>194</v>
      </c>
      <c r="W80" s="846" t="s">
        <v>194</v>
      </c>
      <c r="X80" s="846" t="s">
        <v>194</v>
      </c>
      <c r="Y80" s="846" t="s">
        <v>194</v>
      </c>
      <c r="Z80" s="846" t="s">
        <v>194</v>
      </c>
      <c r="AA80" s="846" t="s">
        <v>194</v>
      </c>
      <c r="AB80" s="846" t="s">
        <v>194</v>
      </c>
      <c r="AC80" s="846" t="s">
        <v>194</v>
      </c>
      <c r="AD80" s="846" t="s">
        <v>194</v>
      </c>
      <c r="AE80" s="846" t="s">
        <v>194</v>
      </c>
      <c r="AF80" s="846" t="s">
        <v>194</v>
      </c>
      <c r="AG80" s="846" t="s">
        <v>194</v>
      </c>
      <c r="AH80" s="846" t="s">
        <v>194</v>
      </c>
      <c r="AI80" s="846" t="s">
        <v>194</v>
      </c>
      <c r="AJ80" s="846" t="s">
        <v>194</v>
      </c>
      <c r="AK80" s="846" t="s">
        <v>194</v>
      </c>
      <c r="AL80" s="846" t="s">
        <v>194</v>
      </c>
      <c r="AM80" s="846" t="s">
        <v>194</v>
      </c>
      <c r="AN80" s="846" t="s">
        <v>194</v>
      </c>
    </row>
    <row r="81" ht="15.75" customHeight="1">
      <c r="A81" s="849" t="s">
        <v>194</v>
      </c>
      <c r="B81" s="15"/>
      <c r="C81" s="15"/>
      <c r="D81" s="15"/>
      <c r="E81" s="15"/>
      <c r="F81" s="15"/>
      <c r="G81" s="15"/>
      <c r="H81" s="15"/>
      <c r="I81" s="15"/>
      <c r="J81" s="15"/>
      <c r="K81" s="15"/>
      <c r="L81" s="15"/>
      <c r="M81" s="15"/>
      <c r="N81" s="15"/>
      <c r="O81" s="15"/>
      <c r="P81" s="15"/>
      <c r="Q81" s="15"/>
      <c r="R81" s="15"/>
      <c r="S81" s="851" t="s">
        <v>194</v>
      </c>
      <c r="T81" s="846" t="s">
        <v>194</v>
      </c>
      <c r="U81" s="846" t="s">
        <v>194</v>
      </c>
      <c r="V81" s="846" t="s">
        <v>194</v>
      </c>
      <c r="W81" s="846" t="s">
        <v>194</v>
      </c>
      <c r="X81" s="846" t="s">
        <v>194</v>
      </c>
      <c r="Y81" s="846" t="s">
        <v>194</v>
      </c>
      <c r="Z81" s="846" t="s">
        <v>194</v>
      </c>
      <c r="AA81" s="846" t="s">
        <v>194</v>
      </c>
      <c r="AB81" s="846" t="s">
        <v>194</v>
      </c>
      <c r="AC81" s="846" t="s">
        <v>194</v>
      </c>
      <c r="AD81" s="846" t="s">
        <v>194</v>
      </c>
      <c r="AE81" s="846" t="s">
        <v>194</v>
      </c>
      <c r="AF81" s="846" t="s">
        <v>194</v>
      </c>
      <c r="AG81" s="846" t="s">
        <v>194</v>
      </c>
      <c r="AH81" s="846" t="s">
        <v>194</v>
      </c>
      <c r="AI81" s="846" t="s">
        <v>194</v>
      </c>
      <c r="AJ81" s="846" t="s">
        <v>194</v>
      </c>
      <c r="AK81" s="846" t="s">
        <v>194</v>
      </c>
      <c r="AL81" s="846" t="s">
        <v>194</v>
      </c>
      <c r="AM81" s="846" t="s">
        <v>194</v>
      </c>
      <c r="AN81" s="846" t="s">
        <v>194</v>
      </c>
    </row>
    <row r="82" ht="15.75" customHeight="1">
      <c r="A82" s="849" t="s">
        <v>194</v>
      </c>
      <c r="B82" s="15"/>
      <c r="C82" s="15"/>
      <c r="D82" s="15"/>
      <c r="E82" s="15"/>
      <c r="F82" s="15"/>
      <c r="G82" s="15"/>
      <c r="H82" s="15"/>
      <c r="I82" s="15"/>
      <c r="J82" s="15"/>
      <c r="K82" s="15"/>
      <c r="L82" s="15"/>
      <c r="M82" s="15"/>
      <c r="N82" s="15"/>
      <c r="O82" s="15"/>
      <c r="P82" s="15"/>
      <c r="Q82" s="15"/>
      <c r="R82" s="15"/>
      <c r="S82" s="851" t="s">
        <v>194</v>
      </c>
      <c r="T82" s="846" t="s">
        <v>194</v>
      </c>
      <c r="U82" s="846" t="s">
        <v>194</v>
      </c>
      <c r="V82" s="846" t="s">
        <v>194</v>
      </c>
      <c r="W82" s="846" t="s">
        <v>194</v>
      </c>
      <c r="X82" s="846" t="s">
        <v>194</v>
      </c>
      <c r="Y82" s="846" t="s">
        <v>194</v>
      </c>
      <c r="Z82" s="846" t="s">
        <v>194</v>
      </c>
      <c r="AA82" s="846" t="s">
        <v>194</v>
      </c>
      <c r="AB82" s="846" t="s">
        <v>194</v>
      </c>
      <c r="AC82" s="846" t="s">
        <v>194</v>
      </c>
      <c r="AD82" s="846" t="s">
        <v>194</v>
      </c>
      <c r="AE82" s="846" t="s">
        <v>194</v>
      </c>
      <c r="AF82" s="846" t="s">
        <v>194</v>
      </c>
      <c r="AG82" s="846" t="s">
        <v>194</v>
      </c>
      <c r="AH82" s="846" t="s">
        <v>194</v>
      </c>
      <c r="AI82" s="846" t="s">
        <v>194</v>
      </c>
      <c r="AJ82" s="846" t="s">
        <v>194</v>
      </c>
      <c r="AK82" s="846" t="s">
        <v>194</v>
      </c>
      <c r="AL82" s="846" t="s">
        <v>194</v>
      </c>
      <c r="AM82" s="846" t="s">
        <v>194</v>
      </c>
      <c r="AN82" s="846" t="s">
        <v>194</v>
      </c>
    </row>
    <row r="83" ht="15.75" customHeight="1">
      <c r="A83" s="849" t="s">
        <v>194</v>
      </c>
      <c r="B83" s="15"/>
      <c r="C83" s="892" t="s">
        <v>344</v>
      </c>
      <c r="D83" s="15"/>
      <c r="E83" s="15"/>
      <c r="F83" s="15"/>
      <c r="G83" s="15"/>
      <c r="H83" s="15"/>
      <c r="I83" s="15"/>
      <c r="J83" s="15"/>
      <c r="K83" s="15"/>
      <c r="L83" s="15"/>
      <c r="M83" s="15"/>
      <c r="N83" s="15"/>
      <c r="O83" s="15"/>
      <c r="P83" s="15"/>
      <c r="Q83" s="15"/>
      <c r="R83" s="15"/>
      <c r="S83" s="851" t="s">
        <v>194</v>
      </c>
      <c r="T83" s="846" t="s">
        <v>194</v>
      </c>
      <c r="U83" s="846" t="s">
        <v>194</v>
      </c>
      <c r="V83" s="846" t="s">
        <v>194</v>
      </c>
      <c r="W83" s="846" t="s">
        <v>194</v>
      </c>
      <c r="X83" s="846" t="s">
        <v>194</v>
      </c>
      <c r="Y83" s="846" t="s">
        <v>194</v>
      </c>
      <c r="Z83" s="846" t="s">
        <v>194</v>
      </c>
      <c r="AA83" s="846" t="s">
        <v>194</v>
      </c>
      <c r="AB83" s="846" t="s">
        <v>194</v>
      </c>
      <c r="AC83" s="846" t="s">
        <v>194</v>
      </c>
      <c r="AD83" s="846" t="s">
        <v>194</v>
      </c>
      <c r="AE83" s="846" t="s">
        <v>194</v>
      </c>
      <c r="AF83" s="846" t="s">
        <v>194</v>
      </c>
      <c r="AG83" s="846" t="s">
        <v>194</v>
      </c>
      <c r="AH83" s="846" t="s">
        <v>194</v>
      </c>
      <c r="AI83" s="846" t="s">
        <v>194</v>
      </c>
      <c r="AJ83" s="846" t="s">
        <v>194</v>
      </c>
      <c r="AK83" s="846" t="s">
        <v>194</v>
      </c>
      <c r="AL83" s="846" t="s">
        <v>194</v>
      </c>
      <c r="AM83" s="846" t="s">
        <v>194</v>
      </c>
      <c r="AN83" s="846" t="s">
        <v>194</v>
      </c>
    </row>
    <row r="84" ht="15.75" customHeight="1">
      <c r="A84" s="849" t="s">
        <v>194</v>
      </c>
      <c r="B84" s="15"/>
      <c r="C84" s="892" t="s">
        <v>345</v>
      </c>
      <c r="D84" s="15"/>
      <c r="E84" s="15"/>
      <c r="F84" s="15"/>
      <c r="G84" s="15"/>
      <c r="H84" s="15"/>
      <c r="I84" s="15"/>
      <c r="J84" s="15"/>
      <c r="K84" s="15"/>
      <c r="L84" s="15"/>
      <c r="M84" s="15"/>
      <c r="N84" s="15"/>
      <c r="O84" s="15"/>
      <c r="P84" s="15"/>
      <c r="Q84" s="15"/>
      <c r="R84" s="15"/>
      <c r="S84" s="851" t="s">
        <v>194</v>
      </c>
      <c r="T84" s="846" t="s">
        <v>194</v>
      </c>
      <c r="U84" s="846" t="s">
        <v>194</v>
      </c>
      <c r="V84" s="846" t="s">
        <v>194</v>
      </c>
      <c r="W84" s="846" t="s">
        <v>194</v>
      </c>
      <c r="X84" s="846" t="s">
        <v>194</v>
      </c>
      <c r="Y84" s="846" t="s">
        <v>194</v>
      </c>
      <c r="Z84" s="846" t="s">
        <v>194</v>
      </c>
      <c r="AA84" s="846" t="s">
        <v>194</v>
      </c>
      <c r="AB84" s="846" t="s">
        <v>194</v>
      </c>
      <c r="AC84" s="846" t="s">
        <v>194</v>
      </c>
      <c r="AD84" s="846" t="s">
        <v>194</v>
      </c>
      <c r="AE84" s="846" t="s">
        <v>194</v>
      </c>
      <c r="AF84" s="846" t="s">
        <v>194</v>
      </c>
      <c r="AG84" s="846" t="s">
        <v>194</v>
      </c>
      <c r="AH84" s="846" t="s">
        <v>194</v>
      </c>
      <c r="AI84" s="846" t="s">
        <v>194</v>
      </c>
      <c r="AJ84" s="846" t="s">
        <v>194</v>
      </c>
      <c r="AK84" s="846" t="s">
        <v>194</v>
      </c>
      <c r="AL84" s="846" t="s">
        <v>194</v>
      </c>
      <c r="AM84" s="846" t="s">
        <v>194</v>
      </c>
      <c r="AN84" s="846" t="s">
        <v>194</v>
      </c>
    </row>
    <row r="85" ht="15.75" customHeight="1">
      <c r="A85" s="849" t="s">
        <v>194</v>
      </c>
      <c r="B85" s="15"/>
      <c r="C85" s="15"/>
      <c r="D85" s="15"/>
      <c r="E85" s="15"/>
      <c r="F85" s="15"/>
      <c r="G85" s="15"/>
      <c r="H85" s="15"/>
      <c r="I85" s="15"/>
      <c r="J85" s="15"/>
      <c r="K85" s="15"/>
      <c r="L85" s="15"/>
      <c r="M85" s="15"/>
      <c r="N85" s="15"/>
      <c r="O85" s="15"/>
      <c r="P85" s="15"/>
      <c r="Q85" s="15"/>
      <c r="R85" s="15"/>
      <c r="S85" s="851" t="s">
        <v>194</v>
      </c>
      <c r="T85" s="846" t="s">
        <v>194</v>
      </c>
      <c r="U85" s="846" t="s">
        <v>194</v>
      </c>
      <c r="V85" s="846" t="s">
        <v>194</v>
      </c>
      <c r="W85" s="846" t="s">
        <v>194</v>
      </c>
      <c r="X85" s="846" t="s">
        <v>194</v>
      </c>
      <c r="Y85" s="846" t="s">
        <v>194</v>
      </c>
      <c r="Z85" s="846" t="s">
        <v>194</v>
      </c>
      <c r="AA85" s="846" t="s">
        <v>194</v>
      </c>
      <c r="AB85" s="846" t="s">
        <v>194</v>
      </c>
      <c r="AC85" s="846" t="s">
        <v>194</v>
      </c>
      <c r="AD85" s="846" t="s">
        <v>194</v>
      </c>
      <c r="AE85" s="846" t="s">
        <v>194</v>
      </c>
      <c r="AF85" s="846" t="s">
        <v>194</v>
      </c>
      <c r="AG85" s="846" t="s">
        <v>194</v>
      </c>
      <c r="AH85" s="846" t="s">
        <v>194</v>
      </c>
      <c r="AI85" s="846" t="s">
        <v>194</v>
      </c>
      <c r="AJ85" s="846" t="s">
        <v>194</v>
      </c>
      <c r="AK85" s="846" t="s">
        <v>194</v>
      </c>
      <c r="AL85" s="846" t="s">
        <v>194</v>
      </c>
      <c r="AM85" s="846" t="s">
        <v>194</v>
      </c>
      <c r="AN85" s="846" t="s">
        <v>194</v>
      </c>
    </row>
    <row r="86" ht="15.75" customHeight="1">
      <c r="A86" s="846" t="s">
        <v>194</v>
      </c>
      <c r="B86" s="893" t="s">
        <v>194</v>
      </c>
      <c r="C86" s="893" t="s">
        <v>194</v>
      </c>
      <c r="D86" s="893" t="s">
        <v>194</v>
      </c>
      <c r="E86" s="893" t="s">
        <v>194</v>
      </c>
      <c r="F86" s="893" t="s">
        <v>194</v>
      </c>
      <c r="G86" s="893" t="s">
        <v>194</v>
      </c>
      <c r="H86" s="893" t="s">
        <v>194</v>
      </c>
      <c r="I86" s="893" t="s">
        <v>194</v>
      </c>
      <c r="J86" s="893" t="s">
        <v>194</v>
      </c>
      <c r="K86" s="893" t="s">
        <v>194</v>
      </c>
      <c r="L86" s="893" t="s">
        <v>194</v>
      </c>
      <c r="M86" s="893" t="s">
        <v>194</v>
      </c>
      <c r="N86" s="893" t="s">
        <v>194</v>
      </c>
      <c r="O86" s="893" t="s">
        <v>194</v>
      </c>
      <c r="P86" s="893" t="s">
        <v>194</v>
      </c>
      <c r="Q86" s="893" t="s">
        <v>194</v>
      </c>
      <c r="R86" s="893" t="s">
        <v>194</v>
      </c>
      <c r="S86" s="846" t="s">
        <v>194</v>
      </c>
      <c r="T86" s="846" t="s">
        <v>194</v>
      </c>
      <c r="U86" s="846" t="s">
        <v>194</v>
      </c>
      <c r="V86" s="846" t="s">
        <v>194</v>
      </c>
      <c r="W86" s="846" t="s">
        <v>194</v>
      </c>
      <c r="X86" s="846" t="s">
        <v>194</v>
      </c>
      <c r="Y86" s="846" t="s">
        <v>194</v>
      </c>
      <c r="Z86" s="846" t="s">
        <v>194</v>
      </c>
      <c r="AA86" s="846" t="s">
        <v>194</v>
      </c>
      <c r="AB86" s="846" t="s">
        <v>194</v>
      </c>
      <c r="AC86" s="846" t="s">
        <v>194</v>
      </c>
      <c r="AD86" s="846" t="s">
        <v>194</v>
      </c>
      <c r="AE86" s="846" t="s">
        <v>194</v>
      </c>
      <c r="AF86" s="846" t="s">
        <v>194</v>
      </c>
      <c r="AG86" s="846" t="s">
        <v>194</v>
      </c>
      <c r="AH86" s="846" t="s">
        <v>194</v>
      </c>
      <c r="AI86" s="846" t="s">
        <v>194</v>
      </c>
      <c r="AJ86" s="846" t="s">
        <v>194</v>
      </c>
      <c r="AK86" s="846" t="s">
        <v>194</v>
      </c>
      <c r="AL86" s="846" t="s">
        <v>194</v>
      </c>
      <c r="AM86" s="846" t="s">
        <v>194</v>
      </c>
      <c r="AN86" s="846" t="s">
        <v>194</v>
      </c>
    </row>
    <row r="87" ht="15.75" customHeight="1">
      <c r="A87" s="846" t="s">
        <v>194</v>
      </c>
      <c r="B87" s="846" t="s">
        <v>194</v>
      </c>
      <c r="C87" s="846" t="s">
        <v>194</v>
      </c>
      <c r="D87" s="846" t="s">
        <v>194</v>
      </c>
      <c r="E87" s="846" t="s">
        <v>194</v>
      </c>
      <c r="F87" s="846" t="s">
        <v>194</v>
      </c>
      <c r="G87" s="846" t="s">
        <v>194</v>
      </c>
      <c r="H87" s="846" t="s">
        <v>194</v>
      </c>
      <c r="I87" s="846" t="s">
        <v>194</v>
      </c>
      <c r="J87" s="846" t="s">
        <v>194</v>
      </c>
      <c r="K87" s="846" t="s">
        <v>194</v>
      </c>
      <c r="L87" s="846" t="s">
        <v>194</v>
      </c>
      <c r="M87" s="846" t="s">
        <v>194</v>
      </c>
      <c r="N87" s="846" t="s">
        <v>194</v>
      </c>
      <c r="O87" s="846" t="s">
        <v>194</v>
      </c>
      <c r="P87" s="846" t="s">
        <v>194</v>
      </c>
      <c r="Q87" s="846" t="s">
        <v>194</v>
      </c>
      <c r="R87" s="846" t="s">
        <v>194</v>
      </c>
      <c r="S87" s="846" t="s">
        <v>194</v>
      </c>
      <c r="T87" s="846" t="s">
        <v>194</v>
      </c>
      <c r="U87" s="846" t="s">
        <v>194</v>
      </c>
      <c r="V87" s="846" t="s">
        <v>194</v>
      </c>
      <c r="W87" s="846" t="s">
        <v>194</v>
      </c>
      <c r="X87" s="846" t="s">
        <v>194</v>
      </c>
      <c r="Y87" s="846" t="s">
        <v>194</v>
      </c>
      <c r="Z87" s="846" t="s">
        <v>194</v>
      </c>
      <c r="AA87" s="846" t="s">
        <v>194</v>
      </c>
      <c r="AB87" s="846" t="s">
        <v>194</v>
      </c>
      <c r="AC87" s="846" t="s">
        <v>194</v>
      </c>
      <c r="AD87" s="846" t="s">
        <v>194</v>
      </c>
      <c r="AE87" s="846" t="s">
        <v>194</v>
      </c>
      <c r="AF87" s="846" t="s">
        <v>194</v>
      </c>
      <c r="AG87" s="846" t="s">
        <v>194</v>
      </c>
      <c r="AH87" s="846" t="s">
        <v>194</v>
      </c>
      <c r="AI87" s="846" t="s">
        <v>194</v>
      </c>
      <c r="AJ87" s="846" t="s">
        <v>194</v>
      </c>
      <c r="AK87" s="846" t="s">
        <v>194</v>
      </c>
      <c r="AL87" s="846" t="s">
        <v>194</v>
      </c>
      <c r="AM87" s="846" t="s">
        <v>194</v>
      </c>
      <c r="AN87" s="846" t="s">
        <v>194</v>
      </c>
    </row>
    <row r="88" ht="15.75" customHeight="1">
      <c r="A88" s="846" t="s">
        <v>194</v>
      </c>
      <c r="B88" s="846" t="s">
        <v>194</v>
      </c>
      <c r="C88" s="846" t="s">
        <v>194</v>
      </c>
      <c r="D88" s="846" t="s">
        <v>194</v>
      </c>
      <c r="E88" s="846" t="s">
        <v>194</v>
      </c>
      <c r="F88" s="846" t="s">
        <v>194</v>
      </c>
      <c r="G88" s="846" t="s">
        <v>194</v>
      </c>
      <c r="H88" s="846" t="s">
        <v>194</v>
      </c>
      <c r="I88" s="846" t="s">
        <v>194</v>
      </c>
      <c r="J88" s="846" t="s">
        <v>194</v>
      </c>
      <c r="K88" s="846" t="s">
        <v>194</v>
      </c>
      <c r="L88" s="846" t="s">
        <v>194</v>
      </c>
      <c r="M88" s="846" t="s">
        <v>194</v>
      </c>
      <c r="N88" s="846" t="s">
        <v>194</v>
      </c>
      <c r="O88" s="846" t="s">
        <v>194</v>
      </c>
      <c r="P88" s="846" t="s">
        <v>194</v>
      </c>
      <c r="Q88" s="846" t="s">
        <v>194</v>
      </c>
      <c r="R88" s="846" t="s">
        <v>194</v>
      </c>
      <c r="S88" s="846" t="s">
        <v>194</v>
      </c>
      <c r="T88" s="846" t="s">
        <v>194</v>
      </c>
      <c r="U88" s="846" t="s">
        <v>194</v>
      </c>
      <c r="V88" s="846" t="s">
        <v>194</v>
      </c>
      <c r="W88" s="846" t="s">
        <v>194</v>
      </c>
      <c r="X88" s="846" t="s">
        <v>194</v>
      </c>
      <c r="Y88" s="846" t="s">
        <v>194</v>
      </c>
      <c r="Z88" s="846" t="s">
        <v>194</v>
      </c>
      <c r="AA88" s="846" t="s">
        <v>194</v>
      </c>
      <c r="AB88" s="846" t="s">
        <v>194</v>
      </c>
      <c r="AC88" s="846" t="s">
        <v>194</v>
      </c>
      <c r="AD88" s="846" t="s">
        <v>194</v>
      </c>
      <c r="AE88" s="846" t="s">
        <v>194</v>
      </c>
      <c r="AF88" s="846" t="s">
        <v>194</v>
      </c>
      <c r="AG88" s="846" t="s">
        <v>194</v>
      </c>
      <c r="AH88" s="846" t="s">
        <v>194</v>
      </c>
      <c r="AI88" s="846" t="s">
        <v>194</v>
      </c>
      <c r="AJ88" s="846" t="s">
        <v>194</v>
      </c>
      <c r="AK88" s="846" t="s">
        <v>194</v>
      </c>
      <c r="AL88" s="846" t="s">
        <v>194</v>
      </c>
      <c r="AM88" s="846" t="s">
        <v>194</v>
      </c>
      <c r="AN88" s="846" t="s">
        <v>194</v>
      </c>
    </row>
    <row r="89" ht="15.75" customHeight="1">
      <c r="A89" s="846" t="s">
        <v>194</v>
      </c>
      <c r="B89" s="846" t="s">
        <v>194</v>
      </c>
      <c r="C89" s="846" t="s">
        <v>194</v>
      </c>
      <c r="D89" s="846" t="s">
        <v>194</v>
      </c>
      <c r="E89" s="846" t="s">
        <v>194</v>
      </c>
      <c r="F89" s="846" t="s">
        <v>194</v>
      </c>
      <c r="G89" s="846" t="s">
        <v>194</v>
      </c>
      <c r="H89" s="846" t="s">
        <v>194</v>
      </c>
      <c r="I89" s="846" t="s">
        <v>194</v>
      </c>
      <c r="J89" s="846" t="s">
        <v>194</v>
      </c>
      <c r="K89" s="846" t="s">
        <v>194</v>
      </c>
      <c r="L89" s="846" t="s">
        <v>194</v>
      </c>
      <c r="M89" s="846" t="s">
        <v>194</v>
      </c>
      <c r="N89" s="846" t="s">
        <v>194</v>
      </c>
      <c r="O89" s="846" t="s">
        <v>194</v>
      </c>
      <c r="P89" s="846" t="s">
        <v>194</v>
      </c>
      <c r="Q89" s="846" t="s">
        <v>194</v>
      </c>
      <c r="R89" s="846" t="s">
        <v>194</v>
      </c>
      <c r="S89" s="846" t="s">
        <v>194</v>
      </c>
      <c r="T89" s="846" t="s">
        <v>194</v>
      </c>
      <c r="U89" s="846" t="s">
        <v>194</v>
      </c>
      <c r="V89" s="846" t="s">
        <v>194</v>
      </c>
      <c r="W89" s="846" t="s">
        <v>194</v>
      </c>
      <c r="X89" s="846" t="s">
        <v>194</v>
      </c>
      <c r="Y89" s="846" t="s">
        <v>194</v>
      </c>
      <c r="Z89" s="846" t="s">
        <v>194</v>
      </c>
      <c r="AA89" s="846" t="s">
        <v>194</v>
      </c>
      <c r="AB89" s="846" t="s">
        <v>194</v>
      </c>
      <c r="AC89" s="846" t="s">
        <v>194</v>
      </c>
      <c r="AD89" s="846" t="s">
        <v>194</v>
      </c>
      <c r="AE89" s="846" t="s">
        <v>194</v>
      </c>
      <c r="AF89" s="846" t="s">
        <v>194</v>
      </c>
      <c r="AG89" s="846" t="s">
        <v>194</v>
      </c>
      <c r="AH89" s="846" t="s">
        <v>194</v>
      </c>
      <c r="AI89" s="846" t="s">
        <v>194</v>
      </c>
      <c r="AJ89" s="846" t="s">
        <v>194</v>
      </c>
      <c r="AK89" s="846" t="s">
        <v>194</v>
      </c>
      <c r="AL89" s="846" t="s">
        <v>194</v>
      </c>
      <c r="AM89" s="846" t="s">
        <v>194</v>
      </c>
      <c r="AN89" s="846" t="s">
        <v>194</v>
      </c>
    </row>
    <row r="90" ht="15.75" customHeight="1">
      <c r="A90" s="846" t="s">
        <v>194</v>
      </c>
      <c r="B90" s="846" t="s">
        <v>194</v>
      </c>
      <c r="C90" s="846" t="s">
        <v>194</v>
      </c>
      <c r="D90" s="846" t="s">
        <v>194</v>
      </c>
      <c r="E90" s="846" t="s">
        <v>194</v>
      </c>
      <c r="F90" s="846" t="s">
        <v>194</v>
      </c>
      <c r="G90" s="846" t="s">
        <v>194</v>
      </c>
      <c r="H90" s="846" t="s">
        <v>194</v>
      </c>
      <c r="I90" s="846" t="s">
        <v>194</v>
      </c>
      <c r="J90" s="846" t="s">
        <v>194</v>
      </c>
      <c r="K90" s="846" t="s">
        <v>194</v>
      </c>
      <c r="L90" s="846" t="s">
        <v>194</v>
      </c>
      <c r="M90" s="846" t="s">
        <v>194</v>
      </c>
      <c r="N90" s="846" t="s">
        <v>194</v>
      </c>
      <c r="O90" s="846" t="s">
        <v>194</v>
      </c>
      <c r="P90" s="846" t="s">
        <v>194</v>
      </c>
      <c r="Q90" s="846" t="s">
        <v>194</v>
      </c>
      <c r="R90" s="846" t="s">
        <v>194</v>
      </c>
      <c r="S90" s="846" t="s">
        <v>194</v>
      </c>
      <c r="T90" s="846" t="s">
        <v>194</v>
      </c>
      <c r="U90" s="846" t="s">
        <v>194</v>
      </c>
      <c r="V90" s="846" t="s">
        <v>194</v>
      </c>
      <c r="W90" s="846" t="s">
        <v>194</v>
      </c>
      <c r="X90" s="846" t="s">
        <v>194</v>
      </c>
      <c r="Y90" s="846" t="s">
        <v>194</v>
      </c>
      <c r="Z90" s="846" t="s">
        <v>194</v>
      </c>
      <c r="AA90" s="846" t="s">
        <v>194</v>
      </c>
      <c r="AB90" s="846" t="s">
        <v>194</v>
      </c>
      <c r="AC90" s="846" t="s">
        <v>194</v>
      </c>
      <c r="AD90" s="846" t="s">
        <v>194</v>
      </c>
      <c r="AE90" s="846" t="s">
        <v>194</v>
      </c>
      <c r="AF90" s="846" t="s">
        <v>194</v>
      </c>
      <c r="AG90" s="846" t="s">
        <v>194</v>
      </c>
      <c r="AH90" s="846" t="s">
        <v>194</v>
      </c>
      <c r="AI90" s="846" t="s">
        <v>194</v>
      </c>
      <c r="AJ90" s="846" t="s">
        <v>194</v>
      </c>
      <c r="AK90" s="846" t="s">
        <v>194</v>
      </c>
      <c r="AL90" s="846" t="s">
        <v>194</v>
      </c>
      <c r="AM90" s="846" t="s">
        <v>194</v>
      </c>
      <c r="AN90" s="846" t="s">
        <v>194</v>
      </c>
    </row>
    <row r="91" ht="15.75" customHeight="1">
      <c r="A91" s="846" t="s">
        <v>194</v>
      </c>
      <c r="B91" s="846" t="s">
        <v>194</v>
      </c>
      <c r="C91" s="846" t="s">
        <v>194</v>
      </c>
      <c r="D91" s="846" t="s">
        <v>194</v>
      </c>
      <c r="E91" s="846" t="s">
        <v>194</v>
      </c>
      <c r="F91" s="846" t="s">
        <v>194</v>
      </c>
      <c r="G91" s="846" t="s">
        <v>194</v>
      </c>
      <c r="H91" s="846" t="s">
        <v>194</v>
      </c>
      <c r="I91" s="846" t="s">
        <v>194</v>
      </c>
      <c r="J91" s="846" t="s">
        <v>194</v>
      </c>
      <c r="K91" s="846" t="s">
        <v>194</v>
      </c>
      <c r="L91" s="846" t="s">
        <v>194</v>
      </c>
      <c r="M91" s="846" t="s">
        <v>194</v>
      </c>
      <c r="N91" s="846" t="s">
        <v>194</v>
      </c>
      <c r="O91" s="846" t="s">
        <v>194</v>
      </c>
      <c r="P91" s="846" t="s">
        <v>194</v>
      </c>
      <c r="Q91" s="846" t="s">
        <v>194</v>
      </c>
      <c r="R91" s="846" t="s">
        <v>194</v>
      </c>
      <c r="S91" s="846" t="s">
        <v>194</v>
      </c>
      <c r="T91" s="846" t="s">
        <v>194</v>
      </c>
      <c r="U91" s="846" t="s">
        <v>194</v>
      </c>
      <c r="V91" s="846" t="s">
        <v>194</v>
      </c>
      <c r="W91" s="846" t="s">
        <v>194</v>
      </c>
      <c r="X91" s="846" t="s">
        <v>194</v>
      </c>
      <c r="Y91" s="846" t="s">
        <v>194</v>
      </c>
      <c r="Z91" s="846" t="s">
        <v>194</v>
      </c>
      <c r="AA91" s="846" t="s">
        <v>194</v>
      </c>
      <c r="AB91" s="846" t="s">
        <v>194</v>
      </c>
      <c r="AC91" s="846" t="s">
        <v>194</v>
      </c>
      <c r="AD91" s="846" t="s">
        <v>194</v>
      </c>
      <c r="AE91" s="846" t="s">
        <v>194</v>
      </c>
      <c r="AF91" s="846" t="s">
        <v>194</v>
      </c>
      <c r="AG91" s="846" t="s">
        <v>194</v>
      </c>
      <c r="AH91" s="846" t="s">
        <v>194</v>
      </c>
      <c r="AI91" s="846" t="s">
        <v>194</v>
      </c>
      <c r="AJ91" s="846" t="s">
        <v>194</v>
      </c>
      <c r="AK91" s="846" t="s">
        <v>194</v>
      </c>
      <c r="AL91" s="846" t="s">
        <v>194</v>
      </c>
      <c r="AM91" s="846" t="s">
        <v>194</v>
      </c>
      <c r="AN91" s="846" t="s">
        <v>194</v>
      </c>
    </row>
    <row r="92" ht="15.75" customHeight="1">
      <c r="A92" s="846" t="s">
        <v>194</v>
      </c>
      <c r="B92" s="846" t="s">
        <v>194</v>
      </c>
      <c r="C92" s="846" t="s">
        <v>194</v>
      </c>
      <c r="D92" s="846" t="s">
        <v>194</v>
      </c>
      <c r="E92" s="846" t="s">
        <v>194</v>
      </c>
      <c r="F92" s="846" t="s">
        <v>194</v>
      </c>
      <c r="G92" s="846" t="s">
        <v>194</v>
      </c>
      <c r="H92" s="846" t="s">
        <v>194</v>
      </c>
      <c r="I92" s="846" t="s">
        <v>194</v>
      </c>
      <c r="J92" s="846" t="s">
        <v>194</v>
      </c>
      <c r="K92" s="846" t="s">
        <v>194</v>
      </c>
      <c r="L92" s="846" t="s">
        <v>194</v>
      </c>
      <c r="M92" s="846" t="s">
        <v>194</v>
      </c>
      <c r="N92" s="846" t="s">
        <v>194</v>
      </c>
      <c r="O92" s="846" t="s">
        <v>194</v>
      </c>
      <c r="P92" s="846" t="s">
        <v>194</v>
      </c>
      <c r="Q92" s="846" t="s">
        <v>194</v>
      </c>
      <c r="R92" s="846" t="s">
        <v>194</v>
      </c>
      <c r="S92" s="846" t="s">
        <v>194</v>
      </c>
      <c r="T92" s="846" t="s">
        <v>194</v>
      </c>
      <c r="U92" s="846" t="s">
        <v>194</v>
      </c>
      <c r="V92" s="846" t="s">
        <v>194</v>
      </c>
      <c r="W92" s="846" t="s">
        <v>194</v>
      </c>
      <c r="X92" s="846" t="s">
        <v>194</v>
      </c>
      <c r="Y92" s="846" t="s">
        <v>194</v>
      </c>
      <c r="Z92" s="846" t="s">
        <v>194</v>
      </c>
      <c r="AA92" s="846" t="s">
        <v>194</v>
      </c>
      <c r="AB92" s="846" t="s">
        <v>194</v>
      </c>
      <c r="AC92" s="846" t="s">
        <v>194</v>
      </c>
      <c r="AD92" s="846" t="s">
        <v>194</v>
      </c>
      <c r="AE92" s="846" t="s">
        <v>194</v>
      </c>
      <c r="AF92" s="846" t="s">
        <v>194</v>
      </c>
      <c r="AG92" s="846" t="s">
        <v>194</v>
      </c>
      <c r="AH92" s="846" t="s">
        <v>194</v>
      </c>
      <c r="AI92" s="846" t="s">
        <v>194</v>
      </c>
      <c r="AJ92" s="846" t="s">
        <v>194</v>
      </c>
      <c r="AK92" s="846" t="s">
        <v>194</v>
      </c>
      <c r="AL92" s="846" t="s">
        <v>194</v>
      </c>
      <c r="AM92" s="846" t="s">
        <v>194</v>
      </c>
      <c r="AN92" s="846" t="s">
        <v>194</v>
      </c>
    </row>
    <row r="93" ht="15.75" customHeight="1">
      <c r="A93" s="846" t="s">
        <v>194</v>
      </c>
      <c r="B93" s="846" t="s">
        <v>194</v>
      </c>
      <c r="C93" s="846" t="s">
        <v>194</v>
      </c>
      <c r="D93" s="846" t="s">
        <v>194</v>
      </c>
      <c r="E93" s="846" t="s">
        <v>194</v>
      </c>
      <c r="F93" s="846" t="s">
        <v>194</v>
      </c>
      <c r="G93" s="846" t="s">
        <v>194</v>
      </c>
      <c r="H93" s="846" t="s">
        <v>194</v>
      </c>
      <c r="I93" s="846" t="s">
        <v>194</v>
      </c>
      <c r="J93" s="846" t="s">
        <v>194</v>
      </c>
      <c r="K93" s="846" t="s">
        <v>194</v>
      </c>
      <c r="L93" s="846" t="s">
        <v>194</v>
      </c>
      <c r="M93" s="846" t="s">
        <v>194</v>
      </c>
      <c r="N93" s="846" t="s">
        <v>194</v>
      </c>
      <c r="O93" s="846" t="s">
        <v>194</v>
      </c>
      <c r="P93" s="846" t="s">
        <v>194</v>
      </c>
      <c r="Q93" s="846" t="s">
        <v>194</v>
      </c>
      <c r="R93" s="846" t="s">
        <v>194</v>
      </c>
      <c r="S93" s="846" t="s">
        <v>194</v>
      </c>
      <c r="T93" s="846" t="s">
        <v>194</v>
      </c>
      <c r="U93" s="846" t="s">
        <v>194</v>
      </c>
      <c r="V93" s="846" t="s">
        <v>194</v>
      </c>
      <c r="W93" s="846" t="s">
        <v>194</v>
      </c>
      <c r="X93" s="846" t="s">
        <v>194</v>
      </c>
      <c r="Y93" s="846" t="s">
        <v>194</v>
      </c>
      <c r="Z93" s="846" t="s">
        <v>194</v>
      </c>
      <c r="AA93" s="846" t="s">
        <v>194</v>
      </c>
      <c r="AB93" s="846" t="s">
        <v>194</v>
      </c>
      <c r="AC93" s="846" t="s">
        <v>194</v>
      </c>
      <c r="AD93" s="846" t="s">
        <v>194</v>
      </c>
      <c r="AE93" s="846" t="s">
        <v>194</v>
      </c>
      <c r="AF93" s="846" t="s">
        <v>194</v>
      </c>
      <c r="AG93" s="846" t="s">
        <v>194</v>
      </c>
      <c r="AH93" s="846" t="s">
        <v>194</v>
      </c>
      <c r="AI93" s="846" t="s">
        <v>194</v>
      </c>
      <c r="AJ93" s="846" t="s">
        <v>194</v>
      </c>
      <c r="AK93" s="846" t="s">
        <v>194</v>
      </c>
      <c r="AL93" s="846" t="s">
        <v>194</v>
      </c>
      <c r="AM93" s="846" t="s">
        <v>194</v>
      </c>
      <c r="AN93" s="846" t="s">
        <v>194</v>
      </c>
    </row>
    <row r="94" ht="15.75" customHeight="1">
      <c r="A94" s="846" t="s">
        <v>194</v>
      </c>
      <c r="B94" s="846" t="s">
        <v>194</v>
      </c>
      <c r="C94" s="846" t="s">
        <v>194</v>
      </c>
      <c r="D94" s="846" t="s">
        <v>194</v>
      </c>
      <c r="E94" s="846" t="s">
        <v>194</v>
      </c>
      <c r="F94" s="846" t="s">
        <v>194</v>
      </c>
      <c r="G94" s="846" t="s">
        <v>194</v>
      </c>
      <c r="H94" s="846" t="s">
        <v>194</v>
      </c>
      <c r="I94" s="846" t="s">
        <v>194</v>
      </c>
      <c r="J94" s="846" t="s">
        <v>194</v>
      </c>
      <c r="K94" s="846" t="s">
        <v>194</v>
      </c>
      <c r="L94" s="846" t="s">
        <v>194</v>
      </c>
      <c r="M94" s="846" t="s">
        <v>194</v>
      </c>
      <c r="N94" s="846" t="s">
        <v>194</v>
      </c>
      <c r="O94" s="846" t="s">
        <v>194</v>
      </c>
      <c r="P94" s="846" t="s">
        <v>194</v>
      </c>
      <c r="Q94" s="846" t="s">
        <v>194</v>
      </c>
      <c r="R94" s="846" t="s">
        <v>194</v>
      </c>
      <c r="S94" s="846" t="s">
        <v>194</v>
      </c>
      <c r="T94" s="846" t="s">
        <v>194</v>
      </c>
      <c r="U94" s="846" t="s">
        <v>194</v>
      </c>
      <c r="V94" s="846" t="s">
        <v>194</v>
      </c>
      <c r="W94" s="846" t="s">
        <v>194</v>
      </c>
      <c r="X94" s="846" t="s">
        <v>194</v>
      </c>
      <c r="Y94" s="846" t="s">
        <v>194</v>
      </c>
      <c r="Z94" s="846" t="s">
        <v>194</v>
      </c>
      <c r="AA94" s="846" t="s">
        <v>194</v>
      </c>
      <c r="AB94" s="846" t="s">
        <v>194</v>
      </c>
      <c r="AC94" s="846" t="s">
        <v>194</v>
      </c>
      <c r="AD94" s="846" t="s">
        <v>194</v>
      </c>
      <c r="AE94" s="846" t="s">
        <v>194</v>
      </c>
      <c r="AF94" s="846" t="s">
        <v>194</v>
      </c>
      <c r="AG94" s="846" t="s">
        <v>194</v>
      </c>
      <c r="AH94" s="846" t="s">
        <v>194</v>
      </c>
      <c r="AI94" s="846" t="s">
        <v>194</v>
      </c>
      <c r="AJ94" s="846" t="s">
        <v>194</v>
      </c>
      <c r="AK94" s="846" t="s">
        <v>194</v>
      </c>
      <c r="AL94" s="846" t="s">
        <v>194</v>
      </c>
      <c r="AM94" s="846" t="s">
        <v>194</v>
      </c>
      <c r="AN94" s="846" t="s">
        <v>194</v>
      </c>
    </row>
    <row r="95" ht="15.75" customHeight="1">
      <c r="A95" s="846" t="s">
        <v>194</v>
      </c>
      <c r="B95" s="846" t="s">
        <v>194</v>
      </c>
      <c r="C95" s="846" t="s">
        <v>194</v>
      </c>
      <c r="D95" s="846" t="s">
        <v>194</v>
      </c>
      <c r="E95" s="846" t="s">
        <v>194</v>
      </c>
      <c r="F95" s="846" t="s">
        <v>194</v>
      </c>
      <c r="G95" s="846" t="s">
        <v>194</v>
      </c>
      <c r="H95" s="846" t="s">
        <v>194</v>
      </c>
      <c r="I95" s="846" t="s">
        <v>194</v>
      </c>
      <c r="J95" s="846" t="s">
        <v>194</v>
      </c>
      <c r="K95" s="846" t="s">
        <v>194</v>
      </c>
      <c r="L95" s="846" t="s">
        <v>194</v>
      </c>
      <c r="M95" s="846" t="s">
        <v>194</v>
      </c>
      <c r="N95" s="846" t="s">
        <v>194</v>
      </c>
      <c r="O95" s="846" t="s">
        <v>194</v>
      </c>
      <c r="P95" s="846" t="s">
        <v>194</v>
      </c>
      <c r="Q95" s="846" t="s">
        <v>194</v>
      </c>
      <c r="R95" s="846" t="s">
        <v>194</v>
      </c>
      <c r="S95" s="846" t="s">
        <v>194</v>
      </c>
      <c r="T95" s="846" t="s">
        <v>194</v>
      </c>
      <c r="U95" s="846" t="s">
        <v>194</v>
      </c>
      <c r="V95" s="846" t="s">
        <v>194</v>
      </c>
      <c r="W95" s="846" t="s">
        <v>194</v>
      </c>
      <c r="X95" s="846" t="s">
        <v>194</v>
      </c>
      <c r="Y95" s="846" t="s">
        <v>194</v>
      </c>
      <c r="Z95" s="846" t="s">
        <v>194</v>
      </c>
      <c r="AA95" s="846" t="s">
        <v>194</v>
      </c>
      <c r="AB95" s="846" t="s">
        <v>194</v>
      </c>
      <c r="AC95" s="846" t="s">
        <v>194</v>
      </c>
      <c r="AD95" s="846" t="s">
        <v>194</v>
      </c>
      <c r="AE95" s="846" t="s">
        <v>194</v>
      </c>
      <c r="AF95" s="846" t="s">
        <v>194</v>
      </c>
      <c r="AG95" s="846" t="s">
        <v>194</v>
      </c>
      <c r="AH95" s="846" t="s">
        <v>194</v>
      </c>
      <c r="AI95" s="846" t="s">
        <v>194</v>
      </c>
      <c r="AJ95" s="846" t="s">
        <v>194</v>
      </c>
      <c r="AK95" s="846" t="s">
        <v>194</v>
      </c>
      <c r="AL95" s="846" t="s">
        <v>194</v>
      </c>
      <c r="AM95" s="846" t="s">
        <v>194</v>
      </c>
      <c r="AN95" s="846" t="s">
        <v>194</v>
      </c>
    </row>
    <row r="96" ht="15.75" customHeight="1">
      <c r="A96" s="846" t="s">
        <v>194</v>
      </c>
      <c r="B96" s="846" t="s">
        <v>194</v>
      </c>
      <c r="C96" s="846" t="s">
        <v>194</v>
      </c>
      <c r="D96" s="846" t="s">
        <v>194</v>
      </c>
      <c r="E96" s="846" t="s">
        <v>194</v>
      </c>
      <c r="F96" s="846" t="s">
        <v>194</v>
      </c>
      <c r="G96" s="846" t="s">
        <v>194</v>
      </c>
      <c r="H96" s="846" t="s">
        <v>194</v>
      </c>
      <c r="I96" s="846" t="s">
        <v>194</v>
      </c>
      <c r="J96" s="846" t="s">
        <v>194</v>
      </c>
      <c r="K96" s="846" t="s">
        <v>194</v>
      </c>
      <c r="L96" s="846" t="s">
        <v>194</v>
      </c>
      <c r="M96" s="846" t="s">
        <v>194</v>
      </c>
      <c r="N96" s="846" t="s">
        <v>194</v>
      </c>
      <c r="O96" s="846" t="s">
        <v>194</v>
      </c>
      <c r="P96" s="846" t="s">
        <v>194</v>
      </c>
      <c r="Q96" s="846" t="s">
        <v>194</v>
      </c>
      <c r="R96" s="846" t="s">
        <v>194</v>
      </c>
      <c r="S96" s="846" t="s">
        <v>194</v>
      </c>
      <c r="T96" s="846" t="s">
        <v>194</v>
      </c>
      <c r="U96" s="846" t="s">
        <v>194</v>
      </c>
      <c r="V96" s="846" t="s">
        <v>194</v>
      </c>
      <c r="W96" s="846" t="s">
        <v>194</v>
      </c>
      <c r="X96" s="846" t="s">
        <v>194</v>
      </c>
      <c r="Y96" s="846" t="s">
        <v>194</v>
      </c>
      <c r="Z96" s="846" t="s">
        <v>194</v>
      </c>
      <c r="AA96" s="846" t="s">
        <v>194</v>
      </c>
      <c r="AB96" s="846" t="s">
        <v>194</v>
      </c>
      <c r="AC96" s="846" t="s">
        <v>194</v>
      </c>
      <c r="AD96" s="846" t="s">
        <v>194</v>
      </c>
      <c r="AE96" s="846" t="s">
        <v>194</v>
      </c>
      <c r="AF96" s="846" t="s">
        <v>194</v>
      </c>
      <c r="AG96" s="846" t="s">
        <v>194</v>
      </c>
      <c r="AH96" s="846" t="s">
        <v>194</v>
      </c>
      <c r="AI96" s="846" t="s">
        <v>194</v>
      </c>
      <c r="AJ96" s="846" t="s">
        <v>194</v>
      </c>
      <c r="AK96" s="846" t="s">
        <v>194</v>
      </c>
      <c r="AL96" s="846" t="s">
        <v>194</v>
      </c>
      <c r="AM96" s="846" t="s">
        <v>194</v>
      </c>
      <c r="AN96" s="846" t="s">
        <v>194</v>
      </c>
    </row>
    <row r="97" ht="15.75" customHeight="1">
      <c r="A97" s="846" t="s">
        <v>194</v>
      </c>
      <c r="B97" s="846" t="s">
        <v>194</v>
      </c>
      <c r="C97" s="846" t="s">
        <v>194</v>
      </c>
      <c r="D97" s="846" t="s">
        <v>194</v>
      </c>
      <c r="E97" s="846" t="s">
        <v>194</v>
      </c>
      <c r="F97" s="846" t="s">
        <v>194</v>
      </c>
      <c r="G97" s="846" t="s">
        <v>194</v>
      </c>
      <c r="H97" s="846" t="s">
        <v>194</v>
      </c>
      <c r="I97" s="846" t="s">
        <v>194</v>
      </c>
      <c r="J97" s="846" t="s">
        <v>194</v>
      </c>
      <c r="K97" s="846" t="s">
        <v>194</v>
      </c>
      <c r="L97" s="846" t="s">
        <v>194</v>
      </c>
      <c r="M97" s="846" t="s">
        <v>194</v>
      </c>
      <c r="N97" s="846" t="s">
        <v>194</v>
      </c>
      <c r="O97" s="846" t="s">
        <v>194</v>
      </c>
      <c r="P97" s="846" t="s">
        <v>194</v>
      </c>
      <c r="Q97" s="846" t="s">
        <v>194</v>
      </c>
      <c r="R97" s="846" t="s">
        <v>194</v>
      </c>
      <c r="S97" s="846" t="s">
        <v>194</v>
      </c>
      <c r="T97" s="846" t="s">
        <v>194</v>
      </c>
      <c r="U97" s="846" t="s">
        <v>194</v>
      </c>
      <c r="V97" s="846" t="s">
        <v>194</v>
      </c>
      <c r="W97" s="846" t="s">
        <v>194</v>
      </c>
      <c r="X97" s="846" t="s">
        <v>194</v>
      </c>
      <c r="Y97" s="846" t="s">
        <v>194</v>
      </c>
      <c r="Z97" s="846" t="s">
        <v>194</v>
      </c>
      <c r="AA97" s="846" t="s">
        <v>194</v>
      </c>
      <c r="AB97" s="846" t="s">
        <v>194</v>
      </c>
      <c r="AC97" s="846" t="s">
        <v>194</v>
      </c>
      <c r="AD97" s="846" t="s">
        <v>194</v>
      </c>
      <c r="AE97" s="846" t="s">
        <v>194</v>
      </c>
      <c r="AF97" s="846" t="s">
        <v>194</v>
      </c>
      <c r="AG97" s="846" t="s">
        <v>194</v>
      </c>
      <c r="AH97" s="846" t="s">
        <v>194</v>
      </c>
      <c r="AI97" s="846" t="s">
        <v>194</v>
      </c>
      <c r="AJ97" s="846" t="s">
        <v>194</v>
      </c>
      <c r="AK97" s="846" t="s">
        <v>194</v>
      </c>
      <c r="AL97" s="846" t="s">
        <v>194</v>
      </c>
      <c r="AM97" s="846" t="s">
        <v>194</v>
      </c>
      <c r="AN97" s="846" t="s">
        <v>194</v>
      </c>
    </row>
    <row r="98" ht="15.75" customHeight="1">
      <c r="A98" s="846" t="s">
        <v>194</v>
      </c>
      <c r="B98" s="846" t="s">
        <v>194</v>
      </c>
      <c r="C98" s="846" t="s">
        <v>194</v>
      </c>
      <c r="D98" s="846" t="s">
        <v>194</v>
      </c>
      <c r="E98" s="846" t="s">
        <v>194</v>
      </c>
      <c r="F98" s="846" t="s">
        <v>194</v>
      </c>
      <c r="G98" s="846" t="s">
        <v>194</v>
      </c>
      <c r="H98" s="846" t="s">
        <v>194</v>
      </c>
      <c r="I98" s="846" t="s">
        <v>194</v>
      </c>
      <c r="J98" s="846" t="s">
        <v>194</v>
      </c>
      <c r="K98" s="846" t="s">
        <v>194</v>
      </c>
      <c r="L98" s="846" t="s">
        <v>194</v>
      </c>
      <c r="M98" s="846" t="s">
        <v>194</v>
      </c>
      <c r="N98" s="846" t="s">
        <v>194</v>
      </c>
      <c r="O98" s="846" t="s">
        <v>194</v>
      </c>
      <c r="P98" s="846" t="s">
        <v>194</v>
      </c>
      <c r="Q98" s="846" t="s">
        <v>194</v>
      </c>
      <c r="R98" s="846" t="s">
        <v>194</v>
      </c>
      <c r="S98" s="846" t="s">
        <v>194</v>
      </c>
      <c r="T98" s="846" t="s">
        <v>194</v>
      </c>
      <c r="U98" s="846" t="s">
        <v>194</v>
      </c>
      <c r="V98" s="846" t="s">
        <v>194</v>
      </c>
      <c r="W98" s="846" t="s">
        <v>194</v>
      </c>
      <c r="X98" s="846" t="s">
        <v>194</v>
      </c>
      <c r="Y98" s="846" t="s">
        <v>194</v>
      </c>
      <c r="Z98" s="846" t="s">
        <v>194</v>
      </c>
      <c r="AA98" s="846" t="s">
        <v>194</v>
      </c>
      <c r="AB98" s="846" t="s">
        <v>194</v>
      </c>
      <c r="AC98" s="846" t="s">
        <v>194</v>
      </c>
      <c r="AD98" s="846" t="s">
        <v>194</v>
      </c>
      <c r="AE98" s="846" t="s">
        <v>194</v>
      </c>
      <c r="AF98" s="846" t="s">
        <v>194</v>
      </c>
      <c r="AG98" s="846" t="s">
        <v>194</v>
      </c>
      <c r="AH98" s="846" t="s">
        <v>194</v>
      </c>
      <c r="AI98" s="846" t="s">
        <v>194</v>
      </c>
      <c r="AJ98" s="846" t="s">
        <v>194</v>
      </c>
      <c r="AK98" s="846" t="s">
        <v>194</v>
      </c>
      <c r="AL98" s="846" t="s">
        <v>194</v>
      </c>
      <c r="AM98" s="846" t="s">
        <v>194</v>
      </c>
      <c r="AN98" s="846" t="s">
        <v>194</v>
      </c>
    </row>
    <row r="99" ht="15.75" customHeight="1">
      <c r="A99" s="846" t="s">
        <v>194</v>
      </c>
      <c r="B99" s="846" t="s">
        <v>194</v>
      </c>
      <c r="C99" s="846" t="s">
        <v>194</v>
      </c>
      <c r="D99" s="846" t="s">
        <v>194</v>
      </c>
      <c r="E99" s="846" t="s">
        <v>194</v>
      </c>
      <c r="F99" s="846" t="s">
        <v>194</v>
      </c>
      <c r="G99" s="846" t="s">
        <v>194</v>
      </c>
      <c r="H99" s="846" t="s">
        <v>194</v>
      </c>
      <c r="I99" s="846" t="s">
        <v>194</v>
      </c>
      <c r="J99" s="846" t="s">
        <v>194</v>
      </c>
      <c r="K99" s="846" t="s">
        <v>194</v>
      </c>
      <c r="L99" s="846" t="s">
        <v>194</v>
      </c>
      <c r="M99" s="846" t="s">
        <v>194</v>
      </c>
      <c r="N99" s="846" t="s">
        <v>194</v>
      </c>
      <c r="O99" s="846" t="s">
        <v>194</v>
      </c>
      <c r="P99" s="846" t="s">
        <v>194</v>
      </c>
      <c r="Q99" s="846" t="s">
        <v>194</v>
      </c>
      <c r="R99" s="846" t="s">
        <v>194</v>
      </c>
      <c r="S99" s="846" t="s">
        <v>194</v>
      </c>
      <c r="T99" s="846" t="s">
        <v>194</v>
      </c>
      <c r="U99" s="846" t="s">
        <v>194</v>
      </c>
      <c r="V99" s="846" t="s">
        <v>194</v>
      </c>
      <c r="W99" s="846" t="s">
        <v>194</v>
      </c>
      <c r="X99" s="846" t="s">
        <v>194</v>
      </c>
      <c r="Y99" s="846" t="s">
        <v>194</v>
      </c>
      <c r="Z99" s="846" t="s">
        <v>194</v>
      </c>
      <c r="AA99" s="846" t="s">
        <v>194</v>
      </c>
      <c r="AB99" s="846" t="s">
        <v>194</v>
      </c>
      <c r="AC99" s="846" t="s">
        <v>194</v>
      </c>
      <c r="AD99" s="846" t="s">
        <v>194</v>
      </c>
      <c r="AE99" s="846" t="s">
        <v>194</v>
      </c>
      <c r="AF99" s="846" t="s">
        <v>194</v>
      </c>
      <c r="AG99" s="846" t="s">
        <v>194</v>
      </c>
      <c r="AH99" s="846" t="s">
        <v>194</v>
      </c>
      <c r="AI99" s="846" t="s">
        <v>194</v>
      </c>
      <c r="AJ99" s="846" t="s">
        <v>194</v>
      </c>
      <c r="AK99" s="846" t="s">
        <v>194</v>
      </c>
      <c r="AL99" s="846" t="s">
        <v>194</v>
      </c>
      <c r="AM99" s="846" t="s">
        <v>194</v>
      </c>
      <c r="AN99" s="846" t="s">
        <v>194</v>
      </c>
    </row>
    <row r="100" ht="15.75" customHeight="1">
      <c r="A100" s="846" t="s">
        <v>194</v>
      </c>
      <c r="B100" s="846" t="s">
        <v>194</v>
      </c>
      <c r="C100" s="846" t="s">
        <v>194</v>
      </c>
      <c r="D100" s="846" t="s">
        <v>194</v>
      </c>
      <c r="E100" s="846" t="s">
        <v>194</v>
      </c>
      <c r="F100" s="846" t="s">
        <v>194</v>
      </c>
      <c r="G100" s="846" t="s">
        <v>194</v>
      </c>
      <c r="H100" s="846" t="s">
        <v>194</v>
      </c>
      <c r="I100" s="846" t="s">
        <v>194</v>
      </c>
      <c r="J100" s="846" t="s">
        <v>194</v>
      </c>
      <c r="K100" s="846" t="s">
        <v>194</v>
      </c>
      <c r="L100" s="846" t="s">
        <v>194</v>
      </c>
      <c r="M100" s="846" t="s">
        <v>194</v>
      </c>
      <c r="N100" s="846" t="s">
        <v>194</v>
      </c>
      <c r="O100" s="846" t="s">
        <v>194</v>
      </c>
      <c r="P100" s="846" t="s">
        <v>194</v>
      </c>
      <c r="Q100" s="846" t="s">
        <v>194</v>
      </c>
      <c r="R100" s="846" t="s">
        <v>194</v>
      </c>
      <c r="S100" s="846" t="s">
        <v>194</v>
      </c>
      <c r="T100" s="846" t="s">
        <v>194</v>
      </c>
      <c r="U100" s="846" t="s">
        <v>194</v>
      </c>
      <c r="V100" s="846" t="s">
        <v>194</v>
      </c>
      <c r="W100" s="846" t="s">
        <v>194</v>
      </c>
      <c r="X100" s="846" t="s">
        <v>194</v>
      </c>
      <c r="Y100" s="846" t="s">
        <v>194</v>
      </c>
      <c r="Z100" s="846" t="s">
        <v>194</v>
      </c>
      <c r="AA100" s="846" t="s">
        <v>194</v>
      </c>
      <c r="AB100" s="846" t="s">
        <v>194</v>
      </c>
      <c r="AC100" s="846" t="s">
        <v>194</v>
      </c>
      <c r="AD100" s="846" t="s">
        <v>194</v>
      </c>
      <c r="AE100" s="846" t="s">
        <v>194</v>
      </c>
      <c r="AF100" s="846" t="s">
        <v>194</v>
      </c>
      <c r="AG100" s="846" t="s">
        <v>194</v>
      </c>
      <c r="AH100" s="846" t="s">
        <v>194</v>
      </c>
      <c r="AI100" s="846" t="s">
        <v>194</v>
      </c>
      <c r="AJ100" s="846" t="s">
        <v>194</v>
      </c>
      <c r="AK100" s="846" t="s">
        <v>194</v>
      </c>
      <c r="AL100" s="846" t="s">
        <v>194</v>
      </c>
      <c r="AM100" s="846" t="s">
        <v>194</v>
      </c>
      <c r="AN100" s="846" t="s">
        <v>194</v>
      </c>
    </row>
    <row r="101" ht="15.75" customHeight="1">
      <c r="A101" s="846" t="s">
        <v>194</v>
      </c>
      <c r="B101" s="846" t="s">
        <v>194</v>
      </c>
      <c r="C101" s="846" t="s">
        <v>194</v>
      </c>
      <c r="D101" s="846" t="s">
        <v>194</v>
      </c>
      <c r="E101" s="846" t="s">
        <v>194</v>
      </c>
      <c r="F101" s="846" t="s">
        <v>194</v>
      </c>
      <c r="G101" s="846" t="s">
        <v>194</v>
      </c>
      <c r="H101" s="846" t="s">
        <v>194</v>
      </c>
      <c r="I101" s="846" t="s">
        <v>194</v>
      </c>
      <c r="J101" s="846" t="s">
        <v>194</v>
      </c>
      <c r="K101" s="846" t="s">
        <v>194</v>
      </c>
      <c r="L101" s="846" t="s">
        <v>194</v>
      </c>
      <c r="M101" s="846" t="s">
        <v>194</v>
      </c>
      <c r="N101" s="846" t="s">
        <v>194</v>
      </c>
      <c r="O101" s="846" t="s">
        <v>194</v>
      </c>
      <c r="P101" s="846" t="s">
        <v>194</v>
      </c>
      <c r="Q101" s="846" t="s">
        <v>194</v>
      </c>
      <c r="R101" s="846" t="s">
        <v>194</v>
      </c>
      <c r="S101" s="846" t="s">
        <v>194</v>
      </c>
      <c r="T101" s="846" t="s">
        <v>194</v>
      </c>
      <c r="U101" s="846" t="s">
        <v>194</v>
      </c>
      <c r="V101" s="846" t="s">
        <v>194</v>
      </c>
      <c r="W101" s="846" t="s">
        <v>194</v>
      </c>
      <c r="X101" s="846" t="s">
        <v>194</v>
      </c>
      <c r="Y101" s="846" t="s">
        <v>194</v>
      </c>
      <c r="Z101" s="846" t="s">
        <v>194</v>
      </c>
      <c r="AA101" s="846" t="s">
        <v>194</v>
      </c>
      <c r="AB101" s="846" t="s">
        <v>194</v>
      </c>
      <c r="AC101" s="846" t="s">
        <v>194</v>
      </c>
      <c r="AD101" s="846" t="s">
        <v>194</v>
      </c>
      <c r="AE101" s="846" t="s">
        <v>194</v>
      </c>
      <c r="AF101" s="846" t="s">
        <v>194</v>
      </c>
      <c r="AG101" s="846" t="s">
        <v>194</v>
      </c>
      <c r="AH101" s="846" t="s">
        <v>194</v>
      </c>
      <c r="AI101" s="846" t="s">
        <v>194</v>
      </c>
      <c r="AJ101" s="846" t="s">
        <v>194</v>
      </c>
      <c r="AK101" s="846" t="s">
        <v>194</v>
      </c>
      <c r="AL101" s="846" t="s">
        <v>194</v>
      </c>
      <c r="AM101" s="846" t="s">
        <v>194</v>
      </c>
      <c r="AN101" s="846" t="s">
        <v>194</v>
      </c>
    </row>
    <row r="102" ht="15.75" customHeight="1">
      <c r="A102" s="846" t="s">
        <v>194</v>
      </c>
      <c r="B102" s="846" t="s">
        <v>194</v>
      </c>
      <c r="C102" s="846" t="s">
        <v>194</v>
      </c>
      <c r="D102" s="846" t="s">
        <v>194</v>
      </c>
      <c r="E102" s="846" t="s">
        <v>194</v>
      </c>
      <c r="F102" s="846" t="s">
        <v>194</v>
      </c>
      <c r="G102" s="846" t="s">
        <v>194</v>
      </c>
      <c r="H102" s="846" t="s">
        <v>194</v>
      </c>
      <c r="I102" s="846" t="s">
        <v>194</v>
      </c>
      <c r="J102" s="846" t="s">
        <v>194</v>
      </c>
      <c r="K102" s="846" t="s">
        <v>194</v>
      </c>
      <c r="L102" s="846" t="s">
        <v>194</v>
      </c>
      <c r="M102" s="846" t="s">
        <v>194</v>
      </c>
      <c r="N102" s="846" t="s">
        <v>194</v>
      </c>
      <c r="O102" s="846" t="s">
        <v>194</v>
      </c>
      <c r="P102" s="846" t="s">
        <v>194</v>
      </c>
      <c r="Q102" s="846" t="s">
        <v>194</v>
      </c>
      <c r="R102" s="846" t="s">
        <v>194</v>
      </c>
      <c r="S102" s="846" t="s">
        <v>194</v>
      </c>
      <c r="T102" s="846" t="s">
        <v>194</v>
      </c>
      <c r="U102" s="846" t="s">
        <v>194</v>
      </c>
      <c r="V102" s="846" t="s">
        <v>194</v>
      </c>
      <c r="W102" s="846" t="s">
        <v>194</v>
      </c>
      <c r="X102" s="846" t="s">
        <v>194</v>
      </c>
      <c r="Y102" s="846" t="s">
        <v>194</v>
      </c>
      <c r="Z102" s="846" t="s">
        <v>194</v>
      </c>
      <c r="AA102" s="846" t="s">
        <v>194</v>
      </c>
      <c r="AB102" s="846" t="s">
        <v>194</v>
      </c>
      <c r="AC102" s="846" t="s">
        <v>194</v>
      </c>
      <c r="AD102" s="846" t="s">
        <v>194</v>
      </c>
      <c r="AE102" s="846" t="s">
        <v>194</v>
      </c>
      <c r="AF102" s="846" t="s">
        <v>194</v>
      </c>
      <c r="AG102" s="846" t="s">
        <v>194</v>
      </c>
      <c r="AH102" s="846" t="s">
        <v>194</v>
      </c>
      <c r="AI102" s="846" t="s">
        <v>194</v>
      </c>
      <c r="AJ102" s="846" t="s">
        <v>194</v>
      </c>
      <c r="AK102" s="846" t="s">
        <v>194</v>
      </c>
      <c r="AL102" s="846" t="s">
        <v>194</v>
      </c>
      <c r="AM102" s="846" t="s">
        <v>194</v>
      </c>
      <c r="AN102" s="846" t="s">
        <v>194</v>
      </c>
    </row>
    <row r="103" ht="15.75" customHeight="1">
      <c r="A103" s="846" t="s">
        <v>194</v>
      </c>
      <c r="B103" s="846" t="s">
        <v>194</v>
      </c>
      <c r="C103" s="846" t="s">
        <v>194</v>
      </c>
      <c r="D103" s="846" t="s">
        <v>194</v>
      </c>
      <c r="E103" s="846" t="s">
        <v>194</v>
      </c>
      <c r="F103" s="846" t="s">
        <v>194</v>
      </c>
      <c r="G103" s="846" t="s">
        <v>194</v>
      </c>
      <c r="H103" s="846" t="s">
        <v>194</v>
      </c>
      <c r="I103" s="846" t="s">
        <v>194</v>
      </c>
      <c r="J103" s="846" t="s">
        <v>194</v>
      </c>
      <c r="K103" s="846" t="s">
        <v>194</v>
      </c>
      <c r="L103" s="846" t="s">
        <v>194</v>
      </c>
      <c r="M103" s="846" t="s">
        <v>194</v>
      </c>
      <c r="N103" s="846" t="s">
        <v>194</v>
      </c>
      <c r="O103" s="846" t="s">
        <v>194</v>
      </c>
      <c r="P103" s="846" t="s">
        <v>194</v>
      </c>
      <c r="Q103" s="846" t="s">
        <v>194</v>
      </c>
      <c r="R103" s="846" t="s">
        <v>194</v>
      </c>
      <c r="S103" s="846" t="s">
        <v>194</v>
      </c>
      <c r="T103" s="846" t="s">
        <v>194</v>
      </c>
      <c r="U103" s="846" t="s">
        <v>194</v>
      </c>
      <c r="V103" s="846" t="s">
        <v>194</v>
      </c>
      <c r="W103" s="846" t="s">
        <v>194</v>
      </c>
      <c r="X103" s="846" t="s">
        <v>194</v>
      </c>
      <c r="Y103" s="846" t="s">
        <v>194</v>
      </c>
      <c r="Z103" s="846" t="s">
        <v>194</v>
      </c>
      <c r="AA103" s="846" t="s">
        <v>194</v>
      </c>
      <c r="AB103" s="846" t="s">
        <v>194</v>
      </c>
      <c r="AC103" s="846" t="s">
        <v>194</v>
      </c>
      <c r="AD103" s="846" t="s">
        <v>194</v>
      </c>
      <c r="AE103" s="846" t="s">
        <v>194</v>
      </c>
      <c r="AF103" s="846" t="s">
        <v>194</v>
      </c>
      <c r="AG103" s="846" t="s">
        <v>194</v>
      </c>
      <c r="AH103" s="846" t="s">
        <v>194</v>
      </c>
      <c r="AI103" s="846" t="s">
        <v>194</v>
      </c>
      <c r="AJ103" s="846" t="s">
        <v>194</v>
      </c>
      <c r="AK103" s="846" t="s">
        <v>194</v>
      </c>
      <c r="AL103" s="846" t="s">
        <v>194</v>
      </c>
      <c r="AM103" s="846" t="s">
        <v>194</v>
      </c>
      <c r="AN103" s="846" t="s">
        <v>194</v>
      </c>
    </row>
    <row r="104" ht="15.75" customHeight="1">
      <c r="A104" s="846" t="s">
        <v>194</v>
      </c>
      <c r="B104" s="846" t="s">
        <v>194</v>
      </c>
      <c r="C104" s="846" t="s">
        <v>194</v>
      </c>
      <c r="D104" s="846" t="s">
        <v>194</v>
      </c>
      <c r="E104" s="846" t="s">
        <v>194</v>
      </c>
      <c r="F104" s="846" t="s">
        <v>194</v>
      </c>
      <c r="G104" s="846" t="s">
        <v>194</v>
      </c>
      <c r="H104" s="846" t="s">
        <v>194</v>
      </c>
      <c r="I104" s="846" t="s">
        <v>194</v>
      </c>
      <c r="J104" s="846" t="s">
        <v>194</v>
      </c>
      <c r="K104" s="846" t="s">
        <v>194</v>
      </c>
      <c r="L104" s="846" t="s">
        <v>194</v>
      </c>
      <c r="M104" s="846" t="s">
        <v>194</v>
      </c>
      <c r="N104" s="846" t="s">
        <v>194</v>
      </c>
      <c r="O104" s="846" t="s">
        <v>194</v>
      </c>
      <c r="P104" s="846" t="s">
        <v>194</v>
      </c>
      <c r="Q104" s="846" t="s">
        <v>194</v>
      </c>
      <c r="R104" s="846" t="s">
        <v>194</v>
      </c>
      <c r="S104" s="846" t="s">
        <v>194</v>
      </c>
      <c r="T104" s="846" t="s">
        <v>194</v>
      </c>
      <c r="U104" s="846" t="s">
        <v>194</v>
      </c>
      <c r="V104" s="846" t="s">
        <v>194</v>
      </c>
      <c r="W104" s="846" t="s">
        <v>194</v>
      </c>
      <c r="X104" s="846" t="s">
        <v>194</v>
      </c>
      <c r="Y104" s="846" t="s">
        <v>194</v>
      </c>
      <c r="Z104" s="846" t="s">
        <v>194</v>
      </c>
      <c r="AA104" s="846" t="s">
        <v>194</v>
      </c>
      <c r="AB104" s="846" t="s">
        <v>194</v>
      </c>
      <c r="AC104" s="846" t="s">
        <v>194</v>
      </c>
      <c r="AD104" s="846" t="s">
        <v>194</v>
      </c>
      <c r="AE104" s="846" t="s">
        <v>194</v>
      </c>
      <c r="AF104" s="846" t="s">
        <v>194</v>
      </c>
      <c r="AG104" s="846" t="s">
        <v>194</v>
      </c>
      <c r="AH104" s="846" t="s">
        <v>194</v>
      </c>
      <c r="AI104" s="846" t="s">
        <v>194</v>
      </c>
      <c r="AJ104" s="846" t="s">
        <v>194</v>
      </c>
      <c r="AK104" s="846" t="s">
        <v>194</v>
      </c>
      <c r="AL104" s="846" t="s">
        <v>194</v>
      </c>
      <c r="AM104" s="846" t="s">
        <v>194</v>
      </c>
      <c r="AN104" s="846" t="s">
        <v>194</v>
      </c>
    </row>
    <row r="105" ht="15.75" customHeight="1">
      <c r="A105" s="846" t="s">
        <v>194</v>
      </c>
      <c r="B105" s="846" t="s">
        <v>194</v>
      </c>
      <c r="C105" s="846" t="s">
        <v>194</v>
      </c>
      <c r="D105" s="846" t="s">
        <v>194</v>
      </c>
      <c r="E105" s="846" t="s">
        <v>194</v>
      </c>
      <c r="F105" s="846" t="s">
        <v>194</v>
      </c>
      <c r="G105" s="846" t="s">
        <v>194</v>
      </c>
      <c r="H105" s="846" t="s">
        <v>194</v>
      </c>
      <c r="I105" s="846" t="s">
        <v>194</v>
      </c>
      <c r="J105" s="846" t="s">
        <v>194</v>
      </c>
      <c r="K105" s="846" t="s">
        <v>194</v>
      </c>
      <c r="L105" s="846" t="s">
        <v>194</v>
      </c>
      <c r="M105" s="846" t="s">
        <v>194</v>
      </c>
      <c r="N105" s="846" t="s">
        <v>194</v>
      </c>
      <c r="O105" s="846" t="s">
        <v>194</v>
      </c>
      <c r="P105" s="846" t="s">
        <v>194</v>
      </c>
      <c r="Q105" s="846" t="s">
        <v>194</v>
      </c>
      <c r="R105" s="846" t="s">
        <v>194</v>
      </c>
      <c r="S105" s="846" t="s">
        <v>194</v>
      </c>
      <c r="T105" s="846" t="s">
        <v>194</v>
      </c>
      <c r="U105" s="846" t="s">
        <v>194</v>
      </c>
      <c r="V105" s="846" t="s">
        <v>194</v>
      </c>
      <c r="W105" s="846" t="s">
        <v>194</v>
      </c>
      <c r="X105" s="846" t="s">
        <v>194</v>
      </c>
      <c r="Y105" s="846" t="s">
        <v>194</v>
      </c>
      <c r="Z105" s="846" t="s">
        <v>194</v>
      </c>
      <c r="AA105" s="846" t="s">
        <v>194</v>
      </c>
      <c r="AB105" s="846" t="s">
        <v>194</v>
      </c>
      <c r="AC105" s="846" t="s">
        <v>194</v>
      </c>
      <c r="AD105" s="846" t="s">
        <v>194</v>
      </c>
      <c r="AE105" s="846" t="s">
        <v>194</v>
      </c>
      <c r="AF105" s="846" t="s">
        <v>194</v>
      </c>
      <c r="AG105" s="846" t="s">
        <v>194</v>
      </c>
      <c r="AH105" s="846" t="s">
        <v>194</v>
      </c>
      <c r="AI105" s="846" t="s">
        <v>194</v>
      </c>
      <c r="AJ105" s="846" t="s">
        <v>194</v>
      </c>
      <c r="AK105" s="846" t="s">
        <v>194</v>
      </c>
      <c r="AL105" s="846" t="s">
        <v>194</v>
      </c>
      <c r="AM105" s="846" t="s">
        <v>194</v>
      </c>
      <c r="AN105" s="846" t="s">
        <v>194</v>
      </c>
    </row>
    <row r="106" ht="15.75" customHeight="1">
      <c r="A106" s="846" t="s">
        <v>194</v>
      </c>
      <c r="B106" s="846" t="s">
        <v>194</v>
      </c>
      <c r="C106" s="846" t="s">
        <v>194</v>
      </c>
      <c r="D106" s="846" t="s">
        <v>194</v>
      </c>
      <c r="E106" s="846" t="s">
        <v>194</v>
      </c>
      <c r="F106" s="846" t="s">
        <v>194</v>
      </c>
      <c r="G106" s="846" t="s">
        <v>194</v>
      </c>
      <c r="H106" s="846" t="s">
        <v>194</v>
      </c>
      <c r="I106" s="846" t="s">
        <v>194</v>
      </c>
      <c r="J106" s="846" t="s">
        <v>194</v>
      </c>
      <c r="K106" s="846" t="s">
        <v>194</v>
      </c>
      <c r="L106" s="846" t="s">
        <v>194</v>
      </c>
      <c r="M106" s="846" t="s">
        <v>194</v>
      </c>
      <c r="N106" s="846" t="s">
        <v>194</v>
      </c>
      <c r="O106" s="846" t="s">
        <v>194</v>
      </c>
      <c r="P106" s="846" t="s">
        <v>194</v>
      </c>
      <c r="Q106" s="846" t="s">
        <v>194</v>
      </c>
      <c r="R106" s="846" t="s">
        <v>194</v>
      </c>
      <c r="S106" s="846" t="s">
        <v>194</v>
      </c>
      <c r="T106" s="846" t="s">
        <v>194</v>
      </c>
      <c r="U106" s="846" t="s">
        <v>194</v>
      </c>
      <c r="V106" s="846" t="s">
        <v>194</v>
      </c>
      <c r="W106" s="846" t="s">
        <v>194</v>
      </c>
      <c r="X106" s="846" t="s">
        <v>194</v>
      </c>
      <c r="Y106" s="846" t="s">
        <v>194</v>
      </c>
      <c r="Z106" s="846" t="s">
        <v>194</v>
      </c>
      <c r="AA106" s="846" t="s">
        <v>194</v>
      </c>
      <c r="AB106" s="846" t="s">
        <v>194</v>
      </c>
      <c r="AC106" s="846" t="s">
        <v>194</v>
      </c>
      <c r="AD106" s="846" t="s">
        <v>194</v>
      </c>
      <c r="AE106" s="846" t="s">
        <v>194</v>
      </c>
      <c r="AF106" s="846" t="s">
        <v>194</v>
      </c>
      <c r="AG106" s="846" t="s">
        <v>194</v>
      </c>
      <c r="AH106" s="846" t="s">
        <v>194</v>
      </c>
      <c r="AI106" s="846" t="s">
        <v>194</v>
      </c>
      <c r="AJ106" s="846" t="s">
        <v>194</v>
      </c>
      <c r="AK106" s="846" t="s">
        <v>194</v>
      </c>
      <c r="AL106" s="846" t="s">
        <v>194</v>
      </c>
      <c r="AM106" s="846" t="s">
        <v>194</v>
      </c>
      <c r="AN106" s="846" t="s">
        <v>194</v>
      </c>
    </row>
    <row r="107" ht="15.75" customHeight="1">
      <c r="A107" s="846" t="s">
        <v>194</v>
      </c>
      <c r="B107" s="846" t="s">
        <v>194</v>
      </c>
      <c r="C107" s="846" t="s">
        <v>194</v>
      </c>
      <c r="D107" s="846" t="s">
        <v>194</v>
      </c>
      <c r="E107" s="846" t="s">
        <v>194</v>
      </c>
      <c r="F107" s="846" t="s">
        <v>194</v>
      </c>
      <c r="G107" s="846" t="s">
        <v>194</v>
      </c>
      <c r="H107" s="846" t="s">
        <v>194</v>
      </c>
      <c r="I107" s="846" t="s">
        <v>194</v>
      </c>
      <c r="J107" s="846" t="s">
        <v>194</v>
      </c>
      <c r="K107" s="846" t="s">
        <v>194</v>
      </c>
      <c r="L107" s="846" t="s">
        <v>194</v>
      </c>
      <c r="M107" s="846" t="s">
        <v>194</v>
      </c>
      <c r="N107" s="846" t="s">
        <v>194</v>
      </c>
      <c r="O107" s="846" t="s">
        <v>194</v>
      </c>
      <c r="P107" s="846" t="s">
        <v>194</v>
      </c>
      <c r="Q107" s="846" t="s">
        <v>194</v>
      </c>
      <c r="R107" s="846" t="s">
        <v>194</v>
      </c>
      <c r="S107" s="846" t="s">
        <v>194</v>
      </c>
      <c r="T107" s="846" t="s">
        <v>194</v>
      </c>
      <c r="U107" s="846" t="s">
        <v>194</v>
      </c>
      <c r="V107" s="846" t="s">
        <v>194</v>
      </c>
      <c r="W107" s="846" t="s">
        <v>194</v>
      </c>
      <c r="X107" s="846" t="s">
        <v>194</v>
      </c>
      <c r="Y107" s="846" t="s">
        <v>194</v>
      </c>
      <c r="Z107" s="846" t="s">
        <v>194</v>
      </c>
      <c r="AA107" s="846" t="s">
        <v>194</v>
      </c>
      <c r="AB107" s="846" t="s">
        <v>194</v>
      </c>
      <c r="AC107" s="846" t="s">
        <v>194</v>
      </c>
      <c r="AD107" s="846" t="s">
        <v>194</v>
      </c>
      <c r="AE107" s="846" t="s">
        <v>194</v>
      </c>
      <c r="AF107" s="846" t="s">
        <v>194</v>
      </c>
      <c r="AG107" s="846" t="s">
        <v>194</v>
      </c>
      <c r="AH107" s="846" t="s">
        <v>194</v>
      </c>
      <c r="AI107" s="846" t="s">
        <v>194</v>
      </c>
      <c r="AJ107" s="846" t="s">
        <v>194</v>
      </c>
      <c r="AK107" s="846" t="s">
        <v>194</v>
      </c>
      <c r="AL107" s="846" t="s">
        <v>194</v>
      </c>
      <c r="AM107" s="846" t="s">
        <v>194</v>
      </c>
      <c r="AN107" s="846" t="s">
        <v>194</v>
      </c>
    </row>
    <row r="108" ht="15.75" customHeight="1">
      <c r="A108" s="846" t="s">
        <v>194</v>
      </c>
      <c r="B108" s="846" t="s">
        <v>194</v>
      </c>
      <c r="C108" s="846" t="s">
        <v>194</v>
      </c>
      <c r="D108" s="846" t="s">
        <v>194</v>
      </c>
      <c r="E108" s="846" t="s">
        <v>194</v>
      </c>
      <c r="F108" s="846" t="s">
        <v>194</v>
      </c>
      <c r="G108" s="846" t="s">
        <v>194</v>
      </c>
      <c r="H108" s="846" t="s">
        <v>194</v>
      </c>
      <c r="I108" s="846" t="s">
        <v>194</v>
      </c>
      <c r="J108" s="846" t="s">
        <v>194</v>
      </c>
      <c r="K108" s="846" t="s">
        <v>194</v>
      </c>
      <c r="L108" s="846" t="s">
        <v>194</v>
      </c>
      <c r="M108" s="846" t="s">
        <v>194</v>
      </c>
      <c r="N108" s="846" t="s">
        <v>194</v>
      </c>
      <c r="O108" s="846" t="s">
        <v>194</v>
      </c>
      <c r="P108" s="846" t="s">
        <v>194</v>
      </c>
      <c r="Q108" s="846" t="s">
        <v>194</v>
      </c>
      <c r="R108" s="846" t="s">
        <v>194</v>
      </c>
      <c r="S108" s="846" t="s">
        <v>194</v>
      </c>
      <c r="T108" s="846" t="s">
        <v>194</v>
      </c>
      <c r="U108" s="846" t="s">
        <v>194</v>
      </c>
      <c r="V108" s="846" t="s">
        <v>194</v>
      </c>
      <c r="W108" s="846" t="s">
        <v>194</v>
      </c>
      <c r="X108" s="846" t="s">
        <v>194</v>
      </c>
      <c r="Y108" s="846" t="s">
        <v>194</v>
      </c>
      <c r="Z108" s="846" t="s">
        <v>194</v>
      </c>
      <c r="AA108" s="846" t="s">
        <v>194</v>
      </c>
      <c r="AB108" s="846" t="s">
        <v>194</v>
      </c>
      <c r="AC108" s="846" t="s">
        <v>194</v>
      </c>
      <c r="AD108" s="846" t="s">
        <v>194</v>
      </c>
      <c r="AE108" s="846" t="s">
        <v>194</v>
      </c>
      <c r="AF108" s="846" t="s">
        <v>194</v>
      </c>
      <c r="AG108" s="846" t="s">
        <v>194</v>
      </c>
      <c r="AH108" s="846" t="s">
        <v>194</v>
      </c>
      <c r="AI108" s="846" t="s">
        <v>194</v>
      </c>
      <c r="AJ108" s="846" t="s">
        <v>194</v>
      </c>
      <c r="AK108" s="846" t="s">
        <v>194</v>
      </c>
      <c r="AL108" s="846" t="s">
        <v>194</v>
      </c>
      <c r="AM108" s="846" t="s">
        <v>194</v>
      </c>
      <c r="AN108" s="846" t="s">
        <v>194</v>
      </c>
    </row>
    <row r="109" ht="15.75" customHeight="1">
      <c r="A109" s="846" t="s">
        <v>194</v>
      </c>
      <c r="B109" s="846" t="s">
        <v>194</v>
      </c>
      <c r="C109" s="846" t="s">
        <v>194</v>
      </c>
      <c r="D109" s="846" t="s">
        <v>194</v>
      </c>
      <c r="E109" s="846" t="s">
        <v>194</v>
      </c>
      <c r="F109" s="846" t="s">
        <v>194</v>
      </c>
      <c r="G109" s="846" t="s">
        <v>194</v>
      </c>
      <c r="H109" s="846" t="s">
        <v>194</v>
      </c>
      <c r="I109" s="846" t="s">
        <v>194</v>
      </c>
      <c r="J109" s="846" t="s">
        <v>194</v>
      </c>
      <c r="K109" s="846" t="s">
        <v>194</v>
      </c>
      <c r="L109" s="846" t="s">
        <v>194</v>
      </c>
      <c r="M109" s="846" t="s">
        <v>194</v>
      </c>
      <c r="N109" s="846" t="s">
        <v>194</v>
      </c>
      <c r="O109" s="846" t="s">
        <v>194</v>
      </c>
      <c r="P109" s="846" t="s">
        <v>194</v>
      </c>
      <c r="Q109" s="846" t="s">
        <v>194</v>
      </c>
      <c r="R109" s="846" t="s">
        <v>194</v>
      </c>
      <c r="S109" s="846" t="s">
        <v>194</v>
      </c>
      <c r="T109" s="846" t="s">
        <v>194</v>
      </c>
      <c r="U109" s="846" t="s">
        <v>194</v>
      </c>
      <c r="V109" s="846" t="s">
        <v>194</v>
      </c>
      <c r="W109" s="846" t="s">
        <v>194</v>
      </c>
      <c r="X109" s="846" t="s">
        <v>194</v>
      </c>
      <c r="Y109" s="846" t="s">
        <v>194</v>
      </c>
      <c r="Z109" s="846" t="s">
        <v>194</v>
      </c>
      <c r="AA109" s="846" t="s">
        <v>194</v>
      </c>
      <c r="AB109" s="846" t="s">
        <v>194</v>
      </c>
      <c r="AC109" s="846" t="s">
        <v>194</v>
      </c>
      <c r="AD109" s="846" t="s">
        <v>194</v>
      </c>
      <c r="AE109" s="846" t="s">
        <v>194</v>
      </c>
      <c r="AF109" s="846" t="s">
        <v>194</v>
      </c>
      <c r="AG109" s="846" t="s">
        <v>194</v>
      </c>
      <c r="AH109" s="846" t="s">
        <v>194</v>
      </c>
      <c r="AI109" s="846" t="s">
        <v>194</v>
      </c>
      <c r="AJ109" s="846" t="s">
        <v>194</v>
      </c>
      <c r="AK109" s="846" t="s">
        <v>194</v>
      </c>
      <c r="AL109" s="846" t="s">
        <v>194</v>
      </c>
      <c r="AM109" s="846" t="s">
        <v>194</v>
      </c>
      <c r="AN109" s="846" t="s">
        <v>194</v>
      </c>
    </row>
    <row r="110" ht="15.75" customHeight="1">
      <c r="A110" s="846" t="s">
        <v>194</v>
      </c>
      <c r="B110" s="846" t="s">
        <v>194</v>
      </c>
      <c r="C110" s="846" t="s">
        <v>194</v>
      </c>
      <c r="D110" s="846" t="s">
        <v>194</v>
      </c>
      <c r="E110" s="846" t="s">
        <v>194</v>
      </c>
      <c r="F110" s="846" t="s">
        <v>194</v>
      </c>
      <c r="G110" s="846" t="s">
        <v>194</v>
      </c>
      <c r="H110" s="846" t="s">
        <v>194</v>
      </c>
      <c r="I110" s="846" t="s">
        <v>194</v>
      </c>
      <c r="J110" s="846" t="s">
        <v>194</v>
      </c>
      <c r="K110" s="846" t="s">
        <v>194</v>
      </c>
      <c r="L110" s="846" t="s">
        <v>194</v>
      </c>
      <c r="M110" s="846" t="s">
        <v>194</v>
      </c>
      <c r="N110" s="846" t="s">
        <v>194</v>
      </c>
      <c r="O110" s="846" t="s">
        <v>194</v>
      </c>
      <c r="P110" s="846" t="s">
        <v>194</v>
      </c>
      <c r="Q110" s="846" t="s">
        <v>194</v>
      </c>
      <c r="R110" s="846" t="s">
        <v>194</v>
      </c>
      <c r="S110" s="846" t="s">
        <v>194</v>
      </c>
      <c r="T110" s="846" t="s">
        <v>194</v>
      </c>
      <c r="U110" s="846" t="s">
        <v>194</v>
      </c>
      <c r="V110" s="846" t="s">
        <v>194</v>
      </c>
      <c r="W110" s="846" t="s">
        <v>194</v>
      </c>
      <c r="X110" s="846" t="s">
        <v>194</v>
      </c>
      <c r="Y110" s="846" t="s">
        <v>194</v>
      </c>
      <c r="Z110" s="846" t="s">
        <v>194</v>
      </c>
      <c r="AA110" s="846" t="s">
        <v>194</v>
      </c>
      <c r="AB110" s="846" t="s">
        <v>194</v>
      </c>
      <c r="AC110" s="846" t="s">
        <v>194</v>
      </c>
      <c r="AD110" s="846" t="s">
        <v>194</v>
      </c>
      <c r="AE110" s="846" t="s">
        <v>194</v>
      </c>
      <c r="AF110" s="846" t="s">
        <v>194</v>
      </c>
      <c r="AG110" s="846" t="s">
        <v>194</v>
      </c>
      <c r="AH110" s="846" t="s">
        <v>194</v>
      </c>
      <c r="AI110" s="846" t="s">
        <v>194</v>
      </c>
      <c r="AJ110" s="846" t="s">
        <v>194</v>
      </c>
      <c r="AK110" s="846" t="s">
        <v>194</v>
      </c>
      <c r="AL110" s="846" t="s">
        <v>194</v>
      </c>
      <c r="AM110" s="846" t="s">
        <v>194</v>
      </c>
      <c r="AN110" s="846" t="s">
        <v>194</v>
      </c>
    </row>
    <row r="111" ht="15.75" customHeight="1">
      <c r="A111" s="846" t="s">
        <v>194</v>
      </c>
      <c r="B111" s="846" t="s">
        <v>194</v>
      </c>
      <c r="C111" s="846" t="s">
        <v>194</v>
      </c>
      <c r="D111" s="846" t="s">
        <v>194</v>
      </c>
      <c r="E111" s="846" t="s">
        <v>194</v>
      </c>
      <c r="F111" s="846" t="s">
        <v>194</v>
      </c>
      <c r="G111" s="846" t="s">
        <v>194</v>
      </c>
      <c r="H111" s="846" t="s">
        <v>194</v>
      </c>
      <c r="I111" s="846" t="s">
        <v>194</v>
      </c>
      <c r="J111" s="846" t="s">
        <v>194</v>
      </c>
      <c r="K111" s="846" t="s">
        <v>194</v>
      </c>
      <c r="L111" s="846" t="s">
        <v>194</v>
      </c>
      <c r="M111" s="846" t="s">
        <v>194</v>
      </c>
      <c r="N111" s="846" t="s">
        <v>194</v>
      </c>
      <c r="O111" s="846" t="s">
        <v>194</v>
      </c>
      <c r="P111" s="846" t="s">
        <v>194</v>
      </c>
      <c r="Q111" s="846" t="s">
        <v>194</v>
      </c>
      <c r="R111" s="846" t="s">
        <v>194</v>
      </c>
      <c r="S111" s="846" t="s">
        <v>194</v>
      </c>
      <c r="T111" s="846" t="s">
        <v>194</v>
      </c>
      <c r="U111" s="846" t="s">
        <v>194</v>
      </c>
      <c r="V111" s="846" t="s">
        <v>194</v>
      </c>
      <c r="W111" s="846" t="s">
        <v>194</v>
      </c>
      <c r="X111" s="846" t="s">
        <v>194</v>
      </c>
      <c r="Y111" s="846" t="s">
        <v>194</v>
      </c>
      <c r="Z111" s="846" t="s">
        <v>194</v>
      </c>
      <c r="AA111" s="846" t="s">
        <v>194</v>
      </c>
      <c r="AB111" s="846" t="s">
        <v>194</v>
      </c>
      <c r="AC111" s="846" t="s">
        <v>194</v>
      </c>
      <c r="AD111" s="846" t="s">
        <v>194</v>
      </c>
      <c r="AE111" s="846" t="s">
        <v>194</v>
      </c>
      <c r="AF111" s="846" t="s">
        <v>194</v>
      </c>
      <c r="AG111" s="846" t="s">
        <v>194</v>
      </c>
      <c r="AH111" s="846" t="s">
        <v>194</v>
      </c>
      <c r="AI111" s="846" t="s">
        <v>194</v>
      </c>
      <c r="AJ111" s="846" t="s">
        <v>194</v>
      </c>
      <c r="AK111" s="846" t="s">
        <v>194</v>
      </c>
      <c r="AL111" s="846" t="s">
        <v>194</v>
      </c>
      <c r="AM111" s="846" t="s">
        <v>194</v>
      </c>
      <c r="AN111" s="846" t="s">
        <v>194</v>
      </c>
    </row>
    <row r="112" ht="15.75" customHeight="1">
      <c r="A112" s="846" t="s">
        <v>194</v>
      </c>
      <c r="B112" s="846" t="s">
        <v>194</v>
      </c>
      <c r="C112" s="846" t="s">
        <v>194</v>
      </c>
      <c r="D112" s="846" t="s">
        <v>194</v>
      </c>
      <c r="E112" s="846" t="s">
        <v>194</v>
      </c>
      <c r="F112" s="846" t="s">
        <v>194</v>
      </c>
      <c r="G112" s="846" t="s">
        <v>194</v>
      </c>
      <c r="H112" s="846" t="s">
        <v>194</v>
      </c>
      <c r="I112" s="846" t="s">
        <v>194</v>
      </c>
      <c r="J112" s="846" t="s">
        <v>194</v>
      </c>
      <c r="K112" s="846" t="s">
        <v>194</v>
      </c>
      <c r="L112" s="846" t="s">
        <v>194</v>
      </c>
      <c r="M112" s="846" t="s">
        <v>194</v>
      </c>
      <c r="N112" s="846" t="s">
        <v>194</v>
      </c>
      <c r="O112" s="846" t="s">
        <v>194</v>
      </c>
      <c r="P112" s="846" t="s">
        <v>194</v>
      </c>
      <c r="Q112" s="846" t="s">
        <v>194</v>
      </c>
      <c r="R112" s="846" t="s">
        <v>194</v>
      </c>
      <c r="S112" s="846" t="s">
        <v>194</v>
      </c>
      <c r="T112" s="846" t="s">
        <v>194</v>
      </c>
      <c r="U112" s="846" t="s">
        <v>194</v>
      </c>
      <c r="V112" s="846" t="s">
        <v>194</v>
      </c>
      <c r="W112" s="846" t="s">
        <v>194</v>
      </c>
      <c r="X112" s="846" t="s">
        <v>194</v>
      </c>
      <c r="Y112" s="846" t="s">
        <v>194</v>
      </c>
      <c r="Z112" s="846" t="s">
        <v>194</v>
      </c>
      <c r="AA112" s="846" t="s">
        <v>194</v>
      </c>
      <c r="AB112" s="846" t="s">
        <v>194</v>
      </c>
      <c r="AC112" s="846" t="s">
        <v>194</v>
      </c>
      <c r="AD112" s="846" t="s">
        <v>194</v>
      </c>
      <c r="AE112" s="846" t="s">
        <v>194</v>
      </c>
      <c r="AF112" s="846" t="s">
        <v>194</v>
      </c>
      <c r="AG112" s="846" t="s">
        <v>194</v>
      </c>
      <c r="AH112" s="846" t="s">
        <v>194</v>
      </c>
      <c r="AI112" s="846" t="s">
        <v>194</v>
      </c>
      <c r="AJ112" s="846" t="s">
        <v>194</v>
      </c>
      <c r="AK112" s="846" t="s">
        <v>194</v>
      </c>
      <c r="AL112" s="846" t="s">
        <v>194</v>
      </c>
      <c r="AM112" s="846" t="s">
        <v>194</v>
      </c>
      <c r="AN112" s="846" t="s">
        <v>194</v>
      </c>
    </row>
    <row r="113" ht="15.75" customHeight="1">
      <c r="A113" s="846" t="s">
        <v>194</v>
      </c>
      <c r="B113" s="846" t="s">
        <v>194</v>
      </c>
      <c r="C113" s="846" t="s">
        <v>194</v>
      </c>
      <c r="D113" s="846" t="s">
        <v>194</v>
      </c>
      <c r="E113" s="846" t="s">
        <v>194</v>
      </c>
      <c r="F113" s="846" t="s">
        <v>194</v>
      </c>
      <c r="G113" s="846" t="s">
        <v>194</v>
      </c>
      <c r="H113" s="846" t="s">
        <v>194</v>
      </c>
      <c r="I113" s="846" t="s">
        <v>194</v>
      </c>
      <c r="J113" s="846" t="s">
        <v>194</v>
      </c>
      <c r="K113" s="846" t="s">
        <v>194</v>
      </c>
      <c r="L113" s="846" t="s">
        <v>194</v>
      </c>
      <c r="M113" s="846" t="s">
        <v>194</v>
      </c>
      <c r="N113" s="846" t="s">
        <v>194</v>
      </c>
      <c r="O113" s="846" t="s">
        <v>194</v>
      </c>
      <c r="P113" s="846" t="s">
        <v>194</v>
      </c>
      <c r="Q113" s="846" t="s">
        <v>194</v>
      </c>
      <c r="R113" s="846" t="s">
        <v>194</v>
      </c>
      <c r="S113" s="846" t="s">
        <v>194</v>
      </c>
      <c r="T113" s="846" t="s">
        <v>194</v>
      </c>
      <c r="U113" s="846" t="s">
        <v>194</v>
      </c>
      <c r="V113" s="846" t="s">
        <v>194</v>
      </c>
      <c r="W113" s="846" t="s">
        <v>194</v>
      </c>
      <c r="X113" s="846" t="s">
        <v>194</v>
      </c>
      <c r="Y113" s="846" t="s">
        <v>194</v>
      </c>
      <c r="Z113" s="846" t="s">
        <v>194</v>
      </c>
      <c r="AA113" s="846" t="s">
        <v>194</v>
      </c>
      <c r="AB113" s="846" t="s">
        <v>194</v>
      </c>
      <c r="AC113" s="846" t="s">
        <v>194</v>
      </c>
      <c r="AD113" s="846" t="s">
        <v>194</v>
      </c>
      <c r="AE113" s="846" t="s">
        <v>194</v>
      </c>
      <c r="AF113" s="846" t="s">
        <v>194</v>
      </c>
      <c r="AG113" s="846" t="s">
        <v>194</v>
      </c>
      <c r="AH113" s="846" t="s">
        <v>194</v>
      </c>
      <c r="AI113" s="846" t="s">
        <v>194</v>
      </c>
      <c r="AJ113" s="846" t="s">
        <v>194</v>
      </c>
      <c r="AK113" s="846" t="s">
        <v>194</v>
      </c>
      <c r="AL113" s="846" t="s">
        <v>194</v>
      </c>
      <c r="AM113" s="846" t="s">
        <v>194</v>
      </c>
      <c r="AN113" s="846" t="s">
        <v>194</v>
      </c>
    </row>
    <row r="114" ht="15.75" customHeight="1">
      <c r="A114" s="846" t="s">
        <v>194</v>
      </c>
      <c r="B114" s="846" t="s">
        <v>194</v>
      </c>
      <c r="C114" s="846" t="s">
        <v>194</v>
      </c>
      <c r="D114" s="846" t="s">
        <v>194</v>
      </c>
      <c r="E114" s="846" t="s">
        <v>194</v>
      </c>
      <c r="F114" s="846" t="s">
        <v>194</v>
      </c>
      <c r="G114" s="846" t="s">
        <v>194</v>
      </c>
      <c r="H114" s="846" t="s">
        <v>194</v>
      </c>
      <c r="I114" s="846" t="s">
        <v>194</v>
      </c>
      <c r="J114" s="846" t="s">
        <v>194</v>
      </c>
      <c r="K114" s="846" t="s">
        <v>194</v>
      </c>
      <c r="L114" s="846" t="s">
        <v>194</v>
      </c>
      <c r="M114" s="846" t="s">
        <v>194</v>
      </c>
      <c r="N114" s="846" t="s">
        <v>194</v>
      </c>
      <c r="O114" s="846" t="s">
        <v>194</v>
      </c>
      <c r="P114" s="846" t="s">
        <v>194</v>
      </c>
      <c r="Q114" s="846" t="s">
        <v>194</v>
      </c>
      <c r="R114" s="846" t="s">
        <v>194</v>
      </c>
      <c r="S114" s="846" t="s">
        <v>194</v>
      </c>
      <c r="T114" s="846" t="s">
        <v>194</v>
      </c>
      <c r="U114" s="846" t="s">
        <v>194</v>
      </c>
      <c r="V114" s="846" t="s">
        <v>194</v>
      </c>
      <c r="W114" s="846" t="s">
        <v>194</v>
      </c>
      <c r="X114" s="846" t="s">
        <v>194</v>
      </c>
      <c r="Y114" s="846" t="s">
        <v>194</v>
      </c>
      <c r="Z114" s="846" t="s">
        <v>194</v>
      </c>
      <c r="AA114" s="846" t="s">
        <v>194</v>
      </c>
      <c r="AB114" s="846" t="s">
        <v>194</v>
      </c>
      <c r="AC114" s="846" t="s">
        <v>194</v>
      </c>
      <c r="AD114" s="846" t="s">
        <v>194</v>
      </c>
      <c r="AE114" s="846" t="s">
        <v>194</v>
      </c>
      <c r="AF114" s="846" t="s">
        <v>194</v>
      </c>
      <c r="AG114" s="846" t="s">
        <v>194</v>
      </c>
      <c r="AH114" s="846" t="s">
        <v>194</v>
      </c>
      <c r="AI114" s="846" t="s">
        <v>194</v>
      </c>
      <c r="AJ114" s="846" t="s">
        <v>194</v>
      </c>
      <c r="AK114" s="846" t="s">
        <v>194</v>
      </c>
      <c r="AL114" s="846" t="s">
        <v>194</v>
      </c>
      <c r="AM114" s="846" t="s">
        <v>194</v>
      </c>
      <c r="AN114" s="846" t="s">
        <v>194</v>
      </c>
    </row>
    <row r="115" ht="15.75" customHeight="1">
      <c r="A115" s="846" t="s">
        <v>194</v>
      </c>
      <c r="B115" s="846" t="s">
        <v>194</v>
      </c>
      <c r="C115" s="846" t="s">
        <v>194</v>
      </c>
      <c r="D115" s="846" t="s">
        <v>194</v>
      </c>
      <c r="E115" s="846" t="s">
        <v>194</v>
      </c>
      <c r="F115" s="846" t="s">
        <v>194</v>
      </c>
      <c r="G115" s="846" t="s">
        <v>194</v>
      </c>
      <c r="H115" s="846" t="s">
        <v>194</v>
      </c>
      <c r="I115" s="846" t="s">
        <v>194</v>
      </c>
      <c r="J115" s="846" t="s">
        <v>194</v>
      </c>
      <c r="K115" s="846" t="s">
        <v>194</v>
      </c>
      <c r="L115" s="846" t="s">
        <v>194</v>
      </c>
      <c r="M115" s="846" t="s">
        <v>194</v>
      </c>
      <c r="N115" s="846" t="s">
        <v>194</v>
      </c>
      <c r="O115" s="846" t="s">
        <v>194</v>
      </c>
      <c r="P115" s="846" t="s">
        <v>194</v>
      </c>
      <c r="Q115" s="846" t="s">
        <v>194</v>
      </c>
      <c r="R115" s="846" t="s">
        <v>194</v>
      </c>
      <c r="S115" s="846" t="s">
        <v>194</v>
      </c>
      <c r="T115" s="846" t="s">
        <v>194</v>
      </c>
      <c r="U115" s="846" t="s">
        <v>194</v>
      </c>
      <c r="V115" s="846" t="s">
        <v>194</v>
      </c>
      <c r="W115" s="846" t="s">
        <v>194</v>
      </c>
      <c r="X115" s="846" t="s">
        <v>194</v>
      </c>
      <c r="Y115" s="846" t="s">
        <v>194</v>
      </c>
      <c r="Z115" s="846" t="s">
        <v>194</v>
      </c>
      <c r="AA115" s="846" t="s">
        <v>194</v>
      </c>
      <c r="AB115" s="846" t="s">
        <v>194</v>
      </c>
      <c r="AC115" s="846" t="s">
        <v>194</v>
      </c>
      <c r="AD115" s="846" t="s">
        <v>194</v>
      </c>
      <c r="AE115" s="846" t="s">
        <v>194</v>
      </c>
      <c r="AF115" s="846" t="s">
        <v>194</v>
      </c>
      <c r="AG115" s="846" t="s">
        <v>194</v>
      </c>
      <c r="AH115" s="846" t="s">
        <v>194</v>
      </c>
      <c r="AI115" s="846" t="s">
        <v>194</v>
      </c>
      <c r="AJ115" s="846" t="s">
        <v>194</v>
      </c>
      <c r="AK115" s="846" t="s">
        <v>194</v>
      </c>
      <c r="AL115" s="846" t="s">
        <v>194</v>
      </c>
      <c r="AM115" s="846" t="s">
        <v>194</v>
      </c>
      <c r="AN115" s="846" t="s">
        <v>194</v>
      </c>
    </row>
    <row r="116" ht="15.75" customHeight="1">
      <c r="A116" s="846" t="s">
        <v>194</v>
      </c>
      <c r="B116" s="846" t="s">
        <v>194</v>
      </c>
      <c r="C116" s="846" t="s">
        <v>194</v>
      </c>
      <c r="D116" s="846" t="s">
        <v>194</v>
      </c>
      <c r="E116" s="846" t="s">
        <v>194</v>
      </c>
      <c r="F116" s="846" t="s">
        <v>194</v>
      </c>
      <c r="G116" s="846" t="s">
        <v>194</v>
      </c>
      <c r="H116" s="846" t="s">
        <v>194</v>
      </c>
      <c r="I116" s="846" t="s">
        <v>194</v>
      </c>
      <c r="J116" s="846" t="s">
        <v>194</v>
      </c>
      <c r="K116" s="846" t="s">
        <v>194</v>
      </c>
      <c r="L116" s="846" t="s">
        <v>194</v>
      </c>
      <c r="M116" s="846" t="s">
        <v>194</v>
      </c>
      <c r="N116" s="846" t="s">
        <v>194</v>
      </c>
      <c r="O116" s="846" t="s">
        <v>194</v>
      </c>
      <c r="P116" s="846" t="s">
        <v>194</v>
      </c>
      <c r="Q116" s="846" t="s">
        <v>194</v>
      </c>
      <c r="R116" s="846" t="s">
        <v>194</v>
      </c>
      <c r="S116" s="846" t="s">
        <v>194</v>
      </c>
      <c r="T116" s="846" t="s">
        <v>194</v>
      </c>
      <c r="U116" s="846" t="s">
        <v>194</v>
      </c>
      <c r="V116" s="846" t="s">
        <v>194</v>
      </c>
      <c r="W116" s="846" t="s">
        <v>194</v>
      </c>
      <c r="X116" s="846" t="s">
        <v>194</v>
      </c>
      <c r="Y116" s="846" t="s">
        <v>194</v>
      </c>
      <c r="Z116" s="846" t="s">
        <v>194</v>
      </c>
      <c r="AA116" s="846" t="s">
        <v>194</v>
      </c>
      <c r="AB116" s="846" t="s">
        <v>194</v>
      </c>
      <c r="AC116" s="846" t="s">
        <v>194</v>
      </c>
      <c r="AD116" s="846" t="s">
        <v>194</v>
      </c>
      <c r="AE116" s="846" t="s">
        <v>194</v>
      </c>
      <c r="AF116" s="846" t="s">
        <v>194</v>
      </c>
      <c r="AG116" s="846" t="s">
        <v>194</v>
      </c>
      <c r="AH116" s="846" t="s">
        <v>194</v>
      </c>
      <c r="AI116" s="846" t="s">
        <v>194</v>
      </c>
      <c r="AJ116" s="846" t="s">
        <v>194</v>
      </c>
      <c r="AK116" s="846" t="s">
        <v>194</v>
      </c>
      <c r="AL116" s="846" t="s">
        <v>194</v>
      </c>
      <c r="AM116" s="846" t="s">
        <v>194</v>
      </c>
      <c r="AN116" s="846" t="s">
        <v>194</v>
      </c>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row>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5:D6"/>
    <mergeCell ref="E5:E6"/>
    <mergeCell ref="F5:F6"/>
    <mergeCell ref="G5:G6"/>
    <mergeCell ref="H5:H6"/>
    <mergeCell ref="I5:I6"/>
    <mergeCell ref="J5:J6"/>
    <mergeCell ref="K5:K6"/>
  </mergeCells>
  <conditionalFormatting sqref="D10:Q10 D19:Q19 D34:Q34 D48:Q48 D50:Q50 D60:Q60 D69:Q69 D75:Q75 D77:Q77">
    <cfRule type="expression" dxfId="1" priority="1">
      <formula>NOT(SUBTOTAL(109,$A11)=$A11)</formula>
    </cfRule>
  </conditionalFormatting>
  <printOptions/>
  <pageMargins bottom="0.75" footer="0.0" header="0.0" left="0.7" right="0.7" top="0.75"/>
  <pageSetup paperSize="9"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EEAF6"/>
    <outlinePr summaryBelow="0"/>
    <pageSetUpPr/>
  </sheetPr>
  <sheetViews>
    <sheetView showGridLines="0"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4.43" defaultRowHeight="15.0" outlineLevelCol="1"/>
  <cols>
    <col customWidth="1" min="1" max="1" width="1.0"/>
    <col customWidth="1" min="2" max="2" width="2.0"/>
    <col customWidth="1" min="3" max="3" width="50.57"/>
    <col customWidth="1" hidden="1" min="4" max="10" width="12.57" outlineLevel="1"/>
    <col customWidth="1" hidden="1" min="11" max="11" width="10.57" outlineLevel="1"/>
    <col customWidth="1" min="12" max="12" width="2.57"/>
    <col customWidth="1" min="13" max="19" width="14.57"/>
    <col customWidth="1" min="20" max="20" width="1.86"/>
    <col customWidth="1" min="21" max="42" width="14.57"/>
  </cols>
  <sheetData>
    <row r="1" ht="6.0" customHeight="1">
      <c r="A1" s="846"/>
      <c r="B1" s="847"/>
      <c r="C1" s="847"/>
      <c r="D1" s="847"/>
      <c r="E1" s="847"/>
      <c r="F1" s="847"/>
      <c r="G1" s="847"/>
      <c r="H1" s="847"/>
      <c r="I1" s="847"/>
      <c r="J1" s="847"/>
      <c r="K1" s="847"/>
      <c r="L1" s="847"/>
      <c r="M1" s="847"/>
      <c r="N1" s="847"/>
      <c r="O1" s="847"/>
      <c r="P1" s="847"/>
      <c r="Q1" s="847"/>
      <c r="R1" s="847"/>
      <c r="S1" s="847"/>
      <c r="T1" s="847"/>
      <c r="U1" s="846"/>
      <c r="V1" s="846"/>
      <c r="W1" s="846"/>
      <c r="X1" s="846"/>
      <c r="Y1" s="846"/>
      <c r="Z1" s="846"/>
      <c r="AA1" s="846"/>
      <c r="AB1" s="846"/>
      <c r="AC1" s="846"/>
      <c r="AD1" s="846"/>
      <c r="AE1" s="846"/>
      <c r="AF1" s="846"/>
      <c r="AG1" s="846"/>
      <c r="AH1" s="846"/>
      <c r="AI1" s="846"/>
      <c r="AJ1" s="846"/>
      <c r="AK1" s="846"/>
      <c r="AL1" s="846"/>
      <c r="AM1" s="846"/>
      <c r="AN1" s="846"/>
      <c r="AO1" s="846"/>
      <c r="AP1" s="846"/>
    </row>
    <row r="2" ht="39.75" customHeight="1">
      <c r="A2" s="849"/>
      <c r="B2" s="15"/>
      <c r="C2" s="15"/>
      <c r="D2" s="15"/>
      <c r="E2" s="15"/>
      <c r="F2" s="15"/>
      <c r="G2" s="15"/>
      <c r="H2" s="15"/>
      <c r="I2" s="15"/>
      <c r="J2" s="15"/>
      <c r="K2" s="15"/>
      <c r="L2" s="15"/>
      <c r="M2" s="15"/>
      <c r="N2" s="15"/>
      <c r="O2" s="15"/>
      <c r="P2" s="15"/>
      <c r="Q2" s="15"/>
      <c r="R2" s="15"/>
      <c r="S2" s="15"/>
      <c r="T2" s="15"/>
      <c r="U2" s="851"/>
      <c r="V2" s="846"/>
      <c r="W2" s="846"/>
      <c r="X2" s="846"/>
      <c r="Y2" s="846"/>
      <c r="Z2" s="846"/>
      <c r="AA2" s="846"/>
      <c r="AB2" s="846"/>
      <c r="AC2" s="846"/>
      <c r="AD2" s="846"/>
      <c r="AE2" s="846"/>
      <c r="AF2" s="846"/>
      <c r="AG2" s="846"/>
      <c r="AH2" s="846"/>
      <c r="AI2" s="846"/>
      <c r="AJ2" s="846"/>
      <c r="AK2" s="846"/>
      <c r="AL2" s="846"/>
      <c r="AM2" s="846"/>
      <c r="AN2" s="846"/>
      <c r="AO2" s="846"/>
      <c r="AP2" s="846"/>
    </row>
    <row r="3" ht="18.75" customHeight="1">
      <c r="A3" s="849"/>
      <c r="B3" s="15"/>
      <c r="C3" s="852" t="s">
        <v>383</v>
      </c>
      <c r="D3" s="15"/>
      <c r="E3" s="15"/>
      <c r="F3" s="15"/>
      <c r="G3" s="15"/>
      <c r="H3" s="15"/>
      <c r="I3" s="15"/>
      <c r="J3" s="15"/>
      <c r="K3" s="15"/>
      <c r="L3" s="15"/>
      <c r="M3" s="15"/>
      <c r="N3" s="15"/>
      <c r="O3" s="15"/>
      <c r="P3" s="15"/>
      <c r="Q3" s="15"/>
      <c r="R3" s="15"/>
      <c r="S3" s="15"/>
      <c r="T3" s="15"/>
      <c r="U3" s="851"/>
      <c r="V3" s="846"/>
      <c r="W3" s="846"/>
      <c r="X3" s="846"/>
      <c r="Y3" s="846"/>
      <c r="Z3" s="846"/>
      <c r="AA3" s="846"/>
      <c r="AB3" s="846"/>
      <c r="AC3" s="846"/>
      <c r="AD3" s="846"/>
      <c r="AE3" s="846"/>
      <c r="AF3" s="846"/>
      <c r="AG3" s="846"/>
      <c r="AH3" s="846"/>
      <c r="AI3" s="846"/>
      <c r="AJ3" s="846"/>
      <c r="AK3" s="846"/>
      <c r="AL3" s="846"/>
      <c r="AM3" s="846"/>
      <c r="AN3" s="846"/>
      <c r="AO3" s="846"/>
      <c r="AP3" s="846"/>
    </row>
    <row r="4">
      <c r="A4" s="849" t="s">
        <v>194</v>
      </c>
      <c r="B4" s="15"/>
      <c r="C4" s="853" t="s">
        <v>364</v>
      </c>
      <c r="D4" s="854" t="s">
        <v>196</v>
      </c>
      <c r="E4" s="855" t="s">
        <v>194</v>
      </c>
      <c r="F4" s="855" t="s">
        <v>194</v>
      </c>
      <c r="G4" s="855" t="s">
        <v>194</v>
      </c>
      <c r="H4" s="855" t="s">
        <v>194</v>
      </c>
      <c r="I4" s="855" t="s">
        <v>194</v>
      </c>
      <c r="J4" s="855" t="s">
        <v>194</v>
      </c>
      <c r="K4" s="855" t="s">
        <v>194</v>
      </c>
      <c r="L4" s="15"/>
      <c r="M4" s="15"/>
      <c r="N4" s="15"/>
      <c r="O4" s="15"/>
      <c r="P4" s="15"/>
      <c r="Q4" s="15"/>
      <c r="R4" s="15"/>
      <c r="S4" s="15"/>
      <c r="T4" s="15"/>
      <c r="U4" s="851" t="s">
        <v>194</v>
      </c>
      <c r="V4" s="846" t="s">
        <v>194</v>
      </c>
      <c r="W4" s="846" t="s">
        <v>194</v>
      </c>
      <c r="X4" s="846" t="s">
        <v>194</v>
      </c>
      <c r="Y4" s="846" t="s">
        <v>194</v>
      </c>
      <c r="Z4" s="846" t="s">
        <v>194</v>
      </c>
      <c r="AA4" s="846" t="s">
        <v>194</v>
      </c>
      <c r="AB4" s="846" t="s">
        <v>194</v>
      </c>
      <c r="AC4" s="846" t="s">
        <v>194</v>
      </c>
      <c r="AD4" s="846" t="s">
        <v>194</v>
      </c>
      <c r="AE4" s="846" t="s">
        <v>194</v>
      </c>
      <c r="AF4" s="846" t="s">
        <v>194</v>
      </c>
      <c r="AG4" s="846" t="s">
        <v>194</v>
      </c>
      <c r="AH4" s="846" t="s">
        <v>194</v>
      </c>
      <c r="AI4" s="846" t="s">
        <v>194</v>
      </c>
      <c r="AJ4" s="846" t="s">
        <v>194</v>
      </c>
      <c r="AK4" s="846" t="s">
        <v>194</v>
      </c>
      <c r="AL4" s="846" t="s">
        <v>194</v>
      </c>
      <c r="AM4" s="846" t="s">
        <v>194</v>
      </c>
      <c r="AN4" s="846" t="s">
        <v>194</v>
      </c>
      <c r="AO4" s="846" t="s">
        <v>194</v>
      </c>
      <c r="AP4" s="846" t="s">
        <v>194</v>
      </c>
    </row>
    <row r="5">
      <c r="A5" s="849" t="s">
        <v>194</v>
      </c>
      <c r="B5" s="15"/>
      <c r="C5" s="853" t="s">
        <v>359</v>
      </c>
      <c r="D5" s="856" t="s">
        <v>174</v>
      </c>
      <c r="E5" s="856" t="s">
        <v>198</v>
      </c>
      <c r="F5" s="856" t="s">
        <v>199</v>
      </c>
      <c r="G5" s="856" t="s">
        <v>200</v>
      </c>
      <c r="H5" s="856" t="s">
        <v>201</v>
      </c>
      <c r="I5" s="856" t="s">
        <v>202</v>
      </c>
      <c r="J5" s="856" t="s">
        <v>203</v>
      </c>
      <c r="K5" s="856" t="s">
        <v>204</v>
      </c>
      <c r="L5" s="15"/>
      <c r="M5" s="15"/>
      <c r="N5" s="15"/>
      <c r="O5" s="15"/>
      <c r="P5" s="15"/>
      <c r="Q5" s="15"/>
      <c r="R5" s="15"/>
      <c r="S5" s="15"/>
      <c r="T5" s="15"/>
      <c r="U5" s="851" t="s">
        <v>194</v>
      </c>
      <c r="V5" s="846" t="s">
        <v>194</v>
      </c>
      <c r="W5" s="846" t="s">
        <v>194</v>
      </c>
      <c r="X5" s="846" t="s">
        <v>194</v>
      </c>
      <c r="Y5" s="846" t="s">
        <v>194</v>
      </c>
      <c r="Z5" s="846" t="s">
        <v>194</v>
      </c>
      <c r="AA5" s="846" t="s">
        <v>194</v>
      </c>
      <c r="AB5" s="846" t="s">
        <v>194</v>
      </c>
      <c r="AC5" s="846" t="s">
        <v>194</v>
      </c>
      <c r="AD5" s="846" t="s">
        <v>194</v>
      </c>
      <c r="AE5" s="846" t="s">
        <v>194</v>
      </c>
      <c r="AF5" s="846" t="s">
        <v>194</v>
      </c>
      <c r="AG5" s="846" t="s">
        <v>194</v>
      </c>
      <c r="AH5" s="846" t="s">
        <v>194</v>
      </c>
      <c r="AI5" s="846" t="s">
        <v>194</v>
      </c>
      <c r="AJ5" s="846" t="s">
        <v>194</v>
      </c>
      <c r="AK5" s="846" t="s">
        <v>194</v>
      </c>
      <c r="AL5" s="846" t="s">
        <v>194</v>
      </c>
      <c r="AM5" s="846" t="s">
        <v>194</v>
      </c>
      <c r="AN5" s="846" t="s">
        <v>194</v>
      </c>
      <c r="AO5" s="846" t="s">
        <v>194</v>
      </c>
      <c r="AP5" s="846" t="s">
        <v>194</v>
      </c>
    </row>
    <row r="6">
      <c r="A6" s="849" t="s">
        <v>194</v>
      </c>
      <c r="B6" s="15"/>
      <c r="C6" s="859" t="s">
        <v>221</v>
      </c>
      <c r="D6" s="860"/>
      <c r="E6" s="860"/>
      <c r="F6" s="860"/>
      <c r="G6" s="860"/>
      <c r="H6" s="860"/>
      <c r="I6" s="860"/>
      <c r="J6" s="860"/>
      <c r="K6" s="860"/>
      <c r="L6" s="15"/>
      <c r="M6" s="858" t="str">
        <f>HYPERLINK("https://my.pitchbook.com?c=52157-62", "Current")</f>
        <v>Current</v>
      </c>
      <c r="N6" s="858" t="str">
        <f>HYPERLINK("https://my.pitchbook.com?c=52157-62", "Dec-2018")</f>
        <v>Dec-2018</v>
      </c>
      <c r="O6" s="858" t="str">
        <f>HYPERLINK("https://my.pitchbook.com?c=52157-62", "Dec-2017")</f>
        <v>Dec-2017</v>
      </c>
      <c r="P6" s="858" t="str">
        <f>HYPERLINK("https://my.pitchbook.com?c=52157-62", "Sep-2017")</f>
        <v>Sep-2017</v>
      </c>
      <c r="Q6" s="858" t="str">
        <f>HYPERLINK("https://my.pitchbook.com?c=52157-62", "Jun-2017")</f>
        <v>Jun-2017</v>
      </c>
      <c r="R6" s="858" t="str">
        <f>HYPERLINK("https://my.pitchbook.com?c=52157-62", "Mar-2017")</f>
        <v>Mar-2017</v>
      </c>
      <c r="S6" s="858" t="str">
        <f>HYPERLINK("https://my.pitchbook.com?c=52157-62", "Dec-2016")</f>
        <v>Dec-2016</v>
      </c>
      <c r="T6" s="15"/>
      <c r="U6" s="851" t="s">
        <v>194</v>
      </c>
      <c r="V6" s="846" t="s">
        <v>194</v>
      </c>
      <c r="W6" s="846" t="s">
        <v>194</v>
      </c>
      <c r="X6" s="846" t="s">
        <v>194</v>
      </c>
      <c r="Y6" s="846" t="s">
        <v>194</v>
      </c>
      <c r="Z6" s="846" t="s">
        <v>194</v>
      </c>
      <c r="AA6" s="846" t="s">
        <v>194</v>
      </c>
      <c r="AB6" s="846" t="s">
        <v>194</v>
      </c>
      <c r="AC6" s="846" t="s">
        <v>194</v>
      </c>
      <c r="AD6" s="846" t="s">
        <v>194</v>
      </c>
      <c r="AE6" s="846" t="s">
        <v>194</v>
      </c>
      <c r="AF6" s="846" t="s">
        <v>194</v>
      </c>
      <c r="AG6" s="846" t="s">
        <v>194</v>
      </c>
      <c r="AH6" s="846" t="s">
        <v>194</v>
      </c>
      <c r="AI6" s="846" t="s">
        <v>194</v>
      </c>
      <c r="AJ6" s="846" t="s">
        <v>194</v>
      </c>
      <c r="AK6" s="846" t="s">
        <v>194</v>
      </c>
      <c r="AL6" s="846" t="s">
        <v>194</v>
      </c>
      <c r="AM6" s="846" t="s">
        <v>194</v>
      </c>
      <c r="AN6" s="846" t="s">
        <v>194</v>
      </c>
      <c r="AO6" s="846" t="s">
        <v>194</v>
      </c>
      <c r="AP6" s="846" t="s">
        <v>194</v>
      </c>
    </row>
    <row r="7">
      <c r="A7" s="849" t="s">
        <v>194</v>
      </c>
      <c r="B7" s="15"/>
      <c r="C7" s="15"/>
      <c r="D7" s="855" t="s">
        <v>194</v>
      </c>
      <c r="E7" s="855" t="s">
        <v>194</v>
      </c>
      <c r="F7" s="855" t="s">
        <v>194</v>
      </c>
      <c r="G7" s="855" t="s">
        <v>194</v>
      </c>
      <c r="H7" s="855" t="s">
        <v>194</v>
      </c>
      <c r="I7" s="855" t="s">
        <v>194</v>
      </c>
      <c r="J7" s="855" t="s">
        <v>194</v>
      </c>
      <c r="K7" s="855" t="s">
        <v>194</v>
      </c>
      <c r="L7" s="15"/>
      <c r="M7" s="15"/>
      <c r="N7" s="15"/>
      <c r="O7" s="15"/>
      <c r="P7" s="15"/>
      <c r="Q7" s="15"/>
      <c r="R7" s="15"/>
      <c r="S7" s="15"/>
      <c r="T7" s="15"/>
      <c r="U7" s="851" t="s">
        <v>194</v>
      </c>
      <c r="V7" s="846" t="s">
        <v>194</v>
      </c>
      <c r="W7" s="846" t="s">
        <v>194</v>
      </c>
      <c r="X7" s="846" t="s">
        <v>194</v>
      </c>
      <c r="Y7" s="846" t="s">
        <v>194</v>
      </c>
      <c r="Z7" s="846" t="s">
        <v>194</v>
      </c>
      <c r="AA7" s="846" t="s">
        <v>194</v>
      </c>
      <c r="AB7" s="846" t="s">
        <v>194</v>
      </c>
      <c r="AC7" s="846" t="s">
        <v>194</v>
      </c>
      <c r="AD7" s="846" t="s">
        <v>194</v>
      </c>
      <c r="AE7" s="846" t="s">
        <v>194</v>
      </c>
      <c r="AF7" s="846" t="s">
        <v>194</v>
      </c>
      <c r="AG7" s="846" t="s">
        <v>194</v>
      </c>
      <c r="AH7" s="846" t="s">
        <v>194</v>
      </c>
      <c r="AI7" s="846" t="s">
        <v>194</v>
      </c>
      <c r="AJ7" s="846" t="s">
        <v>194</v>
      </c>
      <c r="AK7" s="846" t="s">
        <v>194</v>
      </c>
      <c r="AL7" s="846" t="s">
        <v>194</v>
      </c>
      <c r="AM7" s="846" t="s">
        <v>194</v>
      </c>
      <c r="AN7" s="846" t="s">
        <v>194</v>
      </c>
      <c r="AO7" s="846" t="s">
        <v>194</v>
      </c>
      <c r="AP7" s="846" t="s">
        <v>194</v>
      </c>
    </row>
    <row r="8">
      <c r="A8" s="849" t="s">
        <v>194</v>
      </c>
      <c r="B8" s="15"/>
      <c r="C8" s="15"/>
      <c r="D8" s="855" t="s">
        <v>194</v>
      </c>
      <c r="E8" s="855" t="s">
        <v>194</v>
      </c>
      <c r="F8" s="855" t="s">
        <v>194</v>
      </c>
      <c r="G8" s="855" t="s">
        <v>194</v>
      </c>
      <c r="H8" s="855" t="s">
        <v>194</v>
      </c>
      <c r="I8" s="855" t="s">
        <v>194</v>
      </c>
      <c r="J8" s="855" t="s">
        <v>194</v>
      </c>
      <c r="K8" s="855" t="s">
        <v>194</v>
      </c>
      <c r="L8" s="15"/>
      <c r="M8" s="15"/>
      <c r="N8" s="15"/>
      <c r="O8" s="15"/>
      <c r="P8" s="15"/>
      <c r="Q8" s="15"/>
      <c r="R8" s="15"/>
      <c r="S8" s="15"/>
      <c r="T8" s="15"/>
      <c r="U8" s="851" t="s">
        <v>194</v>
      </c>
      <c r="V8" s="846" t="s">
        <v>194</v>
      </c>
      <c r="W8" s="846" t="s">
        <v>194</v>
      </c>
      <c r="X8" s="846" t="s">
        <v>194</v>
      </c>
      <c r="Y8" s="846" t="s">
        <v>194</v>
      </c>
      <c r="Z8" s="846" t="s">
        <v>194</v>
      </c>
      <c r="AA8" s="846" t="s">
        <v>194</v>
      </c>
      <c r="AB8" s="846" t="s">
        <v>194</v>
      </c>
      <c r="AC8" s="846" t="s">
        <v>194</v>
      </c>
      <c r="AD8" s="846" t="s">
        <v>194</v>
      </c>
      <c r="AE8" s="846" t="s">
        <v>194</v>
      </c>
      <c r="AF8" s="846" t="s">
        <v>194</v>
      </c>
      <c r="AG8" s="846" t="s">
        <v>194</v>
      </c>
      <c r="AH8" s="846" t="s">
        <v>194</v>
      </c>
      <c r="AI8" s="846" t="s">
        <v>194</v>
      </c>
      <c r="AJ8" s="846" t="s">
        <v>194</v>
      </c>
      <c r="AK8" s="846" t="s">
        <v>194</v>
      </c>
      <c r="AL8" s="846" t="s">
        <v>194</v>
      </c>
      <c r="AM8" s="846" t="s">
        <v>194</v>
      </c>
      <c r="AN8" s="846" t="s">
        <v>194</v>
      </c>
      <c r="AO8" s="846" t="s">
        <v>194</v>
      </c>
      <c r="AP8" s="846" t="s">
        <v>194</v>
      </c>
    </row>
    <row r="9">
      <c r="A9" s="849" t="s">
        <v>194</v>
      </c>
      <c r="B9" s="15"/>
      <c r="C9" s="15"/>
      <c r="D9" s="855" t="s">
        <v>194</v>
      </c>
      <c r="E9" s="855" t="s">
        <v>194</v>
      </c>
      <c r="F9" s="855" t="s">
        <v>194</v>
      </c>
      <c r="G9" s="855" t="s">
        <v>194</v>
      </c>
      <c r="H9" s="855" t="s">
        <v>194</v>
      </c>
      <c r="I9" s="855" t="s">
        <v>194</v>
      </c>
      <c r="J9" s="855" t="s">
        <v>194</v>
      </c>
      <c r="K9" s="855" t="s">
        <v>194</v>
      </c>
      <c r="L9" s="15"/>
      <c r="M9" s="15"/>
      <c r="N9" s="15"/>
      <c r="O9" s="15"/>
      <c r="P9" s="15"/>
      <c r="Q9" s="15"/>
      <c r="R9" s="15"/>
      <c r="S9" s="15"/>
      <c r="T9" s="15"/>
      <c r="U9" s="851" t="s">
        <v>194</v>
      </c>
      <c r="V9" s="846" t="s">
        <v>194</v>
      </c>
      <c r="W9" s="846" t="s">
        <v>194</v>
      </c>
      <c r="X9" s="846" t="s">
        <v>194</v>
      </c>
      <c r="Y9" s="846" t="s">
        <v>194</v>
      </c>
      <c r="Z9" s="846" t="s">
        <v>194</v>
      </c>
      <c r="AA9" s="846" t="s">
        <v>194</v>
      </c>
      <c r="AB9" s="846" t="s">
        <v>194</v>
      </c>
      <c r="AC9" s="846" t="s">
        <v>194</v>
      </c>
      <c r="AD9" s="846" t="s">
        <v>194</v>
      </c>
      <c r="AE9" s="846" t="s">
        <v>194</v>
      </c>
      <c r="AF9" s="846" t="s">
        <v>194</v>
      </c>
      <c r="AG9" s="846" t="s">
        <v>194</v>
      </c>
      <c r="AH9" s="846" t="s">
        <v>194</v>
      </c>
      <c r="AI9" s="846" t="s">
        <v>194</v>
      </c>
      <c r="AJ9" s="846" t="s">
        <v>194</v>
      </c>
      <c r="AK9" s="846" t="s">
        <v>194</v>
      </c>
      <c r="AL9" s="846" t="s">
        <v>194</v>
      </c>
      <c r="AM9" s="846" t="s">
        <v>194</v>
      </c>
      <c r="AN9" s="846" t="s">
        <v>194</v>
      </c>
      <c r="AO9" s="846" t="s">
        <v>194</v>
      </c>
      <c r="AP9" s="846" t="s">
        <v>194</v>
      </c>
    </row>
    <row r="10">
      <c r="A10" s="849">
        <v>1.0</v>
      </c>
      <c r="B10" s="15"/>
      <c r="C10" s="855" t="str">
        <f>"Enterprise Value Multiples"</f>
        <v>Enterprise Value Multiples</v>
      </c>
      <c r="D10" s="867" t="s">
        <v>194</v>
      </c>
      <c r="E10" s="867" t="s">
        <v>194</v>
      </c>
      <c r="F10" s="867" t="s">
        <v>194</v>
      </c>
      <c r="G10" s="867" t="s">
        <v>194</v>
      </c>
      <c r="H10" s="867" t="s">
        <v>194</v>
      </c>
      <c r="I10" s="867" t="s">
        <v>194</v>
      </c>
      <c r="J10" s="867" t="s">
        <v>194</v>
      </c>
      <c r="K10" s="867" t="s">
        <v>194</v>
      </c>
      <c r="L10" s="867" t="s">
        <v>194</v>
      </c>
      <c r="M10" s="867" t="s">
        <v>194</v>
      </c>
      <c r="N10" s="867" t="s">
        <v>194</v>
      </c>
      <c r="O10" s="867" t="s">
        <v>194</v>
      </c>
      <c r="P10" s="867" t="s">
        <v>194</v>
      </c>
      <c r="Q10" s="867" t="s">
        <v>194</v>
      </c>
      <c r="R10" s="867" t="s">
        <v>194</v>
      </c>
      <c r="S10" s="867" t="s">
        <v>194</v>
      </c>
      <c r="T10" s="15"/>
      <c r="U10" s="851" t="s">
        <v>194</v>
      </c>
      <c r="V10" s="846" t="s">
        <v>194</v>
      </c>
      <c r="W10" s="846" t="s">
        <v>194</v>
      </c>
      <c r="X10" s="846" t="s">
        <v>194</v>
      </c>
      <c r="Y10" s="846" t="s">
        <v>194</v>
      </c>
      <c r="Z10" s="846" t="s">
        <v>194</v>
      </c>
      <c r="AA10" s="846" t="s">
        <v>194</v>
      </c>
      <c r="AB10" s="846" t="s">
        <v>194</v>
      </c>
      <c r="AC10" s="846" t="s">
        <v>194</v>
      </c>
      <c r="AD10" s="846" t="s">
        <v>194</v>
      </c>
      <c r="AE10" s="846" t="s">
        <v>194</v>
      </c>
      <c r="AF10" s="846" t="s">
        <v>194</v>
      </c>
      <c r="AG10" s="846" t="s">
        <v>194</v>
      </c>
      <c r="AH10" s="846" t="s">
        <v>194</v>
      </c>
      <c r="AI10" s="846" t="s">
        <v>194</v>
      </c>
      <c r="AJ10" s="846" t="s">
        <v>194</v>
      </c>
      <c r="AK10" s="846" t="s">
        <v>194</v>
      </c>
      <c r="AL10" s="846" t="s">
        <v>194</v>
      </c>
      <c r="AM10" s="846" t="s">
        <v>194</v>
      </c>
      <c r="AN10" s="846" t="s">
        <v>194</v>
      </c>
      <c r="AO10" s="846" t="s">
        <v>194</v>
      </c>
      <c r="AP10" s="846" t="s">
        <v>194</v>
      </c>
    </row>
    <row r="11">
      <c r="A11" s="849">
        <v>1.0</v>
      </c>
      <c r="B11" s="15"/>
      <c r="C11" s="869" t="str">
        <f>"    Enterprise Value"</f>
        <v>    Enterprise Value</v>
      </c>
      <c r="D11" s="870">
        <f t="shared" ref="D11:D14" si="1">IF(COUNT(M11:S11)&gt;0,MEDIAN(M11:S11),"")</f>
        <v>1025658.49</v>
      </c>
      <c r="E11" s="870">
        <f t="shared" ref="E11:E14" si="2">IF(COUNT(M11:S11)&gt;0,AVERAGE(M11:S11),"")</f>
        <v>1219051.999</v>
      </c>
      <c r="F11" s="870">
        <f t="shared" ref="F11:F14" si="3">IF(COUNT(M11:S11)&gt;0,MIN(M11:S11),"")</f>
        <v>720559.487</v>
      </c>
      <c r="G11" s="870">
        <f t="shared" ref="G11:G14" si="4">IF(COUNT(M11:S11)&gt;0,MAX(M11:S11),"")</f>
        <v>2284997.736</v>
      </c>
      <c r="H11" s="870">
        <f t="shared" ref="H11:H14" si="5">IF(COUNT(M11:S11)&gt;0,QUARTILE(M11:S11,1),"")</f>
        <v>848264.202</v>
      </c>
      <c r="I11" s="870">
        <f t="shared" ref="I11:I14" si="6">IF(COUNT(M11:S11)&gt;0,QUARTILE(M11:S11,3),"")</f>
        <v>1402809.939</v>
      </c>
      <c r="J11" s="870">
        <f t="shared" ref="J11:J14" si="7">IF(COUNT(M11:S11)&gt;1,STDEV(M11:S11),"")</f>
        <v>565879.0585</v>
      </c>
      <c r="K11" s="871">
        <f t="shared" ref="K11:K14" si="8">IF(COUNT(M11:S11)&gt;1,STDEV(M11:S11)/AVERAGE(M11:S11),"")</f>
        <v>0.4641959973</v>
      </c>
      <c r="L11" s="872" t="s">
        <v>194</v>
      </c>
      <c r="M11" s="872">
        <v>2284997.736</v>
      </c>
      <c r="N11" s="872">
        <v>1675305.007</v>
      </c>
      <c r="O11" s="872">
        <v>1130314.871</v>
      </c>
      <c r="P11" s="872">
        <v>1025658.49</v>
      </c>
      <c r="Q11" s="872">
        <v>784349.262</v>
      </c>
      <c r="R11" s="872">
        <v>912179.142</v>
      </c>
      <c r="S11" s="872">
        <v>720559.487</v>
      </c>
      <c r="T11" s="15"/>
      <c r="U11" s="851" t="s">
        <v>194</v>
      </c>
      <c r="V11" s="846" t="s">
        <v>194</v>
      </c>
      <c r="W11" s="846" t="s">
        <v>194</v>
      </c>
      <c r="X11" s="846" t="s">
        <v>194</v>
      </c>
      <c r="Y11" s="846" t="s">
        <v>194</v>
      </c>
      <c r="Z11" s="846" t="s">
        <v>194</v>
      </c>
      <c r="AA11" s="846" t="s">
        <v>194</v>
      </c>
      <c r="AB11" s="846" t="s">
        <v>194</v>
      </c>
      <c r="AC11" s="846" t="s">
        <v>194</v>
      </c>
      <c r="AD11" s="846" t="s">
        <v>194</v>
      </c>
      <c r="AE11" s="846" t="s">
        <v>194</v>
      </c>
      <c r="AF11" s="846" t="s">
        <v>194</v>
      </c>
      <c r="AG11" s="846" t="s">
        <v>194</v>
      </c>
      <c r="AH11" s="846" t="s">
        <v>194</v>
      </c>
      <c r="AI11" s="846" t="s">
        <v>194</v>
      </c>
      <c r="AJ11" s="846" t="s">
        <v>194</v>
      </c>
      <c r="AK11" s="846" t="s">
        <v>194</v>
      </c>
      <c r="AL11" s="846" t="s">
        <v>194</v>
      </c>
      <c r="AM11" s="846" t="s">
        <v>194</v>
      </c>
      <c r="AN11" s="846" t="s">
        <v>194</v>
      </c>
      <c r="AO11" s="846" t="s">
        <v>194</v>
      </c>
      <c r="AP11" s="846" t="s">
        <v>194</v>
      </c>
    </row>
    <row r="12">
      <c r="A12" s="849">
        <v>1.0</v>
      </c>
      <c r="B12" s="15"/>
      <c r="C12" s="869" t="str">
        <f>"    Enterprise Value to Revenue"</f>
        <v>    Enterprise Value to Revenue</v>
      </c>
      <c r="D12" s="886">
        <f t="shared" si="1"/>
        <v>17.00661876</v>
      </c>
      <c r="E12" s="886">
        <f t="shared" si="2"/>
        <v>17.65556738</v>
      </c>
      <c r="F12" s="886">
        <f t="shared" si="3"/>
        <v>12.24168532</v>
      </c>
      <c r="G12" s="886">
        <f t="shared" si="4"/>
        <v>25.24015335</v>
      </c>
      <c r="H12" s="886">
        <f t="shared" si="5"/>
        <v>15.76059313</v>
      </c>
      <c r="I12" s="886">
        <f t="shared" si="6"/>
        <v>18.789664</v>
      </c>
      <c r="J12" s="886">
        <f t="shared" si="7"/>
        <v>4.077807853</v>
      </c>
      <c r="K12" s="871">
        <f t="shared" si="8"/>
        <v>0.2309644184</v>
      </c>
      <c r="L12" s="887" t="s">
        <v>194</v>
      </c>
      <c r="M12" s="887">
        <v>15.513281255728378</v>
      </c>
      <c r="N12" s="887">
        <v>17.00661875564669</v>
      </c>
      <c r="O12" s="887">
        <v>17.641323370583095</v>
      </c>
      <c r="P12" s="887">
        <v>16.00790501311025</v>
      </c>
      <c r="Q12" s="887">
        <v>12.241685322761892</v>
      </c>
      <c r="R12" s="887">
        <v>25.240153348090757</v>
      </c>
      <c r="S12" s="887">
        <v>19.93800462091865</v>
      </c>
      <c r="T12" s="15"/>
      <c r="U12" s="851" t="s">
        <v>194</v>
      </c>
      <c r="V12" s="846" t="s">
        <v>194</v>
      </c>
      <c r="W12" s="846" t="s">
        <v>194</v>
      </c>
      <c r="X12" s="846" t="s">
        <v>194</v>
      </c>
      <c r="Y12" s="846" t="s">
        <v>194</v>
      </c>
      <c r="Z12" s="846" t="s">
        <v>194</v>
      </c>
      <c r="AA12" s="846" t="s">
        <v>194</v>
      </c>
      <c r="AB12" s="846" t="s">
        <v>194</v>
      </c>
      <c r="AC12" s="846" t="s">
        <v>194</v>
      </c>
      <c r="AD12" s="846" t="s">
        <v>194</v>
      </c>
      <c r="AE12" s="846" t="s">
        <v>194</v>
      </c>
      <c r="AF12" s="846" t="s">
        <v>194</v>
      </c>
      <c r="AG12" s="846" t="s">
        <v>194</v>
      </c>
      <c r="AH12" s="846" t="s">
        <v>194</v>
      </c>
      <c r="AI12" s="846" t="s">
        <v>194</v>
      </c>
      <c r="AJ12" s="846" t="s">
        <v>194</v>
      </c>
      <c r="AK12" s="846" t="s">
        <v>194</v>
      </c>
      <c r="AL12" s="846" t="s">
        <v>194</v>
      </c>
      <c r="AM12" s="846" t="s">
        <v>194</v>
      </c>
      <c r="AN12" s="846" t="s">
        <v>194</v>
      </c>
      <c r="AO12" s="846" t="s">
        <v>194</v>
      </c>
      <c r="AP12" s="846" t="s">
        <v>194</v>
      </c>
    </row>
    <row r="13">
      <c r="A13" s="849">
        <v>1.0</v>
      </c>
      <c r="B13" s="15"/>
      <c r="C13" s="869" t="str">
        <f>"    Enterprise Value to Forward Revenue"</f>
        <v>    Enterprise Value to Forward Revenue</v>
      </c>
      <c r="D13" s="886">
        <f t="shared" si="1"/>
        <v>11.47829486</v>
      </c>
      <c r="E13" s="886">
        <f t="shared" si="2"/>
        <v>11.29614838</v>
      </c>
      <c r="F13" s="886">
        <f t="shared" si="3"/>
        <v>8.087102845</v>
      </c>
      <c r="G13" s="886">
        <f t="shared" si="4"/>
        <v>14.53073806</v>
      </c>
      <c r="H13" s="886">
        <f t="shared" si="5"/>
        <v>10.84988347</v>
      </c>
      <c r="I13" s="886">
        <f t="shared" si="6"/>
        <v>11.63856797</v>
      </c>
      <c r="J13" s="886">
        <f t="shared" si="7"/>
        <v>1.89639931</v>
      </c>
      <c r="K13" s="871">
        <f t="shared" si="8"/>
        <v>0.16788017</v>
      </c>
      <c r="L13" s="887" t="s">
        <v>194</v>
      </c>
      <c r="M13" s="887">
        <v>11.124623836416747</v>
      </c>
      <c r="N13" s="887">
        <v>11.6229239131943</v>
      </c>
      <c r="O13" s="887">
        <v>11.65421203540615</v>
      </c>
      <c r="P13" s="887">
        <v>10.575143108397182</v>
      </c>
      <c r="Q13" s="887">
        <v>8.08710284513485</v>
      </c>
      <c r="R13" s="887">
        <v>14.53073805635067</v>
      </c>
      <c r="S13" s="887">
        <v>11.478294862847692</v>
      </c>
      <c r="T13" s="15"/>
      <c r="U13" s="851" t="s">
        <v>194</v>
      </c>
      <c r="V13" s="846" t="s">
        <v>194</v>
      </c>
      <c r="W13" s="846" t="s">
        <v>194</v>
      </c>
      <c r="X13" s="846" t="s">
        <v>194</v>
      </c>
      <c r="Y13" s="846" t="s">
        <v>194</v>
      </c>
      <c r="Z13" s="846" t="s">
        <v>194</v>
      </c>
      <c r="AA13" s="846" t="s">
        <v>194</v>
      </c>
      <c r="AB13" s="846" t="s">
        <v>194</v>
      </c>
      <c r="AC13" s="846" t="s">
        <v>194</v>
      </c>
      <c r="AD13" s="846" t="s">
        <v>194</v>
      </c>
      <c r="AE13" s="846" t="s">
        <v>194</v>
      </c>
      <c r="AF13" s="846" t="s">
        <v>194</v>
      </c>
      <c r="AG13" s="846" t="s">
        <v>194</v>
      </c>
      <c r="AH13" s="846" t="s">
        <v>194</v>
      </c>
      <c r="AI13" s="846" t="s">
        <v>194</v>
      </c>
      <c r="AJ13" s="846" t="s">
        <v>194</v>
      </c>
      <c r="AK13" s="846" t="s">
        <v>194</v>
      </c>
      <c r="AL13" s="846" t="s">
        <v>194</v>
      </c>
      <c r="AM13" s="846" t="s">
        <v>194</v>
      </c>
      <c r="AN13" s="846" t="s">
        <v>194</v>
      </c>
      <c r="AO13" s="846" t="s">
        <v>194</v>
      </c>
      <c r="AP13" s="846" t="s">
        <v>194</v>
      </c>
    </row>
    <row r="14">
      <c r="A14" s="849">
        <v>1.0</v>
      </c>
      <c r="B14" s="15"/>
      <c r="C14" s="869" t="str">
        <f>"    Enterprise Value to Assets"</f>
        <v>    Enterprise Value to Assets</v>
      </c>
      <c r="D14" s="886">
        <f t="shared" si="1"/>
        <v>14.0794948</v>
      </c>
      <c r="E14" s="886">
        <f t="shared" si="2"/>
        <v>16.39938707</v>
      </c>
      <c r="F14" s="886">
        <f t="shared" si="3"/>
        <v>5.906199968</v>
      </c>
      <c r="G14" s="886">
        <f t="shared" si="4"/>
        <v>33.31552747</v>
      </c>
      <c r="H14" s="886">
        <f t="shared" si="5"/>
        <v>8.044854842</v>
      </c>
      <c r="I14" s="886">
        <f t="shared" si="6"/>
        <v>22.70238879</v>
      </c>
      <c r="J14" s="886">
        <f t="shared" si="7"/>
        <v>10.38562519</v>
      </c>
      <c r="K14" s="871">
        <f t="shared" si="8"/>
        <v>0.6332934969</v>
      </c>
      <c r="L14" s="887" t="s">
        <v>194</v>
      </c>
      <c r="M14" s="887">
        <v>19.087776593434132</v>
      </c>
      <c r="N14" s="887">
        <v>14.079494802040525</v>
      </c>
      <c r="O14" s="887">
        <v>8.456959118626314</v>
      </c>
      <c r="P14" s="887">
        <v>7.632750565577187</v>
      </c>
      <c r="Q14" s="887">
        <v>5.906199968373732</v>
      </c>
      <c r="R14" s="887">
        <v>33.31552746530314</v>
      </c>
      <c r="S14" s="887">
        <v>26.317000986121258</v>
      </c>
      <c r="T14" s="15"/>
      <c r="U14" s="851" t="s">
        <v>194</v>
      </c>
      <c r="V14" s="846" t="s">
        <v>194</v>
      </c>
      <c r="W14" s="846" t="s">
        <v>194</v>
      </c>
      <c r="X14" s="846" t="s">
        <v>194</v>
      </c>
      <c r="Y14" s="846" t="s">
        <v>194</v>
      </c>
      <c r="Z14" s="846" t="s">
        <v>194</v>
      </c>
      <c r="AA14" s="846" t="s">
        <v>194</v>
      </c>
      <c r="AB14" s="846" t="s">
        <v>194</v>
      </c>
      <c r="AC14" s="846" t="s">
        <v>194</v>
      </c>
      <c r="AD14" s="846" t="s">
        <v>194</v>
      </c>
      <c r="AE14" s="846" t="s">
        <v>194</v>
      </c>
      <c r="AF14" s="846" t="s">
        <v>194</v>
      </c>
      <c r="AG14" s="846" t="s">
        <v>194</v>
      </c>
      <c r="AH14" s="846" t="s">
        <v>194</v>
      </c>
      <c r="AI14" s="846" t="s">
        <v>194</v>
      </c>
      <c r="AJ14" s="846" t="s">
        <v>194</v>
      </c>
      <c r="AK14" s="846" t="s">
        <v>194</v>
      </c>
      <c r="AL14" s="846" t="s">
        <v>194</v>
      </c>
      <c r="AM14" s="846" t="s">
        <v>194</v>
      </c>
      <c r="AN14" s="846" t="s">
        <v>194</v>
      </c>
      <c r="AO14" s="846" t="s">
        <v>194</v>
      </c>
      <c r="AP14" s="846" t="s">
        <v>194</v>
      </c>
    </row>
    <row r="15">
      <c r="A15" s="849">
        <v>1.0</v>
      </c>
      <c r="B15" s="15"/>
      <c r="C15" s="855" t="str">
        <f>"Price Multiples"</f>
        <v>Price Multiples</v>
      </c>
      <c r="D15" s="867" t="s">
        <v>194</v>
      </c>
      <c r="E15" s="867" t="s">
        <v>194</v>
      </c>
      <c r="F15" s="867" t="s">
        <v>194</v>
      </c>
      <c r="G15" s="867" t="s">
        <v>194</v>
      </c>
      <c r="H15" s="867" t="s">
        <v>194</v>
      </c>
      <c r="I15" s="867" t="s">
        <v>194</v>
      </c>
      <c r="J15" s="867" t="s">
        <v>194</v>
      </c>
      <c r="K15" s="867" t="s">
        <v>194</v>
      </c>
      <c r="L15" s="867" t="s">
        <v>194</v>
      </c>
      <c r="M15" s="867" t="s">
        <v>194</v>
      </c>
      <c r="N15" s="867" t="s">
        <v>194</v>
      </c>
      <c r="O15" s="867" t="s">
        <v>194</v>
      </c>
      <c r="P15" s="867" t="s">
        <v>194</v>
      </c>
      <c r="Q15" s="867" t="s">
        <v>194</v>
      </c>
      <c r="R15" s="867" t="s">
        <v>194</v>
      </c>
      <c r="S15" s="867" t="s">
        <v>194</v>
      </c>
      <c r="T15" s="15"/>
      <c r="U15" s="851" t="s">
        <v>194</v>
      </c>
      <c r="V15" s="846" t="s">
        <v>194</v>
      </c>
      <c r="W15" s="846" t="s">
        <v>194</v>
      </c>
      <c r="X15" s="846" t="s">
        <v>194</v>
      </c>
      <c r="Y15" s="846" t="s">
        <v>194</v>
      </c>
      <c r="Z15" s="846" t="s">
        <v>194</v>
      </c>
      <c r="AA15" s="846" t="s">
        <v>194</v>
      </c>
      <c r="AB15" s="846" t="s">
        <v>194</v>
      </c>
      <c r="AC15" s="846" t="s">
        <v>194</v>
      </c>
      <c r="AD15" s="846" t="s">
        <v>194</v>
      </c>
      <c r="AE15" s="846" t="s">
        <v>194</v>
      </c>
      <c r="AF15" s="846" t="s">
        <v>194</v>
      </c>
      <c r="AG15" s="846" t="s">
        <v>194</v>
      </c>
      <c r="AH15" s="846" t="s">
        <v>194</v>
      </c>
      <c r="AI15" s="846" t="s">
        <v>194</v>
      </c>
      <c r="AJ15" s="846" t="s">
        <v>194</v>
      </c>
      <c r="AK15" s="846" t="s">
        <v>194</v>
      </c>
      <c r="AL15" s="846" t="s">
        <v>194</v>
      </c>
      <c r="AM15" s="846" t="s">
        <v>194</v>
      </c>
      <c r="AN15" s="846" t="s">
        <v>194</v>
      </c>
      <c r="AO15" s="846" t="s">
        <v>194</v>
      </c>
      <c r="AP15" s="846" t="s">
        <v>194</v>
      </c>
    </row>
    <row r="16">
      <c r="A16" s="849">
        <v>1.0</v>
      </c>
      <c r="B16" s="15"/>
      <c r="C16" s="869" t="str">
        <f>"    Stock Price"</f>
        <v>    Stock Price</v>
      </c>
      <c r="D16" s="871">
        <f t="shared" ref="D16:D21" si="9">IF(COUNT(M16:S16)&gt;0,MEDIAN(M16:S16),"")</f>
        <v>48.5</v>
      </c>
      <c r="E16" s="871">
        <f t="shared" ref="E16:E21" si="10">IF(COUNT(M16:S16)&gt;0,AVERAGE(M16:S16),"")</f>
        <v>51.82</v>
      </c>
      <c r="F16" s="871">
        <f t="shared" ref="F16:F21" si="11">IF(COUNT(M16:S16)&gt;0,MIN(M16:S16),"")</f>
        <v>27</v>
      </c>
      <c r="G16" s="871">
        <f t="shared" ref="G16:G21" si="12">IF(COUNT(M16:S16)&gt;0,MAX(M16:S16),"")</f>
        <v>89.89</v>
      </c>
      <c r="H16" s="871">
        <f t="shared" ref="H16:H21" si="13">IF(COUNT(M16:S16)&gt;0,QUARTILE(M16:S16,1),"")</f>
        <v>36.83</v>
      </c>
      <c r="I16" s="871">
        <f t="shared" ref="I16:I21" si="14">IF(COUNT(M16:S16)&gt;0,QUARTILE(M16:S16,3),"")</f>
        <v>61.845</v>
      </c>
      <c r="J16" s="871">
        <f t="shared" ref="J16:J21" si="15">IF(COUNT(M16:S16)&gt;1,STDEV(M16:S16),"")</f>
        <v>22.01490026</v>
      </c>
      <c r="K16" s="871">
        <f t="shared" ref="K16:K21" si="16">IF(COUNT(M16:S16)&gt;1,STDEV(M16:S16)/AVERAGE(M16:S16),"")</f>
        <v>0.4248340459</v>
      </c>
      <c r="L16" s="928" t="s">
        <v>194</v>
      </c>
      <c r="M16" s="928">
        <v>89.89</v>
      </c>
      <c r="N16" s="928">
        <v>71.29</v>
      </c>
      <c r="O16" s="928">
        <v>52.4</v>
      </c>
      <c r="P16" s="928">
        <v>48.5</v>
      </c>
      <c r="Q16" s="928">
        <v>38.0</v>
      </c>
      <c r="R16" s="928">
        <v>35.66</v>
      </c>
      <c r="S16" s="928">
        <v>27.0</v>
      </c>
      <c r="T16" s="15"/>
      <c r="U16" s="851" t="s">
        <v>194</v>
      </c>
      <c r="V16" s="846" t="s">
        <v>194</v>
      </c>
      <c r="W16" s="846" t="s">
        <v>194</v>
      </c>
      <c r="X16" s="846" t="s">
        <v>194</v>
      </c>
      <c r="Y16" s="846" t="s">
        <v>194</v>
      </c>
      <c r="Z16" s="846" t="s">
        <v>194</v>
      </c>
      <c r="AA16" s="846" t="s">
        <v>194</v>
      </c>
      <c r="AB16" s="846" t="s">
        <v>194</v>
      </c>
      <c r="AC16" s="846" t="s">
        <v>194</v>
      </c>
      <c r="AD16" s="846" t="s">
        <v>194</v>
      </c>
      <c r="AE16" s="846" t="s">
        <v>194</v>
      </c>
      <c r="AF16" s="846" t="s">
        <v>194</v>
      </c>
      <c r="AG16" s="846" t="s">
        <v>194</v>
      </c>
      <c r="AH16" s="846" t="s">
        <v>194</v>
      </c>
      <c r="AI16" s="846" t="s">
        <v>194</v>
      </c>
      <c r="AJ16" s="846" t="s">
        <v>194</v>
      </c>
      <c r="AK16" s="846" t="s">
        <v>194</v>
      </c>
      <c r="AL16" s="846" t="s">
        <v>194</v>
      </c>
      <c r="AM16" s="846" t="s">
        <v>194</v>
      </c>
      <c r="AN16" s="846" t="s">
        <v>194</v>
      </c>
      <c r="AO16" s="846" t="s">
        <v>194</v>
      </c>
      <c r="AP16" s="846" t="s">
        <v>194</v>
      </c>
    </row>
    <row r="17">
      <c r="A17" s="905">
        <v>1.0</v>
      </c>
      <c r="B17" s="906"/>
      <c r="C17" s="912" t="str">
        <f>"    Market Cap"</f>
        <v>    Market Cap</v>
      </c>
      <c r="D17" s="913">
        <f t="shared" si="9"/>
        <v>1102400.49</v>
      </c>
      <c r="E17" s="913">
        <f t="shared" si="10"/>
        <v>1227164.714</v>
      </c>
      <c r="F17" s="913">
        <f t="shared" si="11"/>
        <v>597428.487</v>
      </c>
      <c r="G17" s="913">
        <f t="shared" si="12"/>
        <v>2328441.736</v>
      </c>
      <c r="H17" s="913">
        <f t="shared" si="13"/>
        <v>816862.702</v>
      </c>
      <c r="I17" s="913">
        <f t="shared" si="14"/>
        <v>1464078.439</v>
      </c>
      <c r="J17" s="913">
        <f t="shared" si="15"/>
        <v>606971.6509</v>
      </c>
      <c r="K17" s="914">
        <f t="shared" si="16"/>
        <v>0.4946130248</v>
      </c>
      <c r="L17" s="913" t="s">
        <v>194</v>
      </c>
      <c r="M17" s="913">
        <v>2328441.736</v>
      </c>
      <c r="N17" s="913">
        <v>1723928.007</v>
      </c>
      <c r="O17" s="913">
        <v>1204228.871</v>
      </c>
      <c r="P17" s="913">
        <v>1102400.49</v>
      </c>
      <c r="Q17" s="913">
        <v>844677.262</v>
      </c>
      <c r="R17" s="913">
        <v>789048.142</v>
      </c>
      <c r="S17" s="913">
        <v>597428.487</v>
      </c>
      <c r="T17" s="906"/>
      <c r="U17" s="911" t="s">
        <v>194</v>
      </c>
      <c r="V17" s="906" t="s">
        <v>194</v>
      </c>
      <c r="W17" s="906" t="s">
        <v>194</v>
      </c>
      <c r="X17" s="906" t="s">
        <v>194</v>
      </c>
      <c r="Y17" s="906" t="s">
        <v>194</v>
      </c>
      <c r="Z17" s="906" t="s">
        <v>194</v>
      </c>
      <c r="AA17" s="906" t="s">
        <v>194</v>
      </c>
      <c r="AB17" s="906" t="s">
        <v>194</v>
      </c>
      <c r="AC17" s="906" t="s">
        <v>194</v>
      </c>
      <c r="AD17" s="906" t="s">
        <v>194</v>
      </c>
      <c r="AE17" s="906" t="s">
        <v>194</v>
      </c>
      <c r="AF17" s="906" t="s">
        <v>194</v>
      </c>
      <c r="AG17" s="906" t="s">
        <v>194</v>
      </c>
      <c r="AH17" s="906" t="s">
        <v>194</v>
      </c>
      <c r="AI17" s="906" t="s">
        <v>194</v>
      </c>
      <c r="AJ17" s="906" t="s">
        <v>194</v>
      </c>
      <c r="AK17" s="906" t="s">
        <v>194</v>
      </c>
      <c r="AL17" s="906" t="s">
        <v>194</v>
      </c>
      <c r="AM17" s="906" t="s">
        <v>194</v>
      </c>
      <c r="AN17" s="906" t="s">
        <v>194</v>
      </c>
      <c r="AO17" s="906" t="s">
        <v>194</v>
      </c>
      <c r="AP17" s="906" t="s">
        <v>194</v>
      </c>
    </row>
    <row r="18">
      <c r="A18" s="905">
        <v>1.0</v>
      </c>
      <c r="B18" s="906"/>
      <c r="C18" s="912" t="str">
        <f>"    Price To Sales"</f>
        <v>    Price To Sales</v>
      </c>
      <c r="D18" s="993">
        <f t="shared" si="9"/>
        <v>10.77866821</v>
      </c>
      <c r="E18" s="993">
        <f t="shared" si="10"/>
        <v>9.632254866</v>
      </c>
      <c r="F18" s="993">
        <f t="shared" si="11"/>
        <v>3.134944843</v>
      </c>
      <c r="G18" s="993">
        <f t="shared" si="12"/>
        <v>16.37517528</v>
      </c>
      <c r="H18" s="993">
        <f t="shared" si="13"/>
        <v>4.162051772</v>
      </c>
      <c r="I18" s="993">
        <f t="shared" si="14"/>
        <v>14.40644609</v>
      </c>
      <c r="J18" s="993">
        <f t="shared" si="15"/>
        <v>5.694124257</v>
      </c>
      <c r="K18" s="914">
        <f t="shared" si="16"/>
        <v>0.5911517434</v>
      </c>
      <c r="L18" s="993" t="s">
        <v>194</v>
      </c>
      <c r="M18" s="993">
        <v>14.577065954390228</v>
      </c>
      <c r="N18" s="993">
        <v>16.375175281750906</v>
      </c>
      <c r="O18" s="993">
        <v>4.322923941815458</v>
      </c>
      <c r="P18" s="993">
        <v>4.0011796026345365</v>
      </c>
      <c r="Q18" s="993">
        <v>3.134944843301286</v>
      </c>
      <c r="R18" s="993">
        <v>14.235826231876036</v>
      </c>
      <c r="S18" s="993">
        <v>10.778668206972883</v>
      </c>
      <c r="T18" s="906"/>
      <c r="U18" s="911" t="s">
        <v>194</v>
      </c>
      <c r="V18" s="906" t="s">
        <v>194</v>
      </c>
      <c r="W18" s="906" t="s">
        <v>194</v>
      </c>
      <c r="X18" s="906" t="s">
        <v>194</v>
      </c>
      <c r="Y18" s="906" t="s">
        <v>194</v>
      </c>
      <c r="Z18" s="906" t="s">
        <v>194</v>
      </c>
      <c r="AA18" s="906" t="s">
        <v>194</v>
      </c>
      <c r="AB18" s="906" t="s">
        <v>194</v>
      </c>
      <c r="AC18" s="906" t="s">
        <v>194</v>
      </c>
      <c r="AD18" s="906" t="s">
        <v>194</v>
      </c>
      <c r="AE18" s="906" t="s">
        <v>194</v>
      </c>
      <c r="AF18" s="906" t="s">
        <v>194</v>
      </c>
      <c r="AG18" s="906" t="s">
        <v>194</v>
      </c>
      <c r="AH18" s="906" t="s">
        <v>194</v>
      </c>
      <c r="AI18" s="906" t="s">
        <v>194</v>
      </c>
      <c r="AJ18" s="906" t="s">
        <v>194</v>
      </c>
      <c r="AK18" s="906" t="s">
        <v>194</v>
      </c>
      <c r="AL18" s="906" t="s">
        <v>194</v>
      </c>
      <c r="AM18" s="906" t="s">
        <v>194</v>
      </c>
      <c r="AN18" s="906" t="s">
        <v>194</v>
      </c>
      <c r="AO18" s="906" t="s">
        <v>194</v>
      </c>
      <c r="AP18" s="906" t="s">
        <v>194</v>
      </c>
    </row>
    <row r="19">
      <c r="A19" s="905">
        <v>1.0</v>
      </c>
      <c r="B19" s="906"/>
      <c r="C19" s="912" t="str">
        <f>"    Price to Cash"</f>
        <v>    Price to Cash</v>
      </c>
      <c r="D19" s="993">
        <f t="shared" si="9"/>
        <v>19.87141853</v>
      </c>
      <c r="E19" s="993">
        <f t="shared" si="10"/>
        <v>30.18164559</v>
      </c>
      <c r="F19" s="993">
        <f t="shared" si="11"/>
        <v>2.160273026</v>
      </c>
      <c r="G19" s="993">
        <f t="shared" si="12"/>
        <v>89.30441938</v>
      </c>
      <c r="H19" s="993">
        <f t="shared" si="13"/>
        <v>2.456043571</v>
      </c>
      <c r="I19" s="993">
        <f t="shared" si="14"/>
        <v>47.51166053</v>
      </c>
      <c r="J19" s="993">
        <f t="shared" si="15"/>
        <v>34.96081096</v>
      </c>
      <c r="K19" s="914">
        <f t="shared" si="16"/>
        <v>1.158346746</v>
      </c>
      <c r="L19" s="993" t="s">
        <v>194</v>
      </c>
      <c r="M19" s="993">
        <v>27.406402302949846</v>
      </c>
      <c r="N19" s="993">
        <v>19.871418527784964</v>
      </c>
      <c r="O19" s="993">
        <v>2.577838009790965</v>
      </c>
      <c r="P19" s="993">
        <v>2.3342491327269252</v>
      </c>
      <c r="Q19" s="993">
        <v>2.1602730264573027</v>
      </c>
      <c r="R19" s="993">
        <v>89.30441937510848</v>
      </c>
      <c r="S19" s="993">
        <v>67.61691876410346</v>
      </c>
      <c r="T19" s="906"/>
      <c r="U19" s="911" t="s">
        <v>194</v>
      </c>
      <c r="V19" s="906" t="s">
        <v>194</v>
      </c>
      <c r="W19" s="906" t="s">
        <v>194</v>
      </c>
      <c r="X19" s="906" t="s">
        <v>194</v>
      </c>
      <c r="Y19" s="906" t="s">
        <v>194</v>
      </c>
      <c r="Z19" s="906" t="s">
        <v>194</v>
      </c>
      <c r="AA19" s="906" t="s">
        <v>194</v>
      </c>
      <c r="AB19" s="906" t="s">
        <v>194</v>
      </c>
      <c r="AC19" s="906" t="s">
        <v>194</v>
      </c>
      <c r="AD19" s="906" t="s">
        <v>194</v>
      </c>
      <c r="AE19" s="906" t="s">
        <v>194</v>
      </c>
      <c r="AF19" s="906" t="s">
        <v>194</v>
      </c>
      <c r="AG19" s="906" t="s">
        <v>194</v>
      </c>
      <c r="AH19" s="906" t="s">
        <v>194</v>
      </c>
      <c r="AI19" s="906" t="s">
        <v>194</v>
      </c>
      <c r="AJ19" s="906" t="s">
        <v>194</v>
      </c>
      <c r="AK19" s="906" t="s">
        <v>194</v>
      </c>
      <c r="AL19" s="906" t="s">
        <v>194</v>
      </c>
      <c r="AM19" s="906" t="s">
        <v>194</v>
      </c>
      <c r="AN19" s="906" t="s">
        <v>194</v>
      </c>
      <c r="AO19" s="906" t="s">
        <v>194</v>
      </c>
      <c r="AP19" s="906" t="s">
        <v>194</v>
      </c>
    </row>
    <row r="20">
      <c r="A20" s="905">
        <v>1.0</v>
      </c>
      <c r="B20" s="906"/>
      <c r="C20" s="912" t="str">
        <f>"    Price to Book (PB)"</f>
        <v>    Price to Book (PB)</v>
      </c>
      <c r="D20" s="993">
        <f t="shared" si="9"/>
        <v>14.10285717</v>
      </c>
      <c r="E20" s="993">
        <f t="shared" si="10"/>
        <v>20.7062088</v>
      </c>
      <c r="F20" s="993">
        <f t="shared" si="11"/>
        <v>9.457601017</v>
      </c>
      <c r="G20" s="993">
        <f t="shared" si="12"/>
        <v>40.4069953</v>
      </c>
      <c r="H20" s="993">
        <f t="shared" si="13"/>
        <v>12.60952679</v>
      </c>
      <c r="I20" s="993">
        <f t="shared" si="14"/>
        <v>26.95406372</v>
      </c>
      <c r="J20" s="993">
        <f t="shared" si="15"/>
        <v>12.87292089</v>
      </c>
      <c r="K20" s="914">
        <f t="shared" si="16"/>
        <v>0.6216937643</v>
      </c>
      <c r="L20" s="993" t="s">
        <v>194</v>
      </c>
      <c r="M20" s="993">
        <v>40.40699530134872</v>
      </c>
      <c r="N20" s="993">
        <v>26.954063720722978</v>
      </c>
      <c r="O20" s="993">
        <v>14.10285716895619</v>
      </c>
      <c r="P20" s="993">
        <v>12.609526794088714</v>
      </c>
      <c r="Q20" s="993">
        <v>9.457601016660695</v>
      </c>
      <c r="R20" s="993" t="s">
        <v>194</v>
      </c>
      <c r="S20" s="993" t="s">
        <v>194</v>
      </c>
      <c r="T20" s="906"/>
      <c r="U20" s="911" t="s">
        <v>194</v>
      </c>
      <c r="V20" s="906" t="s">
        <v>194</v>
      </c>
      <c r="W20" s="906" t="s">
        <v>194</v>
      </c>
      <c r="X20" s="906" t="s">
        <v>194</v>
      </c>
      <c r="Y20" s="906" t="s">
        <v>194</v>
      </c>
      <c r="Z20" s="906" t="s">
        <v>194</v>
      </c>
      <c r="AA20" s="906" t="s">
        <v>194</v>
      </c>
      <c r="AB20" s="906" t="s">
        <v>194</v>
      </c>
      <c r="AC20" s="906" t="s">
        <v>194</v>
      </c>
      <c r="AD20" s="906" t="s">
        <v>194</v>
      </c>
      <c r="AE20" s="906" t="s">
        <v>194</v>
      </c>
      <c r="AF20" s="906" t="s">
        <v>194</v>
      </c>
      <c r="AG20" s="906" t="s">
        <v>194</v>
      </c>
      <c r="AH20" s="906" t="s">
        <v>194</v>
      </c>
      <c r="AI20" s="906" t="s">
        <v>194</v>
      </c>
      <c r="AJ20" s="906" t="s">
        <v>194</v>
      </c>
      <c r="AK20" s="906" t="s">
        <v>194</v>
      </c>
      <c r="AL20" s="906" t="s">
        <v>194</v>
      </c>
      <c r="AM20" s="906" t="s">
        <v>194</v>
      </c>
      <c r="AN20" s="906" t="s">
        <v>194</v>
      </c>
      <c r="AO20" s="906" t="s">
        <v>194</v>
      </c>
      <c r="AP20" s="906" t="s">
        <v>194</v>
      </c>
    </row>
    <row r="21" ht="15.75" customHeight="1">
      <c r="A21" s="905">
        <v>1.0</v>
      </c>
      <c r="B21" s="906"/>
      <c r="C21" s="912" t="str">
        <f>"    Price to Tangible Book Value"</f>
        <v>    Price to Tangible Book Value</v>
      </c>
      <c r="D21" s="993">
        <f t="shared" si="9"/>
        <v>14.24667705</v>
      </c>
      <c r="E21" s="993">
        <f t="shared" si="10"/>
        <v>20.98223045</v>
      </c>
      <c r="F21" s="993">
        <f t="shared" si="11"/>
        <v>9.549771193</v>
      </c>
      <c r="G21" s="993">
        <f t="shared" si="12"/>
        <v>41.05730953</v>
      </c>
      <c r="H21" s="993">
        <f t="shared" si="13"/>
        <v>12.73509183</v>
      </c>
      <c r="I21" s="993">
        <f t="shared" si="14"/>
        <v>27.32230264</v>
      </c>
      <c r="J21" s="993">
        <f t="shared" si="15"/>
        <v>13.1081026</v>
      </c>
      <c r="K21" s="914">
        <f t="shared" si="16"/>
        <v>0.624723984</v>
      </c>
      <c r="L21" s="993" t="s">
        <v>194</v>
      </c>
      <c r="M21" s="993">
        <v>41.05730952744586</v>
      </c>
      <c r="N21" s="993">
        <v>27.322302641213394</v>
      </c>
      <c r="O21" s="993">
        <v>14.2466770475706</v>
      </c>
      <c r="P21" s="993">
        <v>12.735091833787717</v>
      </c>
      <c r="Q21" s="993">
        <v>9.549771192764272</v>
      </c>
      <c r="R21" s="993" t="s">
        <v>194</v>
      </c>
      <c r="S21" s="993" t="s">
        <v>194</v>
      </c>
      <c r="T21" s="906"/>
      <c r="U21" s="911" t="s">
        <v>194</v>
      </c>
      <c r="V21" s="906" t="s">
        <v>194</v>
      </c>
      <c r="W21" s="906" t="s">
        <v>194</v>
      </c>
      <c r="X21" s="906" t="s">
        <v>194</v>
      </c>
      <c r="Y21" s="906" t="s">
        <v>194</v>
      </c>
      <c r="Z21" s="906" t="s">
        <v>194</v>
      </c>
      <c r="AA21" s="906" t="s">
        <v>194</v>
      </c>
      <c r="AB21" s="906" t="s">
        <v>194</v>
      </c>
      <c r="AC21" s="906" t="s">
        <v>194</v>
      </c>
      <c r="AD21" s="906" t="s">
        <v>194</v>
      </c>
      <c r="AE21" s="906" t="s">
        <v>194</v>
      </c>
      <c r="AF21" s="906" t="s">
        <v>194</v>
      </c>
      <c r="AG21" s="906" t="s">
        <v>194</v>
      </c>
      <c r="AH21" s="906" t="s">
        <v>194</v>
      </c>
      <c r="AI21" s="906" t="s">
        <v>194</v>
      </c>
      <c r="AJ21" s="906" t="s">
        <v>194</v>
      </c>
      <c r="AK21" s="906" t="s">
        <v>194</v>
      </c>
      <c r="AL21" s="906" t="s">
        <v>194</v>
      </c>
      <c r="AM21" s="906" t="s">
        <v>194</v>
      </c>
      <c r="AN21" s="906" t="s">
        <v>194</v>
      </c>
      <c r="AO21" s="906" t="s">
        <v>194</v>
      </c>
      <c r="AP21" s="906" t="s">
        <v>194</v>
      </c>
    </row>
    <row r="22" ht="15.75" customHeight="1">
      <c r="A22" s="849">
        <v>1.0</v>
      </c>
      <c r="B22" s="15"/>
      <c r="C22" s="855" t="str">
        <f>"Price Yields"</f>
        <v>Price Yields</v>
      </c>
      <c r="D22" s="867" t="s">
        <v>194</v>
      </c>
      <c r="E22" s="867" t="s">
        <v>194</v>
      </c>
      <c r="F22" s="867" t="s">
        <v>194</v>
      </c>
      <c r="G22" s="867" t="s">
        <v>194</v>
      </c>
      <c r="H22" s="867" t="s">
        <v>194</v>
      </c>
      <c r="I22" s="867" t="s">
        <v>194</v>
      </c>
      <c r="J22" s="867" t="s">
        <v>194</v>
      </c>
      <c r="K22" s="867" t="s">
        <v>194</v>
      </c>
      <c r="L22" s="867" t="s">
        <v>194</v>
      </c>
      <c r="M22" s="867" t="s">
        <v>194</v>
      </c>
      <c r="N22" s="867" t="s">
        <v>194</v>
      </c>
      <c r="O22" s="867" t="s">
        <v>194</v>
      </c>
      <c r="P22" s="867" t="s">
        <v>194</v>
      </c>
      <c r="Q22" s="867" t="s">
        <v>194</v>
      </c>
      <c r="R22" s="867" t="s">
        <v>194</v>
      </c>
      <c r="S22" s="867" t="s">
        <v>194</v>
      </c>
      <c r="T22" s="15"/>
      <c r="U22" s="851" t="s">
        <v>194</v>
      </c>
      <c r="V22" s="846" t="s">
        <v>194</v>
      </c>
      <c r="W22" s="846" t="s">
        <v>194</v>
      </c>
      <c r="X22" s="846" t="s">
        <v>194</v>
      </c>
      <c r="Y22" s="846" t="s">
        <v>194</v>
      </c>
      <c r="Z22" s="846" t="s">
        <v>194</v>
      </c>
      <c r="AA22" s="846" t="s">
        <v>194</v>
      </c>
      <c r="AB22" s="846" t="s">
        <v>194</v>
      </c>
      <c r="AC22" s="846" t="s">
        <v>194</v>
      </c>
      <c r="AD22" s="846" t="s">
        <v>194</v>
      </c>
      <c r="AE22" s="846" t="s">
        <v>194</v>
      </c>
      <c r="AF22" s="846" t="s">
        <v>194</v>
      </c>
      <c r="AG22" s="846" t="s">
        <v>194</v>
      </c>
      <c r="AH22" s="846" t="s">
        <v>194</v>
      </c>
      <c r="AI22" s="846" t="s">
        <v>194</v>
      </c>
      <c r="AJ22" s="846" t="s">
        <v>194</v>
      </c>
      <c r="AK22" s="846" t="s">
        <v>194</v>
      </c>
      <c r="AL22" s="846" t="s">
        <v>194</v>
      </c>
      <c r="AM22" s="846" t="s">
        <v>194</v>
      </c>
      <c r="AN22" s="846" t="s">
        <v>194</v>
      </c>
      <c r="AO22" s="846" t="s">
        <v>194</v>
      </c>
      <c r="AP22" s="846" t="s">
        <v>194</v>
      </c>
    </row>
    <row r="23" ht="15.75" customHeight="1">
      <c r="A23" s="849">
        <v>1.0</v>
      </c>
      <c r="B23" s="15"/>
      <c r="C23" s="869" t="str">
        <f>"    Earnings Yield"</f>
        <v>    Earnings Yield</v>
      </c>
      <c r="D23" s="938">
        <f t="shared" ref="D23:D30" si="17">IF(COUNT(M23:S23)&gt;0,MEDIAN(M23:S23),"")</f>
        <v>-0.05814814815</v>
      </c>
      <c r="E23" s="938">
        <f t="shared" ref="E23:E30" si="18">IF(COUNT(M23:S23)&gt;0,AVERAGE(M23:S23),"")</f>
        <v>-0.05766495751</v>
      </c>
      <c r="F23" s="938">
        <f t="shared" ref="F23:F30" si="19">IF(COUNT(M23:S23)&gt;0,MIN(M23:S23),"")</f>
        <v>-0.1039473684</v>
      </c>
      <c r="G23" s="938">
        <f t="shared" ref="G23:G30" si="20">IF(COUNT(M23:S23)&gt;0,MAX(M23:S23),"")</f>
        <v>-0.01823537663</v>
      </c>
      <c r="H23" s="938">
        <f t="shared" ref="H23:H30" si="21">IF(COUNT(M23:S23)&gt;0,QUARTILE(M23:S23,1),"")</f>
        <v>-0.07841248918</v>
      </c>
      <c r="I23" s="938">
        <f t="shared" ref="I23:I30" si="22">IF(COUNT(M23:S23)&gt;0,QUARTILE(M23:S23,3),"")</f>
        <v>-0.03324941552</v>
      </c>
      <c r="J23" s="938">
        <f t="shared" ref="J23:J30" si="23">IF(COUNT(M23:S23)&gt;1,STDEV(M23:S23),"")</f>
        <v>0.03162495129</v>
      </c>
      <c r="K23" s="871">
        <f t="shared" ref="K23:K30" si="24">IF(COUNT(M23:S23)&gt;1,STDEV(M23:S23)/AVERAGE(M23:S23),"")</f>
        <v>-0.5484258145</v>
      </c>
      <c r="L23" s="939" t="s">
        <v>194</v>
      </c>
      <c r="M23" s="939">
        <v>-0.02247191011235955</v>
      </c>
      <c r="N23" s="939">
        <v>-0.018235376630663488</v>
      </c>
      <c r="O23" s="939">
        <v>-0.07538167938931298</v>
      </c>
      <c r="P23" s="939">
        <v>-0.08144329896907217</v>
      </c>
      <c r="Q23" s="939">
        <v>-0.10394736842105264</v>
      </c>
      <c r="R23" s="939">
        <v>-0.044026920919798096</v>
      </c>
      <c r="S23" s="939">
        <v>-0.05814814814814815</v>
      </c>
      <c r="T23" s="15"/>
      <c r="U23" s="851" t="s">
        <v>194</v>
      </c>
      <c r="V23" s="846" t="s">
        <v>194</v>
      </c>
      <c r="W23" s="846" t="s">
        <v>194</v>
      </c>
      <c r="X23" s="846" t="s">
        <v>194</v>
      </c>
      <c r="Y23" s="846" t="s">
        <v>194</v>
      </c>
      <c r="Z23" s="846" t="s">
        <v>194</v>
      </c>
      <c r="AA23" s="846" t="s">
        <v>194</v>
      </c>
      <c r="AB23" s="846" t="s">
        <v>194</v>
      </c>
      <c r="AC23" s="846" t="s">
        <v>194</v>
      </c>
      <c r="AD23" s="846" t="s">
        <v>194</v>
      </c>
      <c r="AE23" s="846" t="s">
        <v>194</v>
      </c>
      <c r="AF23" s="846" t="s">
        <v>194</v>
      </c>
      <c r="AG23" s="846" t="s">
        <v>194</v>
      </c>
      <c r="AH23" s="846" t="s">
        <v>194</v>
      </c>
      <c r="AI23" s="846" t="s">
        <v>194</v>
      </c>
      <c r="AJ23" s="846" t="s">
        <v>194</v>
      </c>
      <c r="AK23" s="846" t="s">
        <v>194</v>
      </c>
      <c r="AL23" s="846" t="s">
        <v>194</v>
      </c>
      <c r="AM23" s="846" t="s">
        <v>194</v>
      </c>
      <c r="AN23" s="846" t="s">
        <v>194</v>
      </c>
      <c r="AO23" s="846" t="s">
        <v>194</v>
      </c>
      <c r="AP23" s="846" t="s">
        <v>194</v>
      </c>
    </row>
    <row r="24" ht="15.75" customHeight="1">
      <c r="A24" s="849">
        <v>1.0</v>
      </c>
      <c r="B24" s="15"/>
      <c r="C24" s="869" t="str">
        <f>"    Forward Earnings Yield"</f>
        <v>    Forward Earnings Yield</v>
      </c>
      <c r="D24" s="938">
        <f t="shared" si="17"/>
        <v>-0.02609061579</v>
      </c>
      <c r="E24" s="938">
        <f t="shared" si="18"/>
        <v>-0.03147079432</v>
      </c>
      <c r="F24" s="938">
        <f t="shared" si="19"/>
        <v>-0.05614962963</v>
      </c>
      <c r="G24" s="938">
        <f t="shared" si="20"/>
        <v>-0.01830014462</v>
      </c>
      <c r="H24" s="938">
        <f t="shared" si="21"/>
        <v>-0.03665160729</v>
      </c>
      <c r="I24" s="938">
        <f t="shared" si="22"/>
        <v>-0.02322597781</v>
      </c>
      <c r="J24" s="938">
        <f t="shared" si="23"/>
        <v>0.01336309572</v>
      </c>
      <c r="K24" s="871">
        <f t="shared" si="24"/>
        <v>-0.4246189525</v>
      </c>
      <c r="L24" s="939" t="s">
        <v>194</v>
      </c>
      <c r="M24" s="939">
        <v>-0.018300144621203693</v>
      </c>
      <c r="N24" s="939">
        <v>-0.026090615794641604</v>
      </c>
      <c r="O24" s="939">
        <v>-0.02232824427480916</v>
      </c>
      <c r="P24" s="939">
        <v>-0.024123711340206185</v>
      </c>
      <c r="Q24" s="939">
        <v>-0.030789473684210523</v>
      </c>
      <c r="R24" s="939">
        <v>-0.04251374088614695</v>
      </c>
      <c r="S24" s="939">
        <v>-0.05614962962962963</v>
      </c>
      <c r="T24" s="15"/>
      <c r="U24" s="851" t="s">
        <v>194</v>
      </c>
      <c r="V24" s="846" t="s">
        <v>194</v>
      </c>
      <c r="W24" s="846" t="s">
        <v>194</v>
      </c>
      <c r="X24" s="846" t="s">
        <v>194</v>
      </c>
      <c r="Y24" s="846" t="s">
        <v>194</v>
      </c>
      <c r="Z24" s="846" t="s">
        <v>194</v>
      </c>
      <c r="AA24" s="846" t="s">
        <v>194</v>
      </c>
      <c r="AB24" s="846" t="s">
        <v>194</v>
      </c>
      <c r="AC24" s="846" t="s">
        <v>194</v>
      </c>
      <c r="AD24" s="846" t="s">
        <v>194</v>
      </c>
      <c r="AE24" s="846" t="s">
        <v>194</v>
      </c>
      <c r="AF24" s="846" t="s">
        <v>194</v>
      </c>
      <c r="AG24" s="846" t="s">
        <v>194</v>
      </c>
      <c r="AH24" s="846" t="s">
        <v>194</v>
      </c>
      <c r="AI24" s="846" t="s">
        <v>194</v>
      </c>
      <c r="AJ24" s="846" t="s">
        <v>194</v>
      </c>
      <c r="AK24" s="846" t="s">
        <v>194</v>
      </c>
      <c r="AL24" s="846" t="s">
        <v>194</v>
      </c>
      <c r="AM24" s="846" t="s">
        <v>194</v>
      </c>
      <c r="AN24" s="846" t="s">
        <v>194</v>
      </c>
      <c r="AO24" s="846" t="s">
        <v>194</v>
      </c>
      <c r="AP24" s="846" t="s">
        <v>194</v>
      </c>
    </row>
    <row r="25" ht="15.75" customHeight="1">
      <c r="A25" s="849">
        <v>1.0</v>
      </c>
      <c r="B25" s="15"/>
      <c r="C25" s="869" t="str">
        <f>"    Sales Yield"</f>
        <v>    Sales Yield</v>
      </c>
      <c r="D25" s="938">
        <f t="shared" si="17"/>
        <v>0.09277584028</v>
      </c>
      <c r="E25" s="938">
        <f t="shared" si="18"/>
        <v>0.1561323135</v>
      </c>
      <c r="F25" s="938">
        <f t="shared" si="19"/>
        <v>0.0610680486</v>
      </c>
      <c r="G25" s="938">
        <f t="shared" si="20"/>
        <v>0.3189848785</v>
      </c>
      <c r="H25" s="938">
        <f t="shared" si="21"/>
        <v>0.06942310942</v>
      </c>
      <c r="I25" s="938">
        <f t="shared" si="22"/>
        <v>0.2406256042</v>
      </c>
      <c r="J25" s="938">
        <f t="shared" si="23"/>
        <v>0.1072860486</v>
      </c>
      <c r="K25" s="871">
        <f t="shared" si="24"/>
        <v>0.6871482667</v>
      </c>
      <c r="L25" s="939" t="s">
        <v>194</v>
      </c>
      <c r="M25" s="939">
        <v>0.06860091071336796</v>
      </c>
      <c r="N25" s="939">
        <v>0.061068048603695656</v>
      </c>
      <c r="O25" s="939">
        <v>0.23132491190211396</v>
      </c>
      <c r="P25" s="939">
        <v>0.2499262965705314</v>
      </c>
      <c r="Q25" s="939">
        <v>0.3189848785176519</v>
      </c>
      <c r="R25" s="939">
        <v>0.07024530811993603</v>
      </c>
      <c r="S25" s="939">
        <v>0.09277584027988588</v>
      </c>
      <c r="T25" s="15"/>
      <c r="U25" s="851" t="s">
        <v>194</v>
      </c>
      <c r="V25" s="846" t="s">
        <v>194</v>
      </c>
      <c r="W25" s="846" t="s">
        <v>194</v>
      </c>
      <c r="X25" s="846" t="s">
        <v>194</v>
      </c>
      <c r="Y25" s="846" t="s">
        <v>194</v>
      </c>
      <c r="Z25" s="846" t="s">
        <v>194</v>
      </c>
      <c r="AA25" s="846" t="s">
        <v>194</v>
      </c>
      <c r="AB25" s="846" t="s">
        <v>194</v>
      </c>
      <c r="AC25" s="846" t="s">
        <v>194</v>
      </c>
      <c r="AD25" s="846" t="s">
        <v>194</v>
      </c>
      <c r="AE25" s="846" t="s">
        <v>194</v>
      </c>
      <c r="AF25" s="846" t="s">
        <v>194</v>
      </c>
      <c r="AG25" s="846" t="s">
        <v>194</v>
      </c>
      <c r="AH25" s="846" t="s">
        <v>194</v>
      </c>
      <c r="AI25" s="846" t="s">
        <v>194</v>
      </c>
      <c r="AJ25" s="846" t="s">
        <v>194</v>
      </c>
      <c r="AK25" s="846" t="s">
        <v>194</v>
      </c>
      <c r="AL25" s="846" t="s">
        <v>194</v>
      </c>
      <c r="AM25" s="846" t="s">
        <v>194</v>
      </c>
      <c r="AN25" s="846" t="s">
        <v>194</v>
      </c>
      <c r="AO25" s="846" t="s">
        <v>194</v>
      </c>
      <c r="AP25" s="846" t="s">
        <v>194</v>
      </c>
    </row>
    <row r="26" ht="15.75" customHeight="1">
      <c r="A26" s="849">
        <v>1.0</v>
      </c>
      <c r="B26" s="15"/>
      <c r="C26" s="869" t="str">
        <f>"    Book Value Yield"</f>
        <v>    Book Value Yield</v>
      </c>
      <c r="D26" s="938">
        <f t="shared" si="17"/>
        <v>0.03710015715</v>
      </c>
      <c r="E26" s="938">
        <f t="shared" si="18"/>
        <v>-0.04364222673</v>
      </c>
      <c r="F26" s="938">
        <f t="shared" si="19"/>
        <v>-0.3548943591</v>
      </c>
      <c r="G26" s="938">
        <f t="shared" si="20"/>
        <v>0.1057350588</v>
      </c>
      <c r="H26" s="938">
        <f t="shared" si="21"/>
        <v>-0.1218245893</v>
      </c>
      <c r="I26" s="938">
        <f t="shared" si="22"/>
        <v>0.07510636728</v>
      </c>
      <c r="J26" s="938">
        <f t="shared" si="23"/>
        <v>0.1866996853</v>
      </c>
      <c r="K26" s="871">
        <f t="shared" si="24"/>
        <v>-4.277959658</v>
      </c>
      <c r="L26" s="939" t="s">
        <v>194</v>
      </c>
      <c r="M26" s="939">
        <v>0.024748190073084243</v>
      </c>
      <c r="N26" s="939">
        <v>0.03710015715482538</v>
      </c>
      <c r="O26" s="939">
        <v>0.07090761737282872</v>
      </c>
      <c r="P26" s="939">
        <v>0.07930511718082832</v>
      </c>
      <c r="Q26" s="939">
        <v>0.10573505884191779</v>
      </c>
      <c r="R26" s="939">
        <v>-0.2683973686025361</v>
      </c>
      <c r="S26" s="939">
        <v>-0.35489435909673994</v>
      </c>
      <c r="T26" s="15"/>
      <c r="U26" s="851" t="s">
        <v>194</v>
      </c>
      <c r="V26" s="846" t="s">
        <v>194</v>
      </c>
      <c r="W26" s="846" t="s">
        <v>194</v>
      </c>
      <c r="X26" s="846" t="s">
        <v>194</v>
      </c>
      <c r="Y26" s="846" t="s">
        <v>194</v>
      </c>
      <c r="Z26" s="846" t="s">
        <v>194</v>
      </c>
      <c r="AA26" s="846" t="s">
        <v>194</v>
      </c>
      <c r="AB26" s="846" t="s">
        <v>194</v>
      </c>
      <c r="AC26" s="846" t="s">
        <v>194</v>
      </c>
      <c r="AD26" s="846" t="s">
        <v>194</v>
      </c>
      <c r="AE26" s="846" t="s">
        <v>194</v>
      </c>
      <c r="AF26" s="846" t="s">
        <v>194</v>
      </c>
      <c r="AG26" s="846" t="s">
        <v>194</v>
      </c>
      <c r="AH26" s="846" t="s">
        <v>194</v>
      </c>
      <c r="AI26" s="846" t="s">
        <v>194</v>
      </c>
      <c r="AJ26" s="846" t="s">
        <v>194</v>
      </c>
      <c r="AK26" s="846" t="s">
        <v>194</v>
      </c>
      <c r="AL26" s="846" t="s">
        <v>194</v>
      </c>
      <c r="AM26" s="846" t="s">
        <v>194</v>
      </c>
      <c r="AN26" s="846" t="s">
        <v>194</v>
      </c>
      <c r="AO26" s="846" t="s">
        <v>194</v>
      </c>
      <c r="AP26" s="846" t="s">
        <v>194</v>
      </c>
    </row>
    <row r="27" ht="15.75" customHeight="1">
      <c r="A27" s="849">
        <v>1.0</v>
      </c>
      <c r="B27" s="15"/>
      <c r="C27" s="869" t="str">
        <f>"    Free Cash Flow Yield"</f>
        <v>    Free Cash Flow Yield</v>
      </c>
      <c r="D27" s="938">
        <f t="shared" si="17"/>
        <v>-0.04577974596</v>
      </c>
      <c r="E27" s="938">
        <f t="shared" si="18"/>
        <v>-0.03840308371</v>
      </c>
      <c r="F27" s="938">
        <f t="shared" si="19"/>
        <v>-0.06312786021</v>
      </c>
      <c r="G27" s="938">
        <f t="shared" si="20"/>
        <v>-0.006442245491</v>
      </c>
      <c r="H27" s="938">
        <f t="shared" si="21"/>
        <v>-0.05162625398</v>
      </c>
      <c r="I27" s="938">
        <f t="shared" si="22"/>
        <v>-0.02510961317</v>
      </c>
      <c r="J27" s="938">
        <f t="shared" si="23"/>
        <v>0.02193788374</v>
      </c>
      <c r="K27" s="871">
        <f t="shared" si="24"/>
        <v>-0.5712531814</v>
      </c>
      <c r="L27" s="939" t="s">
        <v>194</v>
      </c>
      <c r="M27" s="939">
        <v>-0.009490942261458538</v>
      </c>
      <c r="N27" s="939">
        <v>-0.006442245491169387</v>
      </c>
      <c r="O27" s="939">
        <v>-0.045779745956405375</v>
      </c>
      <c r="P27" s="939">
        <v>-0.04946100387867302</v>
      </c>
      <c r="Q27" s="939">
        <v>-0.06312786021356952</v>
      </c>
      <c r="R27" s="939">
        <v>-0.04072828407153125</v>
      </c>
      <c r="S27" s="939">
        <v>-0.05379150407373349</v>
      </c>
      <c r="T27" s="15"/>
      <c r="U27" s="851" t="s">
        <v>194</v>
      </c>
      <c r="V27" s="846" t="s">
        <v>194</v>
      </c>
      <c r="W27" s="846" t="s">
        <v>194</v>
      </c>
      <c r="X27" s="846" t="s">
        <v>194</v>
      </c>
      <c r="Y27" s="846" t="s">
        <v>194</v>
      </c>
      <c r="Z27" s="846" t="s">
        <v>194</v>
      </c>
      <c r="AA27" s="846" t="s">
        <v>194</v>
      </c>
      <c r="AB27" s="846" t="s">
        <v>194</v>
      </c>
      <c r="AC27" s="846" t="s">
        <v>194</v>
      </c>
      <c r="AD27" s="846" t="s">
        <v>194</v>
      </c>
      <c r="AE27" s="846" t="s">
        <v>194</v>
      </c>
      <c r="AF27" s="846" t="s">
        <v>194</v>
      </c>
      <c r="AG27" s="846" t="s">
        <v>194</v>
      </c>
      <c r="AH27" s="846" t="s">
        <v>194</v>
      </c>
      <c r="AI27" s="846" t="s">
        <v>194</v>
      </c>
      <c r="AJ27" s="846" t="s">
        <v>194</v>
      </c>
      <c r="AK27" s="846" t="s">
        <v>194</v>
      </c>
      <c r="AL27" s="846" t="s">
        <v>194</v>
      </c>
      <c r="AM27" s="846" t="s">
        <v>194</v>
      </c>
      <c r="AN27" s="846" t="s">
        <v>194</v>
      </c>
      <c r="AO27" s="846" t="s">
        <v>194</v>
      </c>
      <c r="AP27" s="846" t="s">
        <v>194</v>
      </c>
    </row>
    <row r="28" ht="15.75" customHeight="1">
      <c r="A28" s="849">
        <v>1.0</v>
      </c>
      <c r="B28" s="15"/>
      <c r="C28" s="869" t="str">
        <f>"    Cash Flow Yield"</f>
        <v>    Cash Flow Yield</v>
      </c>
      <c r="D28" s="938">
        <f t="shared" si="17"/>
        <v>-0.03725489266</v>
      </c>
      <c r="E28" s="938">
        <f t="shared" si="18"/>
        <v>-0.03166159297</v>
      </c>
      <c r="F28" s="938">
        <f t="shared" si="19"/>
        <v>-0.04937216007</v>
      </c>
      <c r="G28" s="938">
        <f t="shared" si="20"/>
        <v>-0.00423407782</v>
      </c>
      <c r="H28" s="938">
        <f t="shared" si="21"/>
        <v>-0.04394369822</v>
      </c>
      <c r="I28" s="938">
        <f t="shared" si="22"/>
        <v>-0.02144131188</v>
      </c>
      <c r="J28" s="938">
        <f t="shared" si="23"/>
        <v>0.01859998337</v>
      </c>
      <c r="K28" s="871">
        <f t="shared" si="24"/>
        <v>-0.5874620204</v>
      </c>
      <c r="L28" s="939" t="s">
        <v>194</v>
      </c>
      <c r="M28" s="939">
        <v>-0.0070783855378175895</v>
      </c>
      <c r="N28" s="939">
        <v>-0.004234077819927532</v>
      </c>
      <c r="O28" s="939">
        <v>-0.035804238221582976</v>
      </c>
      <c r="P28" s="939">
        <v>-0.03868334191362779</v>
      </c>
      <c r="Q28" s="939">
        <v>-0.04937216007397231</v>
      </c>
      <c r="R28" s="939">
        <v>-0.03725489266006679</v>
      </c>
      <c r="S28" s="939">
        <v>-0.04920405452807339</v>
      </c>
      <c r="T28" s="15"/>
      <c r="U28" s="851" t="s">
        <v>194</v>
      </c>
      <c r="V28" s="846" t="s">
        <v>194</v>
      </c>
      <c r="W28" s="846" t="s">
        <v>194</v>
      </c>
      <c r="X28" s="846" t="s">
        <v>194</v>
      </c>
      <c r="Y28" s="846" t="s">
        <v>194</v>
      </c>
      <c r="Z28" s="846" t="s">
        <v>194</v>
      </c>
      <c r="AA28" s="846" t="s">
        <v>194</v>
      </c>
      <c r="AB28" s="846" t="s">
        <v>194</v>
      </c>
      <c r="AC28" s="846" t="s">
        <v>194</v>
      </c>
      <c r="AD28" s="846" t="s">
        <v>194</v>
      </c>
      <c r="AE28" s="846" t="s">
        <v>194</v>
      </c>
      <c r="AF28" s="846" t="s">
        <v>194</v>
      </c>
      <c r="AG28" s="846" t="s">
        <v>194</v>
      </c>
      <c r="AH28" s="846" t="s">
        <v>194</v>
      </c>
      <c r="AI28" s="846" t="s">
        <v>194</v>
      </c>
      <c r="AJ28" s="846" t="s">
        <v>194</v>
      </c>
      <c r="AK28" s="846" t="s">
        <v>194</v>
      </c>
      <c r="AL28" s="846" t="s">
        <v>194</v>
      </c>
      <c r="AM28" s="846" t="s">
        <v>194</v>
      </c>
      <c r="AN28" s="846" t="s">
        <v>194</v>
      </c>
      <c r="AO28" s="846" t="s">
        <v>194</v>
      </c>
      <c r="AP28" s="846" t="s">
        <v>194</v>
      </c>
    </row>
    <row r="29" ht="15.75" customHeight="1">
      <c r="A29" s="849">
        <v>1.0</v>
      </c>
      <c r="B29" s="15"/>
      <c r="C29" s="869" t="str">
        <f>"    Buyback Yield"</f>
        <v>    Buyback Yield</v>
      </c>
      <c r="D29" s="938">
        <f t="shared" si="17"/>
        <v>0</v>
      </c>
      <c r="E29" s="938">
        <f t="shared" si="18"/>
        <v>0</v>
      </c>
      <c r="F29" s="938">
        <f t="shared" si="19"/>
        <v>0</v>
      </c>
      <c r="G29" s="938">
        <f t="shared" si="20"/>
        <v>0</v>
      </c>
      <c r="H29" s="938">
        <f t="shared" si="21"/>
        <v>0</v>
      </c>
      <c r="I29" s="938">
        <f t="shared" si="22"/>
        <v>0</v>
      </c>
      <c r="J29" s="938">
        <f t="shared" si="23"/>
        <v>0</v>
      </c>
      <c r="K29" s="871" t="str">
        <f t="shared" si="24"/>
        <v>#DIV/0!</v>
      </c>
      <c r="L29" s="939" t="s">
        <v>194</v>
      </c>
      <c r="M29" s="939">
        <v>0.0</v>
      </c>
      <c r="N29" s="939">
        <v>0.0</v>
      </c>
      <c r="O29" s="939" t="s">
        <v>194</v>
      </c>
      <c r="P29" s="939" t="s">
        <v>194</v>
      </c>
      <c r="Q29" s="939" t="s">
        <v>194</v>
      </c>
      <c r="R29" s="939" t="s">
        <v>194</v>
      </c>
      <c r="S29" s="939" t="s">
        <v>194</v>
      </c>
      <c r="T29" s="15"/>
      <c r="U29" s="851" t="s">
        <v>194</v>
      </c>
      <c r="V29" s="846" t="s">
        <v>194</v>
      </c>
      <c r="W29" s="846" t="s">
        <v>194</v>
      </c>
      <c r="X29" s="846" t="s">
        <v>194</v>
      </c>
      <c r="Y29" s="846" t="s">
        <v>194</v>
      </c>
      <c r="Z29" s="846" t="s">
        <v>194</v>
      </c>
      <c r="AA29" s="846" t="s">
        <v>194</v>
      </c>
      <c r="AB29" s="846" t="s">
        <v>194</v>
      </c>
      <c r="AC29" s="846" t="s">
        <v>194</v>
      </c>
      <c r="AD29" s="846" t="s">
        <v>194</v>
      </c>
      <c r="AE29" s="846" t="s">
        <v>194</v>
      </c>
      <c r="AF29" s="846" t="s">
        <v>194</v>
      </c>
      <c r="AG29" s="846" t="s">
        <v>194</v>
      </c>
      <c r="AH29" s="846" t="s">
        <v>194</v>
      </c>
      <c r="AI29" s="846" t="s">
        <v>194</v>
      </c>
      <c r="AJ29" s="846" t="s">
        <v>194</v>
      </c>
      <c r="AK29" s="846" t="s">
        <v>194</v>
      </c>
      <c r="AL29" s="846" t="s">
        <v>194</v>
      </c>
      <c r="AM29" s="846" t="s">
        <v>194</v>
      </c>
      <c r="AN29" s="846" t="s">
        <v>194</v>
      </c>
      <c r="AO29" s="846" t="s">
        <v>194</v>
      </c>
      <c r="AP29" s="846" t="s">
        <v>194</v>
      </c>
    </row>
    <row r="30" ht="15.75" customHeight="1">
      <c r="A30" s="849">
        <v>1.0</v>
      </c>
      <c r="B30" s="15"/>
      <c r="C30" s="869" t="str">
        <f>"    Total Yield"</f>
        <v>    Total Yield</v>
      </c>
      <c r="D30" s="938">
        <f t="shared" si="17"/>
        <v>0</v>
      </c>
      <c r="E30" s="938">
        <f t="shared" si="18"/>
        <v>0</v>
      </c>
      <c r="F30" s="938">
        <f t="shared" si="19"/>
        <v>0</v>
      </c>
      <c r="G30" s="938">
        <f t="shared" si="20"/>
        <v>0</v>
      </c>
      <c r="H30" s="938">
        <f t="shared" si="21"/>
        <v>0</v>
      </c>
      <c r="I30" s="938">
        <f t="shared" si="22"/>
        <v>0</v>
      </c>
      <c r="J30" s="938">
        <f t="shared" si="23"/>
        <v>0</v>
      </c>
      <c r="K30" s="871" t="str">
        <f t="shared" si="24"/>
        <v>#DIV/0!</v>
      </c>
      <c r="L30" s="939" t="s">
        <v>194</v>
      </c>
      <c r="M30" s="939">
        <v>0.0</v>
      </c>
      <c r="N30" s="939">
        <v>0.0</v>
      </c>
      <c r="O30" s="939" t="s">
        <v>194</v>
      </c>
      <c r="P30" s="939" t="s">
        <v>194</v>
      </c>
      <c r="Q30" s="939" t="s">
        <v>194</v>
      </c>
      <c r="R30" s="939" t="s">
        <v>194</v>
      </c>
      <c r="S30" s="939" t="s">
        <v>194</v>
      </c>
      <c r="T30" s="15"/>
      <c r="U30" s="851" t="s">
        <v>194</v>
      </c>
      <c r="V30" s="846" t="s">
        <v>194</v>
      </c>
      <c r="W30" s="846" t="s">
        <v>194</v>
      </c>
      <c r="X30" s="846" t="s">
        <v>194</v>
      </c>
      <c r="Y30" s="846" t="s">
        <v>194</v>
      </c>
      <c r="Z30" s="846" t="s">
        <v>194</v>
      </c>
      <c r="AA30" s="846" t="s">
        <v>194</v>
      </c>
      <c r="AB30" s="846" t="s">
        <v>194</v>
      </c>
      <c r="AC30" s="846" t="s">
        <v>194</v>
      </c>
      <c r="AD30" s="846" t="s">
        <v>194</v>
      </c>
      <c r="AE30" s="846" t="s">
        <v>194</v>
      </c>
      <c r="AF30" s="846" t="s">
        <v>194</v>
      </c>
      <c r="AG30" s="846" t="s">
        <v>194</v>
      </c>
      <c r="AH30" s="846" t="s">
        <v>194</v>
      </c>
      <c r="AI30" s="846" t="s">
        <v>194</v>
      </c>
      <c r="AJ30" s="846" t="s">
        <v>194</v>
      </c>
      <c r="AK30" s="846" t="s">
        <v>194</v>
      </c>
      <c r="AL30" s="846" t="s">
        <v>194</v>
      </c>
      <c r="AM30" s="846" t="s">
        <v>194</v>
      </c>
      <c r="AN30" s="846" t="s">
        <v>194</v>
      </c>
      <c r="AO30" s="846" t="s">
        <v>194</v>
      </c>
      <c r="AP30" s="846" t="s">
        <v>194</v>
      </c>
    </row>
    <row r="31" ht="15.75" customHeight="1">
      <c r="A31" s="849" t="s">
        <v>194</v>
      </c>
      <c r="B31" s="15"/>
      <c r="C31" s="15"/>
      <c r="D31" s="15"/>
      <c r="E31" s="15"/>
      <c r="F31" s="15"/>
      <c r="G31" s="15"/>
      <c r="H31" s="15"/>
      <c r="I31" s="15"/>
      <c r="J31" s="15"/>
      <c r="K31" s="15"/>
      <c r="L31" s="15"/>
      <c r="M31" s="15"/>
      <c r="N31" s="15"/>
      <c r="O31" s="15"/>
      <c r="P31" s="15"/>
      <c r="Q31" s="15"/>
      <c r="R31" s="15"/>
      <c r="S31" s="15"/>
      <c r="T31" s="15"/>
      <c r="U31" s="851" t="s">
        <v>194</v>
      </c>
      <c r="V31" s="846" t="s">
        <v>194</v>
      </c>
      <c r="W31" s="846" t="s">
        <v>194</v>
      </c>
      <c r="X31" s="846" t="s">
        <v>194</v>
      </c>
      <c r="Y31" s="846" t="s">
        <v>194</v>
      </c>
      <c r="Z31" s="846" t="s">
        <v>194</v>
      </c>
      <c r="AA31" s="846" t="s">
        <v>194</v>
      </c>
      <c r="AB31" s="846" t="s">
        <v>194</v>
      </c>
      <c r="AC31" s="846" t="s">
        <v>194</v>
      </c>
      <c r="AD31" s="846" t="s">
        <v>194</v>
      </c>
      <c r="AE31" s="846" t="s">
        <v>194</v>
      </c>
      <c r="AF31" s="846" t="s">
        <v>194</v>
      </c>
      <c r="AG31" s="846" t="s">
        <v>194</v>
      </c>
      <c r="AH31" s="846" t="s">
        <v>194</v>
      </c>
      <c r="AI31" s="846" t="s">
        <v>194</v>
      </c>
      <c r="AJ31" s="846" t="s">
        <v>194</v>
      </c>
      <c r="AK31" s="846" t="s">
        <v>194</v>
      </c>
      <c r="AL31" s="846" t="s">
        <v>194</v>
      </c>
      <c r="AM31" s="846" t="s">
        <v>194</v>
      </c>
      <c r="AN31" s="846" t="s">
        <v>194</v>
      </c>
      <c r="AO31" s="846" t="s">
        <v>194</v>
      </c>
      <c r="AP31" s="846" t="s">
        <v>194</v>
      </c>
    </row>
    <row r="32" ht="15.75" customHeight="1">
      <c r="A32" s="849" t="s">
        <v>194</v>
      </c>
      <c r="B32" s="15"/>
      <c r="C32" s="15"/>
      <c r="D32" s="15"/>
      <c r="E32" s="15"/>
      <c r="F32" s="15"/>
      <c r="G32" s="15"/>
      <c r="H32" s="15"/>
      <c r="I32" s="15"/>
      <c r="J32" s="15"/>
      <c r="K32" s="15"/>
      <c r="L32" s="15"/>
      <c r="M32" s="15"/>
      <c r="N32" s="15"/>
      <c r="O32" s="15"/>
      <c r="P32" s="15"/>
      <c r="Q32" s="15"/>
      <c r="R32" s="15"/>
      <c r="S32" s="15"/>
      <c r="T32" s="15"/>
      <c r="U32" s="851" t="s">
        <v>194</v>
      </c>
      <c r="V32" s="846" t="s">
        <v>194</v>
      </c>
      <c r="W32" s="846" t="s">
        <v>194</v>
      </c>
      <c r="X32" s="846" t="s">
        <v>194</v>
      </c>
      <c r="Y32" s="846" t="s">
        <v>194</v>
      </c>
      <c r="Z32" s="846" t="s">
        <v>194</v>
      </c>
      <c r="AA32" s="846" t="s">
        <v>194</v>
      </c>
      <c r="AB32" s="846" t="s">
        <v>194</v>
      </c>
      <c r="AC32" s="846" t="s">
        <v>194</v>
      </c>
      <c r="AD32" s="846" t="s">
        <v>194</v>
      </c>
      <c r="AE32" s="846" t="s">
        <v>194</v>
      </c>
      <c r="AF32" s="846" t="s">
        <v>194</v>
      </c>
      <c r="AG32" s="846" t="s">
        <v>194</v>
      </c>
      <c r="AH32" s="846" t="s">
        <v>194</v>
      </c>
      <c r="AI32" s="846" t="s">
        <v>194</v>
      </c>
      <c r="AJ32" s="846" t="s">
        <v>194</v>
      </c>
      <c r="AK32" s="846" t="s">
        <v>194</v>
      </c>
      <c r="AL32" s="846" t="s">
        <v>194</v>
      </c>
      <c r="AM32" s="846" t="s">
        <v>194</v>
      </c>
      <c r="AN32" s="846" t="s">
        <v>194</v>
      </c>
      <c r="AO32" s="846" t="s">
        <v>194</v>
      </c>
      <c r="AP32" s="846" t="s">
        <v>194</v>
      </c>
    </row>
    <row r="33" ht="15.75" customHeight="1">
      <c r="A33" s="849" t="s">
        <v>194</v>
      </c>
      <c r="B33" s="15"/>
      <c r="C33" s="892" t="s">
        <v>344</v>
      </c>
      <c r="D33" s="15"/>
      <c r="E33" s="15"/>
      <c r="F33" s="15"/>
      <c r="G33" s="15"/>
      <c r="H33" s="15"/>
      <c r="I33" s="15"/>
      <c r="J33" s="15"/>
      <c r="K33" s="15"/>
      <c r="L33" s="15"/>
      <c r="M33" s="15"/>
      <c r="N33" s="15"/>
      <c r="O33" s="15"/>
      <c r="P33" s="15"/>
      <c r="Q33" s="15"/>
      <c r="R33" s="15"/>
      <c r="S33" s="15"/>
      <c r="T33" s="15"/>
      <c r="U33" s="851" t="s">
        <v>194</v>
      </c>
      <c r="V33" s="846" t="s">
        <v>194</v>
      </c>
      <c r="W33" s="846" t="s">
        <v>194</v>
      </c>
      <c r="X33" s="846" t="s">
        <v>194</v>
      </c>
      <c r="Y33" s="846" t="s">
        <v>194</v>
      </c>
      <c r="Z33" s="846" t="s">
        <v>194</v>
      </c>
      <c r="AA33" s="846" t="s">
        <v>194</v>
      </c>
      <c r="AB33" s="846" t="s">
        <v>194</v>
      </c>
      <c r="AC33" s="846" t="s">
        <v>194</v>
      </c>
      <c r="AD33" s="846" t="s">
        <v>194</v>
      </c>
      <c r="AE33" s="846" t="s">
        <v>194</v>
      </c>
      <c r="AF33" s="846" t="s">
        <v>194</v>
      </c>
      <c r="AG33" s="846" t="s">
        <v>194</v>
      </c>
      <c r="AH33" s="846" t="s">
        <v>194</v>
      </c>
      <c r="AI33" s="846" t="s">
        <v>194</v>
      </c>
      <c r="AJ33" s="846" t="s">
        <v>194</v>
      </c>
      <c r="AK33" s="846" t="s">
        <v>194</v>
      </c>
      <c r="AL33" s="846" t="s">
        <v>194</v>
      </c>
      <c r="AM33" s="846" t="s">
        <v>194</v>
      </c>
      <c r="AN33" s="846" t="s">
        <v>194</v>
      </c>
      <c r="AO33" s="846" t="s">
        <v>194</v>
      </c>
      <c r="AP33" s="846" t="s">
        <v>194</v>
      </c>
    </row>
    <row r="34" ht="15.75" customHeight="1">
      <c r="A34" s="849" t="s">
        <v>194</v>
      </c>
      <c r="B34" s="15"/>
      <c r="C34" s="892" t="s">
        <v>345</v>
      </c>
      <c r="D34" s="15"/>
      <c r="E34" s="15"/>
      <c r="F34" s="15"/>
      <c r="G34" s="15"/>
      <c r="H34" s="15"/>
      <c r="I34" s="15"/>
      <c r="J34" s="15"/>
      <c r="K34" s="15"/>
      <c r="L34" s="15"/>
      <c r="M34" s="15"/>
      <c r="N34" s="15"/>
      <c r="O34" s="15"/>
      <c r="P34" s="15"/>
      <c r="Q34" s="15"/>
      <c r="R34" s="15"/>
      <c r="S34" s="15"/>
      <c r="T34" s="15"/>
      <c r="U34" s="851" t="s">
        <v>194</v>
      </c>
      <c r="V34" s="846" t="s">
        <v>194</v>
      </c>
      <c r="W34" s="846" t="s">
        <v>194</v>
      </c>
      <c r="X34" s="846" t="s">
        <v>194</v>
      </c>
      <c r="Y34" s="846" t="s">
        <v>194</v>
      </c>
      <c r="Z34" s="846" t="s">
        <v>194</v>
      </c>
      <c r="AA34" s="846" t="s">
        <v>194</v>
      </c>
      <c r="AB34" s="846" t="s">
        <v>194</v>
      </c>
      <c r="AC34" s="846" t="s">
        <v>194</v>
      </c>
      <c r="AD34" s="846" t="s">
        <v>194</v>
      </c>
      <c r="AE34" s="846" t="s">
        <v>194</v>
      </c>
      <c r="AF34" s="846" t="s">
        <v>194</v>
      </c>
      <c r="AG34" s="846" t="s">
        <v>194</v>
      </c>
      <c r="AH34" s="846" t="s">
        <v>194</v>
      </c>
      <c r="AI34" s="846" t="s">
        <v>194</v>
      </c>
      <c r="AJ34" s="846" t="s">
        <v>194</v>
      </c>
      <c r="AK34" s="846" t="s">
        <v>194</v>
      </c>
      <c r="AL34" s="846" t="s">
        <v>194</v>
      </c>
      <c r="AM34" s="846" t="s">
        <v>194</v>
      </c>
      <c r="AN34" s="846" t="s">
        <v>194</v>
      </c>
      <c r="AO34" s="846" t="s">
        <v>194</v>
      </c>
      <c r="AP34" s="846" t="s">
        <v>194</v>
      </c>
    </row>
    <row r="35" ht="15.75" customHeight="1">
      <c r="A35" s="849" t="s">
        <v>194</v>
      </c>
      <c r="B35" s="15"/>
      <c r="C35" s="15"/>
      <c r="D35" s="15"/>
      <c r="E35" s="15"/>
      <c r="F35" s="15"/>
      <c r="G35" s="15"/>
      <c r="H35" s="15"/>
      <c r="I35" s="15"/>
      <c r="J35" s="15"/>
      <c r="K35" s="15"/>
      <c r="L35" s="15"/>
      <c r="M35" s="15"/>
      <c r="N35" s="15"/>
      <c r="O35" s="15"/>
      <c r="P35" s="15"/>
      <c r="Q35" s="15"/>
      <c r="R35" s="15"/>
      <c r="S35" s="15"/>
      <c r="T35" s="15"/>
      <c r="U35" s="851" t="s">
        <v>194</v>
      </c>
      <c r="V35" s="846" t="s">
        <v>194</v>
      </c>
      <c r="W35" s="846" t="s">
        <v>194</v>
      </c>
      <c r="X35" s="846" t="s">
        <v>194</v>
      </c>
      <c r="Y35" s="846" t="s">
        <v>194</v>
      </c>
      <c r="Z35" s="846" t="s">
        <v>194</v>
      </c>
      <c r="AA35" s="846" t="s">
        <v>194</v>
      </c>
      <c r="AB35" s="846" t="s">
        <v>194</v>
      </c>
      <c r="AC35" s="846" t="s">
        <v>194</v>
      </c>
      <c r="AD35" s="846" t="s">
        <v>194</v>
      </c>
      <c r="AE35" s="846" t="s">
        <v>194</v>
      </c>
      <c r="AF35" s="846" t="s">
        <v>194</v>
      </c>
      <c r="AG35" s="846" t="s">
        <v>194</v>
      </c>
      <c r="AH35" s="846" t="s">
        <v>194</v>
      </c>
      <c r="AI35" s="846" t="s">
        <v>194</v>
      </c>
      <c r="AJ35" s="846" t="s">
        <v>194</v>
      </c>
      <c r="AK35" s="846" t="s">
        <v>194</v>
      </c>
      <c r="AL35" s="846" t="s">
        <v>194</v>
      </c>
      <c r="AM35" s="846" t="s">
        <v>194</v>
      </c>
      <c r="AN35" s="846" t="s">
        <v>194</v>
      </c>
      <c r="AO35" s="846" t="s">
        <v>194</v>
      </c>
      <c r="AP35" s="846" t="s">
        <v>194</v>
      </c>
    </row>
    <row r="36" ht="15.75" customHeight="1">
      <c r="A36" s="846" t="s">
        <v>194</v>
      </c>
      <c r="B36" s="893" t="s">
        <v>194</v>
      </c>
      <c r="C36" s="893" t="s">
        <v>194</v>
      </c>
      <c r="D36" s="893" t="s">
        <v>194</v>
      </c>
      <c r="E36" s="893" t="s">
        <v>194</v>
      </c>
      <c r="F36" s="893" t="s">
        <v>194</v>
      </c>
      <c r="G36" s="893" t="s">
        <v>194</v>
      </c>
      <c r="H36" s="893" t="s">
        <v>194</v>
      </c>
      <c r="I36" s="893" t="s">
        <v>194</v>
      </c>
      <c r="J36" s="893" t="s">
        <v>194</v>
      </c>
      <c r="K36" s="893" t="s">
        <v>194</v>
      </c>
      <c r="L36" s="893" t="s">
        <v>194</v>
      </c>
      <c r="M36" s="893" t="s">
        <v>194</v>
      </c>
      <c r="N36" s="893" t="s">
        <v>194</v>
      </c>
      <c r="O36" s="893" t="s">
        <v>194</v>
      </c>
      <c r="P36" s="893" t="s">
        <v>194</v>
      </c>
      <c r="Q36" s="893" t="s">
        <v>194</v>
      </c>
      <c r="R36" s="893" t="s">
        <v>194</v>
      </c>
      <c r="S36" s="893" t="s">
        <v>194</v>
      </c>
      <c r="T36" s="893" t="s">
        <v>194</v>
      </c>
      <c r="U36" s="846" t="s">
        <v>194</v>
      </c>
      <c r="V36" s="846" t="s">
        <v>194</v>
      </c>
      <c r="W36" s="846" t="s">
        <v>194</v>
      </c>
      <c r="X36" s="846" t="s">
        <v>194</v>
      </c>
      <c r="Y36" s="846" t="s">
        <v>194</v>
      </c>
      <c r="Z36" s="846" t="s">
        <v>194</v>
      </c>
      <c r="AA36" s="846" t="s">
        <v>194</v>
      </c>
      <c r="AB36" s="846" t="s">
        <v>194</v>
      </c>
      <c r="AC36" s="846" t="s">
        <v>194</v>
      </c>
      <c r="AD36" s="846" t="s">
        <v>194</v>
      </c>
      <c r="AE36" s="846" t="s">
        <v>194</v>
      </c>
      <c r="AF36" s="846" t="s">
        <v>194</v>
      </c>
      <c r="AG36" s="846" t="s">
        <v>194</v>
      </c>
      <c r="AH36" s="846" t="s">
        <v>194</v>
      </c>
      <c r="AI36" s="846" t="s">
        <v>194</v>
      </c>
      <c r="AJ36" s="846" t="s">
        <v>194</v>
      </c>
      <c r="AK36" s="846" t="s">
        <v>194</v>
      </c>
      <c r="AL36" s="846" t="s">
        <v>194</v>
      </c>
      <c r="AM36" s="846" t="s">
        <v>194</v>
      </c>
      <c r="AN36" s="846" t="s">
        <v>194</v>
      </c>
      <c r="AO36" s="846" t="s">
        <v>194</v>
      </c>
      <c r="AP36" s="846" t="s">
        <v>194</v>
      </c>
    </row>
    <row r="37" ht="15.75" customHeight="1">
      <c r="A37" s="846" t="s">
        <v>194</v>
      </c>
      <c r="B37" s="846" t="s">
        <v>194</v>
      </c>
      <c r="C37" s="846" t="s">
        <v>194</v>
      </c>
      <c r="D37" s="846" t="s">
        <v>194</v>
      </c>
      <c r="E37" s="846" t="s">
        <v>194</v>
      </c>
      <c r="F37" s="846" t="s">
        <v>194</v>
      </c>
      <c r="G37" s="846" t="s">
        <v>194</v>
      </c>
      <c r="H37" s="846" t="s">
        <v>194</v>
      </c>
      <c r="I37" s="846" t="s">
        <v>194</v>
      </c>
      <c r="J37" s="846" t="s">
        <v>194</v>
      </c>
      <c r="K37" s="846" t="s">
        <v>194</v>
      </c>
      <c r="L37" s="846" t="s">
        <v>194</v>
      </c>
      <c r="M37" s="846" t="s">
        <v>194</v>
      </c>
      <c r="N37" s="846" t="s">
        <v>194</v>
      </c>
      <c r="O37" s="846" t="s">
        <v>194</v>
      </c>
      <c r="P37" s="846" t="s">
        <v>194</v>
      </c>
      <c r="Q37" s="846" t="s">
        <v>194</v>
      </c>
      <c r="R37" s="846" t="s">
        <v>194</v>
      </c>
      <c r="S37" s="846" t="s">
        <v>194</v>
      </c>
      <c r="T37" s="846" t="s">
        <v>194</v>
      </c>
      <c r="U37" s="846" t="s">
        <v>194</v>
      </c>
      <c r="V37" s="846" t="s">
        <v>194</v>
      </c>
      <c r="W37" s="846" t="s">
        <v>194</v>
      </c>
      <c r="X37" s="846" t="s">
        <v>194</v>
      </c>
      <c r="Y37" s="846" t="s">
        <v>194</v>
      </c>
      <c r="Z37" s="846" t="s">
        <v>194</v>
      </c>
      <c r="AA37" s="846" t="s">
        <v>194</v>
      </c>
      <c r="AB37" s="846" t="s">
        <v>194</v>
      </c>
      <c r="AC37" s="846" t="s">
        <v>194</v>
      </c>
      <c r="AD37" s="846" t="s">
        <v>194</v>
      </c>
      <c r="AE37" s="846" t="s">
        <v>194</v>
      </c>
      <c r="AF37" s="846" t="s">
        <v>194</v>
      </c>
      <c r="AG37" s="846" t="s">
        <v>194</v>
      </c>
      <c r="AH37" s="846" t="s">
        <v>194</v>
      </c>
      <c r="AI37" s="846" t="s">
        <v>194</v>
      </c>
      <c r="AJ37" s="846" t="s">
        <v>194</v>
      </c>
      <c r="AK37" s="846" t="s">
        <v>194</v>
      </c>
      <c r="AL37" s="846" t="s">
        <v>194</v>
      </c>
      <c r="AM37" s="846" t="s">
        <v>194</v>
      </c>
      <c r="AN37" s="846" t="s">
        <v>194</v>
      </c>
      <c r="AO37" s="846" t="s">
        <v>194</v>
      </c>
      <c r="AP37" s="846" t="s">
        <v>194</v>
      </c>
    </row>
    <row r="38" ht="15.75" customHeight="1">
      <c r="A38" s="846" t="s">
        <v>194</v>
      </c>
      <c r="B38" s="846" t="s">
        <v>194</v>
      </c>
      <c r="C38" s="846" t="s">
        <v>194</v>
      </c>
      <c r="D38" s="846" t="s">
        <v>194</v>
      </c>
      <c r="E38" s="846" t="s">
        <v>194</v>
      </c>
      <c r="F38" s="846" t="s">
        <v>194</v>
      </c>
      <c r="G38" s="846" t="s">
        <v>194</v>
      </c>
      <c r="H38" s="846" t="s">
        <v>194</v>
      </c>
      <c r="I38" s="846" t="s">
        <v>194</v>
      </c>
      <c r="J38" s="846" t="s">
        <v>194</v>
      </c>
      <c r="K38" s="846" t="s">
        <v>194</v>
      </c>
      <c r="L38" s="846" t="s">
        <v>194</v>
      </c>
      <c r="M38" s="846" t="s">
        <v>194</v>
      </c>
      <c r="N38" s="846" t="s">
        <v>194</v>
      </c>
      <c r="O38" s="846" t="s">
        <v>194</v>
      </c>
      <c r="P38" s="846" t="s">
        <v>194</v>
      </c>
      <c r="Q38" s="846" t="s">
        <v>194</v>
      </c>
      <c r="R38" s="846" t="s">
        <v>194</v>
      </c>
      <c r="S38" s="846" t="s">
        <v>194</v>
      </c>
      <c r="T38" s="846" t="s">
        <v>194</v>
      </c>
      <c r="U38" s="846" t="s">
        <v>194</v>
      </c>
      <c r="V38" s="846" t="s">
        <v>194</v>
      </c>
      <c r="W38" s="846" t="s">
        <v>194</v>
      </c>
      <c r="X38" s="846" t="s">
        <v>194</v>
      </c>
      <c r="Y38" s="846" t="s">
        <v>194</v>
      </c>
      <c r="Z38" s="846" t="s">
        <v>194</v>
      </c>
      <c r="AA38" s="846" t="s">
        <v>194</v>
      </c>
      <c r="AB38" s="846" t="s">
        <v>194</v>
      </c>
      <c r="AC38" s="846" t="s">
        <v>194</v>
      </c>
      <c r="AD38" s="846" t="s">
        <v>194</v>
      </c>
      <c r="AE38" s="846" t="s">
        <v>194</v>
      </c>
      <c r="AF38" s="846" t="s">
        <v>194</v>
      </c>
      <c r="AG38" s="846" t="s">
        <v>194</v>
      </c>
      <c r="AH38" s="846" t="s">
        <v>194</v>
      </c>
      <c r="AI38" s="846" t="s">
        <v>194</v>
      </c>
      <c r="AJ38" s="846" t="s">
        <v>194</v>
      </c>
      <c r="AK38" s="846" t="s">
        <v>194</v>
      </c>
      <c r="AL38" s="846" t="s">
        <v>194</v>
      </c>
      <c r="AM38" s="846" t="s">
        <v>194</v>
      </c>
      <c r="AN38" s="846" t="s">
        <v>194</v>
      </c>
      <c r="AO38" s="846" t="s">
        <v>194</v>
      </c>
      <c r="AP38" s="846" t="s">
        <v>194</v>
      </c>
    </row>
    <row r="39" ht="15.75" customHeight="1">
      <c r="A39" s="846" t="s">
        <v>194</v>
      </c>
      <c r="B39" s="846" t="s">
        <v>194</v>
      </c>
      <c r="C39" s="846" t="s">
        <v>194</v>
      </c>
      <c r="D39" s="846" t="s">
        <v>194</v>
      </c>
      <c r="E39" s="846" t="s">
        <v>194</v>
      </c>
      <c r="F39" s="846" t="s">
        <v>194</v>
      </c>
      <c r="G39" s="846" t="s">
        <v>194</v>
      </c>
      <c r="H39" s="846" t="s">
        <v>194</v>
      </c>
      <c r="I39" s="846" t="s">
        <v>194</v>
      </c>
      <c r="J39" s="846" t="s">
        <v>194</v>
      </c>
      <c r="K39" s="846" t="s">
        <v>194</v>
      </c>
      <c r="L39" s="846" t="s">
        <v>194</v>
      </c>
      <c r="M39" s="846" t="s">
        <v>194</v>
      </c>
      <c r="N39" s="846" t="s">
        <v>194</v>
      </c>
      <c r="O39" s="846" t="s">
        <v>194</v>
      </c>
      <c r="P39" s="846" t="s">
        <v>194</v>
      </c>
      <c r="Q39" s="846" t="s">
        <v>194</v>
      </c>
      <c r="R39" s="846" t="s">
        <v>194</v>
      </c>
      <c r="S39" s="846" t="s">
        <v>194</v>
      </c>
      <c r="T39" s="846" t="s">
        <v>194</v>
      </c>
      <c r="U39" s="846" t="s">
        <v>194</v>
      </c>
      <c r="V39" s="846" t="s">
        <v>194</v>
      </c>
      <c r="W39" s="846" t="s">
        <v>194</v>
      </c>
      <c r="X39" s="846" t="s">
        <v>194</v>
      </c>
      <c r="Y39" s="846" t="s">
        <v>194</v>
      </c>
      <c r="Z39" s="846" t="s">
        <v>194</v>
      </c>
      <c r="AA39" s="846" t="s">
        <v>194</v>
      </c>
      <c r="AB39" s="846" t="s">
        <v>194</v>
      </c>
      <c r="AC39" s="846" t="s">
        <v>194</v>
      </c>
      <c r="AD39" s="846" t="s">
        <v>194</v>
      </c>
      <c r="AE39" s="846" t="s">
        <v>194</v>
      </c>
      <c r="AF39" s="846" t="s">
        <v>194</v>
      </c>
      <c r="AG39" s="846" t="s">
        <v>194</v>
      </c>
      <c r="AH39" s="846" t="s">
        <v>194</v>
      </c>
      <c r="AI39" s="846" t="s">
        <v>194</v>
      </c>
      <c r="AJ39" s="846" t="s">
        <v>194</v>
      </c>
      <c r="AK39" s="846" t="s">
        <v>194</v>
      </c>
      <c r="AL39" s="846" t="s">
        <v>194</v>
      </c>
      <c r="AM39" s="846" t="s">
        <v>194</v>
      </c>
      <c r="AN39" s="846" t="s">
        <v>194</v>
      </c>
      <c r="AO39" s="846" t="s">
        <v>194</v>
      </c>
      <c r="AP39" s="846" t="s">
        <v>194</v>
      </c>
    </row>
    <row r="40" ht="15.75" customHeight="1">
      <c r="A40" s="846" t="s">
        <v>194</v>
      </c>
      <c r="B40" s="846" t="s">
        <v>194</v>
      </c>
      <c r="C40" s="846" t="s">
        <v>194</v>
      </c>
      <c r="D40" s="846" t="s">
        <v>194</v>
      </c>
      <c r="E40" s="846" t="s">
        <v>194</v>
      </c>
      <c r="F40" s="846" t="s">
        <v>194</v>
      </c>
      <c r="G40" s="846" t="s">
        <v>194</v>
      </c>
      <c r="H40" s="846" t="s">
        <v>194</v>
      </c>
      <c r="I40" s="846" t="s">
        <v>194</v>
      </c>
      <c r="J40" s="846" t="s">
        <v>194</v>
      </c>
      <c r="K40" s="846" t="s">
        <v>194</v>
      </c>
      <c r="L40" s="846" t="s">
        <v>194</v>
      </c>
      <c r="M40" s="846" t="s">
        <v>194</v>
      </c>
      <c r="N40" s="846" t="s">
        <v>194</v>
      </c>
      <c r="O40" s="846" t="s">
        <v>194</v>
      </c>
      <c r="P40" s="846" t="s">
        <v>194</v>
      </c>
      <c r="Q40" s="846" t="s">
        <v>194</v>
      </c>
      <c r="R40" s="846" t="s">
        <v>194</v>
      </c>
      <c r="S40" s="846" t="s">
        <v>194</v>
      </c>
      <c r="T40" s="846" t="s">
        <v>194</v>
      </c>
      <c r="U40" s="846" t="s">
        <v>194</v>
      </c>
      <c r="V40" s="846" t="s">
        <v>194</v>
      </c>
      <c r="W40" s="846" t="s">
        <v>194</v>
      </c>
      <c r="X40" s="846" t="s">
        <v>194</v>
      </c>
      <c r="Y40" s="846" t="s">
        <v>194</v>
      </c>
      <c r="Z40" s="846" t="s">
        <v>194</v>
      </c>
      <c r="AA40" s="846" t="s">
        <v>194</v>
      </c>
      <c r="AB40" s="846" t="s">
        <v>194</v>
      </c>
      <c r="AC40" s="846" t="s">
        <v>194</v>
      </c>
      <c r="AD40" s="846" t="s">
        <v>194</v>
      </c>
      <c r="AE40" s="846" t="s">
        <v>194</v>
      </c>
      <c r="AF40" s="846" t="s">
        <v>194</v>
      </c>
      <c r="AG40" s="846" t="s">
        <v>194</v>
      </c>
      <c r="AH40" s="846" t="s">
        <v>194</v>
      </c>
      <c r="AI40" s="846" t="s">
        <v>194</v>
      </c>
      <c r="AJ40" s="846" t="s">
        <v>194</v>
      </c>
      <c r="AK40" s="846" t="s">
        <v>194</v>
      </c>
      <c r="AL40" s="846" t="s">
        <v>194</v>
      </c>
      <c r="AM40" s="846" t="s">
        <v>194</v>
      </c>
      <c r="AN40" s="846" t="s">
        <v>194</v>
      </c>
      <c r="AO40" s="846" t="s">
        <v>194</v>
      </c>
      <c r="AP40" s="846" t="s">
        <v>194</v>
      </c>
    </row>
    <row r="41" ht="15.75" customHeight="1">
      <c r="A41" s="846" t="s">
        <v>194</v>
      </c>
      <c r="B41" s="846" t="s">
        <v>194</v>
      </c>
      <c r="C41" s="846" t="s">
        <v>194</v>
      </c>
      <c r="D41" s="846" t="s">
        <v>194</v>
      </c>
      <c r="E41" s="846" t="s">
        <v>194</v>
      </c>
      <c r="F41" s="846" t="s">
        <v>194</v>
      </c>
      <c r="G41" s="846" t="s">
        <v>194</v>
      </c>
      <c r="H41" s="846" t="s">
        <v>194</v>
      </c>
      <c r="I41" s="846" t="s">
        <v>194</v>
      </c>
      <c r="J41" s="846" t="s">
        <v>194</v>
      </c>
      <c r="K41" s="846" t="s">
        <v>194</v>
      </c>
      <c r="L41" s="846" t="s">
        <v>194</v>
      </c>
      <c r="M41" s="846" t="s">
        <v>194</v>
      </c>
      <c r="N41" s="846" t="s">
        <v>194</v>
      </c>
      <c r="O41" s="846" t="s">
        <v>194</v>
      </c>
      <c r="P41" s="846" t="s">
        <v>194</v>
      </c>
      <c r="Q41" s="846" t="s">
        <v>194</v>
      </c>
      <c r="R41" s="846" t="s">
        <v>194</v>
      </c>
      <c r="S41" s="846" t="s">
        <v>194</v>
      </c>
      <c r="T41" s="846" t="s">
        <v>194</v>
      </c>
      <c r="U41" s="846" t="s">
        <v>194</v>
      </c>
      <c r="V41" s="846" t="s">
        <v>194</v>
      </c>
      <c r="W41" s="846" t="s">
        <v>194</v>
      </c>
      <c r="X41" s="846" t="s">
        <v>194</v>
      </c>
      <c r="Y41" s="846" t="s">
        <v>194</v>
      </c>
      <c r="Z41" s="846" t="s">
        <v>194</v>
      </c>
      <c r="AA41" s="846" t="s">
        <v>194</v>
      </c>
      <c r="AB41" s="846" t="s">
        <v>194</v>
      </c>
      <c r="AC41" s="846" t="s">
        <v>194</v>
      </c>
      <c r="AD41" s="846" t="s">
        <v>194</v>
      </c>
      <c r="AE41" s="846" t="s">
        <v>194</v>
      </c>
      <c r="AF41" s="846" t="s">
        <v>194</v>
      </c>
      <c r="AG41" s="846" t="s">
        <v>194</v>
      </c>
      <c r="AH41" s="846" t="s">
        <v>194</v>
      </c>
      <c r="AI41" s="846" t="s">
        <v>194</v>
      </c>
      <c r="AJ41" s="846" t="s">
        <v>194</v>
      </c>
      <c r="AK41" s="846" t="s">
        <v>194</v>
      </c>
      <c r="AL41" s="846" t="s">
        <v>194</v>
      </c>
      <c r="AM41" s="846" t="s">
        <v>194</v>
      </c>
      <c r="AN41" s="846" t="s">
        <v>194</v>
      </c>
      <c r="AO41" s="846" t="s">
        <v>194</v>
      </c>
      <c r="AP41" s="846" t="s">
        <v>194</v>
      </c>
    </row>
    <row r="42" ht="15.75" customHeight="1">
      <c r="A42" s="846" t="s">
        <v>194</v>
      </c>
      <c r="B42" s="846" t="s">
        <v>194</v>
      </c>
      <c r="C42" s="846" t="s">
        <v>194</v>
      </c>
      <c r="D42" s="846" t="s">
        <v>194</v>
      </c>
      <c r="E42" s="846" t="s">
        <v>194</v>
      </c>
      <c r="F42" s="846" t="s">
        <v>194</v>
      </c>
      <c r="G42" s="846" t="s">
        <v>194</v>
      </c>
      <c r="H42" s="846" t="s">
        <v>194</v>
      </c>
      <c r="I42" s="846" t="s">
        <v>194</v>
      </c>
      <c r="J42" s="846" t="s">
        <v>194</v>
      </c>
      <c r="K42" s="846" t="s">
        <v>194</v>
      </c>
      <c r="L42" s="846" t="s">
        <v>194</v>
      </c>
      <c r="M42" s="846" t="s">
        <v>194</v>
      </c>
      <c r="N42" s="846" t="s">
        <v>194</v>
      </c>
      <c r="O42" s="846" t="s">
        <v>194</v>
      </c>
      <c r="P42" s="846" t="s">
        <v>194</v>
      </c>
      <c r="Q42" s="846" t="s">
        <v>194</v>
      </c>
      <c r="R42" s="846" t="s">
        <v>194</v>
      </c>
      <c r="S42" s="846" t="s">
        <v>194</v>
      </c>
      <c r="T42" s="846" t="s">
        <v>194</v>
      </c>
      <c r="U42" s="846" t="s">
        <v>194</v>
      </c>
      <c r="V42" s="846" t="s">
        <v>194</v>
      </c>
      <c r="W42" s="846" t="s">
        <v>194</v>
      </c>
      <c r="X42" s="846" t="s">
        <v>194</v>
      </c>
      <c r="Y42" s="846" t="s">
        <v>194</v>
      </c>
      <c r="Z42" s="846" t="s">
        <v>194</v>
      </c>
      <c r="AA42" s="846" t="s">
        <v>194</v>
      </c>
      <c r="AB42" s="846" t="s">
        <v>194</v>
      </c>
      <c r="AC42" s="846" t="s">
        <v>194</v>
      </c>
      <c r="AD42" s="846" t="s">
        <v>194</v>
      </c>
      <c r="AE42" s="846" t="s">
        <v>194</v>
      </c>
      <c r="AF42" s="846" t="s">
        <v>194</v>
      </c>
      <c r="AG42" s="846" t="s">
        <v>194</v>
      </c>
      <c r="AH42" s="846" t="s">
        <v>194</v>
      </c>
      <c r="AI42" s="846" t="s">
        <v>194</v>
      </c>
      <c r="AJ42" s="846" t="s">
        <v>194</v>
      </c>
      <c r="AK42" s="846" t="s">
        <v>194</v>
      </c>
      <c r="AL42" s="846" t="s">
        <v>194</v>
      </c>
      <c r="AM42" s="846" t="s">
        <v>194</v>
      </c>
      <c r="AN42" s="846" t="s">
        <v>194</v>
      </c>
      <c r="AO42" s="846" t="s">
        <v>194</v>
      </c>
      <c r="AP42" s="846" t="s">
        <v>194</v>
      </c>
    </row>
    <row r="43" ht="15.75" customHeight="1">
      <c r="A43" s="846" t="s">
        <v>194</v>
      </c>
      <c r="B43" s="846" t="s">
        <v>194</v>
      </c>
      <c r="C43" s="846" t="s">
        <v>194</v>
      </c>
      <c r="D43" s="846" t="s">
        <v>194</v>
      </c>
      <c r="E43" s="846" t="s">
        <v>194</v>
      </c>
      <c r="F43" s="846" t="s">
        <v>194</v>
      </c>
      <c r="G43" s="846" t="s">
        <v>194</v>
      </c>
      <c r="H43" s="846" t="s">
        <v>194</v>
      </c>
      <c r="I43" s="846" t="s">
        <v>194</v>
      </c>
      <c r="J43" s="846" t="s">
        <v>194</v>
      </c>
      <c r="K43" s="846" t="s">
        <v>194</v>
      </c>
      <c r="L43" s="846" t="s">
        <v>194</v>
      </c>
      <c r="M43" s="846" t="s">
        <v>194</v>
      </c>
      <c r="N43" s="846" t="s">
        <v>194</v>
      </c>
      <c r="O43" s="846" t="s">
        <v>194</v>
      </c>
      <c r="P43" s="846" t="s">
        <v>194</v>
      </c>
      <c r="Q43" s="846" t="s">
        <v>194</v>
      </c>
      <c r="R43" s="846" t="s">
        <v>194</v>
      </c>
      <c r="S43" s="846" t="s">
        <v>194</v>
      </c>
      <c r="T43" s="846" t="s">
        <v>194</v>
      </c>
      <c r="U43" s="846" t="s">
        <v>194</v>
      </c>
      <c r="V43" s="846" t="s">
        <v>194</v>
      </c>
      <c r="W43" s="846" t="s">
        <v>194</v>
      </c>
      <c r="X43" s="846" t="s">
        <v>194</v>
      </c>
      <c r="Y43" s="846" t="s">
        <v>194</v>
      </c>
      <c r="Z43" s="846" t="s">
        <v>194</v>
      </c>
      <c r="AA43" s="846" t="s">
        <v>194</v>
      </c>
      <c r="AB43" s="846" t="s">
        <v>194</v>
      </c>
      <c r="AC43" s="846" t="s">
        <v>194</v>
      </c>
      <c r="AD43" s="846" t="s">
        <v>194</v>
      </c>
      <c r="AE43" s="846" t="s">
        <v>194</v>
      </c>
      <c r="AF43" s="846" t="s">
        <v>194</v>
      </c>
      <c r="AG43" s="846" t="s">
        <v>194</v>
      </c>
      <c r="AH43" s="846" t="s">
        <v>194</v>
      </c>
      <c r="AI43" s="846" t="s">
        <v>194</v>
      </c>
      <c r="AJ43" s="846" t="s">
        <v>194</v>
      </c>
      <c r="AK43" s="846" t="s">
        <v>194</v>
      </c>
      <c r="AL43" s="846" t="s">
        <v>194</v>
      </c>
      <c r="AM43" s="846" t="s">
        <v>194</v>
      </c>
      <c r="AN43" s="846" t="s">
        <v>194</v>
      </c>
      <c r="AO43" s="846" t="s">
        <v>194</v>
      </c>
      <c r="AP43" s="846" t="s">
        <v>194</v>
      </c>
    </row>
    <row r="44" ht="15.75" customHeight="1">
      <c r="A44" s="846" t="s">
        <v>194</v>
      </c>
      <c r="B44" s="846" t="s">
        <v>194</v>
      </c>
      <c r="C44" s="846" t="s">
        <v>194</v>
      </c>
      <c r="D44" s="846" t="s">
        <v>194</v>
      </c>
      <c r="E44" s="846" t="s">
        <v>194</v>
      </c>
      <c r="F44" s="846" t="s">
        <v>194</v>
      </c>
      <c r="G44" s="846" t="s">
        <v>194</v>
      </c>
      <c r="H44" s="846" t="s">
        <v>194</v>
      </c>
      <c r="I44" s="846" t="s">
        <v>194</v>
      </c>
      <c r="J44" s="846" t="s">
        <v>194</v>
      </c>
      <c r="K44" s="846" t="s">
        <v>194</v>
      </c>
      <c r="L44" s="846" t="s">
        <v>194</v>
      </c>
      <c r="M44" s="846" t="s">
        <v>194</v>
      </c>
      <c r="N44" s="846" t="s">
        <v>194</v>
      </c>
      <c r="O44" s="846" t="s">
        <v>194</v>
      </c>
      <c r="P44" s="846" t="s">
        <v>194</v>
      </c>
      <c r="Q44" s="846" t="s">
        <v>194</v>
      </c>
      <c r="R44" s="846" t="s">
        <v>194</v>
      </c>
      <c r="S44" s="846" t="s">
        <v>194</v>
      </c>
      <c r="T44" s="846" t="s">
        <v>194</v>
      </c>
      <c r="U44" s="846" t="s">
        <v>194</v>
      </c>
      <c r="V44" s="846" t="s">
        <v>194</v>
      </c>
      <c r="W44" s="846" t="s">
        <v>194</v>
      </c>
      <c r="X44" s="846" t="s">
        <v>194</v>
      </c>
      <c r="Y44" s="846" t="s">
        <v>194</v>
      </c>
      <c r="Z44" s="846" t="s">
        <v>194</v>
      </c>
      <c r="AA44" s="846" t="s">
        <v>194</v>
      </c>
      <c r="AB44" s="846" t="s">
        <v>194</v>
      </c>
      <c r="AC44" s="846" t="s">
        <v>194</v>
      </c>
      <c r="AD44" s="846" t="s">
        <v>194</v>
      </c>
      <c r="AE44" s="846" t="s">
        <v>194</v>
      </c>
      <c r="AF44" s="846" t="s">
        <v>194</v>
      </c>
      <c r="AG44" s="846" t="s">
        <v>194</v>
      </c>
      <c r="AH44" s="846" t="s">
        <v>194</v>
      </c>
      <c r="AI44" s="846" t="s">
        <v>194</v>
      </c>
      <c r="AJ44" s="846" t="s">
        <v>194</v>
      </c>
      <c r="AK44" s="846" t="s">
        <v>194</v>
      </c>
      <c r="AL44" s="846" t="s">
        <v>194</v>
      </c>
      <c r="AM44" s="846" t="s">
        <v>194</v>
      </c>
      <c r="AN44" s="846" t="s">
        <v>194</v>
      </c>
      <c r="AO44" s="846" t="s">
        <v>194</v>
      </c>
      <c r="AP44" s="846" t="s">
        <v>194</v>
      </c>
    </row>
    <row r="45" ht="15.75" customHeight="1">
      <c r="A45" s="846" t="s">
        <v>194</v>
      </c>
      <c r="B45" s="846" t="s">
        <v>194</v>
      </c>
      <c r="C45" s="846" t="s">
        <v>194</v>
      </c>
      <c r="D45" s="846" t="s">
        <v>194</v>
      </c>
      <c r="E45" s="846" t="s">
        <v>194</v>
      </c>
      <c r="F45" s="846" t="s">
        <v>194</v>
      </c>
      <c r="G45" s="846" t="s">
        <v>194</v>
      </c>
      <c r="H45" s="846" t="s">
        <v>194</v>
      </c>
      <c r="I45" s="846" t="s">
        <v>194</v>
      </c>
      <c r="J45" s="846" t="s">
        <v>194</v>
      </c>
      <c r="K45" s="846" t="s">
        <v>194</v>
      </c>
      <c r="L45" s="846" t="s">
        <v>194</v>
      </c>
      <c r="M45" s="846" t="s">
        <v>194</v>
      </c>
      <c r="N45" s="846" t="s">
        <v>194</v>
      </c>
      <c r="O45" s="846" t="s">
        <v>194</v>
      </c>
      <c r="P45" s="846" t="s">
        <v>194</v>
      </c>
      <c r="Q45" s="846" t="s">
        <v>194</v>
      </c>
      <c r="R45" s="846" t="s">
        <v>194</v>
      </c>
      <c r="S45" s="846" t="s">
        <v>194</v>
      </c>
      <c r="T45" s="846" t="s">
        <v>194</v>
      </c>
      <c r="U45" s="846" t="s">
        <v>194</v>
      </c>
      <c r="V45" s="846" t="s">
        <v>194</v>
      </c>
      <c r="W45" s="846" t="s">
        <v>194</v>
      </c>
      <c r="X45" s="846" t="s">
        <v>194</v>
      </c>
      <c r="Y45" s="846" t="s">
        <v>194</v>
      </c>
      <c r="Z45" s="846" t="s">
        <v>194</v>
      </c>
      <c r="AA45" s="846" t="s">
        <v>194</v>
      </c>
      <c r="AB45" s="846" t="s">
        <v>194</v>
      </c>
      <c r="AC45" s="846" t="s">
        <v>194</v>
      </c>
      <c r="AD45" s="846" t="s">
        <v>194</v>
      </c>
      <c r="AE45" s="846" t="s">
        <v>194</v>
      </c>
      <c r="AF45" s="846" t="s">
        <v>194</v>
      </c>
      <c r="AG45" s="846" t="s">
        <v>194</v>
      </c>
      <c r="AH45" s="846" t="s">
        <v>194</v>
      </c>
      <c r="AI45" s="846" t="s">
        <v>194</v>
      </c>
      <c r="AJ45" s="846" t="s">
        <v>194</v>
      </c>
      <c r="AK45" s="846" t="s">
        <v>194</v>
      </c>
      <c r="AL45" s="846" t="s">
        <v>194</v>
      </c>
      <c r="AM45" s="846" t="s">
        <v>194</v>
      </c>
      <c r="AN45" s="846" t="s">
        <v>194</v>
      </c>
      <c r="AO45" s="846" t="s">
        <v>194</v>
      </c>
      <c r="AP45" s="846" t="s">
        <v>194</v>
      </c>
    </row>
    <row r="46" ht="15.75" customHeight="1">
      <c r="A46" s="846" t="s">
        <v>194</v>
      </c>
      <c r="B46" s="846" t="s">
        <v>194</v>
      </c>
      <c r="C46" s="846" t="s">
        <v>194</v>
      </c>
      <c r="D46" s="846" t="s">
        <v>194</v>
      </c>
      <c r="E46" s="846" t="s">
        <v>194</v>
      </c>
      <c r="F46" s="846" t="s">
        <v>194</v>
      </c>
      <c r="G46" s="846" t="s">
        <v>194</v>
      </c>
      <c r="H46" s="846" t="s">
        <v>194</v>
      </c>
      <c r="I46" s="846" t="s">
        <v>194</v>
      </c>
      <c r="J46" s="846" t="s">
        <v>194</v>
      </c>
      <c r="K46" s="846" t="s">
        <v>194</v>
      </c>
      <c r="L46" s="846" t="s">
        <v>194</v>
      </c>
      <c r="M46" s="846" t="s">
        <v>194</v>
      </c>
      <c r="N46" s="846" t="s">
        <v>194</v>
      </c>
      <c r="O46" s="846" t="s">
        <v>194</v>
      </c>
      <c r="P46" s="846" t="s">
        <v>194</v>
      </c>
      <c r="Q46" s="846" t="s">
        <v>194</v>
      </c>
      <c r="R46" s="846" t="s">
        <v>194</v>
      </c>
      <c r="S46" s="846" t="s">
        <v>194</v>
      </c>
      <c r="T46" s="846" t="s">
        <v>194</v>
      </c>
      <c r="U46" s="846" t="s">
        <v>194</v>
      </c>
      <c r="V46" s="846" t="s">
        <v>194</v>
      </c>
      <c r="W46" s="846" t="s">
        <v>194</v>
      </c>
      <c r="X46" s="846" t="s">
        <v>194</v>
      </c>
      <c r="Y46" s="846" t="s">
        <v>194</v>
      </c>
      <c r="Z46" s="846" t="s">
        <v>194</v>
      </c>
      <c r="AA46" s="846" t="s">
        <v>194</v>
      </c>
      <c r="AB46" s="846" t="s">
        <v>194</v>
      </c>
      <c r="AC46" s="846" t="s">
        <v>194</v>
      </c>
      <c r="AD46" s="846" t="s">
        <v>194</v>
      </c>
      <c r="AE46" s="846" t="s">
        <v>194</v>
      </c>
      <c r="AF46" s="846" t="s">
        <v>194</v>
      </c>
      <c r="AG46" s="846" t="s">
        <v>194</v>
      </c>
      <c r="AH46" s="846" t="s">
        <v>194</v>
      </c>
      <c r="AI46" s="846" t="s">
        <v>194</v>
      </c>
      <c r="AJ46" s="846" t="s">
        <v>194</v>
      </c>
      <c r="AK46" s="846" t="s">
        <v>194</v>
      </c>
      <c r="AL46" s="846" t="s">
        <v>194</v>
      </c>
      <c r="AM46" s="846" t="s">
        <v>194</v>
      </c>
      <c r="AN46" s="846" t="s">
        <v>194</v>
      </c>
      <c r="AO46" s="846" t="s">
        <v>194</v>
      </c>
      <c r="AP46" s="846" t="s">
        <v>194</v>
      </c>
    </row>
    <row r="47" ht="15.75" customHeight="1">
      <c r="A47" s="846" t="s">
        <v>194</v>
      </c>
      <c r="B47" s="846" t="s">
        <v>194</v>
      </c>
      <c r="C47" s="846" t="s">
        <v>194</v>
      </c>
      <c r="D47" s="846" t="s">
        <v>194</v>
      </c>
      <c r="E47" s="846" t="s">
        <v>194</v>
      </c>
      <c r="F47" s="846" t="s">
        <v>194</v>
      </c>
      <c r="G47" s="846" t="s">
        <v>194</v>
      </c>
      <c r="H47" s="846" t="s">
        <v>194</v>
      </c>
      <c r="I47" s="846" t="s">
        <v>194</v>
      </c>
      <c r="J47" s="846" t="s">
        <v>194</v>
      </c>
      <c r="K47" s="846" t="s">
        <v>194</v>
      </c>
      <c r="L47" s="846" t="s">
        <v>194</v>
      </c>
      <c r="M47" s="846" t="s">
        <v>194</v>
      </c>
      <c r="N47" s="846" t="s">
        <v>194</v>
      </c>
      <c r="O47" s="846" t="s">
        <v>194</v>
      </c>
      <c r="P47" s="846" t="s">
        <v>194</v>
      </c>
      <c r="Q47" s="846" t="s">
        <v>194</v>
      </c>
      <c r="R47" s="846" t="s">
        <v>194</v>
      </c>
      <c r="S47" s="846" t="s">
        <v>194</v>
      </c>
      <c r="T47" s="846" t="s">
        <v>194</v>
      </c>
      <c r="U47" s="846" t="s">
        <v>194</v>
      </c>
      <c r="V47" s="846" t="s">
        <v>194</v>
      </c>
      <c r="W47" s="846" t="s">
        <v>194</v>
      </c>
      <c r="X47" s="846" t="s">
        <v>194</v>
      </c>
      <c r="Y47" s="846" t="s">
        <v>194</v>
      </c>
      <c r="Z47" s="846" t="s">
        <v>194</v>
      </c>
      <c r="AA47" s="846" t="s">
        <v>194</v>
      </c>
      <c r="AB47" s="846" t="s">
        <v>194</v>
      </c>
      <c r="AC47" s="846" t="s">
        <v>194</v>
      </c>
      <c r="AD47" s="846" t="s">
        <v>194</v>
      </c>
      <c r="AE47" s="846" t="s">
        <v>194</v>
      </c>
      <c r="AF47" s="846" t="s">
        <v>194</v>
      </c>
      <c r="AG47" s="846" t="s">
        <v>194</v>
      </c>
      <c r="AH47" s="846" t="s">
        <v>194</v>
      </c>
      <c r="AI47" s="846" t="s">
        <v>194</v>
      </c>
      <c r="AJ47" s="846" t="s">
        <v>194</v>
      </c>
      <c r="AK47" s="846" t="s">
        <v>194</v>
      </c>
      <c r="AL47" s="846" t="s">
        <v>194</v>
      </c>
      <c r="AM47" s="846" t="s">
        <v>194</v>
      </c>
      <c r="AN47" s="846" t="s">
        <v>194</v>
      </c>
      <c r="AO47" s="846" t="s">
        <v>194</v>
      </c>
      <c r="AP47" s="846" t="s">
        <v>194</v>
      </c>
    </row>
    <row r="48" ht="15.75" customHeight="1">
      <c r="A48" s="846" t="s">
        <v>194</v>
      </c>
      <c r="B48" s="846" t="s">
        <v>194</v>
      </c>
      <c r="C48" s="846" t="s">
        <v>194</v>
      </c>
      <c r="D48" s="846" t="s">
        <v>194</v>
      </c>
      <c r="E48" s="846" t="s">
        <v>194</v>
      </c>
      <c r="F48" s="846" t="s">
        <v>194</v>
      </c>
      <c r="G48" s="846" t="s">
        <v>194</v>
      </c>
      <c r="H48" s="846" t="s">
        <v>194</v>
      </c>
      <c r="I48" s="846" t="s">
        <v>194</v>
      </c>
      <c r="J48" s="846" t="s">
        <v>194</v>
      </c>
      <c r="K48" s="846" t="s">
        <v>194</v>
      </c>
      <c r="L48" s="846" t="s">
        <v>194</v>
      </c>
      <c r="M48" s="846" t="s">
        <v>194</v>
      </c>
      <c r="N48" s="846" t="s">
        <v>194</v>
      </c>
      <c r="O48" s="846" t="s">
        <v>194</v>
      </c>
      <c r="P48" s="846" t="s">
        <v>194</v>
      </c>
      <c r="Q48" s="846" t="s">
        <v>194</v>
      </c>
      <c r="R48" s="846" t="s">
        <v>194</v>
      </c>
      <c r="S48" s="846" t="s">
        <v>194</v>
      </c>
      <c r="T48" s="846" t="s">
        <v>194</v>
      </c>
      <c r="U48" s="846" t="s">
        <v>194</v>
      </c>
      <c r="V48" s="846" t="s">
        <v>194</v>
      </c>
      <c r="W48" s="846" t="s">
        <v>194</v>
      </c>
      <c r="X48" s="846" t="s">
        <v>194</v>
      </c>
      <c r="Y48" s="846" t="s">
        <v>194</v>
      </c>
      <c r="Z48" s="846" t="s">
        <v>194</v>
      </c>
      <c r="AA48" s="846" t="s">
        <v>194</v>
      </c>
      <c r="AB48" s="846" t="s">
        <v>194</v>
      </c>
      <c r="AC48" s="846" t="s">
        <v>194</v>
      </c>
      <c r="AD48" s="846" t="s">
        <v>194</v>
      </c>
      <c r="AE48" s="846" t="s">
        <v>194</v>
      </c>
      <c r="AF48" s="846" t="s">
        <v>194</v>
      </c>
      <c r="AG48" s="846" t="s">
        <v>194</v>
      </c>
      <c r="AH48" s="846" t="s">
        <v>194</v>
      </c>
      <c r="AI48" s="846" t="s">
        <v>194</v>
      </c>
      <c r="AJ48" s="846" t="s">
        <v>194</v>
      </c>
      <c r="AK48" s="846" t="s">
        <v>194</v>
      </c>
      <c r="AL48" s="846" t="s">
        <v>194</v>
      </c>
      <c r="AM48" s="846" t="s">
        <v>194</v>
      </c>
      <c r="AN48" s="846" t="s">
        <v>194</v>
      </c>
      <c r="AO48" s="846" t="s">
        <v>194</v>
      </c>
      <c r="AP48" s="846" t="s">
        <v>194</v>
      </c>
    </row>
    <row r="49" ht="15.75" customHeight="1">
      <c r="A49" s="846" t="s">
        <v>194</v>
      </c>
      <c r="B49" s="846" t="s">
        <v>194</v>
      </c>
      <c r="C49" s="846" t="s">
        <v>194</v>
      </c>
      <c r="D49" s="846" t="s">
        <v>194</v>
      </c>
      <c r="E49" s="846" t="s">
        <v>194</v>
      </c>
      <c r="F49" s="846" t="s">
        <v>194</v>
      </c>
      <c r="G49" s="846" t="s">
        <v>194</v>
      </c>
      <c r="H49" s="846" t="s">
        <v>194</v>
      </c>
      <c r="I49" s="846" t="s">
        <v>194</v>
      </c>
      <c r="J49" s="846" t="s">
        <v>194</v>
      </c>
      <c r="K49" s="846" t="s">
        <v>194</v>
      </c>
      <c r="L49" s="846" t="s">
        <v>194</v>
      </c>
      <c r="M49" s="846" t="s">
        <v>194</v>
      </c>
      <c r="N49" s="846" t="s">
        <v>194</v>
      </c>
      <c r="O49" s="846" t="s">
        <v>194</v>
      </c>
      <c r="P49" s="846" t="s">
        <v>194</v>
      </c>
      <c r="Q49" s="846" t="s">
        <v>194</v>
      </c>
      <c r="R49" s="846" t="s">
        <v>194</v>
      </c>
      <c r="S49" s="846" t="s">
        <v>194</v>
      </c>
      <c r="T49" s="846" t="s">
        <v>194</v>
      </c>
      <c r="U49" s="846" t="s">
        <v>194</v>
      </c>
      <c r="V49" s="846" t="s">
        <v>194</v>
      </c>
      <c r="W49" s="846" t="s">
        <v>194</v>
      </c>
      <c r="X49" s="846" t="s">
        <v>194</v>
      </c>
      <c r="Y49" s="846" t="s">
        <v>194</v>
      </c>
      <c r="Z49" s="846" t="s">
        <v>194</v>
      </c>
      <c r="AA49" s="846" t="s">
        <v>194</v>
      </c>
      <c r="AB49" s="846" t="s">
        <v>194</v>
      </c>
      <c r="AC49" s="846" t="s">
        <v>194</v>
      </c>
      <c r="AD49" s="846" t="s">
        <v>194</v>
      </c>
      <c r="AE49" s="846" t="s">
        <v>194</v>
      </c>
      <c r="AF49" s="846" t="s">
        <v>194</v>
      </c>
      <c r="AG49" s="846" t="s">
        <v>194</v>
      </c>
      <c r="AH49" s="846" t="s">
        <v>194</v>
      </c>
      <c r="AI49" s="846" t="s">
        <v>194</v>
      </c>
      <c r="AJ49" s="846" t="s">
        <v>194</v>
      </c>
      <c r="AK49" s="846" t="s">
        <v>194</v>
      </c>
      <c r="AL49" s="846" t="s">
        <v>194</v>
      </c>
      <c r="AM49" s="846" t="s">
        <v>194</v>
      </c>
      <c r="AN49" s="846" t="s">
        <v>194</v>
      </c>
      <c r="AO49" s="846" t="s">
        <v>194</v>
      </c>
      <c r="AP49" s="846" t="s">
        <v>194</v>
      </c>
    </row>
    <row r="50" ht="15.75" customHeight="1">
      <c r="A50" s="846" t="s">
        <v>194</v>
      </c>
      <c r="B50" s="846" t="s">
        <v>194</v>
      </c>
      <c r="C50" s="846" t="s">
        <v>194</v>
      </c>
      <c r="D50" s="846" t="s">
        <v>194</v>
      </c>
      <c r="E50" s="846" t="s">
        <v>194</v>
      </c>
      <c r="F50" s="846" t="s">
        <v>194</v>
      </c>
      <c r="G50" s="846" t="s">
        <v>194</v>
      </c>
      <c r="H50" s="846" t="s">
        <v>194</v>
      </c>
      <c r="I50" s="846" t="s">
        <v>194</v>
      </c>
      <c r="J50" s="846" t="s">
        <v>194</v>
      </c>
      <c r="K50" s="846" t="s">
        <v>194</v>
      </c>
      <c r="L50" s="846" t="s">
        <v>194</v>
      </c>
      <c r="M50" s="846" t="s">
        <v>194</v>
      </c>
      <c r="N50" s="846" t="s">
        <v>194</v>
      </c>
      <c r="O50" s="846" t="s">
        <v>194</v>
      </c>
      <c r="P50" s="846" t="s">
        <v>194</v>
      </c>
      <c r="Q50" s="846" t="s">
        <v>194</v>
      </c>
      <c r="R50" s="846" t="s">
        <v>194</v>
      </c>
      <c r="S50" s="846" t="s">
        <v>194</v>
      </c>
      <c r="T50" s="846" t="s">
        <v>194</v>
      </c>
      <c r="U50" s="846" t="s">
        <v>194</v>
      </c>
      <c r="V50" s="846" t="s">
        <v>194</v>
      </c>
      <c r="W50" s="846" t="s">
        <v>194</v>
      </c>
      <c r="X50" s="846" t="s">
        <v>194</v>
      </c>
      <c r="Y50" s="846" t="s">
        <v>194</v>
      </c>
      <c r="Z50" s="846" t="s">
        <v>194</v>
      </c>
      <c r="AA50" s="846" t="s">
        <v>194</v>
      </c>
      <c r="AB50" s="846" t="s">
        <v>194</v>
      </c>
      <c r="AC50" s="846" t="s">
        <v>194</v>
      </c>
      <c r="AD50" s="846" t="s">
        <v>194</v>
      </c>
      <c r="AE50" s="846" t="s">
        <v>194</v>
      </c>
      <c r="AF50" s="846" t="s">
        <v>194</v>
      </c>
      <c r="AG50" s="846" t="s">
        <v>194</v>
      </c>
      <c r="AH50" s="846" t="s">
        <v>194</v>
      </c>
      <c r="AI50" s="846" t="s">
        <v>194</v>
      </c>
      <c r="AJ50" s="846" t="s">
        <v>194</v>
      </c>
      <c r="AK50" s="846" t="s">
        <v>194</v>
      </c>
      <c r="AL50" s="846" t="s">
        <v>194</v>
      </c>
      <c r="AM50" s="846" t="s">
        <v>194</v>
      </c>
      <c r="AN50" s="846" t="s">
        <v>194</v>
      </c>
      <c r="AO50" s="846" t="s">
        <v>194</v>
      </c>
      <c r="AP50" s="846" t="s">
        <v>194</v>
      </c>
    </row>
    <row r="51" ht="15.75" customHeight="1">
      <c r="A51" s="846" t="s">
        <v>194</v>
      </c>
      <c r="B51" s="846" t="s">
        <v>194</v>
      </c>
      <c r="C51" s="846" t="s">
        <v>194</v>
      </c>
      <c r="D51" s="846" t="s">
        <v>194</v>
      </c>
      <c r="E51" s="846" t="s">
        <v>194</v>
      </c>
      <c r="F51" s="846" t="s">
        <v>194</v>
      </c>
      <c r="G51" s="846" t="s">
        <v>194</v>
      </c>
      <c r="H51" s="846" t="s">
        <v>194</v>
      </c>
      <c r="I51" s="846" t="s">
        <v>194</v>
      </c>
      <c r="J51" s="846" t="s">
        <v>194</v>
      </c>
      <c r="K51" s="846" t="s">
        <v>194</v>
      </c>
      <c r="L51" s="846" t="s">
        <v>194</v>
      </c>
      <c r="M51" s="846" t="s">
        <v>194</v>
      </c>
      <c r="N51" s="846" t="s">
        <v>194</v>
      </c>
      <c r="O51" s="846" t="s">
        <v>194</v>
      </c>
      <c r="P51" s="846" t="s">
        <v>194</v>
      </c>
      <c r="Q51" s="846" t="s">
        <v>194</v>
      </c>
      <c r="R51" s="846" t="s">
        <v>194</v>
      </c>
      <c r="S51" s="846" t="s">
        <v>194</v>
      </c>
      <c r="T51" s="846" t="s">
        <v>194</v>
      </c>
      <c r="U51" s="846" t="s">
        <v>194</v>
      </c>
      <c r="V51" s="846" t="s">
        <v>194</v>
      </c>
      <c r="W51" s="846" t="s">
        <v>194</v>
      </c>
      <c r="X51" s="846" t="s">
        <v>194</v>
      </c>
      <c r="Y51" s="846" t="s">
        <v>194</v>
      </c>
      <c r="Z51" s="846" t="s">
        <v>194</v>
      </c>
      <c r="AA51" s="846" t="s">
        <v>194</v>
      </c>
      <c r="AB51" s="846" t="s">
        <v>194</v>
      </c>
      <c r="AC51" s="846" t="s">
        <v>194</v>
      </c>
      <c r="AD51" s="846" t="s">
        <v>194</v>
      </c>
      <c r="AE51" s="846" t="s">
        <v>194</v>
      </c>
      <c r="AF51" s="846" t="s">
        <v>194</v>
      </c>
      <c r="AG51" s="846" t="s">
        <v>194</v>
      </c>
      <c r="AH51" s="846" t="s">
        <v>194</v>
      </c>
      <c r="AI51" s="846" t="s">
        <v>194</v>
      </c>
      <c r="AJ51" s="846" t="s">
        <v>194</v>
      </c>
      <c r="AK51" s="846" t="s">
        <v>194</v>
      </c>
      <c r="AL51" s="846" t="s">
        <v>194</v>
      </c>
      <c r="AM51" s="846" t="s">
        <v>194</v>
      </c>
      <c r="AN51" s="846" t="s">
        <v>194</v>
      </c>
      <c r="AO51" s="846" t="s">
        <v>194</v>
      </c>
      <c r="AP51" s="846" t="s">
        <v>194</v>
      </c>
    </row>
    <row r="52" ht="15.75" customHeight="1">
      <c r="A52" s="846" t="s">
        <v>194</v>
      </c>
      <c r="B52" s="846" t="s">
        <v>194</v>
      </c>
      <c r="C52" s="846" t="s">
        <v>194</v>
      </c>
      <c r="D52" s="846" t="s">
        <v>194</v>
      </c>
      <c r="E52" s="846" t="s">
        <v>194</v>
      </c>
      <c r="F52" s="846" t="s">
        <v>194</v>
      </c>
      <c r="G52" s="846" t="s">
        <v>194</v>
      </c>
      <c r="H52" s="846" t="s">
        <v>194</v>
      </c>
      <c r="I52" s="846" t="s">
        <v>194</v>
      </c>
      <c r="J52" s="846" t="s">
        <v>194</v>
      </c>
      <c r="K52" s="846" t="s">
        <v>194</v>
      </c>
      <c r="L52" s="846" t="s">
        <v>194</v>
      </c>
      <c r="M52" s="846" t="s">
        <v>194</v>
      </c>
      <c r="N52" s="846" t="s">
        <v>194</v>
      </c>
      <c r="O52" s="846" t="s">
        <v>194</v>
      </c>
      <c r="P52" s="846" t="s">
        <v>194</v>
      </c>
      <c r="Q52" s="846" t="s">
        <v>194</v>
      </c>
      <c r="R52" s="846" t="s">
        <v>194</v>
      </c>
      <c r="S52" s="846" t="s">
        <v>194</v>
      </c>
      <c r="T52" s="846" t="s">
        <v>194</v>
      </c>
      <c r="U52" s="846" t="s">
        <v>194</v>
      </c>
      <c r="V52" s="846" t="s">
        <v>194</v>
      </c>
      <c r="W52" s="846" t="s">
        <v>194</v>
      </c>
      <c r="X52" s="846" t="s">
        <v>194</v>
      </c>
      <c r="Y52" s="846" t="s">
        <v>194</v>
      </c>
      <c r="Z52" s="846" t="s">
        <v>194</v>
      </c>
      <c r="AA52" s="846" t="s">
        <v>194</v>
      </c>
      <c r="AB52" s="846" t="s">
        <v>194</v>
      </c>
      <c r="AC52" s="846" t="s">
        <v>194</v>
      </c>
      <c r="AD52" s="846" t="s">
        <v>194</v>
      </c>
      <c r="AE52" s="846" t="s">
        <v>194</v>
      </c>
      <c r="AF52" s="846" t="s">
        <v>194</v>
      </c>
      <c r="AG52" s="846" t="s">
        <v>194</v>
      </c>
      <c r="AH52" s="846" t="s">
        <v>194</v>
      </c>
      <c r="AI52" s="846" t="s">
        <v>194</v>
      </c>
      <c r="AJ52" s="846" t="s">
        <v>194</v>
      </c>
      <c r="AK52" s="846" t="s">
        <v>194</v>
      </c>
      <c r="AL52" s="846" t="s">
        <v>194</v>
      </c>
      <c r="AM52" s="846" t="s">
        <v>194</v>
      </c>
      <c r="AN52" s="846" t="s">
        <v>194</v>
      </c>
      <c r="AO52" s="846" t="s">
        <v>194</v>
      </c>
      <c r="AP52" s="846" t="s">
        <v>194</v>
      </c>
    </row>
    <row r="53" ht="15.75" customHeight="1">
      <c r="A53" s="846" t="s">
        <v>194</v>
      </c>
      <c r="B53" s="846" t="s">
        <v>194</v>
      </c>
      <c r="C53" s="846" t="s">
        <v>194</v>
      </c>
      <c r="D53" s="846" t="s">
        <v>194</v>
      </c>
      <c r="E53" s="846" t="s">
        <v>194</v>
      </c>
      <c r="F53" s="846" t="s">
        <v>194</v>
      </c>
      <c r="G53" s="846" t="s">
        <v>194</v>
      </c>
      <c r="H53" s="846" t="s">
        <v>194</v>
      </c>
      <c r="I53" s="846" t="s">
        <v>194</v>
      </c>
      <c r="J53" s="846" t="s">
        <v>194</v>
      </c>
      <c r="K53" s="846" t="s">
        <v>194</v>
      </c>
      <c r="L53" s="846" t="s">
        <v>194</v>
      </c>
      <c r="M53" s="846" t="s">
        <v>194</v>
      </c>
      <c r="N53" s="846" t="s">
        <v>194</v>
      </c>
      <c r="O53" s="846" t="s">
        <v>194</v>
      </c>
      <c r="P53" s="846" t="s">
        <v>194</v>
      </c>
      <c r="Q53" s="846" t="s">
        <v>194</v>
      </c>
      <c r="R53" s="846" t="s">
        <v>194</v>
      </c>
      <c r="S53" s="846" t="s">
        <v>194</v>
      </c>
      <c r="T53" s="846" t="s">
        <v>194</v>
      </c>
      <c r="U53" s="846" t="s">
        <v>194</v>
      </c>
      <c r="V53" s="846" t="s">
        <v>194</v>
      </c>
      <c r="W53" s="846" t="s">
        <v>194</v>
      </c>
      <c r="X53" s="846" t="s">
        <v>194</v>
      </c>
      <c r="Y53" s="846" t="s">
        <v>194</v>
      </c>
      <c r="Z53" s="846" t="s">
        <v>194</v>
      </c>
      <c r="AA53" s="846" t="s">
        <v>194</v>
      </c>
      <c r="AB53" s="846" t="s">
        <v>194</v>
      </c>
      <c r="AC53" s="846" t="s">
        <v>194</v>
      </c>
      <c r="AD53" s="846" t="s">
        <v>194</v>
      </c>
      <c r="AE53" s="846" t="s">
        <v>194</v>
      </c>
      <c r="AF53" s="846" t="s">
        <v>194</v>
      </c>
      <c r="AG53" s="846" t="s">
        <v>194</v>
      </c>
      <c r="AH53" s="846" t="s">
        <v>194</v>
      </c>
      <c r="AI53" s="846" t="s">
        <v>194</v>
      </c>
      <c r="AJ53" s="846" t="s">
        <v>194</v>
      </c>
      <c r="AK53" s="846" t="s">
        <v>194</v>
      </c>
      <c r="AL53" s="846" t="s">
        <v>194</v>
      </c>
      <c r="AM53" s="846" t="s">
        <v>194</v>
      </c>
      <c r="AN53" s="846" t="s">
        <v>194</v>
      </c>
      <c r="AO53" s="846" t="s">
        <v>194</v>
      </c>
      <c r="AP53" s="846" t="s">
        <v>194</v>
      </c>
    </row>
    <row r="54" ht="15.75" customHeight="1">
      <c r="A54" s="846" t="s">
        <v>194</v>
      </c>
      <c r="B54" s="846" t="s">
        <v>194</v>
      </c>
      <c r="C54" s="846" t="s">
        <v>194</v>
      </c>
      <c r="D54" s="846" t="s">
        <v>194</v>
      </c>
      <c r="E54" s="846" t="s">
        <v>194</v>
      </c>
      <c r="F54" s="846" t="s">
        <v>194</v>
      </c>
      <c r="G54" s="846" t="s">
        <v>194</v>
      </c>
      <c r="H54" s="846" t="s">
        <v>194</v>
      </c>
      <c r="I54" s="846" t="s">
        <v>194</v>
      </c>
      <c r="J54" s="846" t="s">
        <v>194</v>
      </c>
      <c r="K54" s="846" t="s">
        <v>194</v>
      </c>
      <c r="L54" s="846" t="s">
        <v>194</v>
      </c>
      <c r="M54" s="846" t="s">
        <v>194</v>
      </c>
      <c r="N54" s="846" t="s">
        <v>194</v>
      </c>
      <c r="O54" s="846" t="s">
        <v>194</v>
      </c>
      <c r="P54" s="846" t="s">
        <v>194</v>
      </c>
      <c r="Q54" s="846" t="s">
        <v>194</v>
      </c>
      <c r="R54" s="846" t="s">
        <v>194</v>
      </c>
      <c r="S54" s="846" t="s">
        <v>194</v>
      </c>
      <c r="T54" s="846" t="s">
        <v>194</v>
      </c>
      <c r="U54" s="846" t="s">
        <v>194</v>
      </c>
      <c r="V54" s="846" t="s">
        <v>194</v>
      </c>
      <c r="W54" s="846" t="s">
        <v>194</v>
      </c>
      <c r="X54" s="846" t="s">
        <v>194</v>
      </c>
      <c r="Y54" s="846" t="s">
        <v>194</v>
      </c>
      <c r="Z54" s="846" t="s">
        <v>194</v>
      </c>
      <c r="AA54" s="846" t="s">
        <v>194</v>
      </c>
      <c r="AB54" s="846" t="s">
        <v>194</v>
      </c>
      <c r="AC54" s="846" t="s">
        <v>194</v>
      </c>
      <c r="AD54" s="846" t="s">
        <v>194</v>
      </c>
      <c r="AE54" s="846" t="s">
        <v>194</v>
      </c>
      <c r="AF54" s="846" t="s">
        <v>194</v>
      </c>
      <c r="AG54" s="846" t="s">
        <v>194</v>
      </c>
      <c r="AH54" s="846" t="s">
        <v>194</v>
      </c>
      <c r="AI54" s="846" t="s">
        <v>194</v>
      </c>
      <c r="AJ54" s="846" t="s">
        <v>194</v>
      </c>
      <c r="AK54" s="846" t="s">
        <v>194</v>
      </c>
      <c r="AL54" s="846" t="s">
        <v>194</v>
      </c>
      <c r="AM54" s="846" t="s">
        <v>194</v>
      </c>
      <c r="AN54" s="846" t="s">
        <v>194</v>
      </c>
      <c r="AO54" s="846" t="s">
        <v>194</v>
      </c>
      <c r="AP54" s="846" t="s">
        <v>194</v>
      </c>
    </row>
    <row r="55" ht="15.75" customHeight="1">
      <c r="A55" s="846" t="s">
        <v>194</v>
      </c>
      <c r="B55" s="846" t="s">
        <v>194</v>
      </c>
      <c r="C55" s="846" t="s">
        <v>194</v>
      </c>
      <c r="D55" s="846" t="s">
        <v>194</v>
      </c>
      <c r="E55" s="846" t="s">
        <v>194</v>
      </c>
      <c r="F55" s="846" t="s">
        <v>194</v>
      </c>
      <c r="G55" s="846" t="s">
        <v>194</v>
      </c>
      <c r="H55" s="846" t="s">
        <v>194</v>
      </c>
      <c r="I55" s="846" t="s">
        <v>194</v>
      </c>
      <c r="J55" s="846" t="s">
        <v>194</v>
      </c>
      <c r="K55" s="846" t="s">
        <v>194</v>
      </c>
      <c r="L55" s="846" t="s">
        <v>194</v>
      </c>
      <c r="M55" s="846" t="s">
        <v>194</v>
      </c>
      <c r="N55" s="846" t="s">
        <v>194</v>
      </c>
      <c r="O55" s="846" t="s">
        <v>194</v>
      </c>
      <c r="P55" s="846" t="s">
        <v>194</v>
      </c>
      <c r="Q55" s="846" t="s">
        <v>194</v>
      </c>
      <c r="R55" s="846" t="s">
        <v>194</v>
      </c>
      <c r="S55" s="846" t="s">
        <v>194</v>
      </c>
      <c r="T55" s="846" t="s">
        <v>194</v>
      </c>
      <c r="U55" s="846" t="s">
        <v>194</v>
      </c>
      <c r="V55" s="846" t="s">
        <v>194</v>
      </c>
      <c r="W55" s="846" t="s">
        <v>194</v>
      </c>
      <c r="X55" s="846" t="s">
        <v>194</v>
      </c>
      <c r="Y55" s="846" t="s">
        <v>194</v>
      </c>
      <c r="Z55" s="846" t="s">
        <v>194</v>
      </c>
      <c r="AA55" s="846" t="s">
        <v>194</v>
      </c>
      <c r="AB55" s="846" t="s">
        <v>194</v>
      </c>
      <c r="AC55" s="846" t="s">
        <v>194</v>
      </c>
      <c r="AD55" s="846" t="s">
        <v>194</v>
      </c>
      <c r="AE55" s="846" t="s">
        <v>194</v>
      </c>
      <c r="AF55" s="846" t="s">
        <v>194</v>
      </c>
      <c r="AG55" s="846" t="s">
        <v>194</v>
      </c>
      <c r="AH55" s="846" t="s">
        <v>194</v>
      </c>
      <c r="AI55" s="846" t="s">
        <v>194</v>
      </c>
      <c r="AJ55" s="846" t="s">
        <v>194</v>
      </c>
      <c r="AK55" s="846" t="s">
        <v>194</v>
      </c>
      <c r="AL55" s="846" t="s">
        <v>194</v>
      </c>
      <c r="AM55" s="846" t="s">
        <v>194</v>
      </c>
      <c r="AN55" s="846" t="s">
        <v>194</v>
      </c>
      <c r="AO55" s="846" t="s">
        <v>194</v>
      </c>
      <c r="AP55" s="846" t="s">
        <v>194</v>
      </c>
    </row>
    <row r="56" ht="15.75" customHeight="1">
      <c r="A56" s="846" t="s">
        <v>194</v>
      </c>
      <c r="B56" s="846" t="s">
        <v>194</v>
      </c>
      <c r="C56" s="846" t="s">
        <v>194</v>
      </c>
      <c r="D56" s="846" t="s">
        <v>194</v>
      </c>
      <c r="E56" s="846" t="s">
        <v>194</v>
      </c>
      <c r="F56" s="846" t="s">
        <v>194</v>
      </c>
      <c r="G56" s="846" t="s">
        <v>194</v>
      </c>
      <c r="H56" s="846" t="s">
        <v>194</v>
      </c>
      <c r="I56" s="846" t="s">
        <v>194</v>
      </c>
      <c r="J56" s="846" t="s">
        <v>194</v>
      </c>
      <c r="K56" s="846" t="s">
        <v>194</v>
      </c>
      <c r="L56" s="846" t="s">
        <v>194</v>
      </c>
      <c r="M56" s="846" t="s">
        <v>194</v>
      </c>
      <c r="N56" s="846" t="s">
        <v>194</v>
      </c>
      <c r="O56" s="846" t="s">
        <v>194</v>
      </c>
      <c r="P56" s="846" t="s">
        <v>194</v>
      </c>
      <c r="Q56" s="846" t="s">
        <v>194</v>
      </c>
      <c r="R56" s="846" t="s">
        <v>194</v>
      </c>
      <c r="S56" s="846" t="s">
        <v>194</v>
      </c>
      <c r="T56" s="846" t="s">
        <v>194</v>
      </c>
      <c r="U56" s="846" t="s">
        <v>194</v>
      </c>
      <c r="V56" s="846" t="s">
        <v>194</v>
      </c>
      <c r="W56" s="846" t="s">
        <v>194</v>
      </c>
      <c r="X56" s="846" t="s">
        <v>194</v>
      </c>
      <c r="Y56" s="846" t="s">
        <v>194</v>
      </c>
      <c r="Z56" s="846" t="s">
        <v>194</v>
      </c>
      <c r="AA56" s="846" t="s">
        <v>194</v>
      </c>
      <c r="AB56" s="846" t="s">
        <v>194</v>
      </c>
      <c r="AC56" s="846" t="s">
        <v>194</v>
      </c>
      <c r="AD56" s="846" t="s">
        <v>194</v>
      </c>
      <c r="AE56" s="846" t="s">
        <v>194</v>
      </c>
      <c r="AF56" s="846" t="s">
        <v>194</v>
      </c>
      <c r="AG56" s="846" t="s">
        <v>194</v>
      </c>
      <c r="AH56" s="846" t="s">
        <v>194</v>
      </c>
      <c r="AI56" s="846" t="s">
        <v>194</v>
      </c>
      <c r="AJ56" s="846" t="s">
        <v>194</v>
      </c>
      <c r="AK56" s="846" t="s">
        <v>194</v>
      </c>
      <c r="AL56" s="846" t="s">
        <v>194</v>
      </c>
      <c r="AM56" s="846" t="s">
        <v>194</v>
      </c>
      <c r="AN56" s="846" t="s">
        <v>194</v>
      </c>
      <c r="AO56" s="846" t="s">
        <v>194</v>
      </c>
      <c r="AP56" s="846" t="s">
        <v>194</v>
      </c>
    </row>
    <row r="57" ht="15.75" customHeight="1">
      <c r="A57" s="846" t="s">
        <v>194</v>
      </c>
      <c r="B57" s="846" t="s">
        <v>194</v>
      </c>
      <c r="C57" s="846" t="s">
        <v>194</v>
      </c>
      <c r="D57" s="846" t="s">
        <v>194</v>
      </c>
      <c r="E57" s="846" t="s">
        <v>194</v>
      </c>
      <c r="F57" s="846" t="s">
        <v>194</v>
      </c>
      <c r="G57" s="846" t="s">
        <v>194</v>
      </c>
      <c r="H57" s="846" t="s">
        <v>194</v>
      </c>
      <c r="I57" s="846" t="s">
        <v>194</v>
      </c>
      <c r="J57" s="846" t="s">
        <v>194</v>
      </c>
      <c r="K57" s="846" t="s">
        <v>194</v>
      </c>
      <c r="L57" s="846" t="s">
        <v>194</v>
      </c>
      <c r="M57" s="846" t="s">
        <v>194</v>
      </c>
      <c r="N57" s="846" t="s">
        <v>194</v>
      </c>
      <c r="O57" s="846" t="s">
        <v>194</v>
      </c>
      <c r="P57" s="846" t="s">
        <v>194</v>
      </c>
      <c r="Q57" s="846" t="s">
        <v>194</v>
      </c>
      <c r="R57" s="846" t="s">
        <v>194</v>
      </c>
      <c r="S57" s="846" t="s">
        <v>194</v>
      </c>
      <c r="T57" s="846" t="s">
        <v>194</v>
      </c>
      <c r="U57" s="846" t="s">
        <v>194</v>
      </c>
      <c r="V57" s="846" t="s">
        <v>194</v>
      </c>
      <c r="W57" s="846" t="s">
        <v>194</v>
      </c>
      <c r="X57" s="846" t="s">
        <v>194</v>
      </c>
      <c r="Y57" s="846" t="s">
        <v>194</v>
      </c>
      <c r="Z57" s="846" t="s">
        <v>194</v>
      </c>
      <c r="AA57" s="846" t="s">
        <v>194</v>
      </c>
      <c r="AB57" s="846" t="s">
        <v>194</v>
      </c>
      <c r="AC57" s="846" t="s">
        <v>194</v>
      </c>
      <c r="AD57" s="846" t="s">
        <v>194</v>
      </c>
      <c r="AE57" s="846" t="s">
        <v>194</v>
      </c>
      <c r="AF57" s="846" t="s">
        <v>194</v>
      </c>
      <c r="AG57" s="846" t="s">
        <v>194</v>
      </c>
      <c r="AH57" s="846" t="s">
        <v>194</v>
      </c>
      <c r="AI57" s="846" t="s">
        <v>194</v>
      </c>
      <c r="AJ57" s="846" t="s">
        <v>194</v>
      </c>
      <c r="AK57" s="846" t="s">
        <v>194</v>
      </c>
      <c r="AL57" s="846" t="s">
        <v>194</v>
      </c>
      <c r="AM57" s="846" t="s">
        <v>194</v>
      </c>
      <c r="AN57" s="846" t="s">
        <v>194</v>
      </c>
      <c r="AO57" s="846" t="s">
        <v>194</v>
      </c>
      <c r="AP57" s="846" t="s">
        <v>194</v>
      </c>
    </row>
    <row r="58" ht="15.75" customHeight="1">
      <c r="A58" s="846" t="s">
        <v>194</v>
      </c>
      <c r="B58" s="846" t="s">
        <v>194</v>
      </c>
      <c r="C58" s="846" t="s">
        <v>194</v>
      </c>
      <c r="D58" s="846" t="s">
        <v>194</v>
      </c>
      <c r="E58" s="846" t="s">
        <v>194</v>
      </c>
      <c r="F58" s="846" t="s">
        <v>194</v>
      </c>
      <c r="G58" s="846" t="s">
        <v>194</v>
      </c>
      <c r="H58" s="846" t="s">
        <v>194</v>
      </c>
      <c r="I58" s="846" t="s">
        <v>194</v>
      </c>
      <c r="J58" s="846" t="s">
        <v>194</v>
      </c>
      <c r="K58" s="846" t="s">
        <v>194</v>
      </c>
      <c r="L58" s="846" t="s">
        <v>194</v>
      </c>
      <c r="M58" s="846" t="s">
        <v>194</v>
      </c>
      <c r="N58" s="846" t="s">
        <v>194</v>
      </c>
      <c r="O58" s="846" t="s">
        <v>194</v>
      </c>
      <c r="P58" s="846" t="s">
        <v>194</v>
      </c>
      <c r="Q58" s="846" t="s">
        <v>194</v>
      </c>
      <c r="R58" s="846" t="s">
        <v>194</v>
      </c>
      <c r="S58" s="846" t="s">
        <v>194</v>
      </c>
      <c r="T58" s="846" t="s">
        <v>194</v>
      </c>
      <c r="U58" s="846" t="s">
        <v>194</v>
      </c>
      <c r="V58" s="846" t="s">
        <v>194</v>
      </c>
      <c r="W58" s="846" t="s">
        <v>194</v>
      </c>
      <c r="X58" s="846" t="s">
        <v>194</v>
      </c>
      <c r="Y58" s="846" t="s">
        <v>194</v>
      </c>
      <c r="Z58" s="846" t="s">
        <v>194</v>
      </c>
      <c r="AA58" s="846" t="s">
        <v>194</v>
      </c>
      <c r="AB58" s="846" t="s">
        <v>194</v>
      </c>
      <c r="AC58" s="846" t="s">
        <v>194</v>
      </c>
      <c r="AD58" s="846" t="s">
        <v>194</v>
      </c>
      <c r="AE58" s="846" t="s">
        <v>194</v>
      </c>
      <c r="AF58" s="846" t="s">
        <v>194</v>
      </c>
      <c r="AG58" s="846" t="s">
        <v>194</v>
      </c>
      <c r="AH58" s="846" t="s">
        <v>194</v>
      </c>
      <c r="AI58" s="846" t="s">
        <v>194</v>
      </c>
      <c r="AJ58" s="846" t="s">
        <v>194</v>
      </c>
      <c r="AK58" s="846" t="s">
        <v>194</v>
      </c>
      <c r="AL58" s="846" t="s">
        <v>194</v>
      </c>
      <c r="AM58" s="846" t="s">
        <v>194</v>
      </c>
      <c r="AN58" s="846" t="s">
        <v>194</v>
      </c>
      <c r="AO58" s="846" t="s">
        <v>194</v>
      </c>
      <c r="AP58" s="846" t="s">
        <v>194</v>
      </c>
    </row>
    <row r="59" ht="15.75" customHeight="1">
      <c r="A59" s="846" t="s">
        <v>194</v>
      </c>
      <c r="B59" s="846" t="s">
        <v>194</v>
      </c>
      <c r="C59" s="846" t="s">
        <v>194</v>
      </c>
      <c r="D59" s="846" t="s">
        <v>194</v>
      </c>
      <c r="E59" s="846" t="s">
        <v>194</v>
      </c>
      <c r="F59" s="846" t="s">
        <v>194</v>
      </c>
      <c r="G59" s="846" t="s">
        <v>194</v>
      </c>
      <c r="H59" s="846" t="s">
        <v>194</v>
      </c>
      <c r="I59" s="846" t="s">
        <v>194</v>
      </c>
      <c r="J59" s="846" t="s">
        <v>194</v>
      </c>
      <c r="K59" s="846" t="s">
        <v>194</v>
      </c>
      <c r="L59" s="846" t="s">
        <v>194</v>
      </c>
      <c r="M59" s="846" t="s">
        <v>194</v>
      </c>
      <c r="N59" s="846" t="s">
        <v>194</v>
      </c>
      <c r="O59" s="846" t="s">
        <v>194</v>
      </c>
      <c r="P59" s="846" t="s">
        <v>194</v>
      </c>
      <c r="Q59" s="846" t="s">
        <v>194</v>
      </c>
      <c r="R59" s="846" t="s">
        <v>194</v>
      </c>
      <c r="S59" s="846" t="s">
        <v>194</v>
      </c>
      <c r="T59" s="846" t="s">
        <v>194</v>
      </c>
      <c r="U59" s="846" t="s">
        <v>194</v>
      </c>
      <c r="V59" s="846" t="s">
        <v>194</v>
      </c>
      <c r="W59" s="846" t="s">
        <v>194</v>
      </c>
      <c r="X59" s="846" t="s">
        <v>194</v>
      </c>
      <c r="Y59" s="846" t="s">
        <v>194</v>
      </c>
      <c r="Z59" s="846" t="s">
        <v>194</v>
      </c>
      <c r="AA59" s="846" t="s">
        <v>194</v>
      </c>
      <c r="AB59" s="846" t="s">
        <v>194</v>
      </c>
      <c r="AC59" s="846" t="s">
        <v>194</v>
      </c>
      <c r="AD59" s="846" t="s">
        <v>194</v>
      </c>
      <c r="AE59" s="846" t="s">
        <v>194</v>
      </c>
      <c r="AF59" s="846" t="s">
        <v>194</v>
      </c>
      <c r="AG59" s="846" t="s">
        <v>194</v>
      </c>
      <c r="AH59" s="846" t="s">
        <v>194</v>
      </c>
      <c r="AI59" s="846" t="s">
        <v>194</v>
      </c>
      <c r="AJ59" s="846" t="s">
        <v>194</v>
      </c>
      <c r="AK59" s="846" t="s">
        <v>194</v>
      </c>
      <c r="AL59" s="846" t="s">
        <v>194</v>
      </c>
      <c r="AM59" s="846" t="s">
        <v>194</v>
      </c>
      <c r="AN59" s="846" t="s">
        <v>194</v>
      </c>
      <c r="AO59" s="846" t="s">
        <v>194</v>
      </c>
      <c r="AP59" s="846" t="s">
        <v>194</v>
      </c>
    </row>
    <row r="60" ht="15.75" customHeight="1">
      <c r="A60" s="846" t="s">
        <v>194</v>
      </c>
      <c r="B60" s="846" t="s">
        <v>194</v>
      </c>
      <c r="C60" s="846" t="s">
        <v>194</v>
      </c>
      <c r="D60" s="846" t="s">
        <v>194</v>
      </c>
      <c r="E60" s="846" t="s">
        <v>194</v>
      </c>
      <c r="F60" s="846" t="s">
        <v>194</v>
      </c>
      <c r="G60" s="846" t="s">
        <v>194</v>
      </c>
      <c r="H60" s="846" t="s">
        <v>194</v>
      </c>
      <c r="I60" s="846" t="s">
        <v>194</v>
      </c>
      <c r="J60" s="846" t="s">
        <v>194</v>
      </c>
      <c r="K60" s="846" t="s">
        <v>194</v>
      </c>
      <c r="L60" s="846" t="s">
        <v>194</v>
      </c>
      <c r="M60" s="846" t="s">
        <v>194</v>
      </c>
      <c r="N60" s="846" t="s">
        <v>194</v>
      </c>
      <c r="O60" s="846" t="s">
        <v>194</v>
      </c>
      <c r="P60" s="846" t="s">
        <v>194</v>
      </c>
      <c r="Q60" s="846" t="s">
        <v>194</v>
      </c>
      <c r="R60" s="846" t="s">
        <v>194</v>
      </c>
      <c r="S60" s="846" t="s">
        <v>194</v>
      </c>
      <c r="T60" s="846" t="s">
        <v>194</v>
      </c>
      <c r="U60" s="846" t="s">
        <v>194</v>
      </c>
      <c r="V60" s="846" t="s">
        <v>194</v>
      </c>
      <c r="W60" s="846" t="s">
        <v>194</v>
      </c>
      <c r="X60" s="846" t="s">
        <v>194</v>
      </c>
      <c r="Y60" s="846" t="s">
        <v>194</v>
      </c>
      <c r="Z60" s="846" t="s">
        <v>194</v>
      </c>
      <c r="AA60" s="846" t="s">
        <v>194</v>
      </c>
      <c r="AB60" s="846" t="s">
        <v>194</v>
      </c>
      <c r="AC60" s="846" t="s">
        <v>194</v>
      </c>
      <c r="AD60" s="846" t="s">
        <v>194</v>
      </c>
      <c r="AE60" s="846" t="s">
        <v>194</v>
      </c>
      <c r="AF60" s="846" t="s">
        <v>194</v>
      </c>
      <c r="AG60" s="846" t="s">
        <v>194</v>
      </c>
      <c r="AH60" s="846" t="s">
        <v>194</v>
      </c>
      <c r="AI60" s="846" t="s">
        <v>194</v>
      </c>
      <c r="AJ60" s="846" t="s">
        <v>194</v>
      </c>
      <c r="AK60" s="846" t="s">
        <v>194</v>
      </c>
      <c r="AL60" s="846" t="s">
        <v>194</v>
      </c>
      <c r="AM60" s="846" t="s">
        <v>194</v>
      </c>
      <c r="AN60" s="846" t="s">
        <v>194</v>
      </c>
      <c r="AO60" s="846" t="s">
        <v>194</v>
      </c>
      <c r="AP60" s="846" t="s">
        <v>194</v>
      </c>
    </row>
    <row r="61" ht="15.75" customHeight="1">
      <c r="A61" s="846" t="s">
        <v>194</v>
      </c>
      <c r="B61" s="846" t="s">
        <v>194</v>
      </c>
      <c r="C61" s="846" t="s">
        <v>194</v>
      </c>
      <c r="D61" s="846" t="s">
        <v>194</v>
      </c>
      <c r="E61" s="846" t="s">
        <v>194</v>
      </c>
      <c r="F61" s="846" t="s">
        <v>194</v>
      </c>
      <c r="G61" s="846" t="s">
        <v>194</v>
      </c>
      <c r="H61" s="846" t="s">
        <v>194</v>
      </c>
      <c r="I61" s="846" t="s">
        <v>194</v>
      </c>
      <c r="J61" s="846" t="s">
        <v>194</v>
      </c>
      <c r="K61" s="846" t="s">
        <v>194</v>
      </c>
      <c r="L61" s="846" t="s">
        <v>194</v>
      </c>
      <c r="M61" s="846" t="s">
        <v>194</v>
      </c>
      <c r="N61" s="846" t="s">
        <v>194</v>
      </c>
      <c r="O61" s="846" t="s">
        <v>194</v>
      </c>
      <c r="P61" s="846" t="s">
        <v>194</v>
      </c>
      <c r="Q61" s="846" t="s">
        <v>194</v>
      </c>
      <c r="R61" s="846" t="s">
        <v>194</v>
      </c>
      <c r="S61" s="846" t="s">
        <v>194</v>
      </c>
      <c r="T61" s="846" t="s">
        <v>194</v>
      </c>
      <c r="U61" s="846" t="s">
        <v>194</v>
      </c>
      <c r="V61" s="846" t="s">
        <v>194</v>
      </c>
      <c r="W61" s="846" t="s">
        <v>194</v>
      </c>
      <c r="X61" s="846" t="s">
        <v>194</v>
      </c>
      <c r="Y61" s="846" t="s">
        <v>194</v>
      </c>
      <c r="Z61" s="846" t="s">
        <v>194</v>
      </c>
      <c r="AA61" s="846" t="s">
        <v>194</v>
      </c>
      <c r="AB61" s="846" t="s">
        <v>194</v>
      </c>
      <c r="AC61" s="846" t="s">
        <v>194</v>
      </c>
      <c r="AD61" s="846" t="s">
        <v>194</v>
      </c>
      <c r="AE61" s="846" t="s">
        <v>194</v>
      </c>
      <c r="AF61" s="846" t="s">
        <v>194</v>
      </c>
      <c r="AG61" s="846" t="s">
        <v>194</v>
      </c>
      <c r="AH61" s="846" t="s">
        <v>194</v>
      </c>
      <c r="AI61" s="846" t="s">
        <v>194</v>
      </c>
      <c r="AJ61" s="846" t="s">
        <v>194</v>
      </c>
      <c r="AK61" s="846" t="s">
        <v>194</v>
      </c>
      <c r="AL61" s="846" t="s">
        <v>194</v>
      </c>
      <c r="AM61" s="846" t="s">
        <v>194</v>
      </c>
      <c r="AN61" s="846" t="s">
        <v>194</v>
      </c>
      <c r="AO61" s="846" t="s">
        <v>194</v>
      </c>
      <c r="AP61" s="846" t="s">
        <v>194</v>
      </c>
    </row>
    <row r="62" ht="15.75" customHeight="1">
      <c r="A62" s="846" t="s">
        <v>194</v>
      </c>
      <c r="B62" s="846" t="s">
        <v>194</v>
      </c>
      <c r="C62" s="846" t="s">
        <v>194</v>
      </c>
      <c r="D62" s="846" t="s">
        <v>194</v>
      </c>
      <c r="E62" s="846" t="s">
        <v>194</v>
      </c>
      <c r="F62" s="846" t="s">
        <v>194</v>
      </c>
      <c r="G62" s="846" t="s">
        <v>194</v>
      </c>
      <c r="H62" s="846" t="s">
        <v>194</v>
      </c>
      <c r="I62" s="846" t="s">
        <v>194</v>
      </c>
      <c r="J62" s="846" t="s">
        <v>194</v>
      </c>
      <c r="K62" s="846" t="s">
        <v>194</v>
      </c>
      <c r="L62" s="846" t="s">
        <v>194</v>
      </c>
      <c r="M62" s="846" t="s">
        <v>194</v>
      </c>
      <c r="N62" s="846" t="s">
        <v>194</v>
      </c>
      <c r="O62" s="846" t="s">
        <v>194</v>
      </c>
      <c r="P62" s="846" t="s">
        <v>194</v>
      </c>
      <c r="Q62" s="846" t="s">
        <v>194</v>
      </c>
      <c r="R62" s="846" t="s">
        <v>194</v>
      </c>
      <c r="S62" s="846" t="s">
        <v>194</v>
      </c>
      <c r="T62" s="846" t="s">
        <v>194</v>
      </c>
      <c r="U62" s="846" t="s">
        <v>194</v>
      </c>
      <c r="V62" s="846" t="s">
        <v>194</v>
      </c>
      <c r="W62" s="846" t="s">
        <v>194</v>
      </c>
      <c r="X62" s="846" t="s">
        <v>194</v>
      </c>
      <c r="Y62" s="846" t="s">
        <v>194</v>
      </c>
      <c r="Z62" s="846" t="s">
        <v>194</v>
      </c>
      <c r="AA62" s="846" t="s">
        <v>194</v>
      </c>
      <c r="AB62" s="846" t="s">
        <v>194</v>
      </c>
      <c r="AC62" s="846" t="s">
        <v>194</v>
      </c>
      <c r="AD62" s="846" t="s">
        <v>194</v>
      </c>
      <c r="AE62" s="846" t="s">
        <v>194</v>
      </c>
      <c r="AF62" s="846" t="s">
        <v>194</v>
      </c>
      <c r="AG62" s="846" t="s">
        <v>194</v>
      </c>
      <c r="AH62" s="846" t="s">
        <v>194</v>
      </c>
      <c r="AI62" s="846" t="s">
        <v>194</v>
      </c>
      <c r="AJ62" s="846" t="s">
        <v>194</v>
      </c>
      <c r="AK62" s="846" t="s">
        <v>194</v>
      </c>
      <c r="AL62" s="846" t="s">
        <v>194</v>
      </c>
      <c r="AM62" s="846" t="s">
        <v>194</v>
      </c>
      <c r="AN62" s="846" t="s">
        <v>194</v>
      </c>
      <c r="AO62" s="846" t="s">
        <v>194</v>
      </c>
      <c r="AP62" s="846" t="s">
        <v>194</v>
      </c>
    </row>
    <row r="63" ht="15.75" customHeight="1">
      <c r="A63" s="846" t="s">
        <v>194</v>
      </c>
      <c r="B63" s="846" t="s">
        <v>194</v>
      </c>
      <c r="C63" s="846" t="s">
        <v>194</v>
      </c>
      <c r="D63" s="846" t="s">
        <v>194</v>
      </c>
      <c r="E63" s="846" t="s">
        <v>194</v>
      </c>
      <c r="F63" s="846" t="s">
        <v>194</v>
      </c>
      <c r="G63" s="846" t="s">
        <v>194</v>
      </c>
      <c r="H63" s="846" t="s">
        <v>194</v>
      </c>
      <c r="I63" s="846" t="s">
        <v>194</v>
      </c>
      <c r="J63" s="846" t="s">
        <v>194</v>
      </c>
      <c r="K63" s="846" t="s">
        <v>194</v>
      </c>
      <c r="L63" s="846" t="s">
        <v>194</v>
      </c>
      <c r="M63" s="846" t="s">
        <v>194</v>
      </c>
      <c r="N63" s="846" t="s">
        <v>194</v>
      </c>
      <c r="O63" s="846" t="s">
        <v>194</v>
      </c>
      <c r="P63" s="846" t="s">
        <v>194</v>
      </c>
      <c r="Q63" s="846" t="s">
        <v>194</v>
      </c>
      <c r="R63" s="846" t="s">
        <v>194</v>
      </c>
      <c r="S63" s="846" t="s">
        <v>194</v>
      </c>
      <c r="T63" s="846" t="s">
        <v>194</v>
      </c>
      <c r="U63" s="846" t="s">
        <v>194</v>
      </c>
      <c r="V63" s="846" t="s">
        <v>194</v>
      </c>
      <c r="W63" s="846" t="s">
        <v>194</v>
      </c>
      <c r="X63" s="846" t="s">
        <v>194</v>
      </c>
      <c r="Y63" s="846" t="s">
        <v>194</v>
      </c>
      <c r="Z63" s="846" t="s">
        <v>194</v>
      </c>
      <c r="AA63" s="846" t="s">
        <v>194</v>
      </c>
      <c r="AB63" s="846" t="s">
        <v>194</v>
      </c>
      <c r="AC63" s="846" t="s">
        <v>194</v>
      </c>
      <c r="AD63" s="846" t="s">
        <v>194</v>
      </c>
      <c r="AE63" s="846" t="s">
        <v>194</v>
      </c>
      <c r="AF63" s="846" t="s">
        <v>194</v>
      </c>
      <c r="AG63" s="846" t="s">
        <v>194</v>
      </c>
      <c r="AH63" s="846" t="s">
        <v>194</v>
      </c>
      <c r="AI63" s="846" t="s">
        <v>194</v>
      </c>
      <c r="AJ63" s="846" t="s">
        <v>194</v>
      </c>
      <c r="AK63" s="846" t="s">
        <v>194</v>
      </c>
      <c r="AL63" s="846" t="s">
        <v>194</v>
      </c>
      <c r="AM63" s="846" t="s">
        <v>194</v>
      </c>
      <c r="AN63" s="846" t="s">
        <v>194</v>
      </c>
      <c r="AO63" s="846" t="s">
        <v>194</v>
      </c>
      <c r="AP63" s="846" t="s">
        <v>194</v>
      </c>
    </row>
    <row r="64" ht="15.75" customHeight="1">
      <c r="A64" s="846" t="s">
        <v>194</v>
      </c>
      <c r="B64" s="846" t="s">
        <v>194</v>
      </c>
      <c r="C64" s="846" t="s">
        <v>194</v>
      </c>
      <c r="D64" s="846" t="s">
        <v>194</v>
      </c>
      <c r="E64" s="846" t="s">
        <v>194</v>
      </c>
      <c r="F64" s="846" t="s">
        <v>194</v>
      </c>
      <c r="G64" s="846" t="s">
        <v>194</v>
      </c>
      <c r="H64" s="846" t="s">
        <v>194</v>
      </c>
      <c r="I64" s="846" t="s">
        <v>194</v>
      </c>
      <c r="J64" s="846" t="s">
        <v>194</v>
      </c>
      <c r="K64" s="846" t="s">
        <v>194</v>
      </c>
      <c r="L64" s="846" t="s">
        <v>194</v>
      </c>
      <c r="M64" s="846" t="s">
        <v>194</v>
      </c>
      <c r="N64" s="846" t="s">
        <v>194</v>
      </c>
      <c r="O64" s="846" t="s">
        <v>194</v>
      </c>
      <c r="P64" s="846" t="s">
        <v>194</v>
      </c>
      <c r="Q64" s="846" t="s">
        <v>194</v>
      </c>
      <c r="R64" s="846" t="s">
        <v>194</v>
      </c>
      <c r="S64" s="846" t="s">
        <v>194</v>
      </c>
      <c r="T64" s="846" t="s">
        <v>194</v>
      </c>
      <c r="U64" s="846" t="s">
        <v>194</v>
      </c>
      <c r="V64" s="846" t="s">
        <v>194</v>
      </c>
      <c r="W64" s="846" t="s">
        <v>194</v>
      </c>
      <c r="X64" s="846" t="s">
        <v>194</v>
      </c>
      <c r="Y64" s="846" t="s">
        <v>194</v>
      </c>
      <c r="Z64" s="846" t="s">
        <v>194</v>
      </c>
      <c r="AA64" s="846" t="s">
        <v>194</v>
      </c>
      <c r="AB64" s="846" t="s">
        <v>194</v>
      </c>
      <c r="AC64" s="846" t="s">
        <v>194</v>
      </c>
      <c r="AD64" s="846" t="s">
        <v>194</v>
      </c>
      <c r="AE64" s="846" t="s">
        <v>194</v>
      </c>
      <c r="AF64" s="846" t="s">
        <v>194</v>
      </c>
      <c r="AG64" s="846" t="s">
        <v>194</v>
      </c>
      <c r="AH64" s="846" t="s">
        <v>194</v>
      </c>
      <c r="AI64" s="846" t="s">
        <v>194</v>
      </c>
      <c r="AJ64" s="846" t="s">
        <v>194</v>
      </c>
      <c r="AK64" s="846" t="s">
        <v>194</v>
      </c>
      <c r="AL64" s="846" t="s">
        <v>194</v>
      </c>
      <c r="AM64" s="846" t="s">
        <v>194</v>
      </c>
      <c r="AN64" s="846" t="s">
        <v>194</v>
      </c>
      <c r="AO64" s="846" t="s">
        <v>194</v>
      </c>
      <c r="AP64" s="846" t="s">
        <v>194</v>
      </c>
    </row>
    <row r="65" ht="15.75" customHeight="1">
      <c r="A65" s="846" t="s">
        <v>194</v>
      </c>
      <c r="B65" s="846" t="s">
        <v>194</v>
      </c>
      <c r="C65" s="846" t="s">
        <v>194</v>
      </c>
      <c r="D65" s="846" t="s">
        <v>194</v>
      </c>
      <c r="E65" s="846" t="s">
        <v>194</v>
      </c>
      <c r="F65" s="846" t="s">
        <v>194</v>
      </c>
      <c r="G65" s="846" t="s">
        <v>194</v>
      </c>
      <c r="H65" s="846" t="s">
        <v>194</v>
      </c>
      <c r="I65" s="846" t="s">
        <v>194</v>
      </c>
      <c r="J65" s="846" t="s">
        <v>194</v>
      </c>
      <c r="K65" s="846" t="s">
        <v>194</v>
      </c>
      <c r="L65" s="846" t="s">
        <v>194</v>
      </c>
      <c r="M65" s="846" t="s">
        <v>194</v>
      </c>
      <c r="N65" s="846" t="s">
        <v>194</v>
      </c>
      <c r="O65" s="846" t="s">
        <v>194</v>
      </c>
      <c r="P65" s="846" t="s">
        <v>194</v>
      </c>
      <c r="Q65" s="846" t="s">
        <v>194</v>
      </c>
      <c r="R65" s="846" t="s">
        <v>194</v>
      </c>
      <c r="S65" s="846" t="s">
        <v>194</v>
      </c>
      <c r="T65" s="846" t="s">
        <v>194</v>
      </c>
      <c r="U65" s="846" t="s">
        <v>194</v>
      </c>
      <c r="V65" s="846" t="s">
        <v>194</v>
      </c>
      <c r="W65" s="846" t="s">
        <v>194</v>
      </c>
      <c r="X65" s="846" t="s">
        <v>194</v>
      </c>
      <c r="Y65" s="846" t="s">
        <v>194</v>
      </c>
      <c r="Z65" s="846" t="s">
        <v>194</v>
      </c>
      <c r="AA65" s="846" t="s">
        <v>194</v>
      </c>
      <c r="AB65" s="846" t="s">
        <v>194</v>
      </c>
      <c r="AC65" s="846" t="s">
        <v>194</v>
      </c>
      <c r="AD65" s="846" t="s">
        <v>194</v>
      </c>
      <c r="AE65" s="846" t="s">
        <v>194</v>
      </c>
      <c r="AF65" s="846" t="s">
        <v>194</v>
      </c>
      <c r="AG65" s="846" t="s">
        <v>194</v>
      </c>
      <c r="AH65" s="846" t="s">
        <v>194</v>
      </c>
      <c r="AI65" s="846" t="s">
        <v>194</v>
      </c>
      <c r="AJ65" s="846" t="s">
        <v>194</v>
      </c>
      <c r="AK65" s="846" t="s">
        <v>194</v>
      </c>
      <c r="AL65" s="846" t="s">
        <v>194</v>
      </c>
      <c r="AM65" s="846" t="s">
        <v>194</v>
      </c>
      <c r="AN65" s="846" t="s">
        <v>194</v>
      </c>
      <c r="AO65" s="846" t="s">
        <v>194</v>
      </c>
      <c r="AP65" s="846" t="s">
        <v>194</v>
      </c>
    </row>
    <row r="66" ht="15.75" customHeight="1">
      <c r="A66" s="846" t="s">
        <v>194</v>
      </c>
      <c r="B66" s="846" t="s">
        <v>194</v>
      </c>
      <c r="C66" s="846" t="s">
        <v>194</v>
      </c>
      <c r="D66" s="846" t="s">
        <v>194</v>
      </c>
      <c r="E66" s="846" t="s">
        <v>194</v>
      </c>
      <c r="F66" s="846" t="s">
        <v>194</v>
      </c>
      <c r="G66" s="846" t="s">
        <v>194</v>
      </c>
      <c r="H66" s="846" t="s">
        <v>194</v>
      </c>
      <c r="I66" s="846" t="s">
        <v>194</v>
      </c>
      <c r="J66" s="846" t="s">
        <v>194</v>
      </c>
      <c r="K66" s="846" t="s">
        <v>194</v>
      </c>
      <c r="L66" s="846" t="s">
        <v>194</v>
      </c>
      <c r="M66" s="846" t="s">
        <v>194</v>
      </c>
      <c r="N66" s="846" t="s">
        <v>194</v>
      </c>
      <c r="O66" s="846" t="s">
        <v>194</v>
      </c>
      <c r="P66" s="846" t="s">
        <v>194</v>
      </c>
      <c r="Q66" s="846" t="s">
        <v>194</v>
      </c>
      <c r="R66" s="846" t="s">
        <v>194</v>
      </c>
      <c r="S66" s="846" t="s">
        <v>194</v>
      </c>
      <c r="T66" s="846" t="s">
        <v>194</v>
      </c>
      <c r="U66" s="846" t="s">
        <v>194</v>
      </c>
      <c r="V66" s="846" t="s">
        <v>194</v>
      </c>
      <c r="W66" s="846" t="s">
        <v>194</v>
      </c>
      <c r="X66" s="846" t="s">
        <v>194</v>
      </c>
      <c r="Y66" s="846" t="s">
        <v>194</v>
      </c>
      <c r="Z66" s="846" t="s">
        <v>194</v>
      </c>
      <c r="AA66" s="846" t="s">
        <v>194</v>
      </c>
      <c r="AB66" s="846" t="s">
        <v>194</v>
      </c>
      <c r="AC66" s="846" t="s">
        <v>194</v>
      </c>
      <c r="AD66" s="846" t="s">
        <v>194</v>
      </c>
      <c r="AE66" s="846" t="s">
        <v>194</v>
      </c>
      <c r="AF66" s="846" t="s">
        <v>194</v>
      </c>
      <c r="AG66" s="846" t="s">
        <v>194</v>
      </c>
      <c r="AH66" s="846" t="s">
        <v>194</v>
      </c>
      <c r="AI66" s="846" t="s">
        <v>194</v>
      </c>
      <c r="AJ66" s="846" t="s">
        <v>194</v>
      </c>
      <c r="AK66" s="846" t="s">
        <v>194</v>
      </c>
      <c r="AL66" s="846" t="s">
        <v>194</v>
      </c>
      <c r="AM66" s="846" t="s">
        <v>194</v>
      </c>
      <c r="AN66" s="846" t="s">
        <v>194</v>
      </c>
      <c r="AO66" s="846" t="s">
        <v>194</v>
      </c>
      <c r="AP66" s="846" t="s">
        <v>194</v>
      </c>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5:D6"/>
    <mergeCell ref="E5:E6"/>
    <mergeCell ref="F5:F6"/>
    <mergeCell ref="G5:G6"/>
    <mergeCell ref="H5:H6"/>
    <mergeCell ref="I5:I6"/>
    <mergeCell ref="J5:J6"/>
    <mergeCell ref="K5:K6"/>
  </mergeCells>
  <conditionalFormatting sqref="D10:S10 D15:S15 D22:S22">
    <cfRule type="expression" dxfId="1" priority="1">
      <formula>NOT(SUBTOTAL(109,$A11)=$A11)</formula>
    </cfRule>
  </conditionalFormatting>
  <printOptions/>
  <pageMargins bottom="0.75" footer="0.0" header="0.0" left="0.7" right="0.7" top="0.75"/>
  <pageSetup paperSize="9" orientation="portrait"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CECE"/>
    <pageSetUpPr/>
  </sheetPr>
  <sheetViews>
    <sheetView workbookViewId="0"/>
  </sheetViews>
  <sheetFormatPr customHeight="1" defaultColWidth="14.43" defaultRowHeight="15.0" outlineLevelCol="2"/>
  <cols>
    <col customWidth="1" min="1" max="1" width="7.71" outlineLevel="2"/>
    <col customWidth="1" min="2" max="2" width="9.71" outlineLevel="2"/>
    <col customWidth="1" min="3" max="3" width="8.14" outlineLevel="2"/>
    <col customWidth="1" min="4" max="5" width="3.14"/>
    <col customWidth="1" min="6" max="6" width="14.57"/>
    <col customWidth="1" min="7" max="7" width="1.86" outlineLevel="1"/>
    <col customWidth="1" min="8" max="8" width="11.43" outlineLevel="1"/>
    <col customWidth="1" min="9" max="9" width="2.86" outlineLevel="1"/>
    <col customWidth="1" min="10" max="10" width="18.14" outlineLevel="1"/>
    <col customWidth="1" min="11" max="11" width="2.71" outlineLevel="1"/>
    <col customWidth="1" min="12" max="12" width="12.0" outlineLevel="1"/>
    <col customWidth="1" min="13" max="13" width="1.57" outlineLevel="1"/>
    <col customWidth="1" min="14" max="14" width="12.0" outlineLevel="1"/>
    <col customWidth="1" min="15" max="15" width="2.71"/>
    <col customWidth="1" min="16" max="16" width="10.43"/>
    <col customWidth="1" min="17" max="17" width="4.14" outlineLevel="1"/>
    <col customWidth="1" min="18" max="18" width="12.0" outlineLevel="1"/>
    <col customWidth="1" min="19" max="19" width="1.86" outlineLevel="1"/>
    <col customWidth="1" min="20" max="20" width="12.0" outlineLevel="1"/>
    <col customWidth="1" min="21" max="21" width="4.14" outlineLevel="1"/>
    <col customWidth="1" min="22" max="22" width="11.0" outlineLevel="1"/>
    <col customWidth="1" min="23" max="23" width="1.71" outlineLevel="1"/>
    <col customWidth="1" min="24" max="24" width="11.0" outlineLevel="1"/>
    <col customWidth="1" min="25" max="25" width="5.0"/>
    <col customWidth="1" min="26" max="26" width="7.57"/>
    <col customWidth="1" min="27" max="27" width="1.71"/>
    <col customWidth="1" min="28" max="28" width="7.57"/>
    <col customWidth="1" min="29" max="29" width="2.57"/>
    <col customWidth="1" min="30" max="30" width="7.57"/>
    <col customWidth="1" min="31" max="31" width="1.71"/>
    <col customWidth="1" min="32" max="32" width="8.71"/>
    <col customWidth="1" min="33" max="33" width="3.14"/>
    <col customWidth="1" min="34" max="34" width="7.57"/>
    <col customWidth="1" min="35" max="35" width="1.71"/>
    <col customWidth="1" min="36" max="36" width="7.57"/>
    <col customWidth="1" min="37" max="37" width="3.14"/>
    <col customWidth="1" min="38" max="38" width="7.57" outlineLevel="1"/>
    <col customWidth="1" min="39" max="39" width="2.14" outlineLevel="1"/>
    <col customWidth="1" min="40" max="40" width="7.57" outlineLevel="1"/>
    <col customWidth="1" min="41" max="41" width="1.71" outlineLevel="1"/>
    <col customWidth="1" min="42" max="42" width="5.71" outlineLevel="1"/>
    <col customWidth="1" min="43" max="43" width="2.43"/>
    <col customWidth="1" min="44" max="62" width="9.14"/>
  </cols>
  <sheetData>
    <row r="1" ht="11.25" customHeight="1">
      <c r="A1" s="994"/>
      <c r="B1" s="994"/>
      <c r="C1" s="994"/>
      <c r="D1" s="994"/>
      <c r="E1" s="995"/>
      <c r="F1" s="994"/>
      <c r="G1" s="994"/>
      <c r="H1" s="994"/>
      <c r="I1" s="994"/>
      <c r="J1" s="994"/>
      <c r="K1" s="994"/>
      <c r="L1" s="994"/>
      <c r="M1" s="994"/>
      <c r="N1" s="994"/>
      <c r="O1" s="994"/>
      <c r="P1" s="994"/>
      <c r="Q1" s="994"/>
      <c r="R1" s="994"/>
      <c r="S1" s="994"/>
      <c r="T1" s="994"/>
      <c r="U1" s="994"/>
      <c r="V1" s="994"/>
      <c r="W1" s="994"/>
      <c r="X1" s="994"/>
      <c r="Y1" s="994"/>
      <c r="Z1" s="994"/>
      <c r="AA1" s="994"/>
      <c r="AB1" s="994"/>
      <c r="AC1" s="994"/>
      <c r="AD1" s="994"/>
      <c r="AE1" s="994"/>
      <c r="AF1" s="994"/>
      <c r="AG1" s="994"/>
      <c r="AH1" s="994"/>
      <c r="AI1" s="994"/>
      <c r="AJ1" s="994"/>
      <c r="AK1" s="994"/>
      <c r="AL1" s="994"/>
      <c r="AM1" s="994"/>
      <c r="AN1" s="994"/>
      <c r="AO1" s="994"/>
      <c r="AP1" s="994"/>
      <c r="AQ1" s="994"/>
      <c r="AR1" s="994"/>
      <c r="AS1" s="994"/>
      <c r="AT1" s="994"/>
      <c r="AU1" s="994"/>
      <c r="AV1" s="994"/>
      <c r="AW1" s="994"/>
      <c r="AX1" s="994"/>
      <c r="AY1" s="994"/>
      <c r="AZ1" s="994"/>
      <c r="BA1" s="994"/>
      <c r="BB1" s="994"/>
      <c r="BC1" s="994"/>
      <c r="BD1" s="994"/>
      <c r="BE1" s="994"/>
      <c r="BF1" s="994"/>
      <c r="BG1" s="994"/>
      <c r="BH1" s="994"/>
      <c r="BI1" s="994"/>
      <c r="BJ1" s="994"/>
    </row>
    <row r="2" ht="11.25" customHeight="1">
      <c r="A2" s="996"/>
      <c r="B2" s="994"/>
      <c r="C2" s="994"/>
      <c r="D2" s="994"/>
      <c r="E2" s="995"/>
      <c r="F2" s="994"/>
      <c r="G2" s="994"/>
      <c r="H2" s="994"/>
      <c r="I2" s="994"/>
      <c r="J2" s="994"/>
      <c r="K2" s="994"/>
      <c r="L2" s="994"/>
      <c r="M2" s="994"/>
      <c r="N2" s="994"/>
      <c r="O2" s="994"/>
      <c r="P2" s="994"/>
      <c r="Q2" s="994"/>
      <c r="R2" s="994"/>
      <c r="S2" s="994"/>
      <c r="T2" s="994"/>
      <c r="U2" s="994"/>
      <c r="V2" s="994"/>
      <c r="W2" s="994"/>
      <c r="X2" s="994"/>
      <c r="Y2" s="994"/>
      <c r="Z2" s="994"/>
      <c r="AA2" s="994"/>
      <c r="AB2" s="994"/>
      <c r="AC2" s="994"/>
      <c r="AD2" s="994"/>
      <c r="AE2" s="994"/>
      <c r="AF2" s="994"/>
      <c r="AG2" s="994"/>
      <c r="AH2" s="994"/>
      <c r="AI2" s="994"/>
      <c r="AJ2" s="994"/>
      <c r="AK2" s="994"/>
      <c r="AL2" s="994"/>
      <c r="AM2" s="994"/>
      <c r="AN2" s="994"/>
      <c r="AO2" s="994"/>
      <c r="AP2" s="994"/>
      <c r="AQ2" s="994"/>
      <c r="AR2" s="994"/>
      <c r="AS2" s="994"/>
      <c r="AT2" s="994"/>
      <c r="AU2" s="994"/>
      <c r="AV2" s="994"/>
      <c r="AW2" s="994"/>
      <c r="AX2" s="994"/>
      <c r="AY2" s="994"/>
      <c r="AZ2" s="994"/>
      <c r="BA2" s="994"/>
      <c r="BB2" s="994"/>
      <c r="BC2" s="994"/>
      <c r="BD2" s="994"/>
      <c r="BE2" s="994"/>
      <c r="BF2" s="994"/>
      <c r="BG2" s="994"/>
      <c r="BH2" s="994"/>
      <c r="BI2" s="994"/>
      <c r="BJ2" s="994"/>
    </row>
    <row r="3" ht="11.25" customHeight="1">
      <c r="A3" s="997">
        <v>43531.0</v>
      </c>
      <c r="B3" s="994"/>
      <c r="C3" s="994"/>
      <c r="D3" s="994"/>
      <c r="E3" s="995"/>
      <c r="F3" s="994"/>
      <c r="G3" s="994"/>
      <c r="H3" s="994"/>
      <c r="I3" s="994"/>
      <c r="J3" s="994"/>
      <c r="K3" s="994"/>
      <c r="L3" s="994"/>
      <c r="M3" s="994"/>
      <c r="N3" s="994"/>
      <c r="O3" s="994"/>
      <c r="P3" s="994"/>
      <c r="Q3" s="994"/>
      <c r="R3" s="994"/>
      <c r="S3" s="994"/>
      <c r="T3" s="994"/>
      <c r="U3" s="994"/>
      <c r="V3" s="994"/>
      <c r="W3" s="994"/>
      <c r="X3" s="994"/>
      <c r="Y3" s="994"/>
      <c r="Z3" s="994"/>
      <c r="AA3" s="994"/>
      <c r="AB3" s="994"/>
      <c r="AC3" s="994"/>
      <c r="AD3" s="994"/>
      <c r="AE3" s="994"/>
      <c r="AF3" s="994"/>
      <c r="AG3" s="994"/>
      <c r="AH3" s="994"/>
      <c r="AI3" s="994"/>
      <c r="AJ3" s="994"/>
      <c r="AK3" s="994"/>
      <c r="AL3" s="994"/>
      <c r="AM3" s="994"/>
      <c r="AN3" s="994"/>
      <c r="AO3" s="994"/>
      <c r="AP3" s="994"/>
      <c r="AQ3" s="994"/>
      <c r="AR3" s="994"/>
      <c r="AS3" s="994"/>
      <c r="AT3" s="994"/>
      <c r="AU3" s="994"/>
      <c r="AV3" s="994"/>
      <c r="AW3" s="994"/>
      <c r="AX3" s="994"/>
      <c r="AY3" s="994"/>
      <c r="AZ3" s="994"/>
      <c r="BA3" s="994"/>
      <c r="BB3" s="994"/>
      <c r="BC3" s="994"/>
      <c r="BD3" s="994"/>
      <c r="BE3" s="994"/>
      <c r="BF3" s="994"/>
      <c r="BG3" s="994"/>
      <c r="BH3" s="994"/>
      <c r="BI3" s="994"/>
      <c r="BJ3" s="994"/>
    </row>
    <row r="4" ht="11.25" customHeight="1">
      <c r="A4" s="997"/>
      <c r="B4" s="994"/>
      <c r="C4" s="994"/>
      <c r="D4" s="994"/>
      <c r="E4" s="995"/>
      <c r="F4" s="994"/>
      <c r="G4" s="994"/>
      <c r="H4" s="994"/>
      <c r="I4" s="994"/>
      <c r="J4" s="994"/>
      <c r="K4" s="994"/>
      <c r="L4" s="994"/>
      <c r="M4" s="994"/>
      <c r="N4" s="994"/>
      <c r="O4" s="994"/>
      <c r="P4" s="994"/>
      <c r="Q4" s="994"/>
      <c r="R4" s="994"/>
      <c r="S4" s="994"/>
      <c r="T4" s="994"/>
      <c r="U4" s="994"/>
      <c r="V4" s="994"/>
      <c r="W4" s="994"/>
      <c r="X4" s="994"/>
      <c r="Y4" s="994"/>
      <c r="Z4" s="994"/>
      <c r="AA4" s="994"/>
      <c r="AB4" s="994"/>
      <c r="AC4" s="994"/>
      <c r="AD4" s="994"/>
      <c r="AE4" s="994"/>
      <c r="AF4" s="994"/>
      <c r="AG4" s="994"/>
      <c r="AH4" s="994"/>
      <c r="AI4" s="994"/>
      <c r="AJ4" s="994"/>
      <c r="AK4" s="994"/>
      <c r="AL4" s="994"/>
      <c r="AM4" s="994"/>
      <c r="AN4" s="994"/>
      <c r="AO4" s="994"/>
      <c r="AP4" s="994"/>
      <c r="AQ4" s="994"/>
      <c r="AR4" s="994"/>
      <c r="AS4" s="994"/>
      <c r="AT4" s="994"/>
      <c r="AU4" s="994"/>
      <c r="AV4" s="994"/>
      <c r="AW4" s="994"/>
      <c r="AX4" s="994"/>
      <c r="AY4" s="994"/>
      <c r="AZ4" s="994"/>
      <c r="BA4" s="994"/>
      <c r="BB4" s="994"/>
      <c r="BC4" s="994"/>
      <c r="BD4" s="994"/>
      <c r="BE4" s="994"/>
      <c r="BF4" s="994"/>
      <c r="BG4" s="994"/>
      <c r="BH4" s="994"/>
      <c r="BI4" s="994"/>
      <c r="BJ4" s="994"/>
    </row>
    <row r="5" ht="11.25" customHeight="1">
      <c r="A5" s="998"/>
      <c r="B5" s="998"/>
      <c r="C5" s="998"/>
      <c r="D5" s="999" t="s">
        <v>384</v>
      </c>
      <c r="E5" s="999"/>
      <c r="F5" s="999"/>
      <c r="G5" s="999"/>
      <c r="H5" s="999"/>
      <c r="I5" s="999"/>
      <c r="J5" s="999"/>
      <c r="K5" s="999"/>
      <c r="L5" s="999"/>
      <c r="M5" s="999"/>
      <c r="N5" s="999"/>
      <c r="O5" s="999"/>
      <c r="P5" s="999"/>
      <c r="Q5" s="999"/>
      <c r="R5" s="999"/>
      <c r="S5" s="999"/>
      <c r="T5" s="999"/>
      <c r="U5" s="999"/>
      <c r="V5" s="999"/>
      <c r="W5" s="999"/>
      <c r="X5" s="999"/>
      <c r="Y5" s="999"/>
      <c r="Z5" s="999"/>
      <c r="AA5" s="999"/>
      <c r="AB5" s="999"/>
      <c r="AC5" s="999"/>
      <c r="AD5" s="999"/>
      <c r="AE5" s="999"/>
      <c r="AF5" s="999"/>
      <c r="AG5" s="999"/>
      <c r="AH5" s="999"/>
      <c r="AI5" s="999"/>
      <c r="AJ5" s="999"/>
      <c r="AK5" s="999"/>
      <c r="AL5" s="998"/>
      <c r="AM5" s="998"/>
      <c r="AN5" s="998"/>
      <c r="AO5" s="1000"/>
      <c r="AP5" s="1000"/>
      <c r="AQ5" s="1000"/>
      <c r="AR5" s="1000"/>
      <c r="AS5" s="1000"/>
      <c r="AT5" s="1000"/>
      <c r="AU5" s="1000"/>
      <c r="AV5" s="1000"/>
      <c r="AW5" s="1000"/>
      <c r="AX5" s="1000"/>
      <c r="AY5" s="1000"/>
      <c r="AZ5" s="1000"/>
      <c r="BA5" s="1000"/>
      <c r="BB5" s="1000"/>
      <c r="BC5" s="1000"/>
      <c r="BD5" s="1000"/>
      <c r="BE5" s="1000"/>
      <c r="BF5" s="1000"/>
      <c r="BG5" s="1000"/>
      <c r="BH5" s="1000"/>
      <c r="BI5" s="1000"/>
      <c r="BJ5" s="1000"/>
    </row>
    <row r="6" ht="11.25" customHeight="1">
      <c r="A6" s="1001"/>
      <c r="B6" s="1001"/>
      <c r="C6" s="1001"/>
      <c r="D6" s="1002"/>
      <c r="E6" s="1002"/>
      <c r="F6" s="1002"/>
      <c r="G6" s="1002"/>
      <c r="H6" s="1002"/>
      <c r="I6" s="1002"/>
      <c r="J6" s="1002"/>
      <c r="K6" s="1002"/>
      <c r="L6" s="1002"/>
      <c r="M6" s="1002"/>
      <c r="N6" s="1002"/>
      <c r="O6" s="1002"/>
      <c r="P6" s="1002"/>
      <c r="Q6" s="1002"/>
      <c r="R6" s="1002"/>
      <c r="S6" s="1002"/>
      <c r="T6" s="1002"/>
      <c r="U6" s="1002"/>
      <c r="V6" s="1002"/>
      <c r="W6" s="1002"/>
      <c r="X6" s="1002"/>
      <c r="Y6" s="1002"/>
      <c r="Z6" s="1002"/>
      <c r="AA6" s="1002"/>
      <c r="AB6" s="1002"/>
      <c r="AC6" s="1002"/>
      <c r="AD6" s="1002"/>
      <c r="AE6" s="1002"/>
      <c r="AF6" s="1002"/>
      <c r="AG6" s="1002"/>
      <c r="AH6" s="1002"/>
      <c r="AI6" s="1002"/>
      <c r="AJ6" s="1002"/>
      <c r="AK6" s="1002"/>
      <c r="AL6" s="1001"/>
      <c r="AM6" s="1001"/>
      <c r="AN6" s="1001"/>
      <c r="AO6" s="1003"/>
      <c r="AP6" s="1003"/>
      <c r="AQ6" s="1003"/>
      <c r="AR6" s="1003"/>
      <c r="AS6" s="1003"/>
      <c r="AT6" s="1003"/>
      <c r="AU6" s="1003"/>
      <c r="AV6" s="1003"/>
      <c r="AW6" s="1003"/>
      <c r="AX6" s="1003"/>
      <c r="AY6" s="1003"/>
      <c r="AZ6" s="1003"/>
      <c r="BA6" s="1003"/>
      <c r="BB6" s="1003"/>
      <c r="BC6" s="1003"/>
      <c r="BD6" s="1003"/>
      <c r="BE6" s="1003"/>
      <c r="BF6" s="1003"/>
      <c r="BG6" s="1003"/>
      <c r="BH6" s="1003"/>
      <c r="BI6" s="1003"/>
      <c r="BJ6" s="1003"/>
    </row>
    <row r="7" ht="14.25" customHeight="1">
      <c r="A7" s="994"/>
      <c r="B7" s="1004"/>
      <c r="C7" s="1004"/>
      <c r="D7" s="995"/>
      <c r="E7" s="995"/>
      <c r="F7" s="1005"/>
      <c r="G7" s="1005"/>
      <c r="H7" s="1006" t="s">
        <v>385</v>
      </c>
      <c r="I7" s="1005"/>
      <c r="J7" s="1007" t="s">
        <v>386</v>
      </c>
      <c r="K7" s="1005"/>
      <c r="L7" s="1008" t="s">
        <v>63</v>
      </c>
      <c r="M7" s="663"/>
      <c r="N7" s="663"/>
      <c r="O7" s="663"/>
      <c r="P7" s="664"/>
      <c r="Q7" s="1005"/>
      <c r="R7" s="1008" t="s">
        <v>121</v>
      </c>
      <c r="S7" s="663"/>
      <c r="T7" s="664"/>
      <c r="U7" s="1005"/>
      <c r="V7" s="1008" t="s">
        <v>24</v>
      </c>
      <c r="W7" s="663"/>
      <c r="X7" s="664"/>
      <c r="Y7" s="1005"/>
      <c r="Z7" s="1009" t="s">
        <v>387</v>
      </c>
      <c r="AA7" s="6"/>
      <c r="AB7" s="6"/>
      <c r="AC7" s="7"/>
      <c r="AD7" s="1008" t="s">
        <v>148</v>
      </c>
      <c r="AE7" s="663"/>
      <c r="AF7" s="664"/>
      <c r="AG7" s="1005"/>
      <c r="AH7" s="1008" t="s">
        <v>149</v>
      </c>
      <c r="AI7" s="663"/>
      <c r="AJ7" s="664"/>
      <c r="AK7" s="995"/>
      <c r="AL7" s="1010" t="s">
        <v>150</v>
      </c>
      <c r="AM7" s="663"/>
      <c r="AN7" s="663"/>
      <c r="AO7" s="663"/>
      <c r="AP7" s="664"/>
      <c r="AQ7" s="1011"/>
      <c r="AR7" s="1012"/>
      <c r="AS7" s="1012"/>
      <c r="AT7" s="1012"/>
      <c r="AU7" s="1012"/>
      <c r="AV7" s="1012"/>
      <c r="AW7" s="1012"/>
      <c r="AX7" s="1012"/>
      <c r="AY7" s="1012"/>
      <c r="AZ7" s="1012"/>
      <c r="BA7" s="1012"/>
      <c r="BB7" s="1012"/>
      <c r="BC7" s="1012"/>
      <c r="BD7" s="1012"/>
      <c r="BE7" s="1012"/>
      <c r="BF7" s="1012"/>
      <c r="BG7" s="1012"/>
      <c r="BH7" s="1012"/>
      <c r="BI7" s="1012"/>
      <c r="BJ7" s="1012"/>
    </row>
    <row r="8" ht="11.25" customHeight="1">
      <c r="A8" s="1013" t="s">
        <v>151</v>
      </c>
      <c r="B8" s="1014" t="s">
        <v>152</v>
      </c>
      <c r="C8" s="1015"/>
      <c r="D8" s="995"/>
      <c r="E8" s="995"/>
      <c r="F8" s="1016" t="s">
        <v>153</v>
      </c>
      <c r="G8" s="1005"/>
      <c r="H8" s="1017"/>
      <c r="I8" s="1005"/>
      <c r="J8" s="1017"/>
      <c r="K8" s="1005"/>
      <c r="L8" s="1018" t="s">
        <v>4</v>
      </c>
      <c r="M8" s="1005"/>
      <c r="N8" s="1018" t="s">
        <v>156</v>
      </c>
      <c r="O8" s="1005"/>
      <c r="P8" s="1019" t="s">
        <v>8</v>
      </c>
      <c r="Q8" s="1005"/>
      <c r="R8" s="1018" t="s">
        <v>4</v>
      </c>
      <c r="S8" s="1020"/>
      <c r="T8" s="1018" t="s">
        <v>156</v>
      </c>
      <c r="U8" s="1005"/>
      <c r="V8" s="1018" t="s">
        <v>4</v>
      </c>
      <c r="W8" s="1020"/>
      <c r="X8" s="1018" t="s">
        <v>156</v>
      </c>
      <c r="Y8" s="1005"/>
      <c r="Z8" s="1021" t="s">
        <v>4</v>
      </c>
      <c r="AA8" s="1020"/>
      <c r="AB8" s="1022" t="s">
        <v>156</v>
      </c>
      <c r="AC8" s="1005"/>
      <c r="AD8" s="1022" t="s">
        <v>4</v>
      </c>
      <c r="AE8" s="1020"/>
      <c r="AF8" s="1022" t="s">
        <v>156</v>
      </c>
      <c r="AG8" s="1005"/>
      <c r="AH8" s="1023" t="s">
        <v>4</v>
      </c>
      <c r="AI8" s="1005"/>
      <c r="AJ8" s="1023" t="s">
        <v>156</v>
      </c>
      <c r="AK8" s="1024"/>
      <c r="AL8" s="1025" t="s">
        <v>4</v>
      </c>
      <c r="AM8" s="1026"/>
      <c r="AN8" s="1025" t="s">
        <v>156</v>
      </c>
      <c r="AO8" s="1005"/>
      <c r="AP8" s="1027" t="e">
        <v>#REF!</v>
      </c>
      <c r="AQ8" s="1011"/>
      <c r="AR8" s="1012"/>
      <c r="AS8" s="1012"/>
      <c r="AT8" s="1012"/>
      <c r="AU8" s="1012"/>
      <c r="AV8" s="1012"/>
      <c r="AW8" s="1012"/>
      <c r="AX8" s="1012"/>
      <c r="AY8" s="1012"/>
      <c r="AZ8" s="1012"/>
      <c r="BA8" s="1012"/>
      <c r="BB8" s="1012"/>
      <c r="BC8" s="1012"/>
      <c r="BD8" s="1012"/>
      <c r="BE8" s="1012"/>
      <c r="BF8" s="1012"/>
      <c r="BG8" s="1012"/>
      <c r="BH8" s="1012"/>
      <c r="BI8" s="1012"/>
      <c r="BJ8" s="1012"/>
    </row>
    <row r="9" ht="30.75" customHeight="1">
      <c r="A9" s="994" t="s">
        <v>388</v>
      </c>
      <c r="B9" s="1028" t="s">
        <v>160</v>
      </c>
      <c r="C9" s="1028"/>
      <c r="D9" s="1029" t="s">
        <v>161</v>
      </c>
      <c r="E9" s="1030"/>
      <c r="F9" s="1031" t="s">
        <v>124</v>
      </c>
      <c r="G9" s="1032"/>
      <c r="H9" s="1033">
        <v>67.19</v>
      </c>
      <c r="I9" s="1032"/>
      <c r="J9" s="1034">
        <v>2.416185915E9</v>
      </c>
      <c r="K9" s="1032"/>
      <c r="L9" s="1034">
        <v>2.73175E8</v>
      </c>
      <c r="M9" s="1034"/>
      <c r="N9" s="1034">
        <v>3.89373E8</v>
      </c>
      <c r="O9" s="1032"/>
      <c r="P9" s="1035">
        <v>0.42536103230529876</v>
      </c>
      <c r="Q9" s="1036"/>
      <c r="R9" s="1034">
        <v>1.7237E8</v>
      </c>
      <c r="S9" s="1034"/>
      <c r="T9" s="1034">
        <v>2.50486E8</v>
      </c>
      <c r="U9" s="1036"/>
      <c r="V9" s="1034">
        <v>2.3062E7</v>
      </c>
      <c r="W9" s="1034"/>
      <c r="X9" s="1034">
        <v>9.1101E7</v>
      </c>
      <c r="Y9" s="1032"/>
      <c r="Z9" s="1037">
        <v>0.6309874622494738</v>
      </c>
      <c r="AA9" s="1038"/>
      <c r="AB9" s="1039">
        <v>0.6433060330325934</v>
      </c>
      <c r="AC9" s="1040"/>
      <c r="AD9" s="1041">
        <v>0.08442207376224033</v>
      </c>
      <c r="AE9" s="1042"/>
      <c r="AF9" s="1041">
        <v>0.23396845698083843</v>
      </c>
      <c r="AG9" s="1032"/>
      <c r="AH9" s="1043">
        <v>8.84482809554315</v>
      </c>
      <c r="AI9" s="1042"/>
      <c r="AJ9" s="1043">
        <v>6.205324752871925</v>
      </c>
      <c r="AK9" s="1037"/>
      <c r="AL9" s="1044">
        <v>104.76914036076663</v>
      </c>
      <c r="AM9" s="1045"/>
      <c r="AN9" s="1044">
        <v>26.52205700266737</v>
      </c>
      <c r="AO9" s="1042"/>
      <c r="AP9" s="1046" t="e">
        <v>#REF!</v>
      </c>
      <c r="AQ9" s="1047"/>
      <c r="AR9" s="1012"/>
      <c r="AS9" s="1012"/>
      <c r="AT9" s="1012"/>
      <c r="AU9" s="1012"/>
      <c r="AV9" s="1012"/>
      <c r="AW9" s="1012"/>
      <c r="AX9" s="1012"/>
      <c r="AY9" s="1012"/>
      <c r="AZ9" s="1012"/>
      <c r="BA9" s="1012"/>
      <c r="BB9" s="1012"/>
      <c r="BC9" s="1012"/>
      <c r="BD9" s="1012"/>
      <c r="BE9" s="1012"/>
      <c r="BF9" s="1012"/>
      <c r="BG9" s="1012"/>
      <c r="BH9" s="1012"/>
      <c r="BI9" s="1012"/>
      <c r="BJ9" s="1012"/>
    </row>
    <row r="10" ht="30.75" customHeight="1">
      <c r="A10" s="994" t="s">
        <v>389</v>
      </c>
      <c r="B10" s="1028" t="s">
        <v>160</v>
      </c>
      <c r="C10" s="1028"/>
      <c r="D10" s="703"/>
      <c r="E10" s="1030"/>
      <c r="F10" s="1031" t="s">
        <v>162</v>
      </c>
      <c r="G10" s="1032"/>
      <c r="H10" s="1033">
        <v>97.23</v>
      </c>
      <c r="I10" s="1032"/>
      <c r="J10" s="1034">
        <v>1.997859227E9</v>
      </c>
      <c r="K10" s="1032"/>
      <c r="L10" s="1034">
        <v>2.49438E8</v>
      </c>
      <c r="M10" s="1034"/>
      <c r="N10" s="1034">
        <v>3.58111E8</v>
      </c>
      <c r="O10" s="1032"/>
      <c r="P10" s="1035">
        <v>0.43567138928310833</v>
      </c>
      <c r="Q10" s="1036"/>
      <c r="R10" s="1034">
        <v>1.21237E8</v>
      </c>
      <c r="S10" s="1034"/>
      <c r="T10" s="1034">
        <v>1.7858E8</v>
      </c>
      <c r="U10" s="1036"/>
      <c r="V10" s="1034">
        <v>4.1193E7</v>
      </c>
      <c r="W10" s="1034"/>
      <c r="X10" s="1034">
        <v>4.8491E7</v>
      </c>
      <c r="Y10" s="1032"/>
      <c r="Z10" s="1048">
        <v>0.4860406193122139</v>
      </c>
      <c r="AA10" s="1049"/>
      <c r="AB10" s="1048">
        <v>0.4986721994018614</v>
      </c>
      <c r="AC10" s="1040"/>
      <c r="AD10" s="1040">
        <v>0.16514324200803407</v>
      </c>
      <c r="AE10" s="1042"/>
      <c r="AF10" s="1040">
        <v>0.13540773670733375</v>
      </c>
      <c r="AG10" s="1032"/>
      <c r="AH10" s="1043">
        <v>8.009442133917046</v>
      </c>
      <c r="AI10" s="1042"/>
      <c r="AJ10" s="1043">
        <v>5.5788826006461685</v>
      </c>
      <c r="AK10" s="1037"/>
      <c r="AL10" s="1044">
        <v>48.49996909669119</v>
      </c>
      <c r="AM10" s="1045"/>
      <c r="AN10" s="1044">
        <v>41.20061922831041</v>
      </c>
      <c r="AO10" s="1042"/>
      <c r="AP10" s="1046" t="e">
        <v>#REF!</v>
      </c>
      <c r="AQ10" s="1047"/>
      <c r="AR10" s="1012"/>
      <c r="AS10" s="1012"/>
      <c r="AT10" s="1012"/>
      <c r="AU10" s="1012"/>
      <c r="AV10" s="1012"/>
      <c r="AW10" s="1012"/>
      <c r="AX10" s="1012"/>
      <c r="AY10" s="1012"/>
      <c r="AZ10" s="1012"/>
      <c r="BA10" s="1012"/>
      <c r="BB10" s="1012"/>
      <c r="BC10" s="1012"/>
      <c r="BD10" s="1012"/>
      <c r="BE10" s="1012"/>
      <c r="BF10" s="1012"/>
      <c r="BG10" s="1012"/>
      <c r="BH10" s="1012"/>
      <c r="BI10" s="1012"/>
      <c r="BJ10" s="1012"/>
    </row>
    <row r="11" ht="30.75" customHeight="1">
      <c r="A11" s="994" t="s">
        <v>390</v>
      </c>
      <c r="B11" s="1028" t="s">
        <v>160</v>
      </c>
      <c r="C11" s="1028"/>
      <c r="D11" s="704"/>
      <c r="E11" s="1030"/>
      <c r="F11" s="1031" t="s">
        <v>72</v>
      </c>
      <c r="G11" s="1032"/>
      <c r="H11" s="1033">
        <v>89.89</v>
      </c>
      <c r="I11" s="1032"/>
      <c r="J11" s="1034">
        <v>2.284997736E9</v>
      </c>
      <c r="K11" s="1032"/>
      <c r="L11" s="1034">
        <v>9.8509E7</v>
      </c>
      <c r="M11" s="1034"/>
      <c r="N11" s="1034">
        <v>147293.0</v>
      </c>
      <c r="O11" s="1032"/>
      <c r="P11" s="1035">
        <v>-0.9985047762133409</v>
      </c>
      <c r="Q11" s="1036"/>
      <c r="R11" s="1034">
        <v>7.0801E7</v>
      </c>
      <c r="S11" s="1034"/>
      <c r="T11" s="1034">
        <v>1.08714E8</v>
      </c>
      <c r="U11" s="1036"/>
      <c r="V11" s="1034">
        <v>-2.4437E7</v>
      </c>
      <c r="W11" s="1034"/>
      <c r="X11" s="1034">
        <v>-4.2852E7</v>
      </c>
      <c r="Y11" s="1032"/>
      <c r="Z11" s="1037">
        <v>0.7187262077576668</v>
      </c>
      <c r="AA11" s="1038"/>
      <c r="AB11" s="1037">
        <v>738.0798815965456</v>
      </c>
      <c r="AC11" s="1040"/>
      <c r="AD11" s="1050">
        <v>-0.2480687043823407</v>
      </c>
      <c r="AE11" s="1051"/>
      <c r="AF11" s="1050">
        <v>-290.9303225543644</v>
      </c>
      <c r="AG11" s="1032"/>
      <c r="AH11" s="1043">
        <v>23.19582714269762</v>
      </c>
      <c r="AI11" s="1042"/>
      <c r="AJ11" s="1043">
        <v>15513.281255728378</v>
      </c>
      <c r="AK11" s="1037"/>
      <c r="AL11" s="1044">
        <v>-93.50565683185334</v>
      </c>
      <c r="AM11" s="1045"/>
      <c r="AN11" s="1044">
        <v>-53.32301260151218</v>
      </c>
      <c r="AO11" s="1042"/>
      <c r="AP11" s="1046" t="e">
        <v>#REF!</v>
      </c>
      <c r="AQ11" s="1047"/>
      <c r="AR11" s="1012"/>
      <c r="AS11" s="1012"/>
      <c r="AT11" s="1012"/>
      <c r="AU11" s="1012"/>
      <c r="AV11" s="1012"/>
      <c r="AW11" s="1012"/>
      <c r="AX11" s="1012"/>
      <c r="AY11" s="1012"/>
      <c r="AZ11" s="1012"/>
      <c r="BA11" s="1012"/>
      <c r="BB11" s="1012"/>
      <c r="BC11" s="1012"/>
      <c r="BD11" s="1012"/>
      <c r="BE11" s="1012"/>
      <c r="BF11" s="1012"/>
      <c r="BG11" s="1012"/>
      <c r="BH11" s="1012"/>
      <c r="BI11" s="1012"/>
      <c r="BJ11" s="1012"/>
    </row>
    <row r="12" ht="30.75" customHeight="1">
      <c r="A12" s="994" t="s">
        <v>391</v>
      </c>
      <c r="B12" s="1028" t="s">
        <v>163</v>
      </c>
      <c r="C12" s="1028"/>
      <c r="D12" s="1052" t="s">
        <v>164</v>
      </c>
      <c r="E12" s="1030"/>
      <c r="F12" s="1031" t="s">
        <v>165</v>
      </c>
      <c r="G12" s="1032"/>
      <c r="H12" s="1033">
        <v>10.188262850411931</v>
      </c>
      <c r="I12" s="1032"/>
      <c r="J12" s="1034">
        <v>5.828584661434775E9</v>
      </c>
      <c r="K12" s="1032"/>
      <c r="L12" s="1034">
        <v>6.158759615248402E8</v>
      </c>
      <c r="M12" s="1034"/>
      <c r="N12" s="1034">
        <v>6.887711380255941E8</v>
      </c>
      <c r="O12" s="1032"/>
      <c r="P12" s="1035">
        <v>0.11836015862719096</v>
      </c>
      <c r="Q12" s="1036"/>
      <c r="R12" s="1034">
        <v>4.0056522786190873E8</v>
      </c>
      <c r="S12" s="1034"/>
      <c r="T12" s="1034">
        <v>4.5282506855575866E8</v>
      </c>
      <c r="U12" s="1036"/>
      <c r="V12" s="1034">
        <v>1.987590486039297E8</v>
      </c>
      <c r="W12" s="1034"/>
      <c r="X12" s="1034">
        <v>2.2459152193784276E8</v>
      </c>
      <c r="Y12" s="1032"/>
      <c r="Z12" s="1037">
        <v>0.6503991921849879</v>
      </c>
      <c r="AA12" s="1038"/>
      <c r="AB12" s="1037">
        <v>0.6574390876101607</v>
      </c>
      <c r="AC12" s="1040"/>
      <c r="AD12" s="1040">
        <v>0.32272577762545634</v>
      </c>
      <c r="AE12" s="1042"/>
      <c r="AF12" s="1040">
        <v>0.32607568688439603</v>
      </c>
      <c r="AG12" s="1032"/>
      <c r="AH12" s="1043">
        <v>9.463893747377067</v>
      </c>
      <c r="AI12" s="1042"/>
      <c r="AJ12" s="1043">
        <v>8.462295150959404</v>
      </c>
      <c r="AK12" s="1037"/>
      <c r="AL12" s="1044">
        <v>29.324877042702536</v>
      </c>
      <c r="AM12" s="1045"/>
      <c r="AN12" s="1044">
        <v>25.951935367568666</v>
      </c>
      <c r="AO12" s="1042"/>
      <c r="AP12" s="1046" t="e">
        <v>#REF!</v>
      </c>
      <c r="AQ12" s="1047"/>
      <c r="AR12" s="1012"/>
      <c r="AS12" s="1012"/>
      <c r="AT12" s="1012"/>
      <c r="AU12" s="1012"/>
      <c r="AV12" s="1012"/>
      <c r="AW12" s="1012"/>
      <c r="AX12" s="1012"/>
      <c r="AY12" s="1012"/>
      <c r="AZ12" s="1012"/>
      <c r="BA12" s="1012"/>
      <c r="BB12" s="1012"/>
      <c r="BC12" s="1012"/>
      <c r="BD12" s="1012"/>
      <c r="BE12" s="1012"/>
      <c r="BF12" s="1012"/>
      <c r="BG12" s="1012"/>
      <c r="BH12" s="1012"/>
      <c r="BI12" s="1012"/>
      <c r="BJ12" s="1012"/>
    </row>
    <row r="13" ht="30.75" customHeight="1">
      <c r="A13" s="994" t="s">
        <v>392</v>
      </c>
      <c r="B13" s="1028" t="s">
        <v>163</v>
      </c>
      <c r="C13" s="1028"/>
      <c r="D13" s="703"/>
      <c r="E13" s="1030"/>
      <c r="F13" s="1031" t="s">
        <v>166</v>
      </c>
      <c r="G13" s="1032"/>
      <c r="H13" s="1033">
        <v>0.3578838317945991</v>
      </c>
      <c r="I13" s="1032"/>
      <c r="J13" s="1034">
        <v>1.0886553989963052E8</v>
      </c>
      <c r="K13" s="1032"/>
      <c r="L13" s="1034">
        <v>1.844E7</v>
      </c>
      <c r="M13" s="1034"/>
      <c r="N13" s="1034">
        <v>2.0701E7</v>
      </c>
      <c r="O13" s="1032"/>
      <c r="P13" s="1035">
        <v>0.12261388286334052</v>
      </c>
      <c r="Q13" s="1036"/>
      <c r="R13" s="1034">
        <v>1.3461E7</v>
      </c>
      <c r="S13" s="1034"/>
      <c r="T13" s="1034">
        <v>1.5699E7</v>
      </c>
      <c r="U13" s="1036"/>
      <c r="V13" s="1034">
        <v>-9228000.0</v>
      </c>
      <c r="W13" s="1034"/>
      <c r="X13" s="1034">
        <v>-280000.0</v>
      </c>
      <c r="Y13" s="1032"/>
      <c r="Z13" s="1037">
        <v>0.7299891540130152</v>
      </c>
      <c r="AA13" s="1038"/>
      <c r="AB13" s="1037">
        <v>0.758369160910101</v>
      </c>
      <c r="AC13" s="1040"/>
      <c r="AD13" s="1050">
        <v>-0.5004338394793926</v>
      </c>
      <c r="AE13" s="1051"/>
      <c r="AF13" s="1050">
        <v>-0.013525916622385392</v>
      </c>
      <c r="AG13" s="1032"/>
      <c r="AH13" s="1043">
        <v>5.90377114423159</v>
      </c>
      <c r="AI13" s="1042"/>
      <c r="AJ13" s="1043">
        <v>5.25895077047633</v>
      </c>
      <c r="AK13" s="1037"/>
      <c r="AL13" s="1044">
        <v>-11.797306014264253</v>
      </c>
      <c r="AM13" s="1045"/>
      <c r="AN13" s="1044">
        <v>-388.80549964153755</v>
      </c>
      <c r="AO13" s="1042"/>
      <c r="AP13" s="1046" t="e">
        <v>#REF!</v>
      </c>
      <c r="AQ13" s="1047"/>
      <c r="AR13" s="1012"/>
      <c r="AS13" s="1012"/>
      <c r="AT13" s="1012"/>
      <c r="AU13" s="1012"/>
      <c r="AV13" s="1012"/>
      <c r="AW13" s="1012"/>
      <c r="AX13" s="1012"/>
      <c r="AY13" s="1012"/>
      <c r="AZ13" s="1012"/>
      <c r="BA13" s="1012"/>
      <c r="BB13" s="1012"/>
      <c r="BC13" s="1012"/>
      <c r="BD13" s="1012"/>
      <c r="BE13" s="1012"/>
      <c r="BF13" s="1012"/>
      <c r="BG13" s="1012"/>
      <c r="BH13" s="1012"/>
      <c r="BI13" s="1012"/>
      <c r="BJ13" s="1012"/>
    </row>
    <row r="14" ht="30.75" customHeight="1">
      <c r="A14" s="994" t="s">
        <v>393</v>
      </c>
      <c r="B14" s="1028" t="s">
        <v>163</v>
      </c>
      <c r="C14" s="1028"/>
      <c r="D14" s="704"/>
      <c r="E14" s="1030"/>
      <c r="F14" s="1031" t="s">
        <v>167</v>
      </c>
      <c r="G14" s="1032"/>
      <c r="H14" s="1033">
        <v>100.49</v>
      </c>
      <c r="I14" s="1032"/>
      <c r="J14" s="1034">
        <v>1.5726229922E10</v>
      </c>
      <c r="K14" s="1032"/>
      <c r="L14" s="1034">
        <v>2.066737E9</v>
      </c>
      <c r="M14" s="1034"/>
      <c r="N14" s="1034">
        <v>2.340196E9</v>
      </c>
      <c r="O14" s="1032"/>
      <c r="P14" s="1035">
        <v>0.13231436801102414</v>
      </c>
      <c r="Q14" s="1036"/>
      <c r="R14" s="1034">
        <v>1.201745E9</v>
      </c>
      <c r="S14" s="1034"/>
      <c r="T14" s="1034">
        <v>1.362164E9</v>
      </c>
      <c r="U14" s="1036"/>
      <c r="V14" s="1034">
        <v>5.42051E8</v>
      </c>
      <c r="W14" s="1034"/>
      <c r="X14" s="1034">
        <v>6.53249E8</v>
      </c>
      <c r="Y14" s="1032"/>
      <c r="Z14" s="1037">
        <v>0.5814697274012126</v>
      </c>
      <c r="AA14" s="1038"/>
      <c r="AB14" s="1037">
        <v>0.5820726127213276</v>
      </c>
      <c r="AC14" s="1040"/>
      <c r="AD14" s="1040">
        <v>0.26227381616528855</v>
      </c>
      <c r="AE14" s="1042"/>
      <c r="AF14" s="1040">
        <v>0.2791428581195763</v>
      </c>
      <c r="AG14" s="1032"/>
      <c r="AH14" s="1043">
        <v>7.609207132789513</v>
      </c>
      <c r="AI14" s="1042"/>
      <c r="AJ14" s="1043">
        <v>6.720048201945478</v>
      </c>
      <c r="AK14" s="1037"/>
      <c r="AL14" s="1044">
        <v>29.012454403736918</v>
      </c>
      <c r="AM14" s="1045"/>
      <c r="AN14" s="1044">
        <v>24.073867578825226</v>
      </c>
      <c r="AO14" s="1042"/>
      <c r="AP14" s="1046" t="e">
        <v>#REF!</v>
      </c>
      <c r="AQ14" s="1047"/>
      <c r="AR14" s="1012"/>
      <c r="AS14" s="1012"/>
      <c r="AT14" s="1012"/>
      <c r="AU14" s="1012"/>
      <c r="AV14" s="1012"/>
      <c r="AW14" s="1012"/>
      <c r="AX14" s="1012"/>
      <c r="AY14" s="1012"/>
      <c r="AZ14" s="1012"/>
      <c r="BA14" s="1012"/>
      <c r="BB14" s="1012"/>
      <c r="BC14" s="1012"/>
      <c r="BD14" s="1012"/>
      <c r="BE14" s="1012"/>
      <c r="BF14" s="1012"/>
      <c r="BG14" s="1012"/>
      <c r="BH14" s="1012"/>
      <c r="BI14" s="1012"/>
      <c r="BJ14" s="1012"/>
    </row>
    <row r="15" ht="11.25" customHeight="1">
      <c r="A15" s="994"/>
      <c r="B15" s="1053"/>
      <c r="C15" s="1053"/>
      <c r="D15" s="995"/>
      <c r="E15" s="995"/>
      <c r="F15" s="1031"/>
      <c r="G15" s="1032"/>
      <c r="H15" s="1034"/>
      <c r="I15" s="1032"/>
      <c r="J15" s="1034"/>
      <c r="K15" s="1032"/>
      <c r="L15" s="1054"/>
      <c r="M15" s="1054"/>
      <c r="N15" s="1054"/>
      <c r="O15" s="1032"/>
      <c r="P15" s="1055"/>
      <c r="Q15" s="1036"/>
      <c r="R15" s="1054"/>
      <c r="S15" s="1054"/>
      <c r="T15" s="1054"/>
      <c r="U15" s="1036"/>
      <c r="V15" s="1054"/>
      <c r="W15" s="1054"/>
      <c r="X15" s="1054"/>
      <c r="Y15" s="1032"/>
      <c r="Z15" s="1040"/>
      <c r="AA15" s="1042"/>
      <c r="AB15" s="1040"/>
      <c r="AC15" s="1040"/>
      <c r="AD15" s="1040"/>
      <c r="AE15" s="1042"/>
      <c r="AF15" s="1040"/>
      <c r="AG15" s="1032"/>
      <c r="AH15" s="1043"/>
      <c r="AI15" s="1042"/>
      <c r="AJ15" s="1043"/>
      <c r="AK15" s="1037"/>
      <c r="AL15" s="1044"/>
      <c r="AM15" s="1045"/>
      <c r="AN15" s="1044"/>
      <c r="AO15" s="1042"/>
      <c r="AP15" s="1046"/>
      <c r="AQ15" s="1047"/>
      <c r="AR15" s="1012"/>
      <c r="AS15" s="1012"/>
      <c r="AT15" s="1012"/>
      <c r="AU15" s="1012"/>
      <c r="AV15" s="1012"/>
      <c r="AW15" s="1012"/>
      <c r="AX15" s="1012"/>
      <c r="AY15" s="1012"/>
      <c r="AZ15" s="1012"/>
      <c r="BA15" s="1012"/>
      <c r="BB15" s="1012"/>
      <c r="BC15" s="1012"/>
      <c r="BD15" s="1012"/>
      <c r="BE15" s="1012"/>
      <c r="BF15" s="1012"/>
      <c r="BG15" s="1012"/>
      <c r="BH15" s="1012"/>
      <c r="BI15" s="1012"/>
      <c r="BJ15" s="1012"/>
    </row>
    <row r="16" ht="11.25" customHeight="1">
      <c r="A16" s="994"/>
      <c r="B16" s="1056"/>
      <c r="C16" s="1056"/>
      <c r="D16" s="995"/>
      <c r="E16" s="995"/>
      <c r="F16" s="1012"/>
      <c r="G16" s="1057"/>
      <c r="H16" s="1057"/>
      <c r="I16" s="1057"/>
      <c r="J16" s="1058" t="s">
        <v>76</v>
      </c>
      <c r="K16" s="1059"/>
      <c r="L16" s="1060"/>
      <c r="M16" s="1060"/>
      <c r="N16" s="1060"/>
      <c r="O16" s="1059"/>
      <c r="P16" s="1061">
        <v>0.3520993662317301</v>
      </c>
      <c r="Q16" s="1062"/>
      <c r="R16" s="1060"/>
      <c r="S16" s="1060"/>
      <c r="T16" s="1060"/>
      <c r="U16" s="1062"/>
      <c r="V16" s="1060"/>
      <c r="W16" s="1060"/>
      <c r="X16" s="1063"/>
      <c r="Y16" s="1064"/>
      <c r="Z16" s="1065">
        <v>0.701644453864497</v>
      </c>
      <c r="AA16" s="1065"/>
      <c r="AB16" s="1065">
        <v>0.7331366425851159</v>
      </c>
      <c r="AC16" s="1065"/>
      <c r="AD16" s="1065">
        <v>0.23799117262597494</v>
      </c>
      <c r="AE16" s="1065"/>
      <c r="AF16" s="1065">
        <v>0.26784925783489183</v>
      </c>
      <c r="AG16" s="1064"/>
      <c r="AH16" s="1066">
        <v>9.309127334418587</v>
      </c>
      <c r="AI16" s="1066"/>
      <c r="AJ16" s="1066">
        <v>8.026733413705923</v>
      </c>
      <c r="AK16" s="1066"/>
      <c r="AL16" s="1067">
        <v>43.70619608319403</v>
      </c>
      <c r="AM16" s="1067"/>
      <c r="AN16" s="1068">
        <v>26.379526593892695</v>
      </c>
      <c r="AO16" s="1069"/>
      <c r="AP16" s="1070" t="e">
        <v>#REF!</v>
      </c>
      <c r="AQ16" s="1071"/>
      <c r="AR16" s="1012"/>
      <c r="AS16" s="1012"/>
      <c r="AT16" s="1012"/>
      <c r="AU16" s="1012"/>
      <c r="AV16" s="1012"/>
      <c r="AW16" s="1012"/>
      <c r="AX16" s="1012"/>
      <c r="AY16" s="1012"/>
      <c r="AZ16" s="1012"/>
      <c r="BA16" s="1012"/>
      <c r="BB16" s="1012"/>
      <c r="BC16" s="1012"/>
      <c r="BD16" s="1012"/>
      <c r="BE16" s="1012"/>
      <c r="BF16" s="1012"/>
      <c r="BG16" s="1012"/>
      <c r="BH16" s="1012"/>
      <c r="BI16" s="1012"/>
      <c r="BJ16" s="1012"/>
    </row>
    <row r="17" ht="11.25" customHeight="1">
      <c r="A17" s="994"/>
      <c r="B17" s="1072"/>
      <c r="C17" s="1072"/>
      <c r="D17" s="995"/>
      <c r="E17" s="995"/>
      <c r="F17" s="995"/>
      <c r="G17" s="1057"/>
      <c r="H17" s="1073"/>
      <c r="I17" s="1057"/>
      <c r="J17" s="1074" t="s">
        <v>77</v>
      </c>
      <c r="K17" s="1057"/>
      <c r="L17" s="1054"/>
      <c r="M17" s="1054"/>
      <c r="N17" s="1054"/>
      <c r="O17" s="1057"/>
      <c r="P17" s="1035">
        <v>0.12746412543718233</v>
      </c>
      <c r="Q17" s="1036"/>
      <c r="R17" s="1054"/>
      <c r="S17" s="1054"/>
      <c r="T17" s="1054"/>
      <c r="U17" s="1036"/>
      <c r="V17" s="1054"/>
      <c r="W17" s="1054"/>
      <c r="X17" s="994"/>
      <c r="Y17" s="1075"/>
      <c r="Z17" s="1032">
        <v>0.6406933272172308</v>
      </c>
      <c r="AA17" s="1032"/>
      <c r="AB17" s="1032">
        <v>0.650372560321377</v>
      </c>
      <c r="AC17" s="1032"/>
      <c r="AD17" s="1032">
        <v>0.1247826578851372</v>
      </c>
      <c r="AE17" s="1032"/>
      <c r="AF17" s="1032">
        <v>0.1846880968440861</v>
      </c>
      <c r="AG17" s="1075"/>
      <c r="AH17" s="1042">
        <v>8.427135114730099</v>
      </c>
      <c r="AI17" s="1042"/>
      <c r="AJ17" s="1042">
        <v>6.462686477408702</v>
      </c>
      <c r="AK17" s="1042"/>
      <c r="AL17" s="1045">
        <v>29.168665723219725</v>
      </c>
      <c r="AM17" s="1045"/>
      <c r="AN17" s="1076">
        <v>25.012901473196948</v>
      </c>
      <c r="AO17" s="1045"/>
      <c r="AP17" s="1076" t="e">
        <v>#REF!</v>
      </c>
      <c r="AQ17" s="1056"/>
      <c r="AR17" s="994"/>
      <c r="AS17" s="994"/>
      <c r="AT17" s="994"/>
      <c r="AU17" s="994"/>
      <c r="AV17" s="994"/>
      <c r="AW17" s="994"/>
      <c r="AX17" s="994"/>
      <c r="AY17" s="994"/>
      <c r="AZ17" s="994"/>
      <c r="BA17" s="994"/>
      <c r="BB17" s="994"/>
      <c r="BC17" s="994"/>
      <c r="BD17" s="994"/>
      <c r="BE17" s="994"/>
      <c r="BF17" s="994"/>
      <c r="BG17" s="994"/>
      <c r="BH17" s="994"/>
      <c r="BI17" s="994"/>
      <c r="BJ17" s="994"/>
    </row>
    <row r="18" ht="13.5" customHeight="1">
      <c r="A18" s="994"/>
      <c r="B18" s="1072"/>
      <c r="C18" s="1072"/>
      <c r="D18" s="995"/>
      <c r="E18" s="995"/>
      <c r="F18" s="995"/>
      <c r="G18" s="1057"/>
      <c r="H18" s="1073"/>
      <c r="I18" s="1057"/>
      <c r="J18" s="1077" t="s">
        <v>78</v>
      </c>
      <c r="K18" s="1078"/>
      <c r="L18" s="1079"/>
      <c r="M18" s="1079"/>
      <c r="N18" s="1079"/>
      <c r="O18" s="1078"/>
      <c r="P18" s="1080">
        <v>0.11942358968622835</v>
      </c>
      <c r="Q18" s="1081"/>
      <c r="R18" s="1079"/>
      <c r="S18" s="1079"/>
      <c r="T18" s="1079"/>
      <c r="U18" s="1081"/>
      <c r="V18" s="1079"/>
      <c r="W18" s="1079"/>
      <c r="X18" s="1082"/>
      <c r="Y18" s="1083"/>
      <c r="Z18" s="1084">
        <v>0.5938491611132779</v>
      </c>
      <c r="AA18" s="1084"/>
      <c r="AB18" s="1084">
        <v>0.5973809677991441</v>
      </c>
      <c r="AC18" s="1084"/>
      <c r="AD18" s="1084">
        <v>-0.16494600984619545</v>
      </c>
      <c r="AE18" s="1084"/>
      <c r="AF18" s="1084">
        <v>0.023707496710044393</v>
      </c>
      <c r="AG18" s="1083"/>
      <c r="AH18" s="1085">
        <v>7.709265883071397</v>
      </c>
      <c r="AI18" s="1085"/>
      <c r="AJ18" s="1085">
        <v>5.735493138702608</v>
      </c>
      <c r="AK18" s="1085"/>
      <c r="AL18" s="1086">
        <v>-1.5948659097639606</v>
      </c>
      <c r="AM18" s="1086"/>
      <c r="AN18" s="1087">
        <v>-33.97379255642783</v>
      </c>
      <c r="AO18" s="1086"/>
      <c r="AP18" s="1087" t="e">
        <v>#REF!</v>
      </c>
      <c r="AQ18" s="1056"/>
      <c r="AR18" s="994"/>
      <c r="AS18" s="994"/>
      <c r="AT18" s="994"/>
      <c r="AU18" s="994"/>
      <c r="AV18" s="994"/>
      <c r="AW18" s="994"/>
      <c r="AX18" s="994"/>
      <c r="AY18" s="994"/>
      <c r="AZ18" s="994"/>
      <c r="BA18" s="994"/>
      <c r="BB18" s="994"/>
      <c r="BC18" s="994"/>
      <c r="BD18" s="994"/>
      <c r="BE18" s="994"/>
      <c r="BF18" s="994"/>
      <c r="BG18" s="994"/>
      <c r="BH18" s="994"/>
      <c r="BI18" s="994"/>
      <c r="BJ18" s="994"/>
    </row>
    <row r="19" ht="11.25" customHeight="1">
      <c r="A19" s="994"/>
      <c r="B19" s="1072"/>
      <c r="C19" s="1072"/>
      <c r="D19" s="995"/>
      <c r="E19" s="995"/>
      <c r="F19" s="1057"/>
      <c r="G19" s="1057"/>
      <c r="H19" s="1073"/>
      <c r="I19" s="1057"/>
      <c r="J19" s="1073"/>
      <c r="K19" s="1057"/>
      <c r="L19" s="1054"/>
      <c r="M19" s="1054"/>
      <c r="N19" s="1054"/>
      <c r="O19" s="1057"/>
      <c r="P19" s="1057"/>
      <c r="Q19" s="1036"/>
      <c r="R19" s="1054"/>
      <c r="S19" s="1054"/>
      <c r="T19" s="1054"/>
      <c r="U19" s="1036"/>
      <c r="V19" s="1054"/>
      <c r="W19" s="1054"/>
      <c r="X19" s="1054"/>
      <c r="Y19" s="1088"/>
      <c r="Z19" s="1088"/>
      <c r="AA19" s="1088"/>
      <c r="AB19" s="1088"/>
      <c r="AC19" s="1088"/>
      <c r="AD19" s="1088"/>
      <c r="AE19" s="1088"/>
      <c r="AF19" s="1088"/>
      <c r="AG19" s="1088"/>
      <c r="AH19" s="1042"/>
      <c r="AI19" s="1042"/>
      <c r="AJ19" s="1042"/>
      <c r="AK19" s="1042"/>
      <c r="AL19" s="1045"/>
      <c r="AM19" s="1045"/>
      <c r="AN19" s="1045"/>
      <c r="AO19" s="1045"/>
      <c r="AP19" s="1045"/>
      <c r="AQ19" s="1056"/>
      <c r="AR19" s="994"/>
      <c r="AS19" s="994"/>
      <c r="AT19" s="994"/>
      <c r="AU19" s="994"/>
      <c r="AV19" s="994"/>
      <c r="AW19" s="994"/>
      <c r="AX19" s="994"/>
      <c r="AY19" s="994"/>
      <c r="AZ19" s="994"/>
      <c r="BA19" s="994"/>
      <c r="BB19" s="994"/>
      <c r="BC19" s="994"/>
      <c r="BD19" s="994"/>
      <c r="BE19" s="994"/>
      <c r="BF19" s="994"/>
      <c r="BG19" s="994"/>
      <c r="BH19" s="994"/>
      <c r="BI19" s="994"/>
      <c r="BJ19" s="994"/>
    </row>
    <row r="20" ht="11.25" customHeight="1">
      <c r="A20" s="1089"/>
      <c r="B20" s="1089"/>
      <c r="C20" s="1089"/>
      <c r="D20" s="1090" t="s">
        <v>394</v>
      </c>
      <c r="E20" s="1091"/>
      <c r="F20" s="1091"/>
      <c r="G20" s="1091"/>
      <c r="H20" s="1091"/>
      <c r="I20" s="1091"/>
      <c r="J20" s="1091"/>
      <c r="K20" s="684"/>
      <c r="L20" s="1092">
        <v>32.15043566612241</v>
      </c>
      <c r="M20" s="1092"/>
      <c r="N20" s="1092">
        <v>46.43409596080331</v>
      </c>
      <c r="O20" s="684"/>
      <c r="P20" s="1093"/>
      <c r="Q20" s="1092"/>
      <c r="R20" s="1092">
        <v>19.673681983124855</v>
      </c>
      <c r="S20" s="1092"/>
      <c r="T20" s="1092">
        <v>28.06483818699882</v>
      </c>
      <c r="U20" s="1094"/>
      <c r="V20" s="1092">
        <v>2.756654957632983</v>
      </c>
      <c r="W20" s="1092"/>
      <c r="X20" s="1092">
        <v>11.453101504461284</v>
      </c>
      <c r="Y20" s="684"/>
      <c r="Z20" s="1093"/>
      <c r="AA20" s="1095"/>
      <c r="AB20" s="1093"/>
      <c r="AC20" s="1093"/>
      <c r="AD20" s="1093"/>
      <c r="AE20" s="1095"/>
      <c r="AF20" s="1093"/>
      <c r="AG20" s="684"/>
      <c r="AH20" s="1096"/>
      <c r="AI20" s="1095"/>
      <c r="AJ20" s="1096"/>
      <c r="AK20" s="1097"/>
      <c r="AL20" s="1098"/>
      <c r="AM20" s="1099"/>
      <c r="AN20" s="1098"/>
      <c r="AO20" s="1099"/>
      <c r="AP20" s="1098"/>
      <c r="AQ20" s="1100"/>
      <c r="AR20" s="1089"/>
      <c r="AS20" s="1089"/>
      <c r="AT20" s="1089"/>
      <c r="AU20" s="1089"/>
      <c r="AV20" s="1089"/>
      <c r="AW20" s="1089"/>
      <c r="AX20" s="1089"/>
      <c r="AY20" s="1089"/>
      <c r="AZ20" s="1089"/>
      <c r="BA20" s="1089"/>
      <c r="BB20" s="1089"/>
      <c r="BC20" s="1089"/>
      <c r="BD20" s="1089"/>
      <c r="BE20" s="1089"/>
      <c r="BF20" s="1089"/>
      <c r="BG20" s="1089"/>
      <c r="BH20" s="1089"/>
      <c r="BI20" s="1089"/>
      <c r="BJ20" s="1089"/>
    </row>
    <row r="21" ht="11.25" customHeight="1">
      <c r="A21" s="1089"/>
      <c r="B21" s="1089"/>
      <c r="C21" s="1089"/>
      <c r="D21" s="1090"/>
      <c r="E21" s="1091"/>
      <c r="F21" s="1091"/>
      <c r="G21" s="1091"/>
      <c r="H21" s="1091"/>
      <c r="I21" s="1091"/>
      <c r="J21" s="1091"/>
      <c r="K21" s="684"/>
      <c r="L21" s="1092"/>
      <c r="M21" s="1092"/>
      <c r="N21" s="1092"/>
      <c r="O21" s="684"/>
      <c r="P21" s="1093"/>
      <c r="Q21" s="1092"/>
      <c r="R21" s="1092"/>
      <c r="S21" s="1092"/>
      <c r="T21" s="1092"/>
      <c r="U21" s="1094"/>
      <c r="V21" s="1092"/>
      <c r="W21" s="1092"/>
      <c r="X21" s="1092"/>
      <c r="Y21" s="684"/>
      <c r="Z21" s="1093"/>
      <c r="AA21" s="1095"/>
      <c r="AB21" s="1093"/>
      <c r="AC21" s="1093"/>
      <c r="AD21" s="1093"/>
      <c r="AE21" s="1095"/>
      <c r="AF21" s="1093"/>
      <c r="AG21" s="684"/>
      <c r="AH21" s="1096"/>
      <c r="AI21" s="1095"/>
      <c r="AJ21" s="1096"/>
      <c r="AK21" s="1097"/>
      <c r="AL21" s="1098"/>
      <c r="AM21" s="1099"/>
      <c r="AN21" s="1098"/>
      <c r="AO21" s="1099"/>
      <c r="AP21" s="1098"/>
      <c r="AQ21" s="1100"/>
      <c r="AR21" s="1089"/>
      <c r="AS21" s="1089"/>
      <c r="AT21" s="1089"/>
      <c r="AU21" s="1089"/>
      <c r="AV21" s="1089"/>
      <c r="AW21" s="1089"/>
      <c r="AX21" s="1089"/>
      <c r="AY21" s="1089"/>
      <c r="AZ21" s="1089"/>
      <c r="BA21" s="1089"/>
      <c r="BB21" s="1089"/>
      <c r="BC21" s="1089"/>
      <c r="BD21" s="1089"/>
      <c r="BE21" s="1089"/>
      <c r="BF21" s="1089"/>
      <c r="BG21" s="1089"/>
      <c r="BH21" s="1089"/>
      <c r="BI21" s="1089"/>
      <c r="BJ21" s="1089"/>
    </row>
    <row r="22" ht="11.25" customHeight="1">
      <c r="A22" s="1089"/>
      <c r="B22" s="1089"/>
      <c r="C22" s="1089"/>
      <c r="D22" s="1090"/>
      <c r="E22" s="1091"/>
      <c r="F22" s="1091" t="s">
        <v>395</v>
      </c>
      <c r="G22" s="1091"/>
      <c r="H22" s="1091"/>
      <c r="I22" s="1091"/>
      <c r="J22" s="1091"/>
      <c r="K22" s="684"/>
      <c r="L22" s="1092"/>
      <c r="M22" s="1092"/>
      <c r="N22" s="1092"/>
      <c r="O22" s="684"/>
      <c r="P22" s="1093"/>
      <c r="Q22" s="1092"/>
      <c r="R22" s="1092"/>
      <c r="S22" s="1092"/>
      <c r="T22" s="1092"/>
      <c r="U22" s="1094"/>
      <c r="V22" s="1092"/>
      <c r="W22" s="1092"/>
      <c r="X22" s="1092"/>
      <c r="Y22" s="684"/>
      <c r="Z22" s="1093"/>
      <c r="AA22" s="1095"/>
      <c r="AB22" s="1093"/>
      <c r="AC22" s="1093"/>
      <c r="AD22" s="1093"/>
      <c r="AE22" s="1095"/>
      <c r="AF22" s="1093"/>
      <c r="AG22" s="684"/>
      <c r="AH22" s="1096"/>
      <c r="AI22" s="1095"/>
      <c r="AJ22" s="1096"/>
      <c r="AK22" s="1097"/>
      <c r="AL22" s="1098"/>
      <c r="AM22" s="1099"/>
      <c r="AN22" s="1098"/>
      <c r="AO22" s="1099"/>
      <c r="AP22" s="1098"/>
      <c r="AQ22" s="1100"/>
      <c r="AR22" s="1089"/>
      <c r="AS22" s="1089"/>
      <c r="AT22" s="1089"/>
      <c r="AU22" s="1089"/>
      <c r="AV22" s="1089"/>
      <c r="AW22" s="1089"/>
      <c r="AX22" s="1089"/>
      <c r="AY22" s="1089"/>
      <c r="AZ22" s="1089"/>
      <c r="BA22" s="1089"/>
      <c r="BB22" s="1089"/>
      <c r="BC22" s="1089"/>
      <c r="BD22" s="1089"/>
      <c r="BE22" s="1089"/>
      <c r="BF22" s="1089"/>
      <c r="BG22" s="1089"/>
      <c r="BH22" s="1089"/>
      <c r="BI22" s="1089"/>
      <c r="BJ22" s="1089"/>
    </row>
    <row r="23" ht="11.25" customHeight="1">
      <c r="A23" s="1089"/>
      <c r="B23" s="1089"/>
      <c r="C23" s="1089"/>
      <c r="D23" s="1090"/>
      <c r="E23" s="1091"/>
      <c r="F23" s="1091" t="s">
        <v>396</v>
      </c>
      <c r="G23" s="1091"/>
      <c r="H23" s="1091"/>
      <c r="I23" s="1091"/>
      <c r="J23" s="1091"/>
      <c r="K23" s="684"/>
      <c r="L23" s="1092"/>
      <c r="M23" s="1092"/>
      <c r="N23" s="1092"/>
      <c r="O23" s="684"/>
      <c r="P23" s="1093"/>
      <c r="Q23" s="1092"/>
      <c r="R23" s="1092"/>
      <c r="S23" s="1092"/>
      <c r="T23" s="1092"/>
      <c r="U23" s="1094"/>
      <c r="V23" s="1092"/>
      <c r="W23" s="1092"/>
      <c r="X23" s="1092"/>
      <c r="Y23" s="684"/>
      <c r="Z23" s="1093"/>
      <c r="AA23" s="1095"/>
      <c r="AB23" s="1093"/>
      <c r="AC23" s="1093"/>
      <c r="AD23" s="1093"/>
      <c r="AE23" s="1095"/>
      <c r="AF23" s="1093"/>
      <c r="AG23" s="684"/>
      <c r="AH23" s="1096"/>
      <c r="AI23" s="1095"/>
      <c r="AJ23" s="1096"/>
      <c r="AK23" s="1097"/>
      <c r="AL23" s="1098"/>
      <c r="AM23" s="1099"/>
      <c r="AN23" s="1098"/>
      <c r="AO23" s="1099"/>
      <c r="AP23" s="1098"/>
      <c r="AQ23" s="1100"/>
      <c r="AR23" s="1089"/>
      <c r="AS23" s="1089"/>
      <c r="AT23" s="1089"/>
      <c r="AU23" s="1089"/>
      <c r="AV23" s="1089"/>
      <c r="AW23" s="1089"/>
      <c r="AX23" s="1089"/>
      <c r="AY23" s="1089"/>
      <c r="AZ23" s="1089"/>
      <c r="BA23" s="1089"/>
      <c r="BB23" s="1089"/>
      <c r="BC23" s="1089"/>
      <c r="BD23" s="1089"/>
      <c r="BE23" s="1089"/>
      <c r="BF23" s="1089"/>
      <c r="BG23" s="1089"/>
      <c r="BH23" s="1089"/>
      <c r="BI23" s="1089"/>
      <c r="BJ23" s="1089"/>
    </row>
    <row r="24" ht="11.25" customHeight="1">
      <c r="A24" s="1089"/>
      <c r="B24" s="1089"/>
      <c r="C24" s="1089"/>
      <c r="D24" s="1090"/>
      <c r="E24" s="1091"/>
      <c r="F24" s="1091" t="s">
        <v>397</v>
      </c>
      <c r="G24" s="1091"/>
      <c r="H24" s="1091"/>
      <c r="I24" s="1091"/>
      <c r="J24" s="1091"/>
      <c r="K24" s="684"/>
      <c r="L24" s="1092"/>
      <c r="M24" s="1092"/>
      <c r="N24" s="1092"/>
      <c r="O24" s="684"/>
      <c r="P24" s="1093"/>
      <c r="Q24" s="1092"/>
      <c r="R24" s="1092"/>
      <c r="S24" s="1092"/>
      <c r="T24" s="1092"/>
      <c r="U24" s="1094"/>
      <c r="V24" s="1092"/>
      <c r="W24" s="1092"/>
      <c r="X24" s="1092"/>
      <c r="Y24" s="684"/>
      <c r="Z24" s="1093"/>
      <c r="AA24" s="1095"/>
      <c r="AB24" s="1093"/>
      <c r="AC24" s="1093"/>
      <c r="AD24" s="1093"/>
      <c r="AE24" s="1095"/>
      <c r="AF24" s="1093"/>
      <c r="AG24" s="684"/>
      <c r="AH24" s="1096"/>
      <c r="AI24" s="1095"/>
      <c r="AJ24" s="1096"/>
      <c r="AK24" s="1097"/>
      <c r="AL24" s="1098"/>
      <c r="AM24" s="1099"/>
      <c r="AN24" s="1098"/>
      <c r="AO24" s="1099"/>
      <c r="AP24" s="1098"/>
      <c r="AQ24" s="1100"/>
      <c r="AR24" s="1089"/>
      <c r="AS24" s="1089"/>
      <c r="AT24" s="1089"/>
      <c r="AU24" s="1089"/>
      <c r="AV24" s="1089"/>
      <c r="AW24" s="1089"/>
      <c r="AX24" s="1089"/>
      <c r="AY24" s="1089"/>
      <c r="AZ24" s="1089"/>
      <c r="BA24" s="1089"/>
      <c r="BB24" s="1089"/>
      <c r="BC24" s="1089"/>
      <c r="BD24" s="1089"/>
      <c r="BE24" s="1089"/>
      <c r="BF24" s="1089"/>
      <c r="BG24" s="1089"/>
      <c r="BH24" s="1089"/>
      <c r="BI24" s="1089"/>
      <c r="BJ24" s="1089"/>
    </row>
    <row r="25" ht="11.25" customHeight="1">
      <c r="A25" s="1089"/>
      <c r="B25" s="1089"/>
      <c r="C25" s="1089"/>
      <c r="D25" s="1090"/>
      <c r="E25" s="1091"/>
      <c r="F25" s="1091" t="s">
        <v>398</v>
      </c>
      <c r="G25" s="1091"/>
      <c r="H25" s="1091"/>
      <c r="I25" s="1091"/>
      <c r="J25" s="1091"/>
      <c r="K25" s="684"/>
      <c r="L25" s="1092"/>
      <c r="M25" s="1092"/>
      <c r="N25" s="1092"/>
      <c r="O25" s="684"/>
      <c r="P25" s="1093"/>
      <c r="Q25" s="1092"/>
      <c r="R25" s="1092"/>
      <c r="S25" s="1092"/>
      <c r="T25" s="1092"/>
      <c r="U25" s="1094"/>
      <c r="V25" s="1092"/>
      <c r="W25" s="1092"/>
      <c r="X25" s="1092"/>
      <c r="Y25" s="684"/>
      <c r="Z25" s="1093"/>
      <c r="AA25" s="1095"/>
      <c r="AB25" s="1093"/>
      <c r="AC25" s="1093"/>
      <c r="AD25" s="1093"/>
      <c r="AE25" s="1095"/>
      <c r="AF25" s="1093"/>
      <c r="AG25" s="684"/>
      <c r="AH25" s="1096"/>
      <c r="AI25" s="1095"/>
      <c r="AJ25" s="1096"/>
      <c r="AK25" s="1097"/>
      <c r="AL25" s="1098"/>
      <c r="AM25" s="1099"/>
      <c r="AN25" s="1098"/>
      <c r="AO25" s="1099"/>
      <c r="AP25" s="1098"/>
      <c r="AQ25" s="1100"/>
      <c r="AR25" s="1089"/>
      <c r="AS25" s="1089"/>
      <c r="AT25" s="1089"/>
      <c r="AU25" s="1089"/>
      <c r="AV25" s="1089"/>
      <c r="AW25" s="1089"/>
      <c r="AX25" s="1089"/>
      <c r="AY25" s="1089"/>
      <c r="AZ25" s="1089"/>
      <c r="BA25" s="1089"/>
      <c r="BB25" s="1089"/>
      <c r="BC25" s="1089"/>
      <c r="BD25" s="1089"/>
      <c r="BE25" s="1089"/>
      <c r="BF25" s="1089"/>
      <c r="BG25" s="1089"/>
      <c r="BH25" s="1089"/>
      <c r="BI25" s="1089"/>
      <c r="BJ25" s="1089"/>
    </row>
    <row r="26" ht="11.25" customHeight="1">
      <c r="A26" s="1089"/>
      <c r="B26" s="1089"/>
      <c r="C26" s="1089"/>
      <c r="D26" s="1090"/>
      <c r="E26" s="1091"/>
      <c r="F26" s="1091" t="s">
        <v>399</v>
      </c>
      <c r="G26" s="1091"/>
      <c r="H26" s="1091"/>
      <c r="I26" s="1091"/>
      <c r="J26" s="1091"/>
      <c r="K26" s="684"/>
      <c r="L26" s="1092"/>
      <c r="M26" s="1092"/>
      <c r="N26" s="1092"/>
      <c r="O26" s="684"/>
      <c r="P26" s="1093"/>
      <c r="Q26" s="1092"/>
      <c r="R26" s="1092"/>
      <c r="S26" s="1092"/>
      <c r="T26" s="1092"/>
      <c r="U26" s="1094"/>
      <c r="V26" s="1092"/>
      <c r="W26" s="1092"/>
      <c r="X26" s="1092"/>
      <c r="Y26" s="684"/>
      <c r="Z26" s="1093"/>
      <c r="AA26" s="1095"/>
      <c r="AB26" s="1093"/>
      <c r="AC26" s="1093"/>
      <c r="AD26" s="1093"/>
      <c r="AE26" s="1095"/>
      <c r="AF26" s="1093"/>
      <c r="AG26" s="684"/>
      <c r="AH26" s="1096"/>
      <c r="AI26" s="1095"/>
      <c r="AJ26" s="1096"/>
      <c r="AK26" s="1097"/>
      <c r="AL26" s="1098"/>
      <c r="AM26" s="1099"/>
      <c r="AN26" s="1098"/>
      <c r="AO26" s="1099"/>
      <c r="AP26" s="1098"/>
      <c r="AQ26" s="1100"/>
      <c r="AR26" s="1089"/>
      <c r="AS26" s="1089"/>
      <c r="AT26" s="1089"/>
      <c r="AU26" s="1089"/>
      <c r="AV26" s="1089"/>
      <c r="AW26" s="1089"/>
      <c r="AX26" s="1089"/>
      <c r="AY26" s="1089"/>
      <c r="AZ26" s="1089"/>
      <c r="BA26" s="1089"/>
      <c r="BB26" s="1089"/>
      <c r="BC26" s="1089"/>
      <c r="BD26" s="1089"/>
      <c r="BE26" s="1089"/>
      <c r="BF26" s="1089"/>
      <c r="BG26" s="1089"/>
      <c r="BH26" s="1089"/>
      <c r="BI26" s="1089"/>
      <c r="BJ26" s="1089"/>
    </row>
    <row r="27" ht="11.25" customHeight="1">
      <c r="A27" s="1089"/>
      <c r="B27" s="1089"/>
      <c r="C27" s="1089"/>
      <c r="D27" s="1090"/>
      <c r="E27" s="1091"/>
      <c r="F27" s="1091" t="s">
        <v>400</v>
      </c>
      <c r="G27" s="1091"/>
      <c r="H27" s="1091"/>
      <c r="I27" s="1091"/>
      <c r="J27" s="1091"/>
      <c r="K27" s="684"/>
      <c r="L27" s="1092"/>
      <c r="M27" s="1092"/>
      <c r="N27" s="1092"/>
      <c r="O27" s="684"/>
      <c r="P27" s="1093"/>
      <c r="Q27" s="1092"/>
      <c r="R27" s="1092"/>
      <c r="S27" s="1092"/>
      <c r="T27" s="1092"/>
      <c r="U27" s="1094"/>
      <c r="V27" s="1092"/>
      <c r="W27" s="1092"/>
      <c r="X27" s="1092"/>
      <c r="Y27" s="684"/>
      <c r="Z27" s="1093"/>
      <c r="AA27" s="1095"/>
      <c r="AB27" s="1093"/>
      <c r="AC27" s="1093"/>
      <c r="AD27" s="1093"/>
      <c r="AE27" s="1095"/>
      <c r="AF27" s="1093"/>
      <c r="AG27" s="684"/>
      <c r="AH27" s="1096"/>
      <c r="AI27" s="1095"/>
      <c r="AJ27" s="1096"/>
      <c r="AK27" s="1097"/>
      <c r="AL27" s="1098"/>
      <c r="AM27" s="1099"/>
      <c r="AN27" s="1098"/>
      <c r="AO27" s="1099"/>
      <c r="AP27" s="1098"/>
      <c r="AQ27" s="1100"/>
      <c r="AR27" s="1089"/>
      <c r="AS27" s="1089"/>
      <c r="AT27" s="1089"/>
      <c r="AU27" s="1089"/>
      <c r="AV27" s="1089"/>
      <c r="AW27" s="1089"/>
      <c r="AX27" s="1089"/>
      <c r="AY27" s="1089"/>
      <c r="AZ27" s="1089"/>
      <c r="BA27" s="1089"/>
      <c r="BB27" s="1089"/>
      <c r="BC27" s="1089"/>
      <c r="BD27" s="1089"/>
      <c r="BE27" s="1089"/>
      <c r="BF27" s="1089"/>
      <c r="BG27" s="1089"/>
      <c r="BH27" s="1089"/>
      <c r="BI27" s="1089"/>
      <c r="BJ27" s="1089"/>
    </row>
    <row r="28" ht="11.25" customHeight="1">
      <c r="A28" s="1089"/>
      <c r="B28" s="1089"/>
      <c r="C28" s="1089"/>
      <c r="D28" s="1090"/>
      <c r="E28" s="1091"/>
      <c r="F28" s="1091" t="s">
        <v>401</v>
      </c>
      <c r="G28" s="1091"/>
      <c r="H28" s="1091"/>
      <c r="I28" s="1091"/>
      <c r="J28" s="1091"/>
      <c r="K28" s="684"/>
      <c r="L28" s="1092"/>
      <c r="M28" s="1092"/>
      <c r="N28" s="1092"/>
      <c r="O28" s="684"/>
      <c r="P28" s="1093"/>
      <c r="Q28" s="1092"/>
      <c r="R28" s="1092"/>
      <c r="S28" s="1092"/>
      <c r="T28" s="1092"/>
      <c r="U28" s="1094"/>
      <c r="V28" s="1092"/>
      <c r="W28" s="1092"/>
      <c r="X28" s="1092"/>
      <c r="Y28" s="684"/>
      <c r="Z28" s="1093"/>
      <c r="AA28" s="1095"/>
      <c r="AB28" s="1093"/>
      <c r="AC28" s="1093"/>
      <c r="AD28" s="1093"/>
      <c r="AE28" s="1095"/>
      <c r="AF28" s="1093"/>
      <c r="AG28" s="684"/>
      <c r="AH28" s="1096"/>
      <c r="AI28" s="1095"/>
      <c r="AJ28" s="1096"/>
      <c r="AK28" s="1097"/>
      <c r="AL28" s="1098"/>
      <c r="AM28" s="1099"/>
      <c r="AN28" s="1098"/>
      <c r="AO28" s="1099"/>
      <c r="AP28" s="1098"/>
      <c r="AQ28" s="1100"/>
      <c r="AR28" s="1089"/>
      <c r="AS28" s="1089"/>
      <c r="AT28" s="1089"/>
      <c r="AU28" s="1089"/>
      <c r="AV28" s="1089"/>
      <c r="AW28" s="1089"/>
      <c r="AX28" s="1089"/>
      <c r="AY28" s="1089"/>
      <c r="AZ28" s="1089"/>
      <c r="BA28" s="1089"/>
      <c r="BB28" s="1089"/>
      <c r="BC28" s="1089"/>
      <c r="BD28" s="1089"/>
      <c r="BE28" s="1089"/>
      <c r="BF28" s="1089"/>
      <c r="BG28" s="1089"/>
      <c r="BH28" s="1089"/>
      <c r="BI28" s="1089"/>
      <c r="BJ28" s="1089"/>
    </row>
    <row r="29" ht="11.25" customHeight="1">
      <c r="A29" s="1089"/>
      <c r="B29" s="1089"/>
      <c r="C29" s="1089"/>
      <c r="D29" s="1089"/>
      <c r="E29" s="1091"/>
      <c r="F29" s="1101" t="s">
        <v>402</v>
      </c>
      <c r="G29" s="1089"/>
      <c r="H29" s="1089"/>
      <c r="I29" s="1089"/>
      <c r="J29" s="1089"/>
      <c r="K29" s="1100"/>
      <c r="L29" s="1102"/>
      <c r="M29" s="1102"/>
      <c r="N29" s="1102"/>
      <c r="O29" s="1100"/>
      <c r="P29" s="1103"/>
      <c r="Q29" s="1102"/>
      <c r="R29" s="1102"/>
      <c r="S29" s="1102"/>
      <c r="T29" s="1102"/>
      <c r="U29" s="1104"/>
      <c r="V29" s="1102"/>
      <c r="W29" s="1102"/>
      <c r="X29" s="1102"/>
      <c r="Y29" s="1100"/>
      <c r="Z29" s="1103"/>
      <c r="AA29" s="1099"/>
      <c r="AB29" s="1103"/>
      <c r="AC29" s="1103"/>
      <c r="AD29" s="1103"/>
      <c r="AE29" s="1099"/>
      <c r="AF29" s="1103"/>
      <c r="AG29" s="1100"/>
      <c r="AH29" s="1098"/>
      <c r="AI29" s="1099"/>
      <c r="AJ29" s="1098"/>
      <c r="AK29" s="1105"/>
      <c r="AL29" s="1098"/>
      <c r="AM29" s="1099"/>
      <c r="AN29" s="1098"/>
      <c r="AO29" s="1099"/>
      <c r="AP29" s="1098"/>
      <c r="AQ29" s="1100"/>
      <c r="AR29" s="1089"/>
      <c r="AS29" s="1089"/>
      <c r="AT29" s="1089"/>
      <c r="AU29" s="1089"/>
      <c r="AV29" s="1089"/>
      <c r="AW29" s="1089"/>
      <c r="AX29" s="1089"/>
      <c r="AY29" s="1089"/>
      <c r="AZ29" s="1089"/>
      <c r="BA29" s="1089"/>
      <c r="BB29" s="1089"/>
      <c r="BC29" s="1089"/>
      <c r="BD29" s="1089"/>
      <c r="BE29" s="1089"/>
      <c r="BF29" s="1089"/>
      <c r="BG29" s="1089"/>
      <c r="BH29" s="1089"/>
      <c r="BI29" s="1089"/>
      <c r="BJ29" s="1089"/>
    </row>
    <row r="30" ht="11.25" customHeight="1">
      <c r="A30" s="994"/>
      <c r="B30" s="994"/>
      <c r="C30" s="994"/>
      <c r="D30" s="994"/>
      <c r="E30" s="995"/>
      <c r="F30" s="994"/>
      <c r="G30" s="994"/>
      <c r="H30" s="994"/>
      <c r="I30" s="994"/>
      <c r="J30" s="994"/>
      <c r="K30" s="994"/>
      <c r="L30" s="1106"/>
      <c r="M30" s="1106"/>
      <c r="N30" s="1106"/>
      <c r="O30" s="994"/>
      <c r="P30" s="994"/>
      <c r="Q30" s="994"/>
      <c r="R30" s="994"/>
      <c r="S30" s="994"/>
      <c r="T30" s="994"/>
      <c r="U30" s="994"/>
      <c r="V30" s="994"/>
      <c r="W30" s="994"/>
      <c r="X30" s="994"/>
      <c r="Y30" s="994"/>
      <c r="Z30" s="994"/>
      <c r="AA30" s="994"/>
      <c r="AB30" s="994"/>
      <c r="AC30" s="994"/>
      <c r="AD30" s="994"/>
      <c r="AE30" s="994"/>
      <c r="AF30" s="994"/>
      <c r="AG30" s="994"/>
      <c r="AH30" s="994"/>
      <c r="AI30" s="1107"/>
      <c r="AJ30" s="994"/>
      <c r="AK30" s="994"/>
      <c r="AL30" s="994"/>
      <c r="AM30" s="994"/>
      <c r="AN30" s="994"/>
      <c r="AO30" s="994"/>
      <c r="AP30" s="994"/>
      <c r="AQ30" s="994"/>
      <c r="AR30" s="994"/>
      <c r="AS30" s="994"/>
      <c r="AT30" s="994"/>
      <c r="AU30" s="994"/>
      <c r="AV30" s="994"/>
      <c r="AW30" s="994"/>
      <c r="AX30" s="994"/>
      <c r="AY30" s="994"/>
      <c r="AZ30" s="994"/>
      <c r="BA30" s="994"/>
      <c r="BB30" s="994"/>
      <c r="BC30" s="994"/>
      <c r="BD30" s="994"/>
      <c r="BE30" s="994"/>
      <c r="BF30" s="994"/>
      <c r="BG30" s="994"/>
      <c r="BH30" s="994"/>
      <c r="BI30" s="994"/>
      <c r="BJ30" s="994"/>
    </row>
    <row r="31" ht="11.25" customHeight="1">
      <c r="A31" s="994"/>
      <c r="B31" s="994"/>
      <c r="C31" s="994"/>
      <c r="D31" s="994"/>
      <c r="E31" s="995"/>
      <c r="F31" s="994"/>
      <c r="G31" s="994"/>
      <c r="H31" s="994"/>
      <c r="I31" s="994"/>
      <c r="J31" s="994"/>
      <c r="K31" s="994"/>
      <c r="L31" s="1108"/>
      <c r="M31" s="1108"/>
      <c r="N31" s="1108"/>
      <c r="O31" s="994"/>
      <c r="P31" s="994"/>
      <c r="Q31" s="994"/>
      <c r="R31" s="994"/>
      <c r="S31" s="994"/>
      <c r="T31" s="994"/>
      <c r="U31" s="994"/>
      <c r="V31" s="994"/>
      <c r="W31" s="994"/>
      <c r="X31" s="994"/>
      <c r="Y31" s="994"/>
      <c r="Z31" s="994"/>
      <c r="AA31" s="994"/>
      <c r="AB31" s="994"/>
      <c r="AC31" s="994"/>
      <c r="AD31" s="994"/>
      <c r="AE31" s="994"/>
      <c r="AF31" s="994"/>
      <c r="AG31" s="994"/>
      <c r="AH31" s="1109"/>
      <c r="AI31" s="1109"/>
      <c r="AJ31" s="1109"/>
      <c r="AK31" s="994"/>
      <c r="AL31" s="994"/>
      <c r="AM31" s="994"/>
      <c r="AN31" s="994"/>
      <c r="AO31" s="994"/>
      <c r="AP31" s="994"/>
      <c r="AQ31" s="994"/>
      <c r="AR31" s="994"/>
      <c r="AS31" s="994"/>
      <c r="AT31" s="994"/>
      <c r="AU31" s="994"/>
      <c r="AV31" s="994"/>
      <c r="AW31" s="994"/>
      <c r="AX31" s="994"/>
      <c r="AY31" s="994"/>
      <c r="AZ31" s="994"/>
      <c r="BA31" s="994"/>
      <c r="BB31" s="994"/>
      <c r="BC31" s="994"/>
      <c r="BD31" s="994"/>
      <c r="BE31" s="994"/>
      <c r="BF31" s="994"/>
      <c r="BG31" s="994"/>
      <c r="BH31" s="994"/>
      <c r="BI31" s="994"/>
      <c r="BJ31" s="994"/>
    </row>
    <row r="32" ht="11.25" customHeight="1">
      <c r="A32" s="994" t="s">
        <v>403</v>
      </c>
      <c r="B32" s="1028" t="s">
        <v>404</v>
      </c>
      <c r="C32" s="1028"/>
      <c r="D32" s="994"/>
      <c r="E32" s="995"/>
      <c r="F32" s="1110" t="s">
        <v>405</v>
      </c>
      <c r="G32" s="1111"/>
      <c r="H32" s="1028" t="s">
        <v>406</v>
      </c>
      <c r="I32" s="1111"/>
      <c r="J32" s="1053">
        <v>4.0480824208281944E10</v>
      </c>
      <c r="K32" s="1111"/>
      <c r="L32" s="1053">
        <v>2.0051651611011494E10</v>
      </c>
      <c r="M32" s="1053"/>
      <c r="N32" s="1053">
        <v>2.098511936370824E10</v>
      </c>
      <c r="O32" s="1111"/>
      <c r="P32" s="1048">
        <v>0.046553160348353995</v>
      </c>
      <c r="Q32" s="1112"/>
      <c r="R32" s="1053">
        <v>9.225113058384365E9</v>
      </c>
      <c r="S32" s="1053"/>
      <c r="T32" s="1053">
        <v>1.0093107232626472E10</v>
      </c>
      <c r="U32" s="1112"/>
      <c r="V32" s="1053">
        <v>2.9028656494231486E9</v>
      </c>
      <c r="W32" s="1053"/>
      <c r="X32" s="1053">
        <v>3.2357418486918964E9</v>
      </c>
      <c r="Y32" s="1111"/>
      <c r="Z32" s="1113">
        <v>0.46006749156355453</v>
      </c>
      <c r="AA32" s="1045"/>
      <c r="AB32" s="1113">
        <v>0.4809649665410785</v>
      </c>
      <c r="AC32" s="1113"/>
      <c r="AD32" s="1113">
        <v>0.14476940382452194</v>
      </c>
      <c r="AE32" s="1045"/>
      <c r="AF32" s="1113">
        <v>0.1541922060394759</v>
      </c>
      <c r="AG32" s="1111"/>
      <c r="AH32" s="1044">
        <v>2.0188274259688233</v>
      </c>
      <c r="AI32" s="1045"/>
      <c r="AJ32" s="1044">
        <v>1.929025206227307</v>
      </c>
      <c r="AK32" s="1048"/>
      <c r="AL32" s="1044">
        <v>13.945124954827381</v>
      </c>
      <c r="AM32" s="1045"/>
      <c r="AN32" s="1044">
        <v>12.510523429008098</v>
      </c>
      <c r="AO32" s="1045"/>
      <c r="AP32" s="1044" t="e">
        <v>#REF!</v>
      </c>
      <c r="AQ32" s="1111"/>
      <c r="AR32" s="994"/>
      <c r="AS32" s="994"/>
      <c r="AT32" s="994"/>
      <c r="AU32" s="994"/>
      <c r="AV32" s="994"/>
      <c r="AW32" s="994"/>
      <c r="AX32" s="994"/>
      <c r="AY32" s="994"/>
      <c r="AZ32" s="994"/>
      <c r="BA32" s="994"/>
      <c r="BB32" s="994"/>
      <c r="BC32" s="994"/>
      <c r="BD32" s="994"/>
      <c r="BE32" s="994"/>
      <c r="BF32" s="994"/>
      <c r="BG32" s="994"/>
      <c r="BH32" s="994"/>
      <c r="BI32" s="994"/>
      <c r="BJ32" s="994"/>
    </row>
    <row r="33" ht="11.25" customHeight="1">
      <c r="A33" s="994"/>
      <c r="B33" s="994"/>
      <c r="C33" s="994"/>
      <c r="D33" s="994"/>
      <c r="E33" s="995"/>
      <c r="F33" s="994"/>
      <c r="G33" s="994"/>
      <c r="H33" s="994"/>
      <c r="I33" s="994"/>
      <c r="J33" s="994"/>
      <c r="K33" s="994"/>
      <c r="L33" s="994"/>
      <c r="M33" s="994"/>
      <c r="N33" s="994"/>
      <c r="O33" s="994"/>
      <c r="P33" s="994"/>
      <c r="Q33" s="994"/>
      <c r="R33" s="994"/>
      <c r="S33" s="994"/>
      <c r="T33" s="994"/>
      <c r="U33" s="994"/>
      <c r="V33" s="994"/>
      <c r="W33" s="994"/>
      <c r="X33" s="994"/>
      <c r="Y33" s="994"/>
      <c r="Z33" s="994"/>
      <c r="AA33" s="994"/>
      <c r="AB33" s="994"/>
      <c r="AC33" s="994"/>
      <c r="AD33" s="994"/>
      <c r="AE33" s="994"/>
      <c r="AF33" s="994"/>
      <c r="AG33" s="994"/>
      <c r="AH33" s="1107"/>
      <c r="AI33" s="994"/>
      <c r="AJ33" s="1107"/>
      <c r="AK33" s="994"/>
      <c r="AL33" s="994"/>
      <c r="AM33" s="994"/>
      <c r="AN33" s="994"/>
      <c r="AO33" s="994"/>
      <c r="AP33" s="994"/>
      <c r="AQ33" s="994"/>
      <c r="AR33" s="994"/>
      <c r="AS33" s="994"/>
      <c r="AT33" s="994"/>
      <c r="AU33" s="994"/>
      <c r="AV33" s="994"/>
      <c r="AW33" s="994"/>
      <c r="AX33" s="994"/>
      <c r="AY33" s="994"/>
      <c r="AZ33" s="994"/>
      <c r="BA33" s="994"/>
      <c r="BB33" s="994"/>
      <c r="BC33" s="994"/>
      <c r="BD33" s="994"/>
      <c r="BE33" s="994"/>
      <c r="BF33" s="994"/>
      <c r="BG33" s="994"/>
      <c r="BH33" s="994"/>
      <c r="BI33" s="994"/>
      <c r="BJ33" s="994"/>
    </row>
    <row r="34" ht="11.25" customHeight="1">
      <c r="A34" s="994"/>
      <c r="B34" s="994"/>
      <c r="C34" s="994"/>
      <c r="D34" s="994"/>
      <c r="E34" s="995"/>
      <c r="F34" s="994"/>
      <c r="G34" s="994"/>
      <c r="H34" s="994"/>
      <c r="I34" s="994"/>
      <c r="J34" s="994"/>
      <c r="K34" s="994"/>
      <c r="L34" s="994"/>
      <c r="M34" s="994"/>
      <c r="N34" s="994"/>
      <c r="O34" s="994"/>
      <c r="P34" s="994"/>
      <c r="Q34" s="994"/>
      <c r="R34" s="994"/>
      <c r="S34" s="994"/>
      <c r="T34" s="994"/>
      <c r="U34" s="994"/>
      <c r="V34" s="994"/>
      <c r="W34" s="994"/>
      <c r="X34" s="994"/>
      <c r="Y34" s="994"/>
      <c r="Z34" s="994"/>
      <c r="AA34" s="994"/>
      <c r="AB34" s="994"/>
      <c r="AC34" s="994"/>
      <c r="AD34" s="994"/>
      <c r="AE34" s="994"/>
      <c r="AF34" s="994"/>
      <c r="AG34" s="994"/>
      <c r="AH34" s="994"/>
      <c r="AI34" s="994"/>
      <c r="AJ34" s="994"/>
      <c r="AK34" s="994"/>
      <c r="AL34" s="994"/>
      <c r="AM34" s="994"/>
      <c r="AN34" s="994"/>
      <c r="AO34" s="994"/>
      <c r="AP34" s="994"/>
      <c r="AQ34" s="994"/>
      <c r="AR34" s="994"/>
      <c r="AS34" s="994"/>
      <c r="AT34" s="994"/>
      <c r="AU34" s="994"/>
      <c r="AV34" s="994"/>
      <c r="AW34" s="994"/>
      <c r="AX34" s="994"/>
      <c r="AY34" s="994"/>
      <c r="AZ34" s="994"/>
      <c r="BA34" s="994"/>
      <c r="BB34" s="994"/>
      <c r="BC34" s="994"/>
      <c r="BD34" s="994"/>
      <c r="BE34" s="994"/>
      <c r="BF34" s="994"/>
      <c r="BG34" s="994"/>
      <c r="BH34" s="994"/>
      <c r="BI34" s="994"/>
      <c r="BJ34" s="994"/>
    </row>
    <row r="35" ht="11.25" customHeight="1">
      <c r="A35" s="994"/>
      <c r="B35" s="994"/>
      <c r="C35" s="994"/>
      <c r="D35" s="994"/>
      <c r="E35" s="995"/>
      <c r="F35" s="994"/>
      <c r="G35" s="994"/>
      <c r="H35" s="994"/>
      <c r="I35" s="994"/>
      <c r="J35" s="994"/>
      <c r="K35" s="994"/>
      <c r="L35" s="994"/>
      <c r="M35" s="994"/>
      <c r="N35" s="994"/>
      <c r="O35" s="994"/>
      <c r="P35" s="994"/>
      <c r="Q35" s="994"/>
      <c r="R35" s="994"/>
      <c r="S35" s="994"/>
      <c r="T35" s="994"/>
      <c r="U35" s="994"/>
      <c r="V35" s="994"/>
      <c r="W35" s="994"/>
      <c r="X35" s="994"/>
      <c r="Y35" s="994"/>
      <c r="Z35" s="994"/>
      <c r="AA35" s="994"/>
      <c r="AB35" s="994"/>
      <c r="AC35" s="994"/>
      <c r="AD35" s="994"/>
      <c r="AE35" s="994"/>
      <c r="AF35" s="994"/>
      <c r="AG35" s="994"/>
      <c r="AH35" s="994"/>
      <c r="AI35" s="994"/>
      <c r="AJ35" s="994"/>
      <c r="AK35" s="994"/>
      <c r="AL35" s="994"/>
      <c r="AM35" s="994"/>
      <c r="AN35" s="994"/>
      <c r="AO35" s="994"/>
      <c r="AP35" s="994"/>
      <c r="AQ35" s="994"/>
      <c r="AR35" s="994"/>
      <c r="AS35" s="994"/>
      <c r="AT35" s="994"/>
      <c r="AU35" s="994"/>
      <c r="AV35" s="994"/>
      <c r="AW35" s="994"/>
      <c r="AX35" s="994"/>
      <c r="AY35" s="994"/>
      <c r="AZ35" s="994"/>
      <c r="BA35" s="994"/>
      <c r="BB35" s="994"/>
      <c r="BC35" s="994"/>
      <c r="BD35" s="994"/>
      <c r="BE35" s="994"/>
      <c r="BF35" s="994"/>
      <c r="BG35" s="994"/>
      <c r="BH35" s="994"/>
      <c r="BI35" s="994"/>
      <c r="BJ35" s="994"/>
    </row>
    <row r="36" ht="11.25" customHeight="1">
      <c r="A36" s="994"/>
      <c r="B36" s="994"/>
      <c r="C36" s="994"/>
      <c r="D36" s="994"/>
      <c r="E36" s="995"/>
      <c r="F36" s="994"/>
      <c r="G36" s="994"/>
      <c r="H36" s="994"/>
      <c r="I36" s="994"/>
      <c r="J36" s="994"/>
      <c r="K36" s="994"/>
      <c r="L36" s="994"/>
      <c r="M36" s="994"/>
      <c r="N36" s="994"/>
      <c r="O36" s="994"/>
      <c r="P36" s="994"/>
      <c r="Q36" s="994"/>
      <c r="R36" s="994"/>
      <c r="S36" s="994"/>
      <c r="T36" s="994"/>
      <c r="U36" s="994"/>
      <c r="V36" s="994"/>
      <c r="W36" s="994"/>
      <c r="X36" s="994"/>
      <c r="Y36" s="994"/>
      <c r="Z36" s="994"/>
      <c r="AA36" s="994"/>
      <c r="AB36" s="994"/>
      <c r="AC36" s="994"/>
      <c r="AD36" s="994"/>
      <c r="AE36" s="994"/>
      <c r="AF36" s="994"/>
      <c r="AG36" s="994"/>
      <c r="AH36" s="994"/>
      <c r="AI36" s="994"/>
      <c r="AJ36" s="994"/>
      <c r="AK36" s="994"/>
      <c r="AL36" s="994"/>
      <c r="AM36" s="994"/>
      <c r="AN36" s="994"/>
      <c r="AO36" s="994"/>
      <c r="AP36" s="994"/>
      <c r="AQ36" s="994"/>
      <c r="AR36" s="994"/>
      <c r="AS36" s="994"/>
      <c r="AT36" s="994"/>
      <c r="AU36" s="994"/>
      <c r="AV36" s="994"/>
      <c r="AW36" s="994"/>
      <c r="AX36" s="994"/>
      <c r="AY36" s="994"/>
      <c r="AZ36" s="994"/>
      <c r="BA36" s="994"/>
      <c r="BB36" s="994"/>
      <c r="BC36" s="994"/>
      <c r="BD36" s="994"/>
      <c r="BE36" s="994"/>
      <c r="BF36" s="994"/>
      <c r="BG36" s="994"/>
      <c r="BH36" s="994"/>
      <c r="BI36" s="994"/>
      <c r="BJ36" s="994"/>
    </row>
    <row r="37" ht="11.25" customHeight="1">
      <c r="A37" s="994"/>
      <c r="B37" s="994"/>
      <c r="C37" s="994"/>
      <c r="D37" s="994"/>
      <c r="E37" s="995"/>
      <c r="F37" s="994"/>
      <c r="G37" s="994"/>
      <c r="H37" s="994"/>
      <c r="I37" s="994"/>
      <c r="J37" s="994"/>
      <c r="K37" s="994"/>
      <c r="L37" s="994"/>
      <c r="M37" s="994"/>
      <c r="N37" s="994"/>
      <c r="O37" s="994"/>
      <c r="P37" s="994"/>
      <c r="Q37" s="994"/>
      <c r="R37" s="994"/>
      <c r="S37" s="994"/>
      <c r="T37" s="994"/>
      <c r="U37" s="994"/>
      <c r="V37" s="994"/>
      <c r="W37" s="994"/>
      <c r="X37" s="994"/>
      <c r="Y37" s="994"/>
      <c r="Z37" s="994"/>
      <c r="AA37" s="994"/>
      <c r="AB37" s="994"/>
      <c r="AC37" s="994"/>
      <c r="AD37" s="994"/>
      <c r="AE37" s="994"/>
      <c r="AF37" s="994"/>
      <c r="AG37" s="994"/>
      <c r="AH37" s="994"/>
      <c r="AI37" s="994"/>
      <c r="AJ37" s="994"/>
      <c r="AK37" s="994"/>
      <c r="AL37" s="994"/>
      <c r="AM37" s="994"/>
      <c r="AN37" s="994"/>
      <c r="AO37" s="994"/>
      <c r="AP37" s="994"/>
      <c r="AQ37" s="994"/>
      <c r="AR37" s="994"/>
      <c r="AS37" s="994"/>
      <c r="AT37" s="994"/>
      <c r="AU37" s="994"/>
      <c r="AV37" s="994"/>
      <c r="AW37" s="994"/>
      <c r="AX37" s="994"/>
      <c r="AY37" s="994"/>
      <c r="AZ37" s="994"/>
      <c r="BA37" s="994"/>
      <c r="BB37" s="994"/>
      <c r="BC37" s="994"/>
      <c r="BD37" s="994"/>
      <c r="BE37" s="994"/>
      <c r="BF37" s="994"/>
      <c r="BG37" s="994"/>
      <c r="BH37" s="994"/>
      <c r="BI37" s="994"/>
      <c r="BJ37" s="994"/>
    </row>
    <row r="38" ht="11.25" customHeight="1">
      <c r="A38" s="994"/>
      <c r="B38" s="994"/>
      <c r="C38" s="994"/>
      <c r="D38" s="994"/>
      <c r="E38" s="995"/>
      <c r="F38" s="994"/>
      <c r="G38" s="994"/>
      <c r="H38" s="994"/>
      <c r="I38" s="994"/>
      <c r="J38" s="994"/>
      <c r="K38" s="994"/>
      <c r="L38" s="994"/>
      <c r="M38" s="994"/>
      <c r="N38" s="994"/>
      <c r="O38" s="994"/>
      <c r="P38" s="994"/>
      <c r="Q38" s="994"/>
      <c r="R38" s="994"/>
      <c r="S38" s="994"/>
      <c r="T38" s="994"/>
      <c r="U38" s="994"/>
      <c r="V38" s="994"/>
      <c r="W38" s="994"/>
      <c r="X38" s="994"/>
      <c r="Y38" s="994"/>
      <c r="Z38" s="994"/>
      <c r="AA38" s="994"/>
      <c r="AB38" s="994"/>
      <c r="AC38" s="994"/>
      <c r="AD38" s="994"/>
      <c r="AE38" s="994"/>
      <c r="AF38" s="994"/>
      <c r="AG38" s="994"/>
      <c r="AH38" s="994"/>
      <c r="AI38" s="994"/>
      <c r="AJ38" s="994"/>
      <c r="AK38" s="994"/>
      <c r="AL38" s="994"/>
      <c r="AM38" s="994"/>
      <c r="AN38" s="994"/>
      <c r="AO38" s="994"/>
      <c r="AP38" s="994"/>
      <c r="AQ38" s="994"/>
      <c r="AR38" s="994"/>
      <c r="AS38" s="994"/>
      <c r="AT38" s="994"/>
      <c r="AU38" s="994"/>
      <c r="AV38" s="994"/>
      <c r="AW38" s="994"/>
      <c r="AX38" s="994"/>
      <c r="AY38" s="994"/>
      <c r="AZ38" s="994"/>
      <c r="BA38" s="994"/>
      <c r="BB38" s="994"/>
      <c r="BC38" s="994"/>
      <c r="BD38" s="994"/>
      <c r="BE38" s="994"/>
      <c r="BF38" s="994"/>
      <c r="BG38" s="994"/>
      <c r="BH38" s="994"/>
      <c r="BI38" s="994"/>
      <c r="BJ38" s="994"/>
    </row>
    <row r="39" ht="11.25" customHeight="1">
      <c r="A39" s="994"/>
      <c r="B39" s="994"/>
      <c r="C39" s="994"/>
      <c r="D39" s="994"/>
      <c r="E39" s="995"/>
      <c r="F39" s="994"/>
      <c r="G39" s="994"/>
      <c r="H39" s="994"/>
      <c r="I39" s="994"/>
      <c r="J39" s="994"/>
      <c r="K39" s="994"/>
      <c r="L39" s="994"/>
      <c r="M39" s="994"/>
      <c r="N39" s="994"/>
      <c r="O39" s="994"/>
      <c r="P39" s="994"/>
      <c r="Q39" s="994"/>
      <c r="R39" s="994"/>
      <c r="S39" s="994"/>
      <c r="T39" s="994"/>
      <c r="U39" s="994"/>
      <c r="V39" s="994"/>
      <c r="W39" s="994"/>
      <c r="X39" s="994"/>
      <c r="Y39" s="994"/>
      <c r="Z39" s="994"/>
      <c r="AA39" s="994"/>
      <c r="AB39" s="994"/>
      <c r="AC39" s="994"/>
      <c r="AD39" s="994"/>
      <c r="AE39" s="994"/>
      <c r="AF39" s="994"/>
      <c r="AG39" s="994"/>
      <c r="AH39" s="994"/>
      <c r="AI39" s="994"/>
      <c r="AJ39" s="994"/>
      <c r="AK39" s="994"/>
      <c r="AL39" s="994"/>
      <c r="AM39" s="994"/>
      <c r="AN39" s="994"/>
      <c r="AO39" s="994"/>
      <c r="AP39" s="994"/>
      <c r="AQ39" s="994"/>
      <c r="AR39" s="994"/>
      <c r="AS39" s="994"/>
      <c r="AT39" s="994"/>
      <c r="AU39" s="994"/>
      <c r="AV39" s="994"/>
      <c r="AW39" s="994"/>
      <c r="AX39" s="994"/>
      <c r="AY39" s="994"/>
      <c r="AZ39" s="994"/>
      <c r="BA39" s="994"/>
      <c r="BB39" s="994"/>
      <c r="BC39" s="994"/>
      <c r="BD39" s="994"/>
      <c r="BE39" s="994"/>
      <c r="BF39" s="994"/>
      <c r="BG39" s="994"/>
      <c r="BH39" s="994"/>
      <c r="BI39" s="994"/>
      <c r="BJ39" s="994"/>
    </row>
    <row r="40" ht="11.25" customHeight="1">
      <c r="A40" s="994"/>
      <c r="B40" s="994"/>
      <c r="C40" s="994"/>
      <c r="D40" s="994"/>
      <c r="E40" s="995"/>
      <c r="F40" s="994"/>
      <c r="G40" s="994"/>
      <c r="H40" s="994"/>
      <c r="I40" s="994"/>
      <c r="J40" s="994"/>
      <c r="K40" s="994"/>
      <c r="L40" s="994"/>
      <c r="M40" s="994"/>
      <c r="N40" s="994"/>
      <c r="O40" s="994"/>
      <c r="P40" s="994"/>
      <c r="Q40" s="994"/>
      <c r="R40" s="994"/>
      <c r="S40" s="994"/>
      <c r="T40" s="994"/>
      <c r="U40" s="994"/>
      <c r="V40" s="994"/>
      <c r="W40" s="994"/>
      <c r="X40" s="994"/>
      <c r="Y40" s="994"/>
      <c r="Z40" s="994"/>
      <c r="AA40" s="994"/>
      <c r="AB40" s="994"/>
      <c r="AC40" s="994"/>
      <c r="AD40" s="994"/>
      <c r="AE40" s="994"/>
      <c r="AF40" s="994"/>
      <c r="AG40" s="994"/>
      <c r="AH40" s="994"/>
      <c r="AI40" s="994"/>
      <c r="AJ40" s="994"/>
      <c r="AK40" s="994"/>
      <c r="AL40" s="994"/>
      <c r="AM40" s="994"/>
      <c r="AN40" s="994"/>
      <c r="AO40" s="994"/>
      <c r="AP40" s="994"/>
      <c r="AQ40" s="994"/>
      <c r="AR40" s="994"/>
      <c r="AS40" s="994"/>
      <c r="AT40" s="994"/>
      <c r="AU40" s="994"/>
      <c r="AV40" s="994"/>
      <c r="AW40" s="994"/>
      <c r="AX40" s="994"/>
      <c r="AY40" s="994"/>
      <c r="AZ40" s="994"/>
      <c r="BA40" s="994"/>
      <c r="BB40" s="994"/>
      <c r="BC40" s="994"/>
      <c r="BD40" s="994"/>
      <c r="BE40" s="994"/>
      <c r="BF40" s="994"/>
      <c r="BG40" s="994"/>
      <c r="BH40" s="994"/>
      <c r="BI40" s="994"/>
      <c r="BJ40" s="994"/>
    </row>
    <row r="41" ht="11.25" customHeight="1">
      <c r="A41" s="994"/>
      <c r="B41" s="994"/>
      <c r="C41" s="994"/>
      <c r="D41" s="1012"/>
      <c r="E41" s="995"/>
      <c r="F41" s="1012"/>
      <c r="G41" s="1012"/>
      <c r="H41" s="1012"/>
      <c r="I41" s="1012"/>
      <c r="J41" s="1012"/>
      <c r="K41" s="1012"/>
      <c r="L41" s="1012"/>
      <c r="M41" s="1012"/>
      <c r="N41" s="1012"/>
      <c r="O41" s="1012"/>
      <c r="P41" s="1012"/>
      <c r="Q41" s="1012"/>
      <c r="R41" s="1012"/>
      <c r="S41" s="1012"/>
      <c r="T41" s="1012"/>
      <c r="U41" s="1012"/>
      <c r="V41" s="1012"/>
      <c r="W41" s="1012"/>
      <c r="X41" s="1012"/>
      <c r="Y41" s="1012"/>
      <c r="Z41" s="1012"/>
      <c r="AA41" s="1012"/>
      <c r="AB41" s="1012"/>
      <c r="AC41" s="1012"/>
      <c r="AD41" s="1012"/>
      <c r="AE41" s="1012"/>
      <c r="AF41" s="1012"/>
      <c r="AG41" s="1012"/>
      <c r="AH41" s="1012"/>
      <c r="AI41" s="1012"/>
      <c r="AJ41" s="1012"/>
      <c r="AK41" s="995"/>
      <c r="AL41" s="994"/>
      <c r="AM41" s="994"/>
      <c r="AN41" s="994"/>
      <c r="AO41" s="1012"/>
      <c r="AP41" s="1114"/>
      <c r="AQ41" s="1012"/>
      <c r="AR41" s="1012"/>
      <c r="AS41" s="1012"/>
      <c r="AT41" s="1012"/>
      <c r="AU41" s="1012"/>
      <c r="AV41" s="1012"/>
      <c r="AW41" s="1012"/>
      <c r="AX41" s="1012"/>
      <c r="AY41" s="1012"/>
      <c r="AZ41" s="1012"/>
      <c r="BA41" s="1012"/>
      <c r="BB41" s="1012"/>
      <c r="BC41" s="1012"/>
      <c r="BD41" s="1012"/>
      <c r="BE41" s="1012"/>
      <c r="BF41" s="1012"/>
      <c r="BG41" s="1012"/>
      <c r="BH41" s="1012"/>
      <c r="BI41" s="1012"/>
      <c r="BJ41" s="1012"/>
    </row>
    <row r="42" ht="11.25" customHeight="1">
      <c r="A42" s="994"/>
      <c r="B42" s="994"/>
      <c r="C42" s="994"/>
      <c r="D42" s="1012"/>
      <c r="E42" s="995"/>
      <c r="F42" s="1012"/>
      <c r="G42" s="1012"/>
      <c r="H42" s="1012"/>
      <c r="I42" s="1012"/>
      <c r="J42" s="1012"/>
      <c r="K42" s="1012"/>
      <c r="L42" s="1012"/>
      <c r="M42" s="1012"/>
      <c r="N42" s="1012"/>
      <c r="O42" s="1012"/>
      <c r="P42" s="1012"/>
      <c r="Q42" s="1012"/>
      <c r="R42" s="1012"/>
      <c r="S42" s="1012"/>
      <c r="T42" s="1012"/>
      <c r="U42" s="1012"/>
      <c r="V42" s="1012"/>
      <c r="W42" s="1012"/>
      <c r="X42" s="1012"/>
      <c r="Y42" s="1012"/>
      <c r="Z42" s="1012"/>
      <c r="AA42" s="1012"/>
      <c r="AB42" s="1012"/>
      <c r="AC42" s="1012"/>
      <c r="AD42" s="1012"/>
      <c r="AE42" s="1012"/>
      <c r="AF42" s="1012"/>
      <c r="AG42" s="1012"/>
      <c r="AH42" s="1012"/>
      <c r="AI42" s="1012"/>
      <c r="AJ42" s="1012"/>
      <c r="AK42" s="995"/>
      <c r="AL42" s="994"/>
      <c r="AM42" s="994"/>
      <c r="AN42" s="994"/>
      <c r="AO42" s="1012"/>
      <c r="AP42" s="1114"/>
      <c r="AQ42" s="1012"/>
      <c r="AR42" s="1012"/>
      <c r="AS42" s="1012"/>
      <c r="AT42" s="1012"/>
      <c r="AU42" s="1012"/>
      <c r="AV42" s="1012"/>
      <c r="AW42" s="1012"/>
      <c r="AX42" s="1012"/>
      <c r="AY42" s="1012"/>
      <c r="AZ42" s="1012"/>
      <c r="BA42" s="1012"/>
      <c r="BB42" s="1012"/>
      <c r="BC42" s="1012"/>
      <c r="BD42" s="1012"/>
      <c r="BE42" s="1012"/>
      <c r="BF42" s="1012"/>
      <c r="BG42" s="1012"/>
      <c r="BH42" s="1012"/>
      <c r="BI42" s="1012"/>
      <c r="BJ42" s="1012"/>
    </row>
    <row r="43" ht="11.25" customHeight="1">
      <c r="A43" s="1115" t="s">
        <v>393</v>
      </c>
      <c r="B43" s="1115" t="s">
        <v>407</v>
      </c>
      <c r="C43" s="994"/>
      <c r="D43" s="1012"/>
      <c r="E43" s="995"/>
      <c r="F43" s="1012"/>
      <c r="G43" s="1012"/>
      <c r="H43" s="1012"/>
      <c r="I43" s="1012"/>
      <c r="J43" s="1012"/>
      <c r="K43" s="1012"/>
      <c r="L43" s="1012"/>
      <c r="M43" s="1012"/>
      <c r="N43" s="1012"/>
      <c r="O43" s="1012"/>
      <c r="P43" s="1012"/>
      <c r="Q43" s="1012"/>
      <c r="R43" s="1012"/>
      <c r="S43" s="1012"/>
      <c r="T43" s="1012"/>
      <c r="U43" s="1012"/>
      <c r="V43" s="1012"/>
      <c r="W43" s="1012"/>
      <c r="X43" s="1012"/>
      <c r="Y43" s="1012"/>
      <c r="Z43" s="1012"/>
      <c r="AA43" s="1012"/>
      <c r="AB43" s="1012"/>
      <c r="AC43" s="1012"/>
      <c r="AD43" s="1012"/>
      <c r="AE43" s="1012"/>
      <c r="AF43" s="1012"/>
      <c r="AG43" s="1012"/>
      <c r="AH43" s="1012"/>
      <c r="AI43" s="1012"/>
      <c r="AJ43" s="1012"/>
      <c r="AK43" s="995"/>
      <c r="AL43" s="994"/>
      <c r="AM43" s="994"/>
      <c r="AN43" s="994"/>
      <c r="AO43" s="1012"/>
      <c r="AP43" s="1114"/>
      <c r="AQ43" s="1012"/>
      <c r="AR43" s="1012"/>
      <c r="AS43" s="1012"/>
      <c r="AT43" s="1012"/>
      <c r="AU43" s="1012"/>
      <c r="AV43" s="1012"/>
      <c r="AW43" s="1012"/>
      <c r="AX43" s="1012"/>
      <c r="AY43" s="1012"/>
      <c r="AZ43" s="1012"/>
      <c r="BA43" s="1012"/>
      <c r="BB43" s="1012"/>
      <c r="BC43" s="1012"/>
      <c r="BD43" s="1012"/>
      <c r="BE43" s="1012"/>
      <c r="BF43" s="1012"/>
      <c r="BG43" s="1012"/>
      <c r="BH43" s="1012"/>
      <c r="BI43" s="1012"/>
      <c r="BJ43" s="1012"/>
    </row>
    <row r="44" ht="11.25" customHeight="1">
      <c r="A44" s="1116" t="s">
        <v>392</v>
      </c>
      <c r="B44" s="1116" t="s">
        <v>408</v>
      </c>
      <c r="C44" s="994"/>
      <c r="D44" s="1012"/>
      <c r="E44" s="995"/>
      <c r="F44" s="1012"/>
      <c r="G44" s="1012"/>
      <c r="H44" s="1012"/>
      <c r="I44" s="1012"/>
      <c r="J44" s="1012"/>
      <c r="K44" s="1012"/>
      <c r="L44" s="1012"/>
      <c r="M44" s="1012"/>
      <c r="N44" s="1012"/>
      <c r="O44" s="1012"/>
      <c r="P44" s="1012"/>
      <c r="Q44" s="1012"/>
      <c r="R44" s="1012"/>
      <c r="S44" s="1012"/>
      <c r="T44" s="1012"/>
      <c r="U44" s="1012"/>
      <c r="V44" s="1012"/>
      <c r="W44" s="1012"/>
      <c r="X44" s="1012"/>
      <c r="Y44" s="1012"/>
      <c r="Z44" s="1012"/>
      <c r="AA44" s="1012"/>
      <c r="AB44" s="1012"/>
      <c r="AC44" s="1012"/>
      <c r="AD44" s="1012"/>
      <c r="AE44" s="1012"/>
      <c r="AF44" s="1012"/>
      <c r="AG44" s="1012"/>
      <c r="AH44" s="1012"/>
      <c r="AI44" s="1012"/>
      <c r="AJ44" s="1012"/>
      <c r="AK44" s="995"/>
      <c r="AL44" s="994"/>
      <c r="AM44" s="994"/>
      <c r="AN44" s="994"/>
      <c r="AO44" s="1012"/>
      <c r="AP44" s="1114"/>
      <c r="AQ44" s="1012"/>
      <c r="AR44" s="1012"/>
      <c r="AS44" s="1012"/>
      <c r="AT44" s="1012"/>
      <c r="AU44" s="1012"/>
      <c r="AV44" s="1012"/>
      <c r="AW44" s="1012"/>
      <c r="AX44" s="1012"/>
      <c r="AY44" s="1012"/>
      <c r="AZ44" s="1012"/>
      <c r="BA44" s="1012"/>
      <c r="BB44" s="1012"/>
      <c r="BC44" s="1012"/>
      <c r="BD44" s="1012"/>
      <c r="BE44" s="1012"/>
      <c r="BF44" s="1012"/>
      <c r="BG44" s="1012"/>
      <c r="BH44" s="1012"/>
      <c r="BI44" s="1012"/>
      <c r="BJ44" s="1012"/>
    </row>
    <row r="45" ht="11.25" customHeight="1">
      <c r="A45" s="1115" t="s">
        <v>390</v>
      </c>
      <c r="B45" s="1115" t="s">
        <v>409</v>
      </c>
      <c r="C45" s="994"/>
      <c r="D45" s="1012"/>
      <c r="E45" s="995"/>
      <c r="F45" s="1012"/>
      <c r="G45" s="1012"/>
      <c r="H45" s="1012"/>
      <c r="I45" s="1012"/>
      <c r="J45" s="1012"/>
      <c r="K45" s="1012"/>
      <c r="L45" s="1012"/>
      <c r="M45" s="1012"/>
      <c r="N45" s="1012"/>
      <c r="O45" s="1012"/>
      <c r="P45" s="1012"/>
      <c r="Q45" s="1012"/>
      <c r="R45" s="1012"/>
      <c r="S45" s="1012"/>
      <c r="T45" s="1012"/>
      <c r="U45" s="1012"/>
      <c r="V45" s="1012"/>
      <c r="W45" s="1012"/>
      <c r="X45" s="1012"/>
      <c r="Y45" s="1012"/>
      <c r="Z45" s="1012"/>
      <c r="AA45" s="1012"/>
      <c r="AB45" s="1012"/>
      <c r="AC45" s="1012"/>
      <c r="AD45" s="1012"/>
      <c r="AE45" s="1012"/>
      <c r="AF45" s="1012"/>
      <c r="AG45" s="1012"/>
      <c r="AH45" s="1012"/>
      <c r="AI45" s="1012"/>
      <c r="AJ45" s="1012"/>
      <c r="AK45" s="995"/>
      <c r="AL45" s="994"/>
      <c r="AM45" s="994"/>
      <c r="AN45" s="994"/>
      <c r="AO45" s="1012"/>
      <c r="AP45" s="1114"/>
      <c r="AQ45" s="1012"/>
      <c r="AR45" s="1012"/>
      <c r="AS45" s="1012"/>
      <c r="AT45" s="1012"/>
      <c r="AU45" s="1012"/>
      <c r="AV45" s="1012"/>
      <c r="AW45" s="1012"/>
      <c r="AX45" s="1012"/>
      <c r="AY45" s="1012"/>
      <c r="AZ45" s="1012"/>
      <c r="BA45" s="1012"/>
      <c r="BB45" s="1012"/>
      <c r="BC45" s="1012"/>
      <c r="BD45" s="1012"/>
      <c r="BE45" s="1012"/>
      <c r="BF45" s="1012"/>
      <c r="BG45" s="1012"/>
      <c r="BH45" s="1012"/>
      <c r="BI45" s="1012"/>
      <c r="BJ45" s="1012"/>
    </row>
    <row r="46" ht="11.25" customHeight="1">
      <c r="A46" s="1116" t="s">
        <v>389</v>
      </c>
      <c r="B46" s="1116" t="s">
        <v>410</v>
      </c>
      <c r="C46" s="994"/>
      <c r="D46" s="1012"/>
      <c r="E46" s="995"/>
      <c r="F46" s="1012"/>
      <c r="G46" s="1012"/>
      <c r="H46" s="1012"/>
      <c r="I46" s="1012"/>
      <c r="J46" s="1012"/>
      <c r="K46" s="1012"/>
      <c r="L46" s="1012"/>
      <c r="M46" s="1012"/>
      <c r="N46" s="1012"/>
      <c r="O46" s="1012"/>
      <c r="P46" s="1012"/>
      <c r="Q46" s="1012"/>
      <c r="R46" s="1012"/>
      <c r="S46" s="1012"/>
      <c r="T46" s="1012"/>
      <c r="U46" s="1012"/>
      <c r="V46" s="1012"/>
      <c r="W46" s="1012"/>
      <c r="X46" s="1012"/>
      <c r="Y46" s="1012"/>
      <c r="Z46" s="1012"/>
      <c r="AA46" s="1012"/>
      <c r="AB46" s="1012"/>
      <c r="AC46" s="1012"/>
      <c r="AD46" s="1012"/>
      <c r="AE46" s="1012"/>
      <c r="AF46" s="1012"/>
      <c r="AG46" s="1012"/>
      <c r="AH46" s="1012"/>
      <c r="AI46" s="1012"/>
      <c r="AJ46" s="1012"/>
      <c r="AK46" s="995"/>
      <c r="AL46" s="994"/>
      <c r="AM46" s="994"/>
      <c r="AN46" s="994"/>
      <c r="AO46" s="1012"/>
      <c r="AP46" s="1114"/>
      <c r="AQ46" s="1012"/>
      <c r="AR46" s="1012"/>
      <c r="AS46" s="1012"/>
      <c r="AT46" s="1012"/>
      <c r="AU46" s="1012"/>
      <c r="AV46" s="1012"/>
      <c r="AW46" s="1012"/>
      <c r="AX46" s="1012"/>
      <c r="AY46" s="1012"/>
      <c r="AZ46" s="1012"/>
      <c r="BA46" s="1012"/>
      <c r="BB46" s="1012"/>
      <c r="BC46" s="1012"/>
      <c r="BD46" s="1012"/>
      <c r="BE46" s="1012"/>
      <c r="BF46" s="1012"/>
      <c r="BG46" s="1012"/>
      <c r="BH46" s="1012"/>
      <c r="BI46" s="1012"/>
      <c r="BJ46" s="1012"/>
    </row>
    <row r="47" ht="11.25" customHeight="1">
      <c r="A47" s="1115" t="s">
        <v>391</v>
      </c>
      <c r="B47" s="1115" t="s">
        <v>411</v>
      </c>
      <c r="C47" s="994"/>
      <c r="D47" s="1012"/>
      <c r="E47" s="995"/>
      <c r="F47" s="1012"/>
      <c r="G47" s="1012"/>
      <c r="H47" s="1012"/>
      <c r="I47" s="1012"/>
      <c r="J47" s="1012"/>
      <c r="K47" s="1012"/>
      <c r="L47" s="1012"/>
      <c r="M47" s="1012"/>
      <c r="N47" s="1012"/>
      <c r="O47" s="1012"/>
      <c r="P47" s="1012"/>
      <c r="Q47" s="1012"/>
      <c r="R47" s="1012"/>
      <c r="S47" s="1012"/>
      <c r="T47" s="1012"/>
      <c r="U47" s="1012"/>
      <c r="V47" s="1012"/>
      <c r="W47" s="1012"/>
      <c r="X47" s="1012"/>
      <c r="Y47" s="1012"/>
      <c r="Z47" s="1012"/>
      <c r="AA47" s="1012"/>
      <c r="AB47" s="1012"/>
      <c r="AC47" s="1012"/>
      <c r="AD47" s="1012"/>
      <c r="AE47" s="1012"/>
      <c r="AF47" s="1012"/>
      <c r="AG47" s="1012"/>
      <c r="AH47" s="1012"/>
      <c r="AI47" s="1012"/>
      <c r="AJ47" s="1012"/>
      <c r="AK47" s="995"/>
      <c r="AL47" s="994"/>
      <c r="AM47" s="994"/>
      <c r="AN47" s="994"/>
      <c r="AO47" s="1012"/>
      <c r="AP47" s="1114"/>
      <c r="AQ47" s="1012"/>
      <c r="AR47" s="1012"/>
      <c r="AS47" s="1012"/>
      <c r="AT47" s="1012"/>
      <c r="AU47" s="1012"/>
      <c r="AV47" s="1012"/>
      <c r="AW47" s="1012"/>
      <c r="AX47" s="1012"/>
      <c r="AY47" s="1012"/>
      <c r="AZ47" s="1012"/>
      <c r="BA47" s="1012"/>
      <c r="BB47" s="1012"/>
      <c r="BC47" s="1012"/>
      <c r="BD47" s="1012"/>
      <c r="BE47" s="1012"/>
      <c r="BF47" s="1012"/>
      <c r="BG47" s="1012"/>
      <c r="BH47" s="1012"/>
      <c r="BI47" s="1012"/>
      <c r="BJ47" s="1012"/>
    </row>
    <row r="48" ht="11.25" customHeight="1">
      <c r="A48" s="1116" t="s">
        <v>388</v>
      </c>
      <c r="B48" s="1116" t="s">
        <v>412</v>
      </c>
      <c r="C48" s="994"/>
      <c r="D48" s="1012"/>
      <c r="E48" s="995"/>
      <c r="F48" s="1012"/>
      <c r="G48" s="1012"/>
      <c r="H48" s="1012"/>
      <c r="I48" s="1012"/>
      <c r="J48" s="1012"/>
      <c r="K48" s="1012"/>
      <c r="L48" s="1012"/>
      <c r="M48" s="1012"/>
      <c r="N48" s="1012"/>
      <c r="O48" s="1012"/>
      <c r="P48" s="1012"/>
      <c r="Q48" s="1012"/>
      <c r="R48" s="1012"/>
      <c r="S48" s="1012"/>
      <c r="T48" s="1012"/>
      <c r="U48" s="1012"/>
      <c r="V48" s="1012"/>
      <c r="W48" s="1012"/>
      <c r="X48" s="1012"/>
      <c r="Y48" s="1012"/>
      <c r="Z48" s="1012"/>
      <c r="AA48" s="1012"/>
      <c r="AB48" s="1012"/>
      <c r="AC48" s="1012"/>
      <c r="AD48" s="1012"/>
      <c r="AE48" s="1012"/>
      <c r="AF48" s="1012"/>
      <c r="AG48" s="1012"/>
      <c r="AH48" s="1012"/>
      <c r="AI48" s="1012"/>
      <c r="AJ48" s="1012"/>
      <c r="AK48" s="995"/>
      <c r="AL48" s="994"/>
      <c r="AM48" s="994"/>
      <c r="AN48" s="994"/>
      <c r="AO48" s="1012"/>
      <c r="AP48" s="1114"/>
      <c r="AQ48" s="1012"/>
      <c r="AR48" s="1012"/>
      <c r="AS48" s="1012"/>
      <c r="AT48" s="1012"/>
      <c r="AU48" s="1012"/>
      <c r="AV48" s="1012"/>
      <c r="AW48" s="1012"/>
      <c r="AX48" s="1012"/>
      <c r="AY48" s="1012"/>
      <c r="AZ48" s="1012"/>
      <c r="BA48" s="1012"/>
      <c r="BB48" s="1012"/>
      <c r="BC48" s="1012"/>
      <c r="BD48" s="1012"/>
      <c r="BE48" s="1012"/>
      <c r="BF48" s="1012"/>
      <c r="BG48" s="1012"/>
      <c r="BH48" s="1012"/>
      <c r="BI48" s="1012"/>
      <c r="BJ48" s="1012"/>
    </row>
    <row r="49" ht="11.25" customHeight="1">
      <c r="A49" s="994"/>
      <c r="B49" s="994"/>
      <c r="C49" s="994"/>
      <c r="D49" s="1012"/>
      <c r="E49" s="995"/>
      <c r="F49" s="1012"/>
      <c r="G49" s="1012"/>
      <c r="H49" s="1012"/>
      <c r="I49" s="1012"/>
      <c r="J49" s="1012"/>
      <c r="K49" s="1012"/>
      <c r="L49" s="1012"/>
      <c r="M49" s="1012"/>
      <c r="N49" s="1012"/>
      <c r="O49" s="1012"/>
      <c r="P49" s="1012"/>
      <c r="Q49" s="1012"/>
      <c r="R49" s="1012"/>
      <c r="S49" s="1012"/>
      <c r="T49" s="1012"/>
      <c r="U49" s="1012"/>
      <c r="V49" s="1012"/>
      <c r="W49" s="1012"/>
      <c r="X49" s="1012"/>
      <c r="Y49" s="1012"/>
      <c r="Z49" s="1012"/>
      <c r="AA49" s="1012"/>
      <c r="AB49" s="1012"/>
      <c r="AC49" s="1012"/>
      <c r="AD49" s="1012"/>
      <c r="AE49" s="1012"/>
      <c r="AF49" s="1012"/>
      <c r="AG49" s="1012"/>
      <c r="AH49" s="1012"/>
      <c r="AI49" s="1012"/>
      <c r="AJ49" s="1012"/>
      <c r="AK49" s="995"/>
      <c r="AL49" s="994"/>
      <c r="AM49" s="994"/>
      <c r="AN49" s="994"/>
      <c r="AO49" s="1012"/>
      <c r="AP49" s="1114"/>
      <c r="AQ49" s="1012"/>
      <c r="AR49" s="1012"/>
      <c r="AS49" s="1012"/>
      <c r="AT49" s="1012"/>
      <c r="AU49" s="1012"/>
      <c r="AV49" s="1012"/>
      <c r="AW49" s="1012"/>
      <c r="AX49" s="1012"/>
      <c r="AY49" s="1012"/>
      <c r="AZ49" s="1012"/>
      <c r="BA49" s="1012"/>
      <c r="BB49" s="1012"/>
      <c r="BC49" s="1012"/>
      <c r="BD49" s="1012"/>
      <c r="BE49" s="1012"/>
      <c r="BF49" s="1012"/>
      <c r="BG49" s="1012"/>
      <c r="BH49" s="1012"/>
      <c r="BI49" s="1012"/>
      <c r="BJ49" s="1012"/>
    </row>
    <row r="50" ht="11.25" customHeight="1">
      <c r="A50" s="994"/>
      <c r="B50" s="994"/>
      <c r="C50" s="994"/>
      <c r="D50" s="1012"/>
      <c r="E50" s="995"/>
      <c r="F50" s="1012"/>
      <c r="G50" s="1012"/>
      <c r="H50" s="1012"/>
      <c r="I50" s="1012"/>
      <c r="J50" s="1012"/>
      <c r="K50" s="1012"/>
      <c r="L50" s="1012"/>
      <c r="M50" s="1012"/>
      <c r="N50" s="1012"/>
      <c r="O50" s="1012"/>
      <c r="P50" s="1012"/>
      <c r="Q50" s="1012"/>
      <c r="R50" s="1012"/>
      <c r="S50" s="1012"/>
      <c r="T50" s="1012"/>
      <c r="U50" s="1012"/>
      <c r="V50" s="1012"/>
      <c r="W50" s="1012"/>
      <c r="X50" s="1012"/>
      <c r="Y50" s="1012"/>
      <c r="Z50" s="1012"/>
      <c r="AA50" s="1012"/>
      <c r="AB50" s="1012"/>
      <c r="AC50" s="1012"/>
      <c r="AD50" s="1012"/>
      <c r="AE50" s="1012"/>
      <c r="AF50" s="1012"/>
      <c r="AG50" s="1012"/>
      <c r="AH50" s="1012"/>
      <c r="AI50" s="1012"/>
      <c r="AJ50" s="1012"/>
      <c r="AK50" s="995"/>
      <c r="AL50" s="994"/>
      <c r="AM50" s="994"/>
      <c r="AN50" s="994"/>
      <c r="AO50" s="1012"/>
      <c r="AP50" s="1114"/>
      <c r="AQ50" s="1012"/>
      <c r="AR50" s="1012"/>
      <c r="AS50" s="1012"/>
      <c r="AT50" s="1012"/>
      <c r="AU50" s="1012"/>
      <c r="AV50" s="1012"/>
      <c r="AW50" s="1012"/>
      <c r="AX50" s="1012"/>
      <c r="AY50" s="1012"/>
      <c r="AZ50" s="1012"/>
      <c r="BA50" s="1012"/>
      <c r="BB50" s="1012"/>
      <c r="BC50" s="1012"/>
      <c r="BD50" s="1012"/>
      <c r="BE50" s="1012"/>
      <c r="BF50" s="1012"/>
      <c r="BG50" s="1012"/>
      <c r="BH50" s="1012"/>
      <c r="BI50" s="1012"/>
      <c r="BJ50" s="1012"/>
    </row>
    <row r="51" ht="11.25" customHeight="1">
      <c r="A51" s="994"/>
      <c r="B51" s="994"/>
      <c r="C51" s="994"/>
      <c r="D51" s="1012"/>
      <c r="E51" s="995"/>
      <c r="F51" s="1012"/>
      <c r="G51" s="1012"/>
      <c r="H51" s="1012"/>
      <c r="I51" s="1012"/>
      <c r="J51" s="1012"/>
      <c r="K51" s="1012"/>
      <c r="L51" s="1012"/>
      <c r="M51" s="1012"/>
      <c r="N51" s="1012"/>
      <c r="O51" s="1012"/>
      <c r="P51" s="1012"/>
      <c r="Q51" s="1012"/>
      <c r="R51" s="1012"/>
      <c r="S51" s="1012"/>
      <c r="T51" s="1012"/>
      <c r="U51" s="1012"/>
      <c r="V51" s="1012"/>
      <c r="W51" s="1012"/>
      <c r="X51" s="1012"/>
      <c r="Y51" s="1012"/>
      <c r="Z51" s="1012"/>
      <c r="AA51" s="1012"/>
      <c r="AB51" s="1012"/>
      <c r="AC51" s="1012"/>
      <c r="AD51" s="1012"/>
      <c r="AE51" s="1012"/>
      <c r="AF51" s="1012"/>
      <c r="AG51" s="1012"/>
      <c r="AH51" s="1012"/>
      <c r="AI51" s="1012"/>
      <c r="AJ51" s="1012"/>
      <c r="AK51" s="995"/>
      <c r="AL51" s="994"/>
      <c r="AM51" s="994"/>
      <c r="AN51" s="994"/>
      <c r="AO51" s="1012"/>
      <c r="AP51" s="1114"/>
      <c r="AQ51" s="1012"/>
      <c r="AR51" s="1012"/>
      <c r="AS51" s="1012"/>
      <c r="AT51" s="1012"/>
      <c r="AU51" s="1012"/>
      <c r="AV51" s="1012"/>
      <c r="AW51" s="1012"/>
      <c r="AX51" s="1012"/>
      <c r="AY51" s="1012"/>
      <c r="AZ51" s="1012"/>
      <c r="BA51" s="1012"/>
      <c r="BB51" s="1012"/>
      <c r="BC51" s="1012"/>
      <c r="BD51" s="1012"/>
      <c r="BE51" s="1012"/>
      <c r="BF51" s="1012"/>
      <c r="BG51" s="1012"/>
      <c r="BH51" s="1012"/>
      <c r="BI51" s="1012"/>
      <c r="BJ51" s="1012"/>
    </row>
    <row r="52" ht="11.25" customHeight="1">
      <c r="A52" s="994"/>
      <c r="B52" s="994"/>
      <c r="C52" s="994"/>
      <c r="D52" s="1012"/>
      <c r="E52" s="995"/>
      <c r="F52" s="1012"/>
      <c r="G52" s="1012"/>
      <c r="H52" s="1012"/>
      <c r="I52" s="1012"/>
      <c r="J52" s="1012"/>
      <c r="K52" s="1012"/>
      <c r="L52" s="1012"/>
      <c r="M52" s="1012"/>
      <c r="N52" s="1012"/>
      <c r="O52" s="1012"/>
      <c r="P52" s="1012"/>
      <c r="Q52" s="1012"/>
      <c r="R52" s="1012"/>
      <c r="S52" s="1012"/>
      <c r="T52" s="1012"/>
      <c r="U52" s="1012"/>
      <c r="V52" s="1012"/>
      <c r="W52" s="1012"/>
      <c r="X52" s="1012"/>
      <c r="Y52" s="1012"/>
      <c r="Z52" s="1012"/>
      <c r="AA52" s="1012"/>
      <c r="AB52" s="1012"/>
      <c r="AC52" s="1012"/>
      <c r="AD52" s="1012"/>
      <c r="AE52" s="1012"/>
      <c r="AF52" s="1012"/>
      <c r="AG52" s="1012"/>
      <c r="AH52" s="1012"/>
      <c r="AI52" s="1012"/>
      <c r="AJ52" s="1012"/>
      <c r="AK52" s="995"/>
      <c r="AL52" s="994"/>
      <c r="AM52" s="994"/>
      <c r="AN52" s="994"/>
      <c r="AO52" s="1012"/>
      <c r="AP52" s="1114"/>
      <c r="AQ52" s="1012"/>
      <c r="AR52" s="1012"/>
      <c r="AS52" s="1012"/>
      <c r="AT52" s="1012"/>
      <c r="AU52" s="1012"/>
      <c r="AV52" s="1012"/>
      <c r="AW52" s="1012"/>
      <c r="AX52" s="1012"/>
      <c r="AY52" s="1012"/>
      <c r="AZ52" s="1012"/>
      <c r="BA52" s="1012"/>
      <c r="BB52" s="1012"/>
      <c r="BC52" s="1012"/>
      <c r="BD52" s="1012"/>
      <c r="BE52" s="1012"/>
      <c r="BF52" s="1012"/>
      <c r="BG52" s="1012"/>
      <c r="BH52" s="1012"/>
      <c r="BI52" s="1012"/>
      <c r="BJ52" s="1012"/>
    </row>
    <row r="53" ht="11.25" customHeight="1">
      <c r="A53" s="994"/>
      <c r="B53" s="994"/>
      <c r="C53" s="994"/>
      <c r="D53" s="1012"/>
      <c r="E53" s="995"/>
      <c r="F53" s="1012"/>
      <c r="G53" s="1012"/>
      <c r="H53" s="1012"/>
      <c r="I53" s="1012"/>
      <c r="J53" s="1012"/>
      <c r="K53" s="1012"/>
      <c r="L53" s="1012"/>
      <c r="M53" s="1012"/>
      <c r="N53" s="1012"/>
      <c r="O53" s="1012"/>
      <c r="P53" s="1012"/>
      <c r="Q53" s="1012"/>
      <c r="R53" s="1012"/>
      <c r="S53" s="1012"/>
      <c r="T53" s="1012"/>
      <c r="U53" s="1012"/>
      <c r="V53" s="1012"/>
      <c r="W53" s="1012"/>
      <c r="X53" s="1012"/>
      <c r="Y53" s="1012"/>
      <c r="Z53" s="1012"/>
      <c r="AA53" s="1012"/>
      <c r="AB53" s="1012"/>
      <c r="AC53" s="1012"/>
      <c r="AD53" s="1012"/>
      <c r="AE53" s="1012"/>
      <c r="AF53" s="1012"/>
      <c r="AG53" s="1012"/>
      <c r="AH53" s="1012"/>
      <c r="AI53" s="1012"/>
      <c r="AJ53" s="1012"/>
      <c r="AK53" s="995"/>
      <c r="AL53" s="994"/>
      <c r="AM53" s="994"/>
      <c r="AN53" s="994"/>
      <c r="AO53" s="1012"/>
      <c r="AP53" s="1114"/>
      <c r="AQ53" s="1012"/>
      <c r="AR53" s="1012"/>
      <c r="AS53" s="1012"/>
      <c r="AT53" s="1012"/>
      <c r="AU53" s="1012"/>
      <c r="AV53" s="1012"/>
      <c r="AW53" s="1012"/>
      <c r="AX53" s="1012"/>
      <c r="AY53" s="1012"/>
      <c r="AZ53" s="1012"/>
      <c r="BA53" s="1012"/>
      <c r="BB53" s="1012"/>
      <c r="BC53" s="1012"/>
      <c r="BD53" s="1012"/>
      <c r="BE53" s="1012"/>
      <c r="BF53" s="1012"/>
      <c r="BG53" s="1012"/>
      <c r="BH53" s="1012"/>
      <c r="BI53" s="1012"/>
      <c r="BJ53" s="1012"/>
    </row>
    <row r="54" ht="11.25" customHeight="1">
      <c r="A54" s="994"/>
      <c r="B54" s="994"/>
      <c r="C54" s="994"/>
      <c r="D54" s="1012"/>
      <c r="E54" s="995"/>
      <c r="F54" s="1012"/>
      <c r="G54" s="1012"/>
      <c r="H54" s="1012"/>
      <c r="I54" s="1012"/>
      <c r="J54" s="1012"/>
      <c r="K54" s="1012"/>
      <c r="L54" s="1012"/>
      <c r="M54" s="1012"/>
      <c r="N54" s="1012"/>
      <c r="O54" s="1012"/>
      <c r="P54" s="1012"/>
      <c r="Q54" s="1012"/>
      <c r="R54" s="1012"/>
      <c r="S54" s="1012"/>
      <c r="T54" s="1012"/>
      <c r="U54" s="1012"/>
      <c r="V54" s="1012"/>
      <c r="W54" s="1012"/>
      <c r="X54" s="1012"/>
      <c r="Y54" s="1012"/>
      <c r="Z54" s="1012"/>
      <c r="AA54" s="1012"/>
      <c r="AB54" s="1012"/>
      <c r="AC54" s="1012"/>
      <c r="AD54" s="1012"/>
      <c r="AE54" s="1012"/>
      <c r="AF54" s="1012"/>
      <c r="AG54" s="1012"/>
      <c r="AH54" s="1012"/>
      <c r="AI54" s="1012"/>
      <c r="AJ54" s="1012"/>
      <c r="AK54" s="995"/>
      <c r="AL54" s="994"/>
      <c r="AM54" s="994"/>
      <c r="AN54" s="994"/>
      <c r="AO54" s="1012"/>
      <c r="AP54" s="1114"/>
      <c r="AQ54" s="1012"/>
      <c r="AR54" s="1012"/>
      <c r="AS54" s="1012"/>
      <c r="AT54" s="1012"/>
      <c r="AU54" s="1012"/>
      <c r="AV54" s="1012"/>
      <c r="AW54" s="1012"/>
      <c r="AX54" s="1012"/>
      <c r="AY54" s="1012"/>
      <c r="AZ54" s="1012"/>
      <c r="BA54" s="1012"/>
      <c r="BB54" s="1012"/>
      <c r="BC54" s="1012"/>
      <c r="BD54" s="1012"/>
      <c r="BE54" s="1012"/>
      <c r="BF54" s="1012"/>
      <c r="BG54" s="1012"/>
      <c r="BH54" s="1012"/>
      <c r="BI54" s="1012"/>
      <c r="BJ54" s="1012"/>
    </row>
    <row r="55" ht="11.25" customHeight="1">
      <c r="A55" s="994"/>
      <c r="B55" s="994"/>
      <c r="C55" s="994"/>
      <c r="D55" s="1012"/>
      <c r="E55" s="995"/>
      <c r="F55" s="1012"/>
      <c r="G55" s="1012"/>
      <c r="H55" s="1012"/>
      <c r="I55" s="1012"/>
      <c r="J55" s="1012"/>
      <c r="K55" s="1012"/>
      <c r="L55" s="1012"/>
      <c r="M55" s="1012"/>
      <c r="N55" s="1012"/>
      <c r="O55" s="1012"/>
      <c r="P55" s="1012"/>
      <c r="Q55" s="1012"/>
      <c r="R55" s="1012"/>
      <c r="S55" s="1012"/>
      <c r="T55" s="1012"/>
      <c r="U55" s="1012"/>
      <c r="V55" s="1012"/>
      <c r="W55" s="1012"/>
      <c r="X55" s="1012"/>
      <c r="Y55" s="1012"/>
      <c r="Z55" s="1012"/>
      <c r="AA55" s="1012"/>
      <c r="AB55" s="1012"/>
      <c r="AC55" s="1012"/>
      <c r="AD55" s="1012"/>
      <c r="AE55" s="1012"/>
      <c r="AF55" s="1012"/>
      <c r="AG55" s="1012"/>
      <c r="AH55" s="1012"/>
      <c r="AI55" s="1012"/>
      <c r="AJ55" s="1012"/>
      <c r="AK55" s="995"/>
      <c r="AL55" s="994"/>
      <c r="AM55" s="994"/>
      <c r="AN55" s="994"/>
      <c r="AO55" s="1012"/>
      <c r="AP55" s="1114"/>
      <c r="AQ55" s="1012"/>
      <c r="AR55" s="1012"/>
      <c r="AS55" s="1012"/>
      <c r="AT55" s="1012"/>
      <c r="AU55" s="1012"/>
      <c r="AV55" s="1012"/>
      <c r="AW55" s="1012"/>
      <c r="AX55" s="1012"/>
      <c r="AY55" s="1012"/>
      <c r="AZ55" s="1012"/>
      <c r="BA55" s="1012"/>
      <c r="BB55" s="1012"/>
      <c r="BC55" s="1012"/>
      <c r="BD55" s="1012"/>
      <c r="BE55" s="1012"/>
      <c r="BF55" s="1012"/>
      <c r="BG55" s="1012"/>
      <c r="BH55" s="1012"/>
      <c r="BI55" s="1012"/>
      <c r="BJ55" s="1012"/>
    </row>
    <row r="56" ht="11.25" customHeight="1">
      <c r="A56" s="994"/>
      <c r="B56" s="994"/>
      <c r="C56" s="994"/>
      <c r="D56" s="1012"/>
      <c r="E56" s="995"/>
      <c r="F56" s="1012"/>
      <c r="G56" s="1012"/>
      <c r="H56" s="1012"/>
      <c r="I56" s="1012"/>
      <c r="J56" s="1012"/>
      <c r="K56" s="1012"/>
      <c r="L56" s="1012"/>
      <c r="M56" s="1012"/>
      <c r="N56" s="1012"/>
      <c r="O56" s="1012"/>
      <c r="P56" s="1012"/>
      <c r="Q56" s="1012"/>
      <c r="R56" s="1012"/>
      <c r="S56" s="1012"/>
      <c r="T56" s="1012"/>
      <c r="U56" s="1012"/>
      <c r="V56" s="1012"/>
      <c r="W56" s="1012"/>
      <c r="X56" s="1012"/>
      <c r="Y56" s="1012"/>
      <c r="Z56" s="1012"/>
      <c r="AA56" s="1012"/>
      <c r="AB56" s="1012"/>
      <c r="AC56" s="1012"/>
      <c r="AD56" s="1012"/>
      <c r="AE56" s="1012"/>
      <c r="AF56" s="1012"/>
      <c r="AG56" s="1012"/>
      <c r="AH56" s="1012"/>
      <c r="AI56" s="1012"/>
      <c r="AJ56" s="1012"/>
      <c r="AK56" s="995"/>
      <c r="AL56" s="994"/>
      <c r="AM56" s="994"/>
      <c r="AN56" s="994"/>
      <c r="AO56" s="1012"/>
      <c r="AP56" s="1114"/>
      <c r="AQ56" s="1012"/>
      <c r="AR56" s="1012"/>
      <c r="AS56" s="1012"/>
      <c r="AT56" s="1012"/>
      <c r="AU56" s="1012"/>
      <c r="AV56" s="1012"/>
      <c r="AW56" s="1012"/>
      <c r="AX56" s="1012"/>
      <c r="AY56" s="1012"/>
      <c r="AZ56" s="1012"/>
      <c r="BA56" s="1012"/>
      <c r="BB56" s="1012"/>
      <c r="BC56" s="1012"/>
      <c r="BD56" s="1012"/>
      <c r="BE56" s="1012"/>
      <c r="BF56" s="1012"/>
      <c r="BG56" s="1012"/>
      <c r="BH56" s="1012"/>
      <c r="BI56" s="1012"/>
      <c r="BJ56" s="1012"/>
    </row>
    <row r="57" ht="11.25" customHeight="1">
      <c r="A57" s="994"/>
      <c r="B57" s="994"/>
      <c r="C57" s="994"/>
      <c r="D57" s="1012"/>
      <c r="E57" s="995"/>
      <c r="F57" s="1012"/>
      <c r="G57" s="1012"/>
      <c r="H57" s="1012"/>
      <c r="I57" s="1012"/>
      <c r="J57" s="1012"/>
      <c r="K57" s="1012"/>
      <c r="L57" s="1012"/>
      <c r="M57" s="1012"/>
      <c r="N57" s="1012"/>
      <c r="O57" s="1012"/>
      <c r="P57" s="1012"/>
      <c r="Q57" s="1012"/>
      <c r="R57" s="1012"/>
      <c r="S57" s="1012"/>
      <c r="T57" s="1012"/>
      <c r="U57" s="1012"/>
      <c r="V57" s="1012"/>
      <c r="W57" s="1012"/>
      <c r="X57" s="1012"/>
      <c r="Y57" s="1012"/>
      <c r="Z57" s="1012"/>
      <c r="AA57" s="1012"/>
      <c r="AB57" s="1012"/>
      <c r="AC57" s="1012"/>
      <c r="AD57" s="1012"/>
      <c r="AE57" s="1012"/>
      <c r="AF57" s="1012"/>
      <c r="AG57" s="1012"/>
      <c r="AH57" s="1012"/>
      <c r="AI57" s="1012"/>
      <c r="AJ57" s="1012"/>
      <c r="AK57" s="995"/>
      <c r="AL57" s="994"/>
      <c r="AM57" s="994"/>
      <c r="AN57" s="994"/>
      <c r="AO57" s="1012"/>
      <c r="AP57" s="1114"/>
      <c r="AQ57" s="1012"/>
      <c r="AR57" s="1012"/>
      <c r="AS57" s="1012"/>
      <c r="AT57" s="1012"/>
      <c r="AU57" s="1012"/>
      <c r="AV57" s="1012"/>
      <c r="AW57" s="1012"/>
      <c r="AX57" s="1012"/>
      <c r="AY57" s="1012"/>
      <c r="AZ57" s="1012"/>
      <c r="BA57" s="1012"/>
      <c r="BB57" s="1012"/>
      <c r="BC57" s="1012"/>
      <c r="BD57" s="1012"/>
      <c r="BE57" s="1012"/>
      <c r="BF57" s="1012"/>
      <c r="BG57" s="1012"/>
      <c r="BH57" s="1012"/>
      <c r="BI57" s="1012"/>
      <c r="BJ57" s="1012"/>
    </row>
    <row r="58" ht="11.25" customHeight="1">
      <c r="A58" s="994"/>
      <c r="B58" s="994"/>
      <c r="C58" s="994"/>
      <c r="D58" s="1012"/>
      <c r="E58" s="995"/>
      <c r="F58" s="1012"/>
      <c r="G58" s="1012"/>
      <c r="H58" s="1012"/>
      <c r="I58" s="1012"/>
      <c r="J58" s="1012"/>
      <c r="K58" s="1012"/>
      <c r="L58" s="1012"/>
      <c r="M58" s="1012"/>
      <c r="N58" s="1012"/>
      <c r="O58" s="1012"/>
      <c r="P58" s="1012"/>
      <c r="Q58" s="1012"/>
      <c r="R58" s="1012"/>
      <c r="S58" s="1012"/>
      <c r="T58" s="1012"/>
      <c r="U58" s="1012"/>
      <c r="V58" s="1012"/>
      <c r="W58" s="1012"/>
      <c r="X58" s="1012"/>
      <c r="Y58" s="1012"/>
      <c r="Z58" s="1012"/>
      <c r="AA58" s="1012"/>
      <c r="AB58" s="1012"/>
      <c r="AC58" s="1012"/>
      <c r="AD58" s="1012"/>
      <c r="AE58" s="1012"/>
      <c r="AF58" s="1012"/>
      <c r="AG58" s="1012"/>
      <c r="AH58" s="1012"/>
      <c r="AI58" s="1012"/>
      <c r="AJ58" s="1012"/>
      <c r="AK58" s="995"/>
      <c r="AL58" s="994"/>
      <c r="AM58" s="994"/>
      <c r="AN58" s="994"/>
      <c r="AO58" s="1012"/>
      <c r="AP58" s="1114"/>
      <c r="AQ58" s="1012"/>
      <c r="AR58" s="1012"/>
      <c r="AS58" s="1012"/>
      <c r="AT58" s="1012"/>
      <c r="AU58" s="1012"/>
      <c r="AV58" s="1012"/>
      <c r="AW58" s="1012"/>
      <c r="AX58" s="1012"/>
      <c r="AY58" s="1012"/>
      <c r="AZ58" s="1012"/>
      <c r="BA58" s="1012"/>
      <c r="BB58" s="1012"/>
      <c r="BC58" s="1012"/>
      <c r="BD58" s="1012"/>
      <c r="BE58" s="1012"/>
      <c r="BF58" s="1012"/>
      <c r="BG58" s="1012"/>
      <c r="BH58" s="1012"/>
      <c r="BI58" s="1012"/>
      <c r="BJ58" s="1012"/>
    </row>
    <row r="59" ht="11.25" customHeight="1">
      <c r="A59" s="994"/>
      <c r="B59" s="994"/>
      <c r="C59" s="994"/>
      <c r="D59" s="1012"/>
      <c r="E59" s="995"/>
      <c r="F59" s="1012"/>
      <c r="G59" s="1012"/>
      <c r="H59" s="1012"/>
      <c r="I59" s="1012"/>
      <c r="J59" s="1012"/>
      <c r="K59" s="1012"/>
      <c r="L59" s="1012"/>
      <c r="M59" s="1012"/>
      <c r="N59" s="1012"/>
      <c r="O59" s="1012"/>
      <c r="P59" s="1012"/>
      <c r="Q59" s="1012"/>
      <c r="R59" s="1012"/>
      <c r="S59" s="1012"/>
      <c r="T59" s="1012"/>
      <c r="U59" s="1012"/>
      <c r="V59" s="1012"/>
      <c r="W59" s="1012"/>
      <c r="X59" s="1012"/>
      <c r="Y59" s="1012"/>
      <c r="Z59" s="1012"/>
      <c r="AA59" s="1012"/>
      <c r="AB59" s="1012"/>
      <c r="AC59" s="1012"/>
      <c r="AD59" s="1012"/>
      <c r="AE59" s="1012"/>
      <c r="AF59" s="1012"/>
      <c r="AG59" s="1012"/>
      <c r="AH59" s="1012"/>
      <c r="AI59" s="1012"/>
      <c r="AJ59" s="1012"/>
      <c r="AK59" s="995"/>
      <c r="AL59" s="994"/>
      <c r="AM59" s="994"/>
      <c r="AN59" s="994"/>
      <c r="AO59" s="1012"/>
      <c r="AP59" s="1114"/>
      <c r="AQ59" s="1012"/>
      <c r="AR59" s="1012"/>
      <c r="AS59" s="1012"/>
      <c r="AT59" s="1012"/>
      <c r="AU59" s="1012"/>
      <c r="AV59" s="1012"/>
      <c r="AW59" s="1012"/>
      <c r="AX59" s="1012"/>
      <c r="AY59" s="1012"/>
      <c r="AZ59" s="1012"/>
      <c r="BA59" s="1012"/>
      <c r="BB59" s="1012"/>
      <c r="BC59" s="1012"/>
      <c r="BD59" s="1012"/>
      <c r="BE59" s="1012"/>
      <c r="BF59" s="1012"/>
      <c r="BG59" s="1012"/>
      <c r="BH59" s="1012"/>
      <c r="BI59" s="1012"/>
      <c r="BJ59" s="1012"/>
    </row>
    <row r="60" ht="11.25" customHeight="1">
      <c r="A60" s="994"/>
      <c r="B60" s="994"/>
      <c r="C60" s="994"/>
      <c r="D60" s="1012"/>
      <c r="E60" s="995"/>
      <c r="F60" s="1012"/>
      <c r="G60" s="1012"/>
      <c r="H60" s="1012"/>
      <c r="I60" s="1012"/>
      <c r="J60" s="1012"/>
      <c r="K60" s="1012"/>
      <c r="L60" s="1012"/>
      <c r="M60" s="1012"/>
      <c r="N60" s="1012"/>
      <c r="O60" s="1012"/>
      <c r="P60" s="1012"/>
      <c r="Q60" s="1012"/>
      <c r="R60" s="1012"/>
      <c r="S60" s="1012"/>
      <c r="T60" s="1012"/>
      <c r="U60" s="1012"/>
      <c r="V60" s="1012"/>
      <c r="W60" s="1012"/>
      <c r="X60" s="1012"/>
      <c r="Y60" s="1012"/>
      <c r="Z60" s="1012"/>
      <c r="AA60" s="1012"/>
      <c r="AB60" s="1012"/>
      <c r="AC60" s="1012"/>
      <c r="AD60" s="1012"/>
      <c r="AE60" s="1012"/>
      <c r="AF60" s="1012"/>
      <c r="AG60" s="1012"/>
      <c r="AH60" s="1012"/>
      <c r="AI60" s="1012"/>
      <c r="AJ60" s="1012"/>
      <c r="AK60" s="995"/>
      <c r="AL60" s="994"/>
      <c r="AM60" s="994"/>
      <c r="AN60" s="994"/>
      <c r="AO60" s="1012"/>
      <c r="AP60" s="1114"/>
      <c r="AQ60" s="1012"/>
      <c r="AR60" s="1012"/>
      <c r="AS60" s="1012"/>
      <c r="AT60" s="1012"/>
      <c r="AU60" s="1012"/>
      <c r="AV60" s="1012"/>
      <c r="AW60" s="1012"/>
      <c r="AX60" s="1012"/>
      <c r="AY60" s="1012"/>
      <c r="AZ60" s="1012"/>
      <c r="BA60" s="1012"/>
      <c r="BB60" s="1012"/>
      <c r="BC60" s="1012"/>
      <c r="BD60" s="1012"/>
      <c r="BE60" s="1012"/>
      <c r="BF60" s="1012"/>
      <c r="BG60" s="1012"/>
      <c r="BH60" s="1012"/>
      <c r="BI60" s="1012"/>
      <c r="BJ60" s="1012"/>
    </row>
    <row r="61" ht="11.25" customHeight="1">
      <c r="A61" s="994"/>
      <c r="B61" s="994"/>
      <c r="C61" s="994"/>
      <c r="D61" s="1012"/>
      <c r="E61" s="995"/>
      <c r="F61" s="1012"/>
      <c r="G61" s="1012"/>
      <c r="H61" s="1012"/>
      <c r="I61" s="1012"/>
      <c r="J61" s="1012"/>
      <c r="K61" s="1012"/>
      <c r="L61" s="1012"/>
      <c r="M61" s="1012"/>
      <c r="N61" s="1012"/>
      <c r="O61" s="1012"/>
      <c r="P61" s="1012"/>
      <c r="Q61" s="1012"/>
      <c r="R61" s="1012"/>
      <c r="S61" s="1012"/>
      <c r="T61" s="1012"/>
      <c r="U61" s="1012"/>
      <c r="V61" s="1012"/>
      <c r="W61" s="1012"/>
      <c r="X61" s="1012"/>
      <c r="Y61" s="1012"/>
      <c r="Z61" s="1012"/>
      <c r="AA61" s="1012"/>
      <c r="AB61" s="1012"/>
      <c r="AC61" s="1012"/>
      <c r="AD61" s="1012"/>
      <c r="AE61" s="1012"/>
      <c r="AF61" s="1012"/>
      <c r="AG61" s="1012"/>
      <c r="AH61" s="1012"/>
      <c r="AI61" s="1012"/>
      <c r="AJ61" s="1012"/>
      <c r="AK61" s="995"/>
      <c r="AL61" s="994"/>
      <c r="AM61" s="994"/>
      <c r="AN61" s="994"/>
      <c r="AO61" s="1012"/>
      <c r="AP61" s="1114"/>
      <c r="AQ61" s="1012"/>
      <c r="AR61" s="1012"/>
      <c r="AS61" s="1012"/>
      <c r="AT61" s="1012"/>
      <c r="AU61" s="1012"/>
      <c r="AV61" s="1012"/>
      <c r="AW61" s="1012"/>
      <c r="AX61" s="1012"/>
      <c r="AY61" s="1012"/>
      <c r="AZ61" s="1012"/>
      <c r="BA61" s="1012"/>
      <c r="BB61" s="1012"/>
      <c r="BC61" s="1012"/>
      <c r="BD61" s="1012"/>
      <c r="BE61" s="1012"/>
      <c r="BF61" s="1012"/>
      <c r="BG61" s="1012"/>
      <c r="BH61" s="1012"/>
      <c r="BI61" s="1012"/>
      <c r="BJ61" s="1012"/>
    </row>
    <row r="62" ht="11.25" customHeight="1">
      <c r="A62" s="994"/>
      <c r="B62" s="994"/>
      <c r="C62" s="994"/>
      <c r="D62" s="1012"/>
      <c r="E62" s="995"/>
      <c r="F62" s="1012"/>
      <c r="G62" s="1012"/>
      <c r="H62" s="1012"/>
      <c r="I62" s="1012"/>
      <c r="J62" s="1012"/>
      <c r="K62" s="1012"/>
      <c r="L62" s="1012"/>
      <c r="M62" s="1012"/>
      <c r="N62" s="1012"/>
      <c r="O62" s="1012"/>
      <c r="P62" s="1012"/>
      <c r="Q62" s="1012"/>
      <c r="R62" s="1012"/>
      <c r="S62" s="1012"/>
      <c r="T62" s="1012"/>
      <c r="U62" s="1012"/>
      <c r="V62" s="1012"/>
      <c r="W62" s="1012"/>
      <c r="X62" s="1012"/>
      <c r="Y62" s="1012"/>
      <c r="Z62" s="1012"/>
      <c r="AA62" s="1012"/>
      <c r="AB62" s="1012"/>
      <c r="AC62" s="1012"/>
      <c r="AD62" s="1012"/>
      <c r="AE62" s="1012"/>
      <c r="AF62" s="1012"/>
      <c r="AG62" s="1012"/>
      <c r="AH62" s="1012"/>
      <c r="AI62" s="1012"/>
      <c r="AJ62" s="1012"/>
      <c r="AK62" s="995"/>
      <c r="AL62" s="994"/>
      <c r="AM62" s="994"/>
      <c r="AN62" s="994"/>
      <c r="AO62" s="1012"/>
      <c r="AP62" s="1114"/>
      <c r="AQ62" s="1012"/>
      <c r="AR62" s="1012"/>
      <c r="AS62" s="1012"/>
      <c r="AT62" s="1012"/>
      <c r="AU62" s="1012"/>
      <c r="AV62" s="1012"/>
      <c r="AW62" s="1012"/>
      <c r="AX62" s="1012"/>
      <c r="AY62" s="1012"/>
      <c r="AZ62" s="1012"/>
      <c r="BA62" s="1012"/>
      <c r="BB62" s="1012"/>
      <c r="BC62" s="1012"/>
      <c r="BD62" s="1012"/>
      <c r="BE62" s="1012"/>
      <c r="BF62" s="1012"/>
      <c r="BG62" s="1012"/>
      <c r="BH62" s="1012"/>
      <c r="BI62" s="1012"/>
      <c r="BJ62" s="1012"/>
    </row>
    <row r="63" ht="11.25" customHeight="1">
      <c r="A63" s="994"/>
      <c r="B63" s="994"/>
      <c r="C63" s="994"/>
      <c r="D63" s="1012"/>
      <c r="E63" s="995"/>
      <c r="F63" s="1012"/>
      <c r="G63" s="1012"/>
      <c r="H63" s="1012"/>
      <c r="I63" s="1012"/>
      <c r="J63" s="1012"/>
      <c r="K63" s="1012"/>
      <c r="L63" s="1012"/>
      <c r="M63" s="1012"/>
      <c r="N63" s="1012"/>
      <c r="O63" s="1012"/>
      <c r="P63" s="1012"/>
      <c r="Q63" s="1012"/>
      <c r="R63" s="1012"/>
      <c r="S63" s="1012"/>
      <c r="T63" s="1012"/>
      <c r="U63" s="1012"/>
      <c r="V63" s="1012"/>
      <c r="W63" s="1012"/>
      <c r="X63" s="1012"/>
      <c r="Y63" s="1012"/>
      <c r="Z63" s="1012"/>
      <c r="AA63" s="1012"/>
      <c r="AB63" s="1012"/>
      <c r="AC63" s="1012"/>
      <c r="AD63" s="1012"/>
      <c r="AE63" s="1012"/>
      <c r="AF63" s="1012"/>
      <c r="AG63" s="1012"/>
      <c r="AH63" s="1012"/>
      <c r="AI63" s="1012"/>
      <c r="AJ63" s="1012"/>
      <c r="AK63" s="995"/>
      <c r="AL63" s="994"/>
      <c r="AM63" s="994"/>
      <c r="AN63" s="994"/>
      <c r="AO63" s="1012"/>
      <c r="AP63" s="1114"/>
      <c r="AQ63" s="1012"/>
      <c r="AR63" s="1012"/>
      <c r="AS63" s="1012"/>
      <c r="AT63" s="1012"/>
      <c r="AU63" s="1012"/>
      <c r="AV63" s="1012"/>
      <c r="AW63" s="1012"/>
      <c r="AX63" s="1012"/>
      <c r="AY63" s="1012"/>
      <c r="AZ63" s="1012"/>
      <c r="BA63" s="1012"/>
      <c r="BB63" s="1012"/>
      <c r="BC63" s="1012"/>
      <c r="BD63" s="1012"/>
      <c r="BE63" s="1012"/>
      <c r="BF63" s="1012"/>
      <c r="BG63" s="1012"/>
      <c r="BH63" s="1012"/>
      <c r="BI63" s="1012"/>
      <c r="BJ63" s="1012"/>
    </row>
    <row r="64" ht="11.25" customHeight="1">
      <c r="A64" s="994"/>
      <c r="B64" s="994"/>
      <c r="C64" s="994"/>
      <c r="D64" s="1012"/>
      <c r="E64" s="995"/>
      <c r="F64" s="1012"/>
      <c r="G64" s="1012"/>
      <c r="H64" s="1012"/>
      <c r="I64" s="1012"/>
      <c r="J64" s="1012"/>
      <c r="K64" s="1012"/>
      <c r="L64" s="1012"/>
      <c r="M64" s="1012"/>
      <c r="N64" s="1012"/>
      <c r="O64" s="1012"/>
      <c r="P64" s="1012"/>
      <c r="Q64" s="1012"/>
      <c r="R64" s="1012"/>
      <c r="S64" s="1012"/>
      <c r="T64" s="1012"/>
      <c r="U64" s="1012"/>
      <c r="V64" s="1012"/>
      <c r="W64" s="1012"/>
      <c r="X64" s="1012"/>
      <c r="Y64" s="1012"/>
      <c r="Z64" s="1012"/>
      <c r="AA64" s="1012"/>
      <c r="AB64" s="1012"/>
      <c r="AC64" s="1012"/>
      <c r="AD64" s="1012"/>
      <c r="AE64" s="1012"/>
      <c r="AF64" s="1012"/>
      <c r="AG64" s="1012"/>
      <c r="AH64" s="1012"/>
      <c r="AI64" s="1012"/>
      <c r="AJ64" s="1012"/>
      <c r="AK64" s="995"/>
      <c r="AL64" s="994"/>
      <c r="AM64" s="994"/>
      <c r="AN64" s="994"/>
      <c r="AO64" s="1012"/>
      <c r="AP64" s="1114"/>
      <c r="AQ64" s="1012"/>
      <c r="AR64" s="1012"/>
      <c r="AS64" s="1012"/>
      <c r="AT64" s="1012"/>
      <c r="AU64" s="1012"/>
      <c r="AV64" s="1012"/>
      <c r="AW64" s="1012"/>
      <c r="AX64" s="1012"/>
      <c r="AY64" s="1012"/>
      <c r="AZ64" s="1012"/>
      <c r="BA64" s="1012"/>
      <c r="BB64" s="1012"/>
      <c r="BC64" s="1012"/>
      <c r="BD64" s="1012"/>
      <c r="BE64" s="1012"/>
      <c r="BF64" s="1012"/>
      <c r="BG64" s="1012"/>
      <c r="BH64" s="1012"/>
      <c r="BI64" s="1012"/>
      <c r="BJ64" s="1012"/>
    </row>
    <row r="65" ht="11.25" customHeight="1">
      <c r="A65" s="994"/>
      <c r="B65" s="994"/>
      <c r="C65" s="994"/>
      <c r="D65" s="1012"/>
      <c r="E65" s="995"/>
      <c r="F65" s="1012"/>
      <c r="G65" s="1012"/>
      <c r="H65" s="1012"/>
      <c r="I65" s="1012"/>
      <c r="J65" s="1012"/>
      <c r="K65" s="1012"/>
      <c r="L65" s="1012"/>
      <c r="M65" s="1012"/>
      <c r="N65" s="1012"/>
      <c r="O65" s="1012"/>
      <c r="P65" s="1012"/>
      <c r="Q65" s="1012"/>
      <c r="R65" s="1012"/>
      <c r="S65" s="1012"/>
      <c r="T65" s="1012"/>
      <c r="U65" s="1012"/>
      <c r="V65" s="1012"/>
      <c r="W65" s="1012"/>
      <c r="X65" s="1012"/>
      <c r="Y65" s="1012"/>
      <c r="Z65" s="1012"/>
      <c r="AA65" s="1012"/>
      <c r="AB65" s="1012"/>
      <c r="AC65" s="1012"/>
      <c r="AD65" s="1012"/>
      <c r="AE65" s="1012"/>
      <c r="AF65" s="1012"/>
      <c r="AG65" s="1012"/>
      <c r="AH65" s="1012"/>
      <c r="AI65" s="1012"/>
      <c r="AJ65" s="1012"/>
      <c r="AK65" s="995"/>
      <c r="AL65" s="994"/>
      <c r="AM65" s="994"/>
      <c r="AN65" s="994"/>
      <c r="AO65" s="1012"/>
      <c r="AP65" s="1114"/>
      <c r="AQ65" s="1012"/>
      <c r="AR65" s="1012"/>
      <c r="AS65" s="1012"/>
      <c r="AT65" s="1012"/>
      <c r="AU65" s="1012"/>
      <c r="AV65" s="1012"/>
      <c r="AW65" s="1012"/>
      <c r="AX65" s="1012"/>
      <c r="AY65" s="1012"/>
      <c r="AZ65" s="1012"/>
      <c r="BA65" s="1012"/>
      <c r="BB65" s="1012"/>
      <c r="BC65" s="1012"/>
      <c r="BD65" s="1012"/>
      <c r="BE65" s="1012"/>
      <c r="BF65" s="1012"/>
      <c r="BG65" s="1012"/>
      <c r="BH65" s="1012"/>
      <c r="BI65" s="1012"/>
      <c r="BJ65" s="1012"/>
    </row>
    <row r="66" ht="11.25" customHeight="1">
      <c r="A66" s="994"/>
      <c r="B66" s="994"/>
      <c r="C66" s="994"/>
      <c r="D66" s="1012"/>
      <c r="E66" s="995"/>
      <c r="F66" s="1012"/>
      <c r="G66" s="1012"/>
      <c r="H66" s="1012"/>
      <c r="I66" s="1012"/>
      <c r="J66" s="1012"/>
      <c r="K66" s="1012"/>
      <c r="L66" s="1012"/>
      <c r="M66" s="1012"/>
      <c r="N66" s="1012"/>
      <c r="O66" s="1012"/>
      <c r="P66" s="1012"/>
      <c r="Q66" s="1012"/>
      <c r="R66" s="1012"/>
      <c r="S66" s="1012"/>
      <c r="T66" s="1012"/>
      <c r="U66" s="1012"/>
      <c r="V66" s="1012"/>
      <c r="W66" s="1012"/>
      <c r="X66" s="1012"/>
      <c r="Y66" s="1012"/>
      <c r="Z66" s="1012"/>
      <c r="AA66" s="1012"/>
      <c r="AB66" s="1012"/>
      <c r="AC66" s="1012"/>
      <c r="AD66" s="1012"/>
      <c r="AE66" s="1012"/>
      <c r="AF66" s="1012"/>
      <c r="AG66" s="1012"/>
      <c r="AH66" s="1012"/>
      <c r="AI66" s="1012"/>
      <c r="AJ66" s="1012"/>
      <c r="AK66" s="995"/>
      <c r="AL66" s="994"/>
      <c r="AM66" s="994"/>
      <c r="AN66" s="994"/>
      <c r="AO66" s="1012"/>
      <c r="AP66" s="1114"/>
      <c r="AQ66" s="1012"/>
      <c r="AR66" s="1012"/>
      <c r="AS66" s="1012"/>
      <c r="AT66" s="1012"/>
      <c r="AU66" s="1012"/>
      <c r="AV66" s="1012"/>
      <c r="AW66" s="1012"/>
      <c r="AX66" s="1012"/>
      <c r="AY66" s="1012"/>
      <c r="AZ66" s="1012"/>
      <c r="BA66" s="1012"/>
      <c r="BB66" s="1012"/>
      <c r="BC66" s="1012"/>
      <c r="BD66" s="1012"/>
      <c r="BE66" s="1012"/>
      <c r="BF66" s="1012"/>
      <c r="BG66" s="1012"/>
      <c r="BH66" s="1012"/>
      <c r="BI66" s="1012"/>
      <c r="BJ66" s="1012"/>
    </row>
    <row r="67" ht="11.25" customHeight="1">
      <c r="A67" s="994"/>
      <c r="B67" s="994"/>
      <c r="C67" s="994"/>
      <c r="D67" s="1012"/>
      <c r="E67" s="995"/>
      <c r="F67" s="1012"/>
      <c r="G67" s="1012"/>
      <c r="H67" s="1012"/>
      <c r="I67" s="1012"/>
      <c r="J67" s="1012"/>
      <c r="K67" s="1012"/>
      <c r="L67" s="1012"/>
      <c r="M67" s="1012"/>
      <c r="N67" s="1012"/>
      <c r="O67" s="1012"/>
      <c r="P67" s="1012"/>
      <c r="Q67" s="1012"/>
      <c r="R67" s="1012"/>
      <c r="S67" s="1012"/>
      <c r="T67" s="1012"/>
      <c r="U67" s="1012"/>
      <c r="V67" s="1012"/>
      <c r="W67" s="1012"/>
      <c r="X67" s="1012"/>
      <c r="Y67" s="1012"/>
      <c r="Z67" s="1012"/>
      <c r="AA67" s="1012"/>
      <c r="AB67" s="1012"/>
      <c r="AC67" s="1012"/>
      <c r="AD67" s="1012"/>
      <c r="AE67" s="1012"/>
      <c r="AF67" s="1012"/>
      <c r="AG67" s="1012"/>
      <c r="AH67" s="1012"/>
      <c r="AI67" s="1012"/>
      <c r="AJ67" s="1012"/>
      <c r="AK67" s="995"/>
      <c r="AL67" s="994"/>
      <c r="AM67" s="994"/>
      <c r="AN67" s="994"/>
      <c r="AO67" s="1012"/>
      <c r="AP67" s="1114"/>
      <c r="AQ67" s="1012"/>
      <c r="AR67" s="1012"/>
      <c r="AS67" s="1012"/>
      <c r="AT67" s="1012"/>
      <c r="AU67" s="1012"/>
      <c r="AV67" s="1012"/>
      <c r="AW67" s="1012"/>
      <c r="AX67" s="1012"/>
      <c r="AY67" s="1012"/>
      <c r="AZ67" s="1012"/>
      <c r="BA67" s="1012"/>
      <c r="BB67" s="1012"/>
      <c r="BC67" s="1012"/>
      <c r="BD67" s="1012"/>
      <c r="BE67" s="1012"/>
      <c r="BF67" s="1012"/>
      <c r="BG67" s="1012"/>
      <c r="BH67" s="1012"/>
      <c r="BI67" s="1012"/>
      <c r="BJ67" s="1012"/>
    </row>
    <row r="68" ht="11.25" customHeight="1">
      <c r="A68" s="994"/>
      <c r="B68" s="994"/>
      <c r="C68" s="994"/>
      <c r="D68" s="1012"/>
      <c r="E68" s="995"/>
      <c r="F68" s="1012"/>
      <c r="G68" s="1012"/>
      <c r="H68" s="1012"/>
      <c r="I68" s="1012"/>
      <c r="J68" s="1012"/>
      <c r="K68" s="1012"/>
      <c r="L68" s="1012"/>
      <c r="M68" s="1012"/>
      <c r="N68" s="1012"/>
      <c r="O68" s="1012"/>
      <c r="P68" s="1012"/>
      <c r="Q68" s="1012"/>
      <c r="R68" s="1012"/>
      <c r="S68" s="1012"/>
      <c r="T68" s="1012"/>
      <c r="U68" s="1012"/>
      <c r="V68" s="1012"/>
      <c r="W68" s="1012"/>
      <c r="X68" s="1012"/>
      <c r="Y68" s="1012"/>
      <c r="Z68" s="1012"/>
      <c r="AA68" s="1012"/>
      <c r="AB68" s="1012"/>
      <c r="AC68" s="1012"/>
      <c r="AD68" s="1012"/>
      <c r="AE68" s="1012"/>
      <c r="AF68" s="1012"/>
      <c r="AG68" s="1012"/>
      <c r="AH68" s="1012"/>
      <c r="AI68" s="1012"/>
      <c r="AJ68" s="1012"/>
      <c r="AK68" s="995"/>
      <c r="AL68" s="994"/>
      <c r="AM68" s="994"/>
      <c r="AN68" s="994"/>
      <c r="AO68" s="1012"/>
      <c r="AP68" s="1114"/>
      <c r="AQ68" s="1012"/>
      <c r="AR68" s="1012"/>
      <c r="AS68" s="1012"/>
      <c r="AT68" s="1012"/>
      <c r="AU68" s="1012"/>
      <c r="AV68" s="1012"/>
      <c r="AW68" s="1012"/>
      <c r="AX68" s="1012"/>
      <c r="AY68" s="1012"/>
      <c r="AZ68" s="1012"/>
      <c r="BA68" s="1012"/>
      <c r="BB68" s="1012"/>
      <c r="BC68" s="1012"/>
      <c r="BD68" s="1012"/>
      <c r="BE68" s="1012"/>
      <c r="BF68" s="1012"/>
      <c r="BG68" s="1012"/>
      <c r="BH68" s="1012"/>
      <c r="BI68" s="1012"/>
      <c r="BJ68" s="1012"/>
    </row>
    <row r="69" ht="11.25" customHeight="1">
      <c r="A69" s="994"/>
      <c r="B69" s="994"/>
      <c r="C69" s="994"/>
      <c r="D69" s="1012"/>
      <c r="E69" s="995"/>
      <c r="F69" s="1012"/>
      <c r="G69" s="1012"/>
      <c r="H69" s="1012"/>
      <c r="I69" s="1012"/>
      <c r="J69" s="1012"/>
      <c r="K69" s="1012"/>
      <c r="L69" s="1012"/>
      <c r="M69" s="1012"/>
      <c r="N69" s="1012"/>
      <c r="O69" s="1012"/>
      <c r="P69" s="1012"/>
      <c r="Q69" s="1012"/>
      <c r="R69" s="1012"/>
      <c r="S69" s="1012"/>
      <c r="T69" s="1012"/>
      <c r="U69" s="1012"/>
      <c r="V69" s="1012"/>
      <c r="W69" s="1012"/>
      <c r="X69" s="1012"/>
      <c r="Y69" s="1012"/>
      <c r="Z69" s="1012"/>
      <c r="AA69" s="1012"/>
      <c r="AB69" s="1012"/>
      <c r="AC69" s="1012"/>
      <c r="AD69" s="1012"/>
      <c r="AE69" s="1012"/>
      <c r="AF69" s="1012"/>
      <c r="AG69" s="1012"/>
      <c r="AH69" s="1012"/>
      <c r="AI69" s="1012"/>
      <c r="AJ69" s="1012"/>
      <c r="AK69" s="995"/>
      <c r="AL69" s="994"/>
      <c r="AM69" s="994"/>
      <c r="AN69" s="994"/>
      <c r="AO69" s="1012"/>
      <c r="AP69" s="1114"/>
      <c r="AQ69" s="1012"/>
      <c r="AR69" s="1012"/>
      <c r="AS69" s="1012"/>
      <c r="AT69" s="1012"/>
      <c r="AU69" s="1012"/>
      <c r="AV69" s="1012"/>
      <c r="AW69" s="1012"/>
      <c r="AX69" s="1012"/>
      <c r="AY69" s="1012"/>
      <c r="AZ69" s="1012"/>
      <c r="BA69" s="1012"/>
      <c r="BB69" s="1012"/>
      <c r="BC69" s="1012"/>
      <c r="BD69" s="1012"/>
      <c r="BE69" s="1012"/>
      <c r="BF69" s="1012"/>
      <c r="BG69" s="1012"/>
      <c r="BH69" s="1012"/>
      <c r="BI69" s="1012"/>
      <c r="BJ69" s="1012"/>
    </row>
    <row r="70" ht="11.25" customHeight="1">
      <c r="A70" s="994"/>
      <c r="B70" s="994"/>
      <c r="C70" s="994"/>
      <c r="D70" s="1012"/>
      <c r="E70" s="995"/>
      <c r="F70" s="1012"/>
      <c r="G70" s="1012"/>
      <c r="H70" s="1012"/>
      <c r="I70" s="1012"/>
      <c r="J70" s="1012"/>
      <c r="K70" s="1012"/>
      <c r="L70" s="1012"/>
      <c r="M70" s="1012"/>
      <c r="N70" s="1012"/>
      <c r="O70" s="1012"/>
      <c r="P70" s="1012"/>
      <c r="Q70" s="1012"/>
      <c r="R70" s="1012"/>
      <c r="S70" s="1012"/>
      <c r="T70" s="1012"/>
      <c r="U70" s="1012"/>
      <c r="V70" s="1012"/>
      <c r="W70" s="1012"/>
      <c r="X70" s="1012"/>
      <c r="Y70" s="1012"/>
      <c r="Z70" s="1012"/>
      <c r="AA70" s="1012"/>
      <c r="AB70" s="1012"/>
      <c r="AC70" s="1012"/>
      <c r="AD70" s="1012"/>
      <c r="AE70" s="1012"/>
      <c r="AF70" s="1012"/>
      <c r="AG70" s="1012"/>
      <c r="AH70" s="1012"/>
      <c r="AI70" s="1012"/>
      <c r="AJ70" s="1012"/>
      <c r="AK70" s="995"/>
      <c r="AL70" s="994"/>
      <c r="AM70" s="994"/>
      <c r="AN70" s="994"/>
      <c r="AO70" s="1012"/>
      <c r="AP70" s="1114"/>
      <c r="AQ70" s="1012"/>
      <c r="AR70" s="1012"/>
      <c r="AS70" s="1012"/>
      <c r="AT70" s="1012"/>
      <c r="AU70" s="1012"/>
      <c r="AV70" s="1012"/>
      <c r="AW70" s="1012"/>
      <c r="AX70" s="1012"/>
      <c r="AY70" s="1012"/>
      <c r="AZ70" s="1012"/>
      <c r="BA70" s="1012"/>
      <c r="BB70" s="1012"/>
      <c r="BC70" s="1012"/>
      <c r="BD70" s="1012"/>
      <c r="BE70" s="1012"/>
      <c r="BF70" s="1012"/>
      <c r="BG70" s="1012"/>
      <c r="BH70" s="1012"/>
      <c r="BI70" s="1012"/>
      <c r="BJ70" s="1012"/>
    </row>
    <row r="71" ht="11.25" customHeight="1">
      <c r="A71" s="994"/>
      <c r="B71" s="994"/>
      <c r="C71" s="994"/>
      <c r="D71" s="1012"/>
      <c r="E71" s="995"/>
      <c r="F71" s="1012"/>
      <c r="G71" s="1012"/>
      <c r="H71" s="1012"/>
      <c r="I71" s="1012"/>
      <c r="J71" s="1012"/>
      <c r="K71" s="1012"/>
      <c r="L71" s="1012"/>
      <c r="M71" s="1012"/>
      <c r="N71" s="1012"/>
      <c r="O71" s="1012"/>
      <c r="P71" s="1012"/>
      <c r="Q71" s="1012"/>
      <c r="R71" s="1012"/>
      <c r="S71" s="1012"/>
      <c r="T71" s="1012"/>
      <c r="U71" s="1012"/>
      <c r="V71" s="1012"/>
      <c r="W71" s="1012"/>
      <c r="X71" s="1012"/>
      <c r="Y71" s="1012"/>
      <c r="Z71" s="1012"/>
      <c r="AA71" s="1012"/>
      <c r="AB71" s="1012"/>
      <c r="AC71" s="1012"/>
      <c r="AD71" s="1012"/>
      <c r="AE71" s="1012"/>
      <c r="AF71" s="1012"/>
      <c r="AG71" s="1012"/>
      <c r="AH71" s="1012"/>
      <c r="AI71" s="1012"/>
      <c r="AJ71" s="1012"/>
      <c r="AK71" s="995"/>
      <c r="AL71" s="994"/>
      <c r="AM71" s="994"/>
      <c r="AN71" s="994"/>
      <c r="AO71" s="1012"/>
      <c r="AP71" s="1114"/>
      <c r="AQ71" s="1012"/>
      <c r="AR71" s="1012"/>
      <c r="AS71" s="1012"/>
      <c r="AT71" s="1012"/>
      <c r="AU71" s="1012"/>
      <c r="AV71" s="1012"/>
      <c r="AW71" s="1012"/>
      <c r="AX71" s="1012"/>
      <c r="AY71" s="1012"/>
      <c r="AZ71" s="1012"/>
      <c r="BA71" s="1012"/>
      <c r="BB71" s="1012"/>
      <c r="BC71" s="1012"/>
      <c r="BD71" s="1012"/>
      <c r="BE71" s="1012"/>
      <c r="BF71" s="1012"/>
      <c r="BG71" s="1012"/>
      <c r="BH71" s="1012"/>
      <c r="BI71" s="1012"/>
      <c r="BJ71" s="1012"/>
    </row>
    <row r="72" ht="11.25" customHeight="1">
      <c r="A72" s="994"/>
      <c r="B72" s="994"/>
      <c r="C72" s="994"/>
      <c r="D72" s="1012"/>
      <c r="E72" s="995"/>
      <c r="F72" s="1012"/>
      <c r="G72" s="1012"/>
      <c r="H72" s="1012"/>
      <c r="I72" s="1012"/>
      <c r="J72" s="1012"/>
      <c r="K72" s="1012"/>
      <c r="L72" s="1012"/>
      <c r="M72" s="1012"/>
      <c r="N72" s="1012"/>
      <c r="O72" s="1012"/>
      <c r="P72" s="1012"/>
      <c r="Q72" s="1012"/>
      <c r="R72" s="1012"/>
      <c r="S72" s="1012"/>
      <c r="T72" s="1012"/>
      <c r="U72" s="1012"/>
      <c r="V72" s="1012"/>
      <c r="W72" s="1012"/>
      <c r="X72" s="1012"/>
      <c r="Y72" s="1012"/>
      <c r="Z72" s="1012"/>
      <c r="AA72" s="1012"/>
      <c r="AB72" s="1012"/>
      <c r="AC72" s="1012"/>
      <c r="AD72" s="1012"/>
      <c r="AE72" s="1012"/>
      <c r="AF72" s="1012"/>
      <c r="AG72" s="1012"/>
      <c r="AH72" s="1012"/>
      <c r="AI72" s="1012"/>
      <c r="AJ72" s="1012"/>
      <c r="AK72" s="995"/>
      <c r="AL72" s="994"/>
      <c r="AM72" s="994"/>
      <c r="AN72" s="994"/>
      <c r="AO72" s="1012"/>
      <c r="AP72" s="1114"/>
      <c r="AQ72" s="1012"/>
      <c r="AR72" s="1012"/>
      <c r="AS72" s="1012"/>
      <c r="AT72" s="1012"/>
      <c r="AU72" s="1012"/>
      <c r="AV72" s="1012"/>
      <c r="AW72" s="1012"/>
      <c r="AX72" s="1012"/>
      <c r="AY72" s="1012"/>
      <c r="AZ72" s="1012"/>
      <c r="BA72" s="1012"/>
      <c r="BB72" s="1012"/>
      <c r="BC72" s="1012"/>
      <c r="BD72" s="1012"/>
      <c r="BE72" s="1012"/>
      <c r="BF72" s="1012"/>
      <c r="BG72" s="1012"/>
      <c r="BH72" s="1012"/>
      <c r="BI72" s="1012"/>
      <c r="BJ72" s="1012"/>
    </row>
    <row r="73" ht="11.25" customHeight="1">
      <c r="A73" s="994"/>
      <c r="B73" s="994"/>
      <c r="C73" s="994"/>
      <c r="D73" s="1012"/>
      <c r="E73" s="995"/>
      <c r="F73" s="1012"/>
      <c r="G73" s="1012"/>
      <c r="H73" s="1012"/>
      <c r="I73" s="1012"/>
      <c r="J73" s="1012"/>
      <c r="K73" s="1012"/>
      <c r="L73" s="1012"/>
      <c r="M73" s="1012"/>
      <c r="N73" s="1012"/>
      <c r="O73" s="1012"/>
      <c r="P73" s="1012"/>
      <c r="Q73" s="1012"/>
      <c r="R73" s="1012"/>
      <c r="S73" s="1012"/>
      <c r="T73" s="1012"/>
      <c r="U73" s="1012"/>
      <c r="V73" s="1012"/>
      <c r="W73" s="1012"/>
      <c r="X73" s="1012"/>
      <c r="Y73" s="1012"/>
      <c r="Z73" s="1012"/>
      <c r="AA73" s="1012"/>
      <c r="AB73" s="1012"/>
      <c r="AC73" s="1012"/>
      <c r="AD73" s="1012"/>
      <c r="AE73" s="1012"/>
      <c r="AF73" s="1012"/>
      <c r="AG73" s="1012"/>
      <c r="AH73" s="1012"/>
      <c r="AI73" s="1012"/>
      <c r="AJ73" s="1012"/>
      <c r="AK73" s="995"/>
      <c r="AL73" s="994"/>
      <c r="AM73" s="994"/>
      <c r="AN73" s="994"/>
      <c r="AO73" s="1012"/>
      <c r="AP73" s="1114"/>
      <c r="AQ73" s="1012"/>
      <c r="AR73" s="1012"/>
      <c r="AS73" s="1012"/>
      <c r="AT73" s="1012"/>
      <c r="AU73" s="1012"/>
      <c r="AV73" s="1012"/>
      <c r="AW73" s="1012"/>
      <c r="AX73" s="1012"/>
      <c r="AY73" s="1012"/>
      <c r="AZ73" s="1012"/>
      <c r="BA73" s="1012"/>
      <c r="BB73" s="1012"/>
      <c r="BC73" s="1012"/>
      <c r="BD73" s="1012"/>
      <c r="BE73" s="1012"/>
      <c r="BF73" s="1012"/>
      <c r="BG73" s="1012"/>
      <c r="BH73" s="1012"/>
      <c r="BI73" s="1012"/>
      <c r="BJ73" s="1012"/>
    </row>
    <row r="74" ht="11.25" customHeight="1">
      <c r="A74" s="994"/>
      <c r="B74" s="994"/>
      <c r="C74" s="994"/>
      <c r="D74" s="1012"/>
      <c r="E74" s="995"/>
      <c r="F74" s="1012"/>
      <c r="G74" s="1012"/>
      <c r="H74" s="1012"/>
      <c r="I74" s="1012"/>
      <c r="J74" s="1012"/>
      <c r="K74" s="1012"/>
      <c r="L74" s="1012"/>
      <c r="M74" s="1012"/>
      <c r="N74" s="1012"/>
      <c r="O74" s="1012"/>
      <c r="P74" s="1012"/>
      <c r="Q74" s="1012"/>
      <c r="R74" s="1012"/>
      <c r="S74" s="1012"/>
      <c r="T74" s="1012"/>
      <c r="U74" s="1012"/>
      <c r="V74" s="1012"/>
      <c r="W74" s="1012"/>
      <c r="X74" s="1012"/>
      <c r="Y74" s="1012"/>
      <c r="Z74" s="1012"/>
      <c r="AA74" s="1012"/>
      <c r="AB74" s="1012"/>
      <c r="AC74" s="1012"/>
      <c r="AD74" s="1012"/>
      <c r="AE74" s="1012"/>
      <c r="AF74" s="1012"/>
      <c r="AG74" s="1012"/>
      <c r="AH74" s="1012"/>
      <c r="AI74" s="1012"/>
      <c r="AJ74" s="1012"/>
      <c r="AK74" s="995"/>
      <c r="AL74" s="994"/>
      <c r="AM74" s="994"/>
      <c r="AN74" s="994"/>
      <c r="AO74" s="1012"/>
      <c r="AP74" s="1114"/>
      <c r="AQ74" s="1012"/>
      <c r="AR74" s="1012"/>
      <c r="AS74" s="1012"/>
      <c r="AT74" s="1012"/>
      <c r="AU74" s="1012"/>
      <c r="AV74" s="1012"/>
      <c r="AW74" s="1012"/>
      <c r="AX74" s="1012"/>
      <c r="AY74" s="1012"/>
      <c r="AZ74" s="1012"/>
      <c r="BA74" s="1012"/>
      <c r="BB74" s="1012"/>
      <c r="BC74" s="1012"/>
      <c r="BD74" s="1012"/>
      <c r="BE74" s="1012"/>
      <c r="BF74" s="1012"/>
      <c r="BG74" s="1012"/>
      <c r="BH74" s="1012"/>
      <c r="BI74" s="1012"/>
      <c r="BJ74" s="1012"/>
    </row>
    <row r="75" ht="11.25" customHeight="1">
      <c r="A75" s="994"/>
      <c r="B75" s="994"/>
      <c r="C75" s="994"/>
      <c r="D75" s="1012"/>
      <c r="E75" s="995"/>
      <c r="F75" s="1012"/>
      <c r="G75" s="1012"/>
      <c r="H75" s="1012"/>
      <c r="I75" s="1012"/>
      <c r="J75" s="1012"/>
      <c r="K75" s="1012"/>
      <c r="L75" s="1012"/>
      <c r="M75" s="1012"/>
      <c r="N75" s="1012"/>
      <c r="O75" s="1012"/>
      <c r="P75" s="1012"/>
      <c r="Q75" s="1012"/>
      <c r="R75" s="1012"/>
      <c r="S75" s="1012"/>
      <c r="T75" s="1012"/>
      <c r="U75" s="1012"/>
      <c r="V75" s="1012"/>
      <c r="W75" s="1012"/>
      <c r="X75" s="1012"/>
      <c r="Y75" s="1012"/>
      <c r="Z75" s="1012"/>
      <c r="AA75" s="1012"/>
      <c r="AB75" s="1012"/>
      <c r="AC75" s="1012"/>
      <c r="AD75" s="1012"/>
      <c r="AE75" s="1012"/>
      <c r="AF75" s="1012"/>
      <c r="AG75" s="1012"/>
      <c r="AH75" s="1012"/>
      <c r="AI75" s="1012"/>
      <c r="AJ75" s="1012"/>
      <c r="AK75" s="995"/>
      <c r="AL75" s="994"/>
      <c r="AM75" s="994"/>
      <c r="AN75" s="994"/>
      <c r="AO75" s="1012"/>
      <c r="AP75" s="1114"/>
      <c r="AQ75" s="1012"/>
      <c r="AR75" s="1012"/>
      <c r="AS75" s="1012"/>
      <c r="AT75" s="1012"/>
      <c r="AU75" s="1012"/>
      <c r="AV75" s="1012"/>
      <c r="AW75" s="1012"/>
      <c r="AX75" s="1012"/>
      <c r="AY75" s="1012"/>
      <c r="AZ75" s="1012"/>
      <c r="BA75" s="1012"/>
      <c r="BB75" s="1012"/>
      <c r="BC75" s="1012"/>
      <c r="BD75" s="1012"/>
      <c r="BE75" s="1012"/>
      <c r="BF75" s="1012"/>
      <c r="BG75" s="1012"/>
      <c r="BH75" s="1012"/>
      <c r="BI75" s="1012"/>
      <c r="BJ75" s="1012"/>
    </row>
    <row r="76" ht="11.25" customHeight="1">
      <c r="A76" s="994"/>
      <c r="B76" s="994"/>
      <c r="C76" s="994"/>
      <c r="D76" s="1012"/>
      <c r="E76" s="995"/>
      <c r="F76" s="1012"/>
      <c r="G76" s="1012"/>
      <c r="H76" s="1012"/>
      <c r="I76" s="1012"/>
      <c r="J76" s="1012"/>
      <c r="K76" s="1012"/>
      <c r="L76" s="1012"/>
      <c r="M76" s="1012"/>
      <c r="N76" s="1012"/>
      <c r="O76" s="1012"/>
      <c r="P76" s="1012"/>
      <c r="Q76" s="1012"/>
      <c r="R76" s="1012"/>
      <c r="S76" s="1012"/>
      <c r="T76" s="1012"/>
      <c r="U76" s="1012"/>
      <c r="V76" s="1012"/>
      <c r="W76" s="1012"/>
      <c r="X76" s="1012"/>
      <c r="Y76" s="1012"/>
      <c r="Z76" s="1012"/>
      <c r="AA76" s="1012"/>
      <c r="AB76" s="1012"/>
      <c r="AC76" s="1012"/>
      <c r="AD76" s="1012"/>
      <c r="AE76" s="1012"/>
      <c r="AF76" s="1012"/>
      <c r="AG76" s="1012"/>
      <c r="AH76" s="1012"/>
      <c r="AI76" s="1012"/>
      <c r="AJ76" s="1012"/>
      <c r="AK76" s="995"/>
      <c r="AL76" s="994"/>
      <c r="AM76" s="994"/>
      <c r="AN76" s="994"/>
      <c r="AO76" s="1012"/>
      <c r="AP76" s="1114"/>
      <c r="AQ76" s="1012"/>
      <c r="AR76" s="1012"/>
      <c r="AS76" s="1012"/>
      <c r="AT76" s="1012"/>
      <c r="AU76" s="1012"/>
      <c r="AV76" s="1012"/>
      <c r="AW76" s="1012"/>
      <c r="AX76" s="1012"/>
      <c r="AY76" s="1012"/>
      <c r="AZ76" s="1012"/>
      <c r="BA76" s="1012"/>
      <c r="BB76" s="1012"/>
      <c r="BC76" s="1012"/>
      <c r="BD76" s="1012"/>
      <c r="BE76" s="1012"/>
      <c r="BF76" s="1012"/>
      <c r="BG76" s="1012"/>
      <c r="BH76" s="1012"/>
      <c r="BI76" s="1012"/>
      <c r="BJ76" s="1012"/>
    </row>
    <row r="77" ht="11.25" customHeight="1">
      <c r="A77" s="994"/>
      <c r="B77" s="994"/>
      <c r="C77" s="994"/>
      <c r="D77" s="1012"/>
      <c r="E77" s="995"/>
      <c r="F77" s="1012"/>
      <c r="G77" s="1012"/>
      <c r="H77" s="1012"/>
      <c r="I77" s="1012"/>
      <c r="J77" s="1012"/>
      <c r="K77" s="1012"/>
      <c r="L77" s="1012"/>
      <c r="M77" s="1012"/>
      <c r="N77" s="1012"/>
      <c r="O77" s="1012"/>
      <c r="P77" s="1012"/>
      <c r="Q77" s="1012"/>
      <c r="R77" s="1012"/>
      <c r="S77" s="1012"/>
      <c r="T77" s="1012"/>
      <c r="U77" s="1012"/>
      <c r="V77" s="1012"/>
      <c r="W77" s="1012"/>
      <c r="X77" s="1012"/>
      <c r="Y77" s="1012"/>
      <c r="Z77" s="1012"/>
      <c r="AA77" s="1012"/>
      <c r="AB77" s="1012"/>
      <c r="AC77" s="1012"/>
      <c r="AD77" s="1012"/>
      <c r="AE77" s="1012"/>
      <c r="AF77" s="1012"/>
      <c r="AG77" s="1012"/>
      <c r="AH77" s="1012"/>
      <c r="AI77" s="1012"/>
      <c r="AJ77" s="1012"/>
      <c r="AK77" s="995"/>
      <c r="AL77" s="994"/>
      <c r="AM77" s="994"/>
      <c r="AN77" s="994"/>
      <c r="AO77" s="1012"/>
      <c r="AP77" s="1114"/>
      <c r="AQ77" s="1012"/>
      <c r="AR77" s="1012"/>
      <c r="AS77" s="1012"/>
      <c r="AT77" s="1012"/>
      <c r="AU77" s="1012"/>
      <c r="AV77" s="1012"/>
      <c r="AW77" s="1012"/>
      <c r="AX77" s="1012"/>
      <c r="AY77" s="1012"/>
      <c r="AZ77" s="1012"/>
      <c r="BA77" s="1012"/>
      <c r="BB77" s="1012"/>
      <c r="BC77" s="1012"/>
      <c r="BD77" s="1012"/>
      <c r="BE77" s="1012"/>
      <c r="BF77" s="1012"/>
      <c r="BG77" s="1012"/>
      <c r="BH77" s="1012"/>
      <c r="BI77" s="1012"/>
      <c r="BJ77" s="1012"/>
    </row>
    <row r="78" ht="11.25" customHeight="1">
      <c r="A78" s="994"/>
      <c r="B78" s="994"/>
      <c r="C78" s="994"/>
      <c r="D78" s="1012"/>
      <c r="E78" s="995"/>
      <c r="F78" s="1012"/>
      <c r="G78" s="1012"/>
      <c r="H78" s="1012"/>
      <c r="I78" s="1012"/>
      <c r="J78" s="1012"/>
      <c r="K78" s="1012"/>
      <c r="L78" s="1012"/>
      <c r="M78" s="1012"/>
      <c r="N78" s="1012"/>
      <c r="O78" s="1012"/>
      <c r="P78" s="1012"/>
      <c r="Q78" s="1012"/>
      <c r="R78" s="1012"/>
      <c r="S78" s="1012"/>
      <c r="T78" s="1012"/>
      <c r="U78" s="1012"/>
      <c r="V78" s="1012"/>
      <c r="W78" s="1012"/>
      <c r="X78" s="1012"/>
      <c r="Y78" s="1012"/>
      <c r="Z78" s="1012"/>
      <c r="AA78" s="1012"/>
      <c r="AB78" s="1012"/>
      <c r="AC78" s="1012"/>
      <c r="AD78" s="1012"/>
      <c r="AE78" s="1012"/>
      <c r="AF78" s="1012"/>
      <c r="AG78" s="1012"/>
      <c r="AH78" s="1012"/>
      <c r="AI78" s="1012"/>
      <c r="AJ78" s="1012"/>
      <c r="AK78" s="995"/>
      <c r="AL78" s="994"/>
      <c r="AM78" s="994"/>
      <c r="AN78" s="994"/>
      <c r="AO78" s="1012"/>
      <c r="AP78" s="1114"/>
      <c r="AQ78" s="1012"/>
      <c r="AR78" s="1012"/>
      <c r="AS78" s="1012"/>
      <c r="AT78" s="1012"/>
      <c r="AU78" s="1012"/>
      <c r="AV78" s="1012"/>
      <c r="AW78" s="1012"/>
      <c r="AX78" s="1012"/>
      <c r="AY78" s="1012"/>
      <c r="AZ78" s="1012"/>
      <c r="BA78" s="1012"/>
      <c r="BB78" s="1012"/>
      <c r="BC78" s="1012"/>
      <c r="BD78" s="1012"/>
      <c r="BE78" s="1012"/>
      <c r="BF78" s="1012"/>
      <c r="BG78" s="1012"/>
      <c r="BH78" s="1012"/>
      <c r="BI78" s="1012"/>
      <c r="BJ78" s="1012"/>
    </row>
    <row r="79" ht="11.25" customHeight="1">
      <c r="A79" s="994"/>
      <c r="B79" s="994"/>
      <c r="C79" s="994"/>
      <c r="D79" s="1012"/>
      <c r="E79" s="995"/>
      <c r="F79" s="1012"/>
      <c r="G79" s="1012"/>
      <c r="H79" s="1012"/>
      <c r="I79" s="1012"/>
      <c r="J79" s="1012"/>
      <c r="K79" s="1012"/>
      <c r="L79" s="1012"/>
      <c r="M79" s="1012"/>
      <c r="N79" s="1012"/>
      <c r="O79" s="1012"/>
      <c r="P79" s="1012"/>
      <c r="Q79" s="1012"/>
      <c r="R79" s="1012"/>
      <c r="S79" s="1012"/>
      <c r="T79" s="1012"/>
      <c r="U79" s="1012"/>
      <c r="V79" s="1012"/>
      <c r="W79" s="1012"/>
      <c r="X79" s="1012"/>
      <c r="Y79" s="1012"/>
      <c r="Z79" s="1012"/>
      <c r="AA79" s="1012"/>
      <c r="AB79" s="1012"/>
      <c r="AC79" s="1012"/>
      <c r="AD79" s="1012"/>
      <c r="AE79" s="1012"/>
      <c r="AF79" s="1012"/>
      <c r="AG79" s="1012"/>
      <c r="AH79" s="1012"/>
      <c r="AI79" s="1012"/>
      <c r="AJ79" s="1012"/>
      <c r="AK79" s="995"/>
      <c r="AL79" s="994"/>
      <c r="AM79" s="994"/>
      <c r="AN79" s="994"/>
      <c r="AO79" s="1012"/>
      <c r="AP79" s="1114"/>
      <c r="AQ79" s="1012"/>
      <c r="AR79" s="1012"/>
      <c r="AS79" s="1012"/>
      <c r="AT79" s="1012"/>
      <c r="AU79" s="1012"/>
      <c r="AV79" s="1012"/>
      <c r="AW79" s="1012"/>
      <c r="AX79" s="1012"/>
      <c r="AY79" s="1012"/>
      <c r="AZ79" s="1012"/>
      <c r="BA79" s="1012"/>
      <c r="BB79" s="1012"/>
      <c r="BC79" s="1012"/>
      <c r="BD79" s="1012"/>
      <c r="BE79" s="1012"/>
      <c r="BF79" s="1012"/>
      <c r="BG79" s="1012"/>
      <c r="BH79" s="1012"/>
      <c r="BI79" s="1012"/>
      <c r="BJ79" s="1012"/>
    </row>
    <row r="80" ht="11.25" customHeight="1">
      <c r="A80" s="994"/>
      <c r="B80" s="994"/>
      <c r="C80" s="994"/>
      <c r="D80" s="1012"/>
      <c r="E80" s="995"/>
      <c r="F80" s="1012"/>
      <c r="G80" s="1012"/>
      <c r="H80" s="1012"/>
      <c r="I80" s="1012"/>
      <c r="J80" s="1012"/>
      <c r="K80" s="1012"/>
      <c r="L80" s="1012"/>
      <c r="M80" s="1012"/>
      <c r="N80" s="1012"/>
      <c r="O80" s="1012"/>
      <c r="P80" s="1012"/>
      <c r="Q80" s="1012"/>
      <c r="R80" s="1012"/>
      <c r="S80" s="1012"/>
      <c r="T80" s="1012"/>
      <c r="U80" s="1012"/>
      <c r="V80" s="1012"/>
      <c r="W80" s="1012"/>
      <c r="X80" s="1012"/>
      <c r="Y80" s="1012"/>
      <c r="Z80" s="1012"/>
      <c r="AA80" s="1012"/>
      <c r="AB80" s="1012"/>
      <c r="AC80" s="1012"/>
      <c r="AD80" s="1012"/>
      <c r="AE80" s="1012"/>
      <c r="AF80" s="1012"/>
      <c r="AG80" s="1012"/>
      <c r="AH80" s="1012"/>
      <c r="AI80" s="1012"/>
      <c r="AJ80" s="1012"/>
      <c r="AK80" s="995"/>
      <c r="AL80" s="994"/>
      <c r="AM80" s="994"/>
      <c r="AN80" s="994"/>
      <c r="AO80" s="1012"/>
      <c r="AP80" s="1114"/>
      <c r="AQ80" s="1012"/>
      <c r="AR80" s="1012"/>
      <c r="AS80" s="1012"/>
      <c r="AT80" s="1012"/>
      <c r="AU80" s="1012"/>
      <c r="AV80" s="1012"/>
      <c r="AW80" s="1012"/>
      <c r="AX80" s="1012"/>
      <c r="AY80" s="1012"/>
      <c r="AZ80" s="1012"/>
      <c r="BA80" s="1012"/>
      <c r="BB80" s="1012"/>
      <c r="BC80" s="1012"/>
      <c r="BD80" s="1012"/>
      <c r="BE80" s="1012"/>
      <c r="BF80" s="1012"/>
      <c r="BG80" s="1012"/>
      <c r="BH80" s="1012"/>
      <c r="BI80" s="1012"/>
      <c r="BJ80" s="1012"/>
    </row>
    <row r="81" ht="11.25" customHeight="1">
      <c r="A81" s="994"/>
      <c r="B81" s="994"/>
      <c r="C81" s="994"/>
      <c r="D81" s="1012"/>
      <c r="E81" s="995"/>
      <c r="F81" s="1012"/>
      <c r="G81" s="1012"/>
      <c r="H81" s="1012"/>
      <c r="I81" s="1012"/>
      <c r="J81" s="1012"/>
      <c r="K81" s="1012"/>
      <c r="L81" s="1012"/>
      <c r="M81" s="1012"/>
      <c r="N81" s="1012"/>
      <c r="O81" s="1012"/>
      <c r="P81" s="1012"/>
      <c r="Q81" s="1012"/>
      <c r="R81" s="1012"/>
      <c r="S81" s="1012"/>
      <c r="T81" s="1012"/>
      <c r="U81" s="1012"/>
      <c r="V81" s="1012"/>
      <c r="W81" s="1012"/>
      <c r="X81" s="1012"/>
      <c r="Y81" s="1012"/>
      <c r="Z81" s="1012"/>
      <c r="AA81" s="1012"/>
      <c r="AB81" s="1012"/>
      <c r="AC81" s="1012"/>
      <c r="AD81" s="1012"/>
      <c r="AE81" s="1012"/>
      <c r="AF81" s="1012"/>
      <c r="AG81" s="1012"/>
      <c r="AH81" s="1012"/>
      <c r="AI81" s="1012"/>
      <c r="AJ81" s="1012"/>
      <c r="AK81" s="995"/>
      <c r="AL81" s="994"/>
      <c r="AM81" s="994"/>
      <c r="AN81" s="994"/>
      <c r="AO81" s="1012"/>
      <c r="AP81" s="1114"/>
      <c r="AQ81" s="1012"/>
      <c r="AR81" s="1012"/>
      <c r="AS81" s="1012"/>
      <c r="AT81" s="1012"/>
      <c r="AU81" s="1012"/>
      <c r="AV81" s="1012"/>
      <c r="AW81" s="1012"/>
      <c r="AX81" s="1012"/>
      <c r="AY81" s="1012"/>
      <c r="AZ81" s="1012"/>
      <c r="BA81" s="1012"/>
      <c r="BB81" s="1012"/>
      <c r="BC81" s="1012"/>
      <c r="BD81" s="1012"/>
      <c r="BE81" s="1012"/>
      <c r="BF81" s="1012"/>
      <c r="BG81" s="1012"/>
      <c r="BH81" s="1012"/>
      <c r="BI81" s="1012"/>
      <c r="BJ81" s="1012"/>
    </row>
    <row r="82" ht="11.25" customHeight="1">
      <c r="A82" s="994"/>
      <c r="B82" s="994"/>
      <c r="C82" s="994"/>
      <c r="D82" s="1012"/>
      <c r="E82" s="995"/>
      <c r="F82" s="1012"/>
      <c r="G82" s="1012"/>
      <c r="H82" s="1012"/>
      <c r="I82" s="1012"/>
      <c r="J82" s="1012"/>
      <c r="K82" s="1012"/>
      <c r="L82" s="1012"/>
      <c r="M82" s="1012"/>
      <c r="N82" s="1012"/>
      <c r="O82" s="1012"/>
      <c r="P82" s="1012"/>
      <c r="Q82" s="1012"/>
      <c r="R82" s="1012"/>
      <c r="S82" s="1012"/>
      <c r="T82" s="1012"/>
      <c r="U82" s="1012"/>
      <c r="V82" s="1012"/>
      <c r="W82" s="1012"/>
      <c r="X82" s="1012"/>
      <c r="Y82" s="1012"/>
      <c r="Z82" s="1012"/>
      <c r="AA82" s="1012"/>
      <c r="AB82" s="1012"/>
      <c r="AC82" s="1012"/>
      <c r="AD82" s="1012"/>
      <c r="AE82" s="1012"/>
      <c r="AF82" s="1012"/>
      <c r="AG82" s="1012"/>
      <c r="AH82" s="1012"/>
      <c r="AI82" s="1012"/>
      <c r="AJ82" s="1012"/>
      <c r="AK82" s="995"/>
      <c r="AL82" s="994"/>
      <c r="AM82" s="994"/>
      <c r="AN82" s="994"/>
      <c r="AO82" s="1012"/>
      <c r="AP82" s="1114"/>
      <c r="AQ82" s="1012"/>
      <c r="AR82" s="1012"/>
      <c r="AS82" s="1012"/>
      <c r="AT82" s="1012"/>
      <c r="AU82" s="1012"/>
      <c r="AV82" s="1012"/>
      <c r="AW82" s="1012"/>
      <c r="AX82" s="1012"/>
      <c r="AY82" s="1012"/>
      <c r="AZ82" s="1012"/>
      <c r="BA82" s="1012"/>
      <c r="BB82" s="1012"/>
      <c r="BC82" s="1012"/>
      <c r="BD82" s="1012"/>
      <c r="BE82" s="1012"/>
      <c r="BF82" s="1012"/>
      <c r="BG82" s="1012"/>
      <c r="BH82" s="1012"/>
      <c r="BI82" s="1012"/>
      <c r="BJ82" s="1012"/>
    </row>
    <row r="83" ht="11.25" customHeight="1">
      <c r="A83" s="994"/>
      <c r="B83" s="994"/>
      <c r="C83" s="994"/>
      <c r="D83" s="1012"/>
      <c r="E83" s="995"/>
      <c r="F83" s="1012"/>
      <c r="G83" s="1012"/>
      <c r="H83" s="1012"/>
      <c r="I83" s="1012"/>
      <c r="J83" s="1012"/>
      <c r="K83" s="1012"/>
      <c r="L83" s="1012"/>
      <c r="M83" s="1012"/>
      <c r="N83" s="1012"/>
      <c r="O83" s="1012"/>
      <c r="P83" s="1012"/>
      <c r="Q83" s="1012"/>
      <c r="R83" s="1012"/>
      <c r="S83" s="1012"/>
      <c r="T83" s="1012"/>
      <c r="U83" s="1012"/>
      <c r="V83" s="1012"/>
      <c r="W83" s="1012"/>
      <c r="X83" s="1012"/>
      <c r="Y83" s="1012"/>
      <c r="Z83" s="1012"/>
      <c r="AA83" s="1012"/>
      <c r="AB83" s="1012"/>
      <c r="AC83" s="1012"/>
      <c r="AD83" s="1012"/>
      <c r="AE83" s="1012"/>
      <c r="AF83" s="1012"/>
      <c r="AG83" s="1012"/>
      <c r="AH83" s="1012"/>
      <c r="AI83" s="1012"/>
      <c r="AJ83" s="1012"/>
      <c r="AK83" s="995"/>
      <c r="AL83" s="994"/>
      <c r="AM83" s="994"/>
      <c r="AN83" s="994"/>
      <c r="AO83" s="1012"/>
      <c r="AP83" s="1114"/>
      <c r="AQ83" s="1012"/>
      <c r="AR83" s="1012"/>
      <c r="AS83" s="1012"/>
      <c r="AT83" s="1012"/>
      <c r="AU83" s="1012"/>
      <c r="AV83" s="1012"/>
      <c r="AW83" s="1012"/>
      <c r="AX83" s="1012"/>
      <c r="AY83" s="1012"/>
      <c r="AZ83" s="1012"/>
      <c r="BA83" s="1012"/>
      <c r="BB83" s="1012"/>
      <c r="BC83" s="1012"/>
      <c r="BD83" s="1012"/>
      <c r="BE83" s="1012"/>
      <c r="BF83" s="1012"/>
      <c r="BG83" s="1012"/>
      <c r="BH83" s="1012"/>
      <c r="BI83" s="1012"/>
      <c r="BJ83" s="1012"/>
    </row>
    <row r="84" ht="11.25" customHeight="1">
      <c r="A84" s="994"/>
      <c r="B84" s="994"/>
      <c r="C84" s="994"/>
      <c r="D84" s="1012"/>
      <c r="E84" s="995"/>
      <c r="F84" s="1012"/>
      <c r="G84" s="1012"/>
      <c r="H84" s="1012"/>
      <c r="I84" s="1012"/>
      <c r="J84" s="1012"/>
      <c r="K84" s="1012"/>
      <c r="L84" s="1012"/>
      <c r="M84" s="1012"/>
      <c r="N84" s="1012"/>
      <c r="O84" s="1012"/>
      <c r="P84" s="1012"/>
      <c r="Q84" s="1012"/>
      <c r="R84" s="1012"/>
      <c r="S84" s="1012"/>
      <c r="T84" s="1012"/>
      <c r="U84" s="1012"/>
      <c r="V84" s="1012"/>
      <c r="W84" s="1012"/>
      <c r="X84" s="1012"/>
      <c r="Y84" s="1012"/>
      <c r="Z84" s="1012"/>
      <c r="AA84" s="1012"/>
      <c r="AB84" s="1012"/>
      <c r="AC84" s="1012"/>
      <c r="AD84" s="1012"/>
      <c r="AE84" s="1012"/>
      <c r="AF84" s="1012"/>
      <c r="AG84" s="1012"/>
      <c r="AH84" s="1012"/>
      <c r="AI84" s="1012"/>
      <c r="AJ84" s="1012"/>
      <c r="AK84" s="995"/>
      <c r="AL84" s="994"/>
      <c r="AM84" s="994"/>
      <c r="AN84" s="994"/>
      <c r="AO84" s="1012"/>
      <c r="AP84" s="1114"/>
      <c r="AQ84" s="1012"/>
      <c r="AR84" s="1012"/>
      <c r="AS84" s="1012"/>
      <c r="AT84" s="1012"/>
      <c r="AU84" s="1012"/>
      <c r="AV84" s="1012"/>
      <c r="AW84" s="1012"/>
      <c r="AX84" s="1012"/>
      <c r="AY84" s="1012"/>
      <c r="AZ84" s="1012"/>
      <c r="BA84" s="1012"/>
      <c r="BB84" s="1012"/>
      <c r="BC84" s="1012"/>
      <c r="BD84" s="1012"/>
      <c r="BE84" s="1012"/>
      <c r="BF84" s="1012"/>
      <c r="BG84" s="1012"/>
      <c r="BH84" s="1012"/>
      <c r="BI84" s="1012"/>
      <c r="BJ84" s="1012"/>
    </row>
    <row r="85" ht="11.25" customHeight="1">
      <c r="A85" s="994"/>
      <c r="B85" s="994"/>
      <c r="C85" s="994"/>
      <c r="D85" s="1012"/>
      <c r="E85" s="995"/>
      <c r="F85" s="1012"/>
      <c r="G85" s="1012"/>
      <c r="H85" s="1012"/>
      <c r="I85" s="1012"/>
      <c r="J85" s="1012"/>
      <c r="K85" s="1012"/>
      <c r="L85" s="1012"/>
      <c r="M85" s="1012"/>
      <c r="N85" s="1012"/>
      <c r="O85" s="1012"/>
      <c r="P85" s="1012"/>
      <c r="Q85" s="1012"/>
      <c r="R85" s="1012"/>
      <c r="S85" s="1012"/>
      <c r="T85" s="1012"/>
      <c r="U85" s="1012"/>
      <c r="V85" s="1012"/>
      <c r="W85" s="1012"/>
      <c r="X85" s="1012"/>
      <c r="Y85" s="1012"/>
      <c r="Z85" s="1012"/>
      <c r="AA85" s="1012"/>
      <c r="AB85" s="1012"/>
      <c r="AC85" s="1012"/>
      <c r="AD85" s="1012"/>
      <c r="AE85" s="1012"/>
      <c r="AF85" s="1012"/>
      <c r="AG85" s="1012"/>
      <c r="AH85" s="1012"/>
      <c r="AI85" s="1012"/>
      <c r="AJ85" s="1012"/>
      <c r="AK85" s="995"/>
      <c r="AL85" s="994"/>
      <c r="AM85" s="994"/>
      <c r="AN85" s="994"/>
      <c r="AO85" s="1012"/>
      <c r="AP85" s="1114"/>
      <c r="AQ85" s="1012"/>
      <c r="AR85" s="1012"/>
      <c r="AS85" s="1012"/>
      <c r="AT85" s="1012"/>
      <c r="AU85" s="1012"/>
      <c r="AV85" s="1012"/>
      <c r="AW85" s="1012"/>
      <c r="AX85" s="1012"/>
      <c r="AY85" s="1012"/>
      <c r="AZ85" s="1012"/>
      <c r="BA85" s="1012"/>
      <c r="BB85" s="1012"/>
      <c r="BC85" s="1012"/>
      <c r="BD85" s="1012"/>
      <c r="BE85" s="1012"/>
      <c r="BF85" s="1012"/>
      <c r="BG85" s="1012"/>
      <c r="BH85" s="1012"/>
      <c r="BI85" s="1012"/>
      <c r="BJ85" s="1012"/>
    </row>
    <row r="86" ht="11.25" customHeight="1">
      <c r="A86" s="994"/>
      <c r="B86" s="994"/>
      <c r="C86" s="994"/>
      <c r="D86" s="1012"/>
      <c r="E86" s="995"/>
      <c r="F86" s="1012"/>
      <c r="G86" s="1012"/>
      <c r="H86" s="1012"/>
      <c r="I86" s="1012"/>
      <c r="J86" s="1012"/>
      <c r="K86" s="1012"/>
      <c r="L86" s="1012"/>
      <c r="M86" s="1012"/>
      <c r="N86" s="1012"/>
      <c r="O86" s="1012"/>
      <c r="P86" s="1012"/>
      <c r="Q86" s="1012"/>
      <c r="R86" s="1012"/>
      <c r="S86" s="1012"/>
      <c r="T86" s="1012"/>
      <c r="U86" s="1012"/>
      <c r="V86" s="1012"/>
      <c r="W86" s="1012"/>
      <c r="X86" s="1012"/>
      <c r="Y86" s="1012"/>
      <c r="Z86" s="1012"/>
      <c r="AA86" s="1012"/>
      <c r="AB86" s="1012"/>
      <c r="AC86" s="1012"/>
      <c r="AD86" s="1012"/>
      <c r="AE86" s="1012"/>
      <c r="AF86" s="1012"/>
      <c r="AG86" s="1012"/>
      <c r="AH86" s="1012"/>
      <c r="AI86" s="1012"/>
      <c r="AJ86" s="1012"/>
      <c r="AK86" s="995"/>
      <c r="AL86" s="994"/>
      <c r="AM86" s="994"/>
      <c r="AN86" s="994"/>
      <c r="AO86" s="1012"/>
      <c r="AP86" s="1114"/>
      <c r="AQ86" s="1012"/>
      <c r="AR86" s="1012"/>
      <c r="AS86" s="1012"/>
      <c r="AT86" s="1012"/>
      <c r="AU86" s="1012"/>
      <c r="AV86" s="1012"/>
      <c r="AW86" s="1012"/>
      <c r="AX86" s="1012"/>
      <c r="AY86" s="1012"/>
      <c r="AZ86" s="1012"/>
      <c r="BA86" s="1012"/>
      <c r="BB86" s="1012"/>
      <c r="BC86" s="1012"/>
      <c r="BD86" s="1012"/>
      <c r="BE86" s="1012"/>
      <c r="BF86" s="1012"/>
      <c r="BG86" s="1012"/>
      <c r="BH86" s="1012"/>
      <c r="BI86" s="1012"/>
      <c r="BJ86" s="1012"/>
    </row>
    <row r="87" ht="11.25" customHeight="1">
      <c r="A87" s="994"/>
      <c r="B87" s="994"/>
      <c r="C87" s="994"/>
      <c r="D87" s="1012"/>
      <c r="E87" s="995"/>
      <c r="F87" s="1012"/>
      <c r="G87" s="1012"/>
      <c r="H87" s="1012"/>
      <c r="I87" s="1012"/>
      <c r="J87" s="1012"/>
      <c r="K87" s="1012"/>
      <c r="L87" s="1012"/>
      <c r="M87" s="1012"/>
      <c r="N87" s="1012"/>
      <c r="O87" s="1012"/>
      <c r="P87" s="1012"/>
      <c r="Q87" s="1012"/>
      <c r="R87" s="1012"/>
      <c r="S87" s="1012"/>
      <c r="T87" s="1012"/>
      <c r="U87" s="1012"/>
      <c r="V87" s="1012"/>
      <c r="W87" s="1012"/>
      <c r="X87" s="1012"/>
      <c r="Y87" s="1012"/>
      <c r="Z87" s="1012"/>
      <c r="AA87" s="1012"/>
      <c r="AB87" s="1012"/>
      <c r="AC87" s="1012"/>
      <c r="AD87" s="1012"/>
      <c r="AE87" s="1012"/>
      <c r="AF87" s="1012"/>
      <c r="AG87" s="1012"/>
      <c r="AH87" s="1012"/>
      <c r="AI87" s="1012"/>
      <c r="AJ87" s="1012"/>
      <c r="AK87" s="995"/>
      <c r="AL87" s="994"/>
      <c r="AM87" s="994"/>
      <c r="AN87" s="994"/>
      <c r="AO87" s="1012"/>
      <c r="AP87" s="1114"/>
      <c r="AQ87" s="1012"/>
      <c r="AR87" s="1012"/>
      <c r="AS87" s="1012"/>
      <c r="AT87" s="1012"/>
      <c r="AU87" s="1012"/>
      <c r="AV87" s="1012"/>
      <c r="AW87" s="1012"/>
      <c r="AX87" s="1012"/>
      <c r="AY87" s="1012"/>
      <c r="AZ87" s="1012"/>
      <c r="BA87" s="1012"/>
      <c r="BB87" s="1012"/>
      <c r="BC87" s="1012"/>
      <c r="BD87" s="1012"/>
      <c r="BE87" s="1012"/>
      <c r="BF87" s="1012"/>
      <c r="BG87" s="1012"/>
      <c r="BH87" s="1012"/>
      <c r="BI87" s="1012"/>
      <c r="BJ87" s="1012"/>
    </row>
    <row r="88" ht="11.25" customHeight="1">
      <c r="A88" s="994"/>
      <c r="B88" s="994"/>
      <c r="C88" s="994"/>
      <c r="D88" s="1012"/>
      <c r="E88" s="995"/>
      <c r="F88" s="1012"/>
      <c r="G88" s="1012"/>
      <c r="H88" s="1012"/>
      <c r="I88" s="1012"/>
      <c r="J88" s="1012"/>
      <c r="K88" s="1012"/>
      <c r="L88" s="1012"/>
      <c r="M88" s="1012"/>
      <c r="N88" s="1012"/>
      <c r="O88" s="1012"/>
      <c r="P88" s="1012"/>
      <c r="Q88" s="1012"/>
      <c r="R88" s="1012"/>
      <c r="S88" s="1012"/>
      <c r="T88" s="1012"/>
      <c r="U88" s="1012"/>
      <c r="V88" s="1012"/>
      <c r="W88" s="1012"/>
      <c r="X88" s="1012"/>
      <c r="Y88" s="1012"/>
      <c r="Z88" s="1012"/>
      <c r="AA88" s="1012"/>
      <c r="AB88" s="1012"/>
      <c r="AC88" s="1012"/>
      <c r="AD88" s="1012"/>
      <c r="AE88" s="1012"/>
      <c r="AF88" s="1012"/>
      <c r="AG88" s="1012"/>
      <c r="AH88" s="1012"/>
      <c r="AI88" s="1012"/>
      <c r="AJ88" s="1012"/>
      <c r="AK88" s="995"/>
      <c r="AL88" s="994"/>
      <c r="AM88" s="994"/>
      <c r="AN88" s="994"/>
      <c r="AO88" s="1012"/>
      <c r="AP88" s="1114"/>
      <c r="AQ88" s="1012"/>
      <c r="AR88" s="1012"/>
      <c r="AS88" s="1012"/>
      <c r="AT88" s="1012"/>
      <c r="AU88" s="1012"/>
      <c r="AV88" s="1012"/>
      <c r="AW88" s="1012"/>
      <c r="AX88" s="1012"/>
      <c r="AY88" s="1012"/>
      <c r="AZ88" s="1012"/>
      <c r="BA88" s="1012"/>
      <c r="BB88" s="1012"/>
      <c r="BC88" s="1012"/>
      <c r="BD88" s="1012"/>
      <c r="BE88" s="1012"/>
      <c r="BF88" s="1012"/>
      <c r="BG88" s="1012"/>
      <c r="BH88" s="1012"/>
      <c r="BI88" s="1012"/>
      <c r="BJ88" s="1012"/>
    </row>
    <row r="89" ht="11.25" customHeight="1">
      <c r="A89" s="994"/>
      <c r="B89" s="994"/>
      <c r="C89" s="994"/>
      <c r="D89" s="1012"/>
      <c r="E89" s="995"/>
      <c r="F89" s="1012"/>
      <c r="G89" s="1012"/>
      <c r="H89" s="1012"/>
      <c r="I89" s="1012"/>
      <c r="J89" s="1012"/>
      <c r="K89" s="1012"/>
      <c r="L89" s="1012"/>
      <c r="M89" s="1012"/>
      <c r="N89" s="1012"/>
      <c r="O89" s="1012"/>
      <c r="P89" s="1012"/>
      <c r="Q89" s="1012"/>
      <c r="R89" s="1012"/>
      <c r="S89" s="1012"/>
      <c r="T89" s="1012"/>
      <c r="U89" s="1012"/>
      <c r="V89" s="1012"/>
      <c r="W89" s="1012"/>
      <c r="X89" s="1012"/>
      <c r="Y89" s="1012"/>
      <c r="Z89" s="1012"/>
      <c r="AA89" s="1012"/>
      <c r="AB89" s="1012"/>
      <c r="AC89" s="1012"/>
      <c r="AD89" s="1012"/>
      <c r="AE89" s="1012"/>
      <c r="AF89" s="1012"/>
      <c r="AG89" s="1012"/>
      <c r="AH89" s="1012"/>
      <c r="AI89" s="1012"/>
      <c r="AJ89" s="1012"/>
      <c r="AK89" s="995"/>
      <c r="AL89" s="994"/>
      <c r="AM89" s="994"/>
      <c r="AN89" s="994"/>
      <c r="AO89" s="1012"/>
      <c r="AP89" s="1114"/>
      <c r="AQ89" s="1012"/>
      <c r="AR89" s="1012"/>
      <c r="AS89" s="1012"/>
      <c r="AT89" s="1012"/>
      <c r="AU89" s="1012"/>
      <c r="AV89" s="1012"/>
      <c r="AW89" s="1012"/>
      <c r="AX89" s="1012"/>
      <c r="AY89" s="1012"/>
      <c r="AZ89" s="1012"/>
      <c r="BA89" s="1012"/>
      <c r="BB89" s="1012"/>
      <c r="BC89" s="1012"/>
      <c r="BD89" s="1012"/>
      <c r="BE89" s="1012"/>
      <c r="BF89" s="1012"/>
      <c r="BG89" s="1012"/>
      <c r="BH89" s="1012"/>
      <c r="BI89" s="1012"/>
      <c r="BJ89" s="1012"/>
    </row>
    <row r="90" ht="11.25" customHeight="1">
      <c r="A90" s="994"/>
      <c r="B90" s="994"/>
      <c r="C90" s="994"/>
      <c r="D90" s="1012"/>
      <c r="E90" s="995"/>
      <c r="F90" s="1012"/>
      <c r="G90" s="1012"/>
      <c r="H90" s="1012"/>
      <c r="I90" s="1012"/>
      <c r="J90" s="1012"/>
      <c r="K90" s="1012"/>
      <c r="L90" s="1012"/>
      <c r="M90" s="1012"/>
      <c r="N90" s="1012"/>
      <c r="O90" s="1012"/>
      <c r="P90" s="1012"/>
      <c r="Q90" s="1012"/>
      <c r="R90" s="1012"/>
      <c r="S90" s="1012"/>
      <c r="T90" s="1012"/>
      <c r="U90" s="1012"/>
      <c r="V90" s="1012"/>
      <c r="W90" s="1012"/>
      <c r="X90" s="1012"/>
      <c r="Y90" s="1012"/>
      <c r="Z90" s="1012"/>
      <c r="AA90" s="1012"/>
      <c r="AB90" s="1012"/>
      <c r="AC90" s="1012"/>
      <c r="AD90" s="1012"/>
      <c r="AE90" s="1012"/>
      <c r="AF90" s="1012"/>
      <c r="AG90" s="1012"/>
      <c r="AH90" s="1012"/>
      <c r="AI90" s="1012"/>
      <c r="AJ90" s="1012"/>
      <c r="AK90" s="995"/>
      <c r="AL90" s="994"/>
      <c r="AM90" s="994"/>
      <c r="AN90" s="994"/>
      <c r="AO90" s="1012"/>
      <c r="AP90" s="1114"/>
      <c r="AQ90" s="1012"/>
      <c r="AR90" s="1012"/>
      <c r="AS90" s="1012"/>
      <c r="AT90" s="1012"/>
      <c r="AU90" s="1012"/>
      <c r="AV90" s="1012"/>
      <c r="AW90" s="1012"/>
      <c r="AX90" s="1012"/>
      <c r="AY90" s="1012"/>
      <c r="AZ90" s="1012"/>
      <c r="BA90" s="1012"/>
      <c r="BB90" s="1012"/>
      <c r="BC90" s="1012"/>
      <c r="BD90" s="1012"/>
      <c r="BE90" s="1012"/>
      <c r="BF90" s="1012"/>
      <c r="BG90" s="1012"/>
      <c r="BH90" s="1012"/>
      <c r="BI90" s="1012"/>
      <c r="BJ90" s="1012"/>
    </row>
    <row r="91" ht="11.25" customHeight="1">
      <c r="A91" s="994"/>
      <c r="B91" s="994"/>
      <c r="C91" s="994"/>
      <c r="D91" s="1012"/>
      <c r="E91" s="995"/>
      <c r="F91" s="1012"/>
      <c r="G91" s="1012"/>
      <c r="H91" s="1012"/>
      <c r="I91" s="1012"/>
      <c r="J91" s="1012"/>
      <c r="K91" s="1012"/>
      <c r="L91" s="1012"/>
      <c r="M91" s="1012"/>
      <c r="N91" s="1012"/>
      <c r="O91" s="1012"/>
      <c r="P91" s="1012"/>
      <c r="Q91" s="1012"/>
      <c r="R91" s="1012"/>
      <c r="S91" s="1012"/>
      <c r="T91" s="1012"/>
      <c r="U91" s="1012"/>
      <c r="V91" s="1012"/>
      <c r="W91" s="1012"/>
      <c r="X91" s="1012"/>
      <c r="Y91" s="1012"/>
      <c r="Z91" s="1012"/>
      <c r="AA91" s="1012"/>
      <c r="AB91" s="1012"/>
      <c r="AC91" s="1012"/>
      <c r="AD91" s="1012"/>
      <c r="AE91" s="1012"/>
      <c r="AF91" s="1012"/>
      <c r="AG91" s="1012"/>
      <c r="AH91" s="1012"/>
      <c r="AI91" s="1012"/>
      <c r="AJ91" s="1012"/>
      <c r="AK91" s="995"/>
      <c r="AL91" s="994"/>
      <c r="AM91" s="994"/>
      <c r="AN91" s="994"/>
      <c r="AO91" s="1012"/>
      <c r="AP91" s="1114"/>
      <c r="AQ91" s="1012"/>
      <c r="AR91" s="1012"/>
      <c r="AS91" s="1012"/>
      <c r="AT91" s="1012"/>
      <c r="AU91" s="1012"/>
      <c r="AV91" s="1012"/>
      <c r="AW91" s="1012"/>
      <c r="AX91" s="1012"/>
      <c r="AY91" s="1012"/>
      <c r="AZ91" s="1012"/>
      <c r="BA91" s="1012"/>
      <c r="BB91" s="1012"/>
      <c r="BC91" s="1012"/>
      <c r="BD91" s="1012"/>
      <c r="BE91" s="1012"/>
      <c r="BF91" s="1012"/>
      <c r="BG91" s="1012"/>
      <c r="BH91" s="1012"/>
      <c r="BI91" s="1012"/>
      <c r="BJ91" s="1012"/>
    </row>
    <row r="92" ht="11.25" customHeight="1">
      <c r="A92" s="994"/>
      <c r="B92" s="994"/>
      <c r="C92" s="994"/>
      <c r="D92" s="1012"/>
      <c r="E92" s="995"/>
      <c r="F92" s="1012"/>
      <c r="G92" s="1012"/>
      <c r="H92" s="1012"/>
      <c r="I92" s="1012"/>
      <c r="J92" s="1012"/>
      <c r="K92" s="1012"/>
      <c r="L92" s="1012"/>
      <c r="M92" s="1012"/>
      <c r="N92" s="1012"/>
      <c r="O92" s="1012"/>
      <c r="P92" s="1012"/>
      <c r="Q92" s="1012"/>
      <c r="R92" s="1012"/>
      <c r="S92" s="1012"/>
      <c r="T92" s="1012"/>
      <c r="U92" s="1012"/>
      <c r="V92" s="1012"/>
      <c r="W92" s="1012"/>
      <c r="X92" s="1012"/>
      <c r="Y92" s="1012"/>
      <c r="Z92" s="1012"/>
      <c r="AA92" s="1012"/>
      <c r="AB92" s="1012"/>
      <c r="AC92" s="1012"/>
      <c r="AD92" s="1012"/>
      <c r="AE92" s="1012"/>
      <c r="AF92" s="1012"/>
      <c r="AG92" s="1012"/>
      <c r="AH92" s="1012"/>
      <c r="AI92" s="1012"/>
      <c r="AJ92" s="1012"/>
      <c r="AK92" s="995"/>
      <c r="AL92" s="994"/>
      <c r="AM92" s="994"/>
      <c r="AN92" s="994"/>
      <c r="AO92" s="1012"/>
      <c r="AP92" s="1114"/>
      <c r="AQ92" s="1012"/>
      <c r="AR92" s="1012"/>
      <c r="AS92" s="1012"/>
      <c r="AT92" s="1012"/>
      <c r="AU92" s="1012"/>
      <c r="AV92" s="1012"/>
      <c r="AW92" s="1012"/>
      <c r="AX92" s="1012"/>
      <c r="AY92" s="1012"/>
      <c r="AZ92" s="1012"/>
      <c r="BA92" s="1012"/>
      <c r="BB92" s="1012"/>
      <c r="BC92" s="1012"/>
      <c r="BD92" s="1012"/>
      <c r="BE92" s="1012"/>
      <c r="BF92" s="1012"/>
      <c r="BG92" s="1012"/>
      <c r="BH92" s="1012"/>
      <c r="BI92" s="1012"/>
      <c r="BJ92" s="1012"/>
    </row>
    <row r="93" ht="11.25" customHeight="1">
      <c r="A93" s="994"/>
      <c r="B93" s="994"/>
      <c r="C93" s="994"/>
      <c r="D93" s="1012"/>
      <c r="E93" s="995"/>
      <c r="F93" s="1012"/>
      <c r="G93" s="1012"/>
      <c r="H93" s="1012"/>
      <c r="I93" s="1012"/>
      <c r="J93" s="1012"/>
      <c r="K93" s="1012"/>
      <c r="L93" s="1012"/>
      <c r="M93" s="1012"/>
      <c r="N93" s="1012"/>
      <c r="O93" s="1012"/>
      <c r="P93" s="1012"/>
      <c r="Q93" s="1012"/>
      <c r="R93" s="1012"/>
      <c r="S93" s="1012"/>
      <c r="T93" s="1012"/>
      <c r="U93" s="1012"/>
      <c r="V93" s="1012"/>
      <c r="W93" s="1012"/>
      <c r="X93" s="1012"/>
      <c r="Y93" s="1012"/>
      <c r="Z93" s="1012"/>
      <c r="AA93" s="1012"/>
      <c r="AB93" s="1012"/>
      <c r="AC93" s="1012"/>
      <c r="AD93" s="1012"/>
      <c r="AE93" s="1012"/>
      <c r="AF93" s="1012"/>
      <c r="AG93" s="1012"/>
      <c r="AH93" s="1012"/>
      <c r="AI93" s="1012"/>
      <c r="AJ93" s="1012"/>
      <c r="AK93" s="995"/>
      <c r="AL93" s="994"/>
      <c r="AM93" s="994"/>
      <c r="AN93" s="994"/>
      <c r="AO93" s="1012"/>
      <c r="AP93" s="1114"/>
      <c r="AQ93" s="1012"/>
      <c r="AR93" s="1012"/>
      <c r="AS93" s="1012"/>
      <c r="AT93" s="1012"/>
      <c r="AU93" s="1012"/>
      <c r="AV93" s="1012"/>
      <c r="AW93" s="1012"/>
      <c r="AX93" s="1012"/>
      <c r="AY93" s="1012"/>
      <c r="AZ93" s="1012"/>
      <c r="BA93" s="1012"/>
      <c r="BB93" s="1012"/>
      <c r="BC93" s="1012"/>
      <c r="BD93" s="1012"/>
      <c r="BE93" s="1012"/>
      <c r="BF93" s="1012"/>
      <c r="BG93" s="1012"/>
      <c r="BH93" s="1012"/>
      <c r="BI93" s="1012"/>
      <c r="BJ93" s="1012"/>
    </row>
    <row r="94" ht="11.25" customHeight="1">
      <c r="A94" s="994"/>
      <c r="B94" s="994"/>
      <c r="C94" s="994"/>
      <c r="D94" s="1012"/>
      <c r="E94" s="995"/>
      <c r="F94" s="1012"/>
      <c r="G94" s="1012"/>
      <c r="H94" s="1012"/>
      <c r="I94" s="1012"/>
      <c r="J94" s="1012"/>
      <c r="K94" s="1012"/>
      <c r="L94" s="1012"/>
      <c r="M94" s="1012"/>
      <c r="N94" s="1012"/>
      <c r="O94" s="1012"/>
      <c r="P94" s="1012"/>
      <c r="Q94" s="1012"/>
      <c r="R94" s="1012"/>
      <c r="S94" s="1012"/>
      <c r="T94" s="1012"/>
      <c r="U94" s="1012"/>
      <c r="V94" s="1012"/>
      <c r="W94" s="1012"/>
      <c r="X94" s="1012"/>
      <c r="Y94" s="1012"/>
      <c r="Z94" s="1012"/>
      <c r="AA94" s="1012"/>
      <c r="AB94" s="1012"/>
      <c r="AC94" s="1012"/>
      <c r="AD94" s="1012"/>
      <c r="AE94" s="1012"/>
      <c r="AF94" s="1012"/>
      <c r="AG94" s="1012"/>
      <c r="AH94" s="1012"/>
      <c r="AI94" s="1012"/>
      <c r="AJ94" s="1012"/>
      <c r="AK94" s="995"/>
      <c r="AL94" s="994"/>
      <c r="AM94" s="994"/>
      <c r="AN94" s="994"/>
      <c r="AO94" s="1012"/>
      <c r="AP94" s="1114"/>
      <c r="AQ94" s="1012"/>
      <c r="AR94" s="1012"/>
      <c r="AS94" s="1012"/>
      <c r="AT94" s="1012"/>
      <c r="AU94" s="1012"/>
      <c r="AV94" s="1012"/>
      <c r="AW94" s="1012"/>
      <c r="AX94" s="1012"/>
      <c r="AY94" s="1012"/>
      <c r="AZ94" s="1012"/>
      <c r="BA94" s="1012"/>
      <c r="BB94" s="1012"/>
      <c r="BC94" s="1012"/>
      <c r="BD94" s="1012"/>
      <c r="BE94" s="1012"/>
      <c r="BF94" s="1012"/>
      <c r="BG94" s="1012"/>
      <c r="BH94" s="1012"/>
      <c r="BI94" s="1012"/>
      <c r="BJ94" s="1012"/>
    </row>
    <row r="95" ht="11.25" customHeight="1">
      <c r="A95" s="994"/>
      <c r="B95" s="994"/>
      <c r="C95" s="994"/>
      <c r="D95" s="1012"/>
      <c r="E95" s="995"/>
      <c r="F95" s="1012"/>
      <c r="G95" s="1012"/>
      <c r="H95" s="1012"/>
      <c r="I95" s="1012"/>
      <c r="J95" s="1012"/>
      <c r="K95" s="1012"/>
      <c r="L95" s="1012"/>
      <c r="M95" s="1012"/>
      <c r="N95" s="1012"/>
      <c r="O95" s="1012"/>
      <c r="P95" s="1012"/>
      <c r="Q95" s="1012"/>
      <c r="R95" s="1012"/>
      <c r="S95" s="1012"/>
      <c r="T95" s="1012"/>
      <c r="U95" s="1012"/>
      <c r="V95" s="1012"/>
      <c r="W95" s="1012"/>
      <c r="X95" s="1012"/>
      <c r="Y95" s="1012"/>
      <c r="Z95" s="1012"/>
      <c r="AA95" s="1012"/>
      <c r="AB95" s="1012"/>
      <c r="AC95" s="1012"/>
      <c r="AD95" s="1012"/>
      <c r="AE95" s="1012"/>
      <c r="AF95" s="1012"/>
      <c r="AG95" s="1012"/>
      <c r="AH95" s="1012"/>
      <c r="AI95" s="1012"/>
      <c r="AJ95" s="1012"/>
      <c r="AK95" s="995"/>
      <c r="AL95" s="994"/>
      <c r="AM95" s="994"/>
      <c r="AN95" s="994"/>
      <c r="AO95" s="1012"/>
      <c r="AP95" s="1114"/>
      <c r="AQ95" s="1012"/>
      <c r="AR95" s="1012"/>
      <c r="AS95" s="1012"/>
      <c r="AT95" s="1012"/>
      <c r="AU95" s="1012"/>
      <c r="AV95" s="1012"/>
      <c r="AW95" s="1012"/>
      <c r="AX95" s="1012"/>
      <c r="AY95" s="1012"/>
      <c r="AZ95" s="1012"/>
      <c r="BA95" s="1012"/>
      <c r="BB95" s="1012"/>
      <c r="BC95" s="1012"/>
      <c r="BD95" s="1012"/>
      <c r="BE95" s="1012"/>
      <c r="BF95" s="1012"/>
      <c r="BG95" s="1012"/>
      <c r="BH95" s="1012"/>
      <c r="BI95" s="1012"/>
      <c r="BJ95" s="1012"/>
    </row>
    <row r="96" ht="11.25" customHeight="1">
      <c r="A96" s="994"/>
      <c r="B96" s="994"/>
      <c r="C96" s="994"/>
      <c r="D96" s="1012"/>
      <c r="E96" s="995"/>
      <c r="F96" s="1012"/>
      <c r="G96" s="1012"/>
      <c r="H96" s="1012"/>
      <c r="I96" s="1012"/>
      <c r="J96" s="1012"/>
      <c r="K96" s="1012"/>
      <c r="L96" s="1012"/>
      <c r="M96" s="1012"/>
      <c r="N96" s="1012"/>
      <c r="O96" s="1012"/>
      <c r="P96" s="1012"/>
      <c r="Q96" s="1012"/>
      <c r="R96" s="1012"/>
      <c r="S96" s="1012"/>
      <c r="T96" s="1012"/>
      <c r="U96" s="1012"/>
      <c r="V96" s="1012"/>
      <c r="W96" s="1012"/>
      <c r="X96" s="1012"/>
      <c r="Y96" s="1012"/>
      <c r="Z96" s="1012"/>
      <c r="AA96" s="1012"/>
      <c r="AB96" s="1012"/>
      <c r="AC96" s="1012"/>
      <c r="AD96" s="1012"/>
      <c r="AE96" s="1012"/>
      <c r="AF96" s="1012"/>
      <c r="AG96" s="1012"/>
      <c r="AH96" s="1012"/>
      <c r="AI96" s="1012"/>
      <c r="AJ96" s="1012"/>
      <c r="AK96" s="995"/>
      <c r="AL96" s="994"/>
      <c r="AM96" s="994"/>
      <c r="AN96" s="994"/>
      <c r="AO96" s="1012"/>
      <c r="AP96" s="1114"/>
      <c r="AQ96" s="1012"/>
      <c r="AR96" s="1012"/>
      <c r="AS96" s="1012"/>
      <c r="AT96" s="1012"/>
      <c r="AU96" s="1012"/>
      <c r="AV96" s="1012"/>
      <c r="AW96" s="1012"/>
      <c r="AX96" s="1012"/>
      <c r="AY96" s="1012"/>
      <c r="AZ96" s="1012"/>
      <c r="BA96" s="1012"/>
      <c r="BB96" s="1012"/>
      <c r="BC96" s="1012"/>
      <c r="BD96" s="1012"/>
      <c r="BE96" s="1012"/>
      <c r="BF96" s="1012"/>
      <c r="BG96" s="1012"/>
      <c r="BH96" s="1012"/>
      <c r="BI96" s="1012"/>
      <c r="BJ96" s="1012"/>
    </row>
    <row r="97" ht="11.25" customHeight="1">
      <c r="A97" s="994"/>
      <c r="B97" s="994"/>
      <c r="C97" s="994"/>
      <c r="D97" s="1012"/>
      <c r="E97" s="995"/>
      <c r="F97" s="1012"/>
      <c r="G97" s="1012"/>
      <c r="H97" s="1012"/>
      <c r="I97" s="1012"/>
      <c r="J97" s="1012"/>
      <c r="K97" s="1012"/>
      <c r="L97" s="1012"/>
      <c r="M97" s="1012"/>
      <c r="N97" s="1012"/>
      <c r="O97" s="1012"/>
      <c r="P97" s="1012"/>
      <c r="Q97" s="1012"/>
      <c r="R97" s="1012"/>
      <c r="S97" s="1012"/>
      <c r="T97" s="1012"/>
      <c r="U97" s="1012"/>
      <c r="V97" s="1012"/>
      <c r="W97" s="1012"/>
      <c r="X97" s="1012"/>
      <c r="Y97" s="1012"/>
      <c r="Z97" s="1012"/>
      <c r="AA97" s="1012"/>
      <c r="AB97" s="1012"/>
      <c r="AC97" s="1012"/>
      <c r="AD97" s="1012"/>
      <c r="AE97" s="1012"/>
      <c r="AF97" s="1012"/>
      <c r="AG97" s="1012"/>
      <c r="AH97" s="1012"/>
      <c r="AI97" s="1012"/>
      <c r="AJ97" s="1012"/>
      <c r="AK97" s="995"/>
      <c r="AL97" s="994"/>
      <c r="AM97" s="994"/>
      <c r="AN97" s="994"/>
      <c r="AO97" s="1012"/>
      <c r="AP97" s="1114"/>
      <c r="AQ97" s="1012"/>
      <c r="AR97" s="1012"/>
      <c r="AS97" s="1012"/>
      <c r="AT97" s="1012"/>
      <c r="AU97" s="1012"/>
      <c r="AV97" s="1012"/>
      <c r="AW97" s="1012"/>
      <c r="AX97" s="1012"/>
      <c r="AY97" s="1012"/>
      <c r="AZ97" s="1012"/>
      <c r="BA97" s="1012"/>
      <c r="BB97" s="1012"/>
      <c r="BC97" s="1012"/>
      <c r="BD97" s="1012"/>
      <c r="BE97" s="1012"/>
      <c r="BF97" s="1012"/>
      <c r="BG97" s="1012"/>
      <c r="BH97" s="1012"/>
      <c r="BI97" s="1012"/>
      <c r="BJ97" s="1012"/>
    </row>
    <row r="98" ht="11.25" customHeight="1">
      <c r="A98" s="994"/>
      <c r="B98" s="994"/>
      <c r="C98" s="994"/>
      <c r="D98" s="1012"/>
      <c r="E98" s="995"/>
      <c r="F98" s="1012"/>
      <c r="G98" s="1012"/>
      <c r="H98" s="1012"/>
      <c r="I98" s="1012"/>
      <c r="J98" s="1012"/>
      <c r="K98" s="1012"/>
      <c r="L98" s="1012"/>
      <c r="M98" s="1012"/>
      <c r="N98" s="1012"/>
      <c r="O98" s="1012"/>
      <c r="P98" s="1012"/>
      <c r="Q98" s="1012"/>
      <c r="R98" s="1012"/>
      <c r="S98" s="1012"/>
      <c r="T98" s="1012"/>
      <c r="U98" s="1012"/>
      <c r="V98" s="1012"/>
      <c r="W98" s="1012"/>
      <c r="X98" s="1012"/>
      <c r="Y98" s="1012"/>
      <c r="Z98" s="1012"/>
      <c r="AA98" s="1012"/>
      <c r="AB98" s="1012"/>
      <c r="AC98" s="1012"/>
      <c r="AD98" s="1012"/>
      <c r="AE98" s="1012"/>
      <c r="AF98" s="1012"/>
      <c r="AG98" s="1012"/>
      <c r="AH98" s="1012"/>
      <c r="AI98" s="1012"/>
      <c r="AJ98" s="1012"/>
      <c r="AK98" s="995"/>
      <c r="AL98" s="994"/>
      <c r="AM98" s="994"/>
      <c r="AN98" s="994"/>
      <c r="AO98" s="1012"/>
      <c r="AP98" s="1114"/>
      <c r="AQ98" s="1012"/>
      <c r="AR98" s="1012"/>
      <c r="AS98" s="1012"/>
      <c r="AT98" s="1012"/>
      <c r="AU98" s="1012"/>
      <c r="AV98" s="1012"/>
      <c r="AW98" s="1012"/>
      <c r="AX98" s="1012"/>
      <c r="AY98" s="1012"/>
      <c r="AZ98" s="1012"/>
      <c r="BA98" s="1012"/>
      <c r="BB98" s="1012"/>
      <c r="BC98" s="1012"/>
      <c r="BD98" s="1012"/>
      <c r="BE98" s="1012"/>
      <c r="BF98" s="1012"/>
      <c r="BG98" s="1012"/>
      <c r="BH98" s="1012"/>
      <c r="BI98" s="1012"/>
      <c r="BJ98" s="1012"/>
    </row>
    <row r="99" ht="11.25" customHeight="1">
      <c r="A99" s="994"/>
      <c r="B99" s="994"/>
      <c r="C99" s="994"/>
      <c r="D99" s="1012"/>
      <c r="E99" s="995"/>
      <c r="F99" s="1012"/>
      <c r="G99" s="1012"/>
      <c r="H99" s="1012"/>
      <c r="I99" s="1012"/>
      <c r="J99" s="1012"/>
      <c r="K99" s="1012"/>
      <c r="L99" s="1012"/>
      <c r="M99" s="1012"/>
      <c r="N99" s="1012"/>
      <c r="O99" s="1012"/>
      <c r="P99" s="1012"/>
      <c r="Q99" s="1012"/>
      <c r="R99" s="1012"/>
      <c r="S99" s="1012"/>
      <c r="T99" s="1012"/>
      <c r="U99" s="1012"/>
      <c r="V99" s="1012"/>
      <c r="W99" s="1012"/>
      <c r="X99" s="1012"/>
      <c r="Y99" s="1012"/>
      <c r="Z99" s="1012"/>
      <c r="AA99" s="1012"/>
      <c r="AB99" s="1012"/>
      <c r="AC99" s="1012"/>
      <c r="AD99" s="1012"/>
      <c r="AE99" s="1012"/>
      <c r="AF99" s="1012"/>
      <c r="AG99" s="1012"/>
      <c r="AH99" s="1012"/>
      <c r="AI99" s="1012"/>
      <c r="AJ99" s="1012"/>
      <c r="AK99" s="995"/>
      <c r="AL99" s="994"/>
      <c r="AM99" s="994"/>
      <c r="AN99" s="994"/>
      <c r="AO99" s="1012"/>
      <c r="AP99" s="1114"/>
      <c r="AQ99" s="1012"/>
      <c r="AR99" s="1012"/>
      <c r="AS99" s="1012"/>
      <c r="AT99" s="1012"/>
      <c r="AU99" s="1012"/>
      <c r="AV99" s="1012"/>
      <c r="AW99" s="1012"/>
      <c r="AX99" s="1012"/>
      <c r="AY99" s="1012"/>
      <c r="AZ99" s="1012"/>
      <c r="BA99" s="1012"/>
      <c r="BB99" s="1012"/>
      <c r="BC99" s="1012"/>
      <c r="BD99" s="1012"/>
      <c r="BE99" s="1012"/>
      <c r="BF99" s="1012"/>
      <c r="BG99" s="1012"/>
      <c r="BH99" s="1012"/>
      <c r="BI99" s="1012"/>
      <c r="BJ99" s="1012"/>
    </row>
    <row r="100" ht="11.25" customHeight="1">
      <c r="A100" s="994"/>
      <c r="B100" s="994"/>
      <c r="C100" s="994"/>
      <c r="D100" s="1012"/>
      <c r="E100" s="995"/>
      <c r="F100" s="1012"/>
      <c r="G100" s="1012"/>
      <c r="H100" s="1012"/>
      <c r="I100" s="1012"/>
      <c r="J100" s="1012"/>
      <c r="K100" s="1012"/>
      <c r="L100" s="1012"/>
      <c r="M100" s="1012"/>
      <c r="N100" s="1012"/>
      <c r="O100" s="1012"/>
      <c r="P100" s="1012"/>
      <c r="Q100" s="1012"/>
      <c r="R100" s="1012"/>
      <c r="S100" s="1012"/>
      <c r="T100" s="1012"/>
      <c r="U100" s="1012"/>
      <c r="V100" s="1012"/>
      <c r="W100" s="1012"/>
      <c r="X100" s="1012"/>
      <c r="Y100" s="1012"/>
      <c r="Z100" s="1012"/>
      <c r="AA100" s="1012"/>
      <c r="AB100" s="1012"/>
      <c r="AC100" s="1012"/>
      <c r="AD100" s="1012"/>
      <c r="AE100" s="1012"/>
      <c r="AF100" s="1012"/>
      <c r="AG100" s="1012"/>
      <c r="AH100" s="1012"/>
      <c r="AI100" s="1012"/>
      <c r="AJ100" s="1012"/>
      <c r="AK100" s="995"/>
      <c r="AL100" s="994"/>
      <c r="AM100" s="994"/>
      <c r="AN100" s="994"/>
      <c r="AO100" s="1012"/>
      <c r="AP100" s="1114"/>
      <c r="AQ100" s="1012"/>
      <c r="AR100" s="1012"/>
      <c r="AS100" s="1012"/>
      <c r="AT100" s="1012"/>
      <c r="AU100" s="1012"/>
      <c r="AV100" s="1012"/>
      <c r="AW100" s="1012"/>
      <c r="AX100" s="1012"/>
      <c r="AY100" s="1012"/>
      <c r="AZ100" s="1012"/>
      <c r="BA100" s="1012"/>
      <c r="BB100" s="1012"/>
      <c r="BC100" s="1012"/>
      <c r="BD100" s="1012"/>
      <c r="BE100" s="1012"/>
      <c r="BF100" s="1012"/>
      <c r="BG100" s="1012"/>
      <c r="BH100" s="1012"/>
      <c r="BI100" s="1012"/>
      <c r="BJ100" s="1012"/>
    </row>
    <row r="101" ht="11.25" customHeight="1">
      <c r="A101" s="994"/>
      <c r="B101" s="994"/>
      <c r="C101" s="994"/>
      <c r="D101" s="1012"/>
      <c r="E101" s="995"/>
      <c r="F101" s="1012"/>
      <c r="G101" s="1012"/>
      <c r="H101" s="1012"/>
      <c r="I101" s="1012"/>
      <c r="J101" s="1012"/>
      <c r="K101" s="1012"/>
      <c r="L101" s="1012"/>
      <c r="M101" s="1012"/>
      <c r="N101" s="1012"/>
      <c r="O101" s="1012"/>
      <c r="P101" s="1012"/>
      <c r="Q101" s="1012"/>
      <c r="R101" s="1012"/>
      <c r="S101" s="1012"/>
      <c r="T101" s="1012"/>
      <c r="U101" s="1012"/>
      <c r="V101" s="1012"/>
      <c r="W101" s="1012"/>
      <c r="X101" s="1012"/>
      <c r="Y101" s="1012"/>
      <c r="Z101" s="1012"/>
      <c r="AA101" s="1012"/>
      <c r="AB101" s="1012"/>
      <c r="AC101" s="1012"/>
      <c r="AD101" s="1012"/>
      <c r="AE101" s="1012"/>
      <c r="AF101" s="1012"/>
      <c r="AG101" s="1012"/>
      <c r="AH101" s="1012"/>
      <c r="AI101" s="1012"/>
      <c r="AJ101" s="1012"/>
      <c r="AK101" s="995"/>
      <c r="AL101" s="994"/>
      <c r="AM101" s="994"/>
      <c r="AN101" s="994"/>
      <c r="AO101" s="1012"/>
      <c r="AP101" s="1114"/>
      <c r="AQ101" s="1012"/>
      <c r="AR101" s="1012"/>
      <c r="AS101" s="1012"/>
      <c r="AT101" s="1012"/>
      <c r="AU101" s="1012"/>
      <c r="AV101" s="1012"/>
      <c r="AW101" s="1012"/>
      <c r="AX101" s="1012"/>
      <c r="AY101" s="1012"/>
      <c r="AZ101" s="1012"/>
      <c r="BA101" s="1012"/>
      <c r="BB101" s="1012"/>
      <c r="BC101" s="1012"/>
      <c r="BD101" s="1012"/>
      <c r="BE101" s="1012"/>
      <c r="BF101" s="1012"/>
      <c r="BG101" s="1012"/>
      <c r="BH101" s="1012"/>
      <c r="BI101" s="1012"/>
      <c r="BJ101" s="1012"/>
    </row>
    <row r="102" ht="11.25" customHeight="1">
      <c r="A102" s="994"/>
      <c r="B102" s="994"/>
      <c r="C102" s="994"/>
      <c r="D102" s="1012"/>
      <c r="E102" s="995"/>
      <c r="F102" s="1012"/>
      <c r="G102" s="1012"/>
      <c r="H102" s="1012"/>
      <c r="I102" s="1012"/>
      <c r="J102" s="1012"/>
      <c r="K102" s="1012"/>
      <c r="L102" s="1012"/>
      <c r="M102" s="1012"/>
      <c r="N102" s="1012"/>
      <c r="O102" s="1012"/>
      <c r="P102" s="1012"/>
      <c r="Q102" s="1012"/>
      <c r="R102" s="1012"/>
      <c r="S102" s="1012"/>
      <c r="T102" s="1012"/>
      <c r="U102" s="1012"/>
      <c r="V102" s="1012"/>
      <c r="W102" s="1012"/>
      <c r="X102" s="1012"/>
      <c r="Y102" s="1012"/>
      <c r="Z102" s="1012"/>
      <c r="AA102" s="1012"/>
      <c r="AB102" s="1012"/>
      <c r="AC102" s="1012"/>
      <c r="AD102" s="1012"/>
      <c r="AE102" s="1012"/>
      <c r="AF102" s="1012"/>
      <c r="AG102" s="1012"/>
      <c r="AH102" s="1012"/>
      <c r="AI102" s="1012"/>
      <c r="AJ102" s="1012"/>
      <c r="AK102" s="995"/>
      <c r="AL102" s="994"/>
      <c r="AM102" s="994"/>
      <c r="AN102" s="994"/>
      <c r="AO102" s="1012"/>
      <c r="AP102" s="1114"/>
      <c r="AQ102" s="1012"/>
      <c r="AR102" s="1012"/>
      <c r="AS102" s="1012"/>
      <c r="AT102" s="1012"/>
      <c r="AU102" s="1012"/>
      <c r="AV102" s="1012"/>
      <c r="AW102" s="1012"/>
      <c r="AX102" s="1012"/>
      <c r="AY102" s="1012"/>
      <c r="AZ102" s="1012"/>
      <c r="BA102" s="1012"/>
      <c r="BB102" s="1012"/>
      <c r="BC102" s="1012"/>
      <c r="BD102" s="1012"/>
      <c r="BE102" s="1012"/>
      <c r="BF102" s="1012"/>
      <c r="BG102" s="1012"/>
      <c r="BH102" s="1012"/>
      <c r="BI102" s="1012"/>
      <c r="BJ102" s="1012"/>
    </row>
    <row r="103" ht="11.25" customHeight="1">
      <c r="A103" s="994"/>
      <c r="B103" s="994"/>
      <c r="C103" s="994"/>
      <c r="D103" s="1012"/>
      <c r="E103" s="995"/>
      <c r="F103" s="1012"/>
      <c r="G103" s="1012"/>
      <c r="H103" s="1012"/>
      <c r="I103" s="1012"/>
      <c r="J103" s="1012"/>
      <c r="K103" s="1012"/>
      <c r="L103" s="1012"/>
      <c r="M103" s="1012"/>
      <c r="N103" s="1012"/>
      <c r="O103" s="1012"/>
      <c r="P103" s="1012"/>
      <c r="Q103" s="1012"/>
      <c r="R103" s="1012"/>
      <c r="S103" s="1012"/>
      <c r="T103" s="1012"/>
      <c r="U103" s="1012"/>
      <c r="V103" s="1012"/>
      <c r="W103" s="1012"/>
      <c r="X103" s="1012"/>
      <c r="Y103" s="1012"/>
      <c r="Z103" s="1012"/>
      <c r="AA103" s="1012"/>
      <c r="AB103" s="1012"/>
      <c r="AC103" s="1012"/>
      <c r="AD103" s="1012"/>
      <c r="AE103" s="1012"/>
      <c r="AF103" s="1012"/>
      <c r="AG103" s="1012"/>
      <c r="AH103" s="1012"/>
      <c r="AI103" s="1012"/>
      <c r="AJ103" s="1012"/>
      <c r="AK103" s="995"/>
      <c r="AL103" s="994"/>
      <c r="AM103" s="994"/>
      <c r="AN103" s="994"/>
      <c r="AO103" s="1012"/>
      <c r="AP103" s="1114"/>
      <c r="AQ103" s="1012"/>
      <c r="AR103" s="1012"/>
      <c r="AS103" s="1012"/>
      <c r="AT103" s="1012"/>
      <c r="AU103" s="1012"/>
      <c r="AV103" s="1012"/>
      <c r="AW103" s="1012"/>
      <c r="AX103" s="1012"/>
      <c r="AY103" s="1012"/>
      <c r="AZ103" s="1012"/>
      <c r="BA103" s="1012"/>
      <c r="BB103" s="1012"/>
      <c r="BC103" s="1012"/>
      <c r="BD103" s="1012"/>
      <c r="BE103" s="1012"/>
      <c r="BF103" s="1012"/>
      <c r="BG103" s="1012"/>
      <c r="BH103" s="1012"/>
      <c r="BI103" s="1012"/>
      <c r="BJ103" s="1012"/>
    </row>
    <row r="104" ht="11.25" customHeight="1">
      <c r="A104" s="994"/>
      <c r="B104" s="994"/>
      <c r="C104" s="994"/>
      <c r="D104" s="1012"/>
      <c r="E104" s="995"/>
      <c r="F104" s="1012"/>
      <c r="G104" s="1012"/>
      <c r="H104" s="1012"/>
      <c r="I104" s="1012"/>
      <c r="J104" s="1012"/>
      <c r="K104" s="1012"/>
      <c r="L104" s="1012"/>
      <c r="M104" s="1012"/>
      <c r="N104" s="1012"/>
      <c r="O104" s="1012"/>
      <c r="P104" s="1012"/>
      <c r="Q104" s="1012"/>
      <c r="R104" s="1012"/>
      <c r="S104" s="1012"/>
      <c r="T104" s="1012"/>
      <c r="U104" s="1012"/>
      <c r="V104" s="1012"/>
      <c r="W104" s="1012"/>
      <c r="X104" s="1012"/>
      <c r="Y104" s="1012"/>
      <c r="Z104" s="1012"/>
      <c r="AA104" s="1012"/>
      <c r="AB104" s="1012"/>
      <c r="AC104" s="1012"/>
      <c r="AD104" s="1012"/>
      <c r="AE104" s="1012"/>
      <c r="AF104" s="1012"/>
      <c r="AG104" s="1012"/>
      <c r="AH104" s="1012"/>
      <c r="AI104" s="1012"/>
      <c r="AJ104" s="1012"/>
      <c r="AK104" s="995"/>
      <c r="AL104" s="994"/>
      <c r="AM104" s="994"/>
      <c r="AN104" s="994"/>
      <c r="AO104" s="1012"/>
      <c r="AP104" s="1114"/>
      <c r="AQ104" s="1012"/>
      <c r="AR104" s="1012"/>
      <c r="AS104" s="1012"/>
      <c r="AT104" s="1012"/>
      <c r="AU104" s="1012"/>
      <c r="AV104" s="1012"/>
      <c r="AW104" s="1012"/>
      <c r="AX104" s="1012"/>
      <c r="AY104" s="1012"/>
      <c r="AZ104" s="1012"/>
      <c r="BA104" s="1012"/>
      <c r="BB104" s="1012"/>
      <c r="BC104" s="1012"/>
      <c r="BD104" s="1012"/>
      <c r="BE104" s="1012"/>
      <c r="BF104" s="1012"/>
      <c r="BG104" s="1012"/>
      <c r="BH104" s="1012"/>
      <c r="BI104" s="1012"/>
      <c r="BJ104" s="1012"/>
    </row>
    <row r="105" ht="11.25" customHeight="1">
      <c r="A105" s="994"/>
      <c r="B105" s="994"/>
      <c r="C105" s="994"/>
      <c r="D105" s="1012"/>
      <c r="E105" s="995"/>
      <c r="F105" s="1012"/>
      <c r="G105" s="1012"/>
      <c r="H105" s="1012"/>
      <c r="I105" s="1012"/>
      <c r="J105" s="1012"/>
      <c r="K105" s="1012"/>
      <c r="L105" s="1012"/>
      <c r="M105" s="1012"/>
      <c r="N105" s="1012"/>
      <c r="O105" s="1012"/>
      <c r="P105" s="1012"/>
      <c r="Q105" s="1012"/>
      <c r="R105" s="1012"/>
      <c r="S105" s="1012"/>
      <c r="T105" s="1012"/>
      <c r="U105" s="1012"/>
      <c r="V105" s="1012"/>
      <c r="W105" s="1012"/>
      <c r="X105" s="1012"/>
      <c r="Y105" s="1012"/>
      <c r="Z105" s="1012"/>
      <c r="AA105" s="1012"/>
      <c r="AB105" s="1012"/>
      <c r="AC105" s="1012"/>
      <c r="AD105" s="1012"/>
      <c r="AE105" s="1012"/>
      <c r="AF105" s="1012"/>
      <c r="AG105" s="1012"/>
      <c r="AH105" s="1012"/>
      <c r="AI105" s="1012"/>
      <c r="AJ105" s="1012"/>
      <c r="AK105" s="995"/>
      <c r="AL105" s="994"/>
      <c r="AM105" s="994"/>
      <c r="AN105" s="994"/>
      <c r="AO105" s="1012"/>
      <c r="AP105" s="1114"/>
      <c r="AQ105" s="1012"/>
      <c r="AR105" s="1012"/>
      <c r="AS105" s="1012"/>
      <c r="AT105" s="1012"/>
      <c r="AU105" s="1012"/>
      <c r="AV105" s="1012"/>
      <c r="AW105" s="1012"/>
      <c r="AX105" s="1012"/>
      <c r="AY105" s="1012"/>
      <c r="AZ105" s="1012"/>
      <c r="BA105" s="1012"/>
      <c r="BB105" s="1012"/>
      <c r="BC105" s="1012"/>
      <c r="BD105" s="1012"/>
      <c r="BE105" s="1012"/>
      <c r="BF105" s="1012"/>
      <c r="BG105" s="1012"/>
      <c r="BH105" s="1012"/>
      <c r="BI105" s="1012"/>
      <c r="BJ105" s="1012"/>
    </row>
    <row r="106" ht="11.25" customHeight="1">
      <c r="A106" s="994"/>
      <c r="B106" s="994"/>
      <c r="C106" s="994"/>
      <c r="D106" s="1012"/>
      <c r="E106" s="995"/>
      <c r="F106" s="1012"/>
      <c r="G106" s="1012"/>
      <c r="H106" s="1012"/>
      <c r="I106" s="1012"/>
      <c r="J106" s="1012"/>
      <c r="K106" s="1012"/>
      <c r="L106" s="1012"/>
      <c r="M106" s="1012"/>
      <c r="N106" s="1012"/>
      <c r="O106" s="1012"/>
      <c r="P106" s="1012"/>
      <c r="Q106" s="1012"/>
      <c r="R106" s="1012"/>
      <c r="S106" s="1012"/>
      <c r="T106" s="1012"/>
      <c r="U106" s="1012"/>
      <c r="V106" s="1012"/>
      <c r="W106" s="1012"/>
      <c r="X106" s="1012"/>
      <c r="Y106" s="1012"/>
      <c r="Z106" s="1012"/>
      <c r="AA106" s="1012"/>
      <c r="AB106" s="1012"/>
      <c r="AC106" s="1012"/>
      <c r="AD106" s="1012"/>
      <c r="AE106" s="1012"/>
      <c r="AF106" s="1012"/>
      <c r="AG106" s="1012"/>
      <c r="AH106" s="1012"/>
      <c r="AI106" s="1012"/>
      <c r="AJ106" s="1012"/>
      <c r="AK106" s="995"/>
      <c r="AL106" s="994"/>
      <c r="AM106" s="994"/>
      <c r="AN106" s="994"/>
      <c r="AO106" s="1012"/>
      <c r="AP106" s="1114"/>
      <c r="AQ106" s="1012"/>
      <c r="AR106" s="1012"/>
      <c r="AS106" s="1012"/>
      <c r="AT106" s="1012"/>
      <c r="AU106" s="1012"/>
      <c r="AV106" s="1012"/>
      <c r="AW106" s="1012"/>
      <c r="AX106" s="1012"/>
      <c r="AY106" s="1012"/>
      <c r="AZ106" s="1012"/>
      <c r="BA106" s="1012"/>
      <c r="BB106" s="1012"/>
      <c r="BC106" s="1012"/>
      <c r="BD106" s="1012"/>
      <c r="BE106" s="1012"/>
      <c r="BF106" s="1012"/>
      <c r="BG106" s="1012"/>
      <c r="BH106" s="1012"/>
      <c r="BI106" s="1012"/>
      <c r="BJ106" s="1012"/>
    </row>
    <row r="107" ht="11.25" customHeight="1">
      <c r="A107" s="994"/>
      <c r="B107" s="994"/>
      <c r="C107" s="994"/>
      <c r="D107" s="1012"/>
      <c r="E107" s="995"/>
      <c r="F107" s="1012"/>
      <c r="G107" s="1012"/>
      <c r="H107" s="1012"/>
      <c r="I107" s="1012"/>
      <c r="J107" s="1012"/>
      <c r="K107" s="1012"/>
      <c r="L107" s="1012"/>
      <c r="M107" s="1012"/>
      <c r="N107" s="1012"/>
      <c r="O107" s="1012"/>
      <c r="P107" s="1012"/>
      <c r="Q107" s="1012"/>
      <c r="R107" s="1012"/>
      <c r="S107" s="1012"/>
      <c r="T107" s="1012"/>
      <c r="U107" s="1012"/>
      <c r="V107" s="1012"/>
      <c r="W107" s="1012"/>
      <c r="X107" s="1012"/>
      <c r="Y107" s="1012"/>
      <c r="Z107" s="1012"/>
      <c r="AA107" s="1012"/>
      <c r="AB107" s="1012"/>
      <c r="AC107" s="1012"/>
      <c r="AD107" s="1012"/>
      <c r="AE107" s="1012"/>
      <c r="AF107" s="1012"/>
      <c r="AG107" s="1012"/>
      <c r="AH107" s="1012"/>
      <c r="AI107" s="1012"/>
      <c r="AJ107" s="1012"/>
      <c r="AK107" s="995"/>
      <c r="AL107" s="994"/>
      <c r="AM107" s="994"/>
      <c r="AN107" s="994"/>
      <c r="AO107" s="1012"/>
      <c r="AP107" s="1114"/>
      <c r="AQ107" s="1012"/>
      <c r="AR107" s="1012"/>
      <c r="AS107" s="1012"/>
      <c r="AT107" s="1012"/>
      <c r="AU107" s="1012"/>
      <c r="AV107" s="1012"/>
      <c r="AW107" s="1012"/>
      <c r="AX107" s="1012"/>
      <c r="AY107" s="1012"/>
      <c r="AZ107" s="1012"/>
      <c r="BA107" s="1012"/>
      <c r="BB107" s="1012"/>
      <c r="BC107" s="1012"/>
      <c r="BD107" s="1012"/>
      <c r="BE107" s="1012"/>
      <c r="BF107" s="1012"/>
      <c r="BG107" s="1012"/>
      <c r="BH107" s="1012"/>
      <c r="BI107" s="1012"/>
      <c r="BJ107" s="1012"/>
    </row>
    <row r="108" ht="11.25" customHeight="1">
      <c r="A108" s="994"/>
      <c r="B108" s="994"/>
      <c r="C108" s="994"/>
      <c r="D108" s="1012"/>
      <c r="E108" s="995"/>
      <c r="F108" s="1012"/>
      <c r="G108" s="1012"/>
      <c r="H108" s="1012"/>
      <c r="I108" s="1012"/>
      <c r="J108" s="1012"/>
      <c r="K108" s="1012"/>
      <c r="L108" s="1012"/>
      <c r="M108" s="1012"/>
      <c r="N108" s="1012"/>
      <c r="O108" s="1012"/>
      <c r="P108" s="1012"/>
      <c r="Q108" s="1012"/>
      <c r="R108" s="1012"/>
      <c r="S108" s="1012"/>
      <c r="T108" s="1012"/>
      <c r="U108" s="1012"/>
      <c r="V108" s="1012"/>
      <c r="W108" s="1012"/>
      <c r="X108" s="1012"/>
      <c r="Y108" s="1012"/>
      <c r="Z108" s="1012"/>
      <c r="AA108" s="1012"/>
      <c r="AB108" s="1012"/>
      <c r="AC108" s="1012"/>
      <c r="AD108" s="1012"/>
      <c r="AE108" s="1012"/>
      <c r="AF108" s="1012"/>
      <c r="AG108" s="1012"/>
      <c r="AH108" s="1012"/>
      <c r="AI108" s="1012"/>
      <c r="AJ108" s="1012"/>
      <c r="AK108" s="995"/>
      <c r="AL108" s="994"/>
      <c r="AM108" s="994"/>
      <c r="AN108" s="994"/>
      <c r="AO108" s="1012"/>
      <c r="AP108" s="1114"/>
      <c r="AQ108" s="1012"/>
      <c r="AR108" s="1012"/>
      <c r="AS108" s="1012"/>
      <c r="AT108" s="1012"/>
      <c r="AU108" s="1012"/>
      <c r="AV108" s="1012"/>
      <c r="AW108" s="1012"/>
      <c r="AX108" s="1012"/>
      <c r="AY108" s="1012"/>
      <c r="AZ108" s="1012"/>
      <c r="BA108" s="1012"/>
      <c r="BB108" s="1012"/>
      <c r="BC108" s="1012"/>
      <c r="BD108" s="1012"/>
      <c r="BE108" s="1012"/>
      <c r="BF108" s="1012"/>
      <c r="BG108" s="1012"/>
      <c r="BH108" s="1012"/>
      <c r="BI108" s="1012"/>
      <c r="BJ108" s="1012"/>
    </row>
    <row r="109" ht="11.25" customHeight="1">
      <c r="A109" s="994"/>
      <c r="B109" s="994"/>
      <c r="C109" s="994"/>
      <c r="D109" s="1012"/>
      <c r="E109" s="995"/>
      <c r="F109" s="1012"/>
      <c r="G109" s="1012"/>
      <c r="H109" s="1012"/>
      <c r="I109" s="1012"/>
      <c r="J109" s="1012"/>
      <c r="K109" s="1012"/>
      <c r="L109" s="1012"/>
      <c r="M109" s="1012"/>
      <c r="N109" s="1012"/>
      <c r="O109" s="1012"/>
      <c r="P109" s="1012"/>
      <c r="Q109" s="1012"/>
      <c r="R109" s="1012"/>
      <c r="S109" s="1012"/>
      <c r="T109" s="1012"/>
      <c r="U109" s="1012"/>
      <c r="V109" s="1012"/>
      <c r="W109" s="1012"/>
      <c r="X109" s="1012"/>
      <c r="Y109" s="1012"/>
      <c r="Z109" s="1012"/>
      <c r="AA109" s="1012"/>
      <c r="AB109" s="1012"/>
      <c r="AC109" s="1012"/>
      <c r="AD109" s="1012"/>
      <c r="AE109" s="1012"/>
      <c r="AF109" s="1012"/>
      <c r="AG109" s="1012"/>
      <c r="AH109" s="1012"/>
      <c r="AI109" s="1012"/>
      <c r="AJ109" s="1012"/>
      <c r="AK109" s="995"/>
      <c r="AL109" s="994"/>
      <c r="AM109" s="994"/>
      <c r="AN109" s="994"/>
      <c r="AO109" s="1012"/>
      <c r="AP109" s="1114"/>
      <c r="AQ109" s="1012"/>
      <c r="AR109" s="1012"/>
      <c r="AS109" s="1012"/>
      <c r="AT109" s="1012"/>
      <c r="AU109" s="1012"/>
      <c r="AV109" s="1012"/>
      <c r="AW109" s="1012"/>
      <c r="AX109" s="1012"/>
      <c r="AY109" s="1012"/>
      <c r="AZ109" s="1012"/>
      <c r="BA109" s="1012"/>
      <c r="BB109" s="1012"/>
      <c r="BC109" s="1012"/>
      <c r="BD109" s="1012"/>
      <c r="BE109" s="1012"/>
      <c r="BF109" s="1012"/>
      <c r="BG109" s="1012"/>
      <c r="BH109" s="1012"/>
      <c r="BI109" s="1012"/>
      <c r="BJ109" s="1012"/>
    </row>
    <row r="110" ht="11.25" customHeight="1">
      <c r="A110" s="994"/>
      <c r="B110" s="994"/>
      <c r="C110" s="994"/>
      <c r="D110" s="1012"/>
      <c r="E110" s="995"/>
      <c r="F110" s="1012"/>
      <c r="G110" s="1012"/>
      <c r="H110" s="1012"/>
      <c r="I110" s="1012"/>
      <c r="J110" s="1012"/>
      <c r="K110" s="1012"/>
      <c r="L110" s="1012"/>
      <c r="M110" s="1012"/>
      <c r="N110" s="1012"/>
      <c r="O110" s="1012"/>
      <c r="P110" s="1012"/>
      <c r="Q110" s="1012"/>
      <c r="R110" s="1012"/>
      <c r="S110" s="1012"/>
      <c r="T110" s="1012"/>
      <c r="U110" s="1012"/>
      <c r="V110" s="1012"/>
      <c r="W110" s="1012"/>
      <c r="X110" s="1012"/>
      <c r="Y110" s="1012"/>
      <c r="Z110" s="1012"/>
      <c r="AA110" s="1012"/>
      <c r="AB110" s="1012"/>
      <c r="AC110" s="1012"/>
      <c r="AD110" s="1012"/>
      <c r="AE110" s="1012"/>
      <c r="AF110" s="1012"/>
      <c r="AG110" s="1012"/>
      <c r="AH110" s="1012"/>
      <c r="AI110" s="1012"/>
      <c r="AJ110" s="1012"/>
      <c r="AK110" s="995"/>
      <c r="AL110" s="994"/>
      <c r="AM110" s="994"/>
      <c r="AN110" s="994"/>
      <c r="AO110" s="1012"/>
      <c r="AP110" s="1114"/>
      <c r="AQ110" s="1012"/>
      <c r="AR110" s="1012"/>
      <c r="AS110" s="1012"/>
      <c r="AT110" s="1012"/>
      <c r="AU110" s="1012"/>
      <c r="AV110" s="1012"/>
      <c r="AW110" s="1012"/>
      <c r="AX110" s="1012"/>
      <c r="AY110" s="1012"/>
      <c r="AZ110" s="1012"/>
      <c r="BA110" s="1012"/>
      <c r="BB110" s="1012"/>
      <c r="BC110" s="1012"/>
      <c r="BD110" s="1012"/>
      <c r="BE110" s="1012"/>
      <c r="BF110" s="1012"/>
      <c r="BG110" s="1012"/>
      <c r="BH110" s="1012"/>
      <c r="BI110" s="1012"/>
      <c r="BJ110" s="1012"/>
    </row>
    <row r="111" ht="11.25" customHeight="1">
      <c r="A111" s="994"/>
      <c r="B111" s="994"/>
      <c r="C111" s="994"/>
      <c r="D111" s="1012"/>
      <c r="E111" s="995"/>
      <c r="F111" s="1012"/>
      <c r="G111" s="1012"/>
      <c r="H111" s="1012"/>
      <c r="I111" s="1012"/>
      <c r="J111" s="1012"/>
      <c r="K111" s="1012"/>
      <c r="L111" s="1012"/>
      <c r="M111" s="1012"/>
      <c r="N111" s="1012"/>
      <c r="O111" s="1012"/>
      <c r="P111" s="1012"/>
      <c r="Q111" s="1012"/>
      <c r="R111" s="1012"/>
      <c r="S111" s="1012"/>
      <c r="T111" s="1012"/>
      <c r="U111" s="1012"/>
      <c r="V111" s="1012"/>
      <c r="W111" s="1012"/>
      <c r="X111" s="1012"/>
      <c r="Y111" s="1012"/>
      <c r="Z111" s="1012"/>
      <c r="AA111" s="1012"/>
      <c r="AB111" s="1012"/>
      <c r="AC111" s="1012"/>
      <c r="AD111" s="1012"/>
      <c r="AE111" s="1012"/>
      <c r="AF111" s="1012"/>
      <c r="AG111" s="1012"/>
      <c r="AH111" s="1012"/>
      <c r="AI111" s="1012"/>
      <c r="AJ111" s="1012"/>
      <c r="AK111" s="995"/>
      <c r="AL111" s="994"/>
      <c r="AM111" s="994"/>
      <c r="AN111" s="994"/>
      <c r="AO111" s="1012"/>
      <c r="AP111" s="1114"/>
      <c r="AQ111" s="1012"/>
      <c r="AR111" s="1012"/>
      <c r="AS111" s="1012"/>
      <c r="AT111" s="1012"/>
      <c r="AU111" s="1012"/>
      <c r="AV111" s="1012"/>
      <c r="AW111" s="1012"/>
      <c r="AX111" s="1012"/>
      <c r="AY111" s="1012"/>
      <c r="AZ111" s="1012"/>
      <c r="BA111" s="1012"/>
      <c r="BB111" s="1012"/>
      <c r="BC111" s="1012"/>
      <c r="BD111" s="1012"/>
      <c r="BE111" s="1012"/>
      <c r="BF111" s="1012"/>
      <c r="BG111" s="1012"/>
      <c r="BH111" s="1012"/>
      <c r="BI111" s="1012"/>
      <c r="BJ111" s="1012"/>
    </row>
    <row r="112" ht="11.25" customHeight="1">
      <c r="A112" s="994"/>
      <c r="B112" s="994"/>
      <c r="C112" s="994"/>
      <c r="D112" s="1012"/>
      <c r="E112" s="995"/>
      <c r="F112" s="1012"/>
      <c r="G112" s="1012"/>
      <c r="H112" s="1012"/>
      <c r="I112" s="1012"/>
      <c r="J112" s="1012"/>
      <c r="K112" s="1012"/>
      <c r="L112" s="1012"/>
      <c r="M112" s="1012"/>
      <c r="N112" s="1012"/>
      <c r="O112" s="1012"/>
      <c r="P112" s="1012"/>
      <c r="Q112" s="1012"/>
      <c r="R112" s="1012"/>
      <c r="S112" s="1012"/>
      <c r="T112" s="1012"/>
      <c r="U112" s="1012"/>
      <c r="V112" s="1012"/>
      <c r="W112" s="1012"/>
      <c r="X112" s="1012"/>
      <c r="Y112" s="1012"/>
      <c r="Z112" s="1012"/>
      <c r="AA112" s="1012"/>
      <c r="AB112" s="1012"/>
      <c r="AC112" s="1012"/>
      <c r="AD112" s="1012"/>
      <c r="AE112" s="1012"/>
      <c r="AF112" s="1012"/>
      <c r="AG112" s="1012"/>
      <c r="AH112" s="1012"/>
      <c r="AI112" s="1012"/>
      <c r="AJ112" s="1012"/>
      <c r="AK112" s="995"/>
      <c r="AL112" s="994"/>
      <c r="AM112" s="994"/>
      <c r="AN112" s="994"/>
      <c r="AO112" s="1012"/>
      <c r="AP112" s="1114"/>
      <c r="AQ112" s="1012"/>
      <c r="AR112" s="1012"/>
      <c r="AS112" s="1012"/>
      <c r="AT112" s="1012"/>
      <c r="AU112" s="1012"/>
      <c r="AV112" s="1012"/>
      <c r="AW112" s="1012"/>
      <c r="AX112" s="1012"/>
      <c r="AY112" s="1012"/>
      <c r="AZ112" s="1012"/>
      <c r="BA112" s="1012"/>
      <c r="BB112" s="1012"/>
      <c r="BC112" s="1012"/>
      <c r="BD112" s="1012"/>
      <c r="BE112" s="1012"/>
      <c r="BF112" s="1012"/>
      <c r="BG112" s="1012"/>
      <c r="BH112" s="1012"/>
      <c r="BI112" s="1012"/>
      <c r="BJ112" s="1012"/>
    </row>
    <row r="113" ht="11.25" customHeight="1">
      <c r="A113" s="994"/>
      <c r="B113" s="994"/>
      <c r="C113" s="994"/>
      <c r="D113" s="1012"/>
      <c r="E113" s="995"/>
      <c r="F113" s="1012"/>
      <c r="G113" s="1012"/>
      <c r="H113" s="1012"/>
      <c r="I113" s="1012"/>
      <c r="J113" s="1012"/>
      <c r="K113" s="1012"/>
      <c r="L113" s="1012"/>
      <c r="M113" s="1012"/>
      <c r="N113" s="1012"/>
      <c r="O113" s="1012"/>
      <c r="P113" s="1012"/>
      <c r="Q113" s="1012"/>
      <c r="R113" s="1012"/>
      <c r="S113" s="1012"/>
      <c r="T113" s="1012"/>
      <c r="U113" s="1012"/>
      <c r="V113" s="1012"/>
      <c r="W113" s="1012"/>
      <c r="X113" s="1012"/>
      <c r="Y113" s="1012"/>
      <c r="Z113" s="1012"/>
      <c r="AA113" s="1012"/>
      <c r="AB113" s="1012"/>
      <c r="AC113" s="1012"/>
      <c r="AD113" s="1012"/>
      <c r="AE113" s="1012"/>
      <c r="AF113" s="1012"/>
      <c r="AG113" s="1012"/>
      <c r="AH113" s="1012"/>
      <c r="AI113" s="1012"/>
      <c r="AJ113" s="1012"/>
      <c r="AK113" s="995"/>
      <c r="AL113" s="994"/>
      <c r="AM113" s="994"/>
      <c r="AN113" s="994"/>
      <c r="AO113" s="1012"/>
      <c r="AP113" s="1114"/>
      <c r="AQ113" s="1012"/>
      <c r="AR113" s="1012"/>
      <c r="AS113" s="1012"/>
      <c r="AT113" s="1012"/>
      <c r="AU113" s="1012"/>
      <c r="AV113" s="1012"/>
      <c r="AW113" s="1012"/>
      <c r="AX113" s="1012"/>
      <c r="AY113" s="1012"/>
      <c r="AZ113" s="1012"/>
      <c r="BA113" s="1012"/>
      <c r="BB113" s="1012"/>
      <c r="BC113" s="1012"/>
      <c r="BD113" s="1012"/>
      <c r="BE113" s="1012"/>
      <c r="BF113" s="1012"/>
      <c r="BG113" s="1012"/>
      <c r="BH113" s="1012"/>
      <c r="BI113" s="1012"/>
      <c r="BJ113" s="1012"/>
    </row>
    <row r="114" ht="11.25" customHeight="1">
      <c r="A114" s="994"/>
      <c r="B114" s="994"/>
      <c r="C114" s="994"/>
      <c r="D114" s="1012"/>
      <c r="E114" s="995"/>
      <c r="F114" s="1012"/>
      <c r="G114" s="1012"/>
      <c r="H114" s="1012"/>
      <c r="I114" s="1012"/>
      <c r="J114" s="1012"/>
      <c r="K114" s="1012"/>
      <c r="L114" s="1012"/>
      <c r="M114" s="1012"/>
      <c r="N114" s="1012"/>
      <c r="O114" s="1012"/>
      <c r="P114" s="1012"/>
      <c r="Q114" s="1012"/>
      <c r="R114" s="1012"/>
      <c r="S114" s="1012"/>
      <c r="T114" s="1012"/>
      <c r="U114" s="1012"/>
      <c r="V114" s="1012"/>
      <c r="W114" s="1012"/>
      <c r="X114" s="1012"/>
      <c r="Y114" s="1012"/>
      <c r="Z114" s="1012"/>
      <c r="AA114" s="1012"/>
      <c r="AB114" s="1012"/>
      <c r="AC114" s="1012"/>
      <c r="AD114" s="1012"/>
      <c r="AE114" s="1012"/>
      <c r="AF114" s="1012"/>
      <c r="AG114" s="1012"/>
      <c r="AH114" s="1012"/>
      <c r="AI114" s="1012"/>
      <c r="AJ114" s="1012"/>
      <c r="AK114" s="995"/>
      <c r="AL114" s="994"/>
      <c r="AM114" s="994"/>
      <c r="AN114" s="994"/>
      <c r="AO114" s="1012"/>
      <c r="AP114" s="1114"/>
      <c r="AQ114" s="1012"/>
      <c r="AR114" s="1012"/>
      <c r="AS114" s="1012"/>
      <c r="AT114" s="1012"/>
      <c r="AU114" s="1012"/>
      <c r="AV114" s="1012"/>
      <c r="AW114" s="1012"/>
      <c r="AX114" s="1012"/>
      <c r="AY114" s="1012"/>
      <c r="AZ114" s="1012"/>
      <c r="BA114" s="1012"/>
      <c r="BB114" s="1012"/>
      <c r="BC114" s="1012"/>
      <c r="BD114" s="1012"/>
      <c r="BE114" s="1012"/>
      <c r="BF114" s="1012"/>
      <c r="BG114" s="1012"/>
      <c r="BH114" s="1012"/>
      <c r="BI114" s="1012"/>
      <c r="BJ114" s="1012"/>
    </row>
    <row r="115" ht="11.25" customHeight="1">
      <c r="A115" s="994"/>
      <c r="B115" s="994"/>
      <c r="C115" s="994"/>
      <c r="D115" s="1012"/>
      <c r="E115" s="995"/>
      <c r="F115" s="1012"/>
      <c r="G115" s="1012"/>
      <c r="H115" s="1012"/>
      <c r="I115" s="1012"/>
      <c r="J115" s="1012"/>
      <c r="K115" s="1012"/>
      <c r="L115" s="1012"/>
      <c r="M115" s="1012"/>
      <c r="N115" s="1012"/>
      <c r="O115" s="1012"/>
      <c r="P115" s="1012"/>
      <c r="Q115" s="1012"/>
      <c r="R115" s="1012"/>
      <c r="S115" s="1012"/>
      <c r="T115" s="1012"/>
      <c r="U115" s="1012"/>
      <c r="V115" s="1012"/>
      <c r="W115" s="1012"/>
      <c r="X115" s="1012"/>
      <c r="Y115" s="1012"/>
      <c r="Z115" s="1012"/>
      <c r="AA115" s="1012"/>
      <c r="AB115" s="1012"/>
      <c r="AC115" s="1012"/>
      <c r="AD115" s="1012"/>
      <c r="AE115" s="1012"/>
      <c r="AF115" s="1012"/>
      <c r="AG115" s="1012"/>
      <c r="AH115" s="1012"/>
      <c r="AI115" s="1012"/>
      <c r="AJ115" s="1012"/>
      <c r="AK115" s="995"/>
      <c r="AL115" s="994"/>
      <c r="AM115" s="994"/>
      <c r="AN115" s="994"/>
      <c r="AO115" s="1012"/>
      <c r="AP115" s="1114"/>
      <c r="AQ115" s="1012"/>
      <c r="AR115" s="1012"/>
      <c r="AS115" s="1012"/>
      <c r="AT115" s="1012"/>
      <c r="AU115" s="1012"/>
      <c r="AV115" s="1012"/>
      <c r="AW115" s="1012"/>
      <c r="AX115" s="1012"/>
      <c r="AY115" s="1012"/>
      <c r="AZ115" s="1012"/>
      <c r="BA115" s="1012"/>
      <c r="BB115" s="1012"/>
      <c r="BC115" s="1012"/>
      <c r="BD115" s="1012"/>
      <c r="BE115" s="1012"/>
      <c r="BF115" s="1012"/>
      <c r="BG115" s="1012"/>
      <c r="BH115" s="1012"/>
      <c r="BI115" s="1012"/>
      <c r="BJ115" s="1012"/>
    </row>
    <row r="116" ht="11.25" customHeight="1">
      <c r="A116" s="994"/>
      <c r="B116" s="994"/>
      <c r="C116" s="994"/>
      <c r="D116" s="1012"/>
      <c r="E116" s="995"/>
      <c r="F116" s="1012"/>
      <c r="G116" s="1012"/>
      <c r="H116" s="1012"/>
      <c r="I116" s="1012"/>
      <c r="J116" s="1012"/>
      <c r="K116" s="1012"/>
      <c r="L116" s="1012"/>
      <c r="M116" s="1012"/>
      <c r="N116" s="1012"/>
      <c r="O116" s="1012"/>
      <c r="P116" s="1012"/>
      <c r="Q116" s="1012"/>
      <c r="R116" s="1012"/>
      <c r="S116" s="1012"/>
      <c r="T116" s="1012"/>
      <c r="U116" s="1012"/>
      <c r="V116" s="1012"/>
      <c r="W116" s="1012"/>
      <c r="X116" s="1012"/>
      <c r="Y116" s="1012"/>
      <c r="Z116" s="1012"/>
      <c r="AA116" s="1012"/>
      <c r="AB116" s="1012"/>
      <c r="AC116" s="1012"/>
      <c r="AD116" s="1012"/>
      <c r="AE116" s="1012"/>
      <c r="AF116" s="1012"/>
      <c r="AG116" s="1012"/>
      <c r="AH116" s="1012"/>
      <c r="AI116" s="1012"/>
      <c r="AJ116" s="1012"/>
      <c r="AK116" s="995"/>
      <c r="AL116" s="994"/>
      <c r="AM116" s="994"/>
      <c r="AN116" s="994"/>
      <c r="AO116" s="1012"/>
      <c r="AP116" s="1114"/>
      <c r="AQ116" s="1012"/>
      <c r="AR116" s="1012"/>
      <c r="AS116" s="1012"/>
      <c r="AT116" s="1012"/>
      <c r="AU116" s="1012"/>
      <c r="AV116" s="1012"/>
      <c r="AW116" s="1012"/>
      <c r="AX116" s="1012"/>
      <c r="AY116" s="1012"/>
      <c r="AZ116" s="1012"/>
      <c r="BA116" s="1012"/>
      <c r="BB116" s="1012"/>
      <c r="BC116" s="1012"/>
      <c r="BD116" s="1012"/>
      <c r="BE116" s="1012"/>
      <c r="BF116" s="1012"/>
      <c r="BG116" s="1012"/>
      <c r="BH116" s="1012"/>
      <c r="BI116" s="1012"/>
      <c r="BJ116" s="1012"/>
    </row>
    <row r="117" ht="11.25" customHeight="1">
      <c r="A117" s="994"/>
      <c r="B117" s="994"/>
      <c r="C117" s="994"/>
      <c r="D117" s="1012"/>
      <c r="E117" s="995"/>
      <c r="F117" s="1012"/>
      <c r="G117" s="1012"/>
      <c r="H117" s="1012"/>
      <c r="I117" s="1012"/>
      <c r="J117" s="1012"/>
      <c r="K117" s="1012"/>
      <c r="L117" s="1012"/>
      <c r="M117" s="1012"/>
      <c r="N117" s="1012"/>
      <c r="O117" s="1012"/>
      <c r="P117" s="1012"/>
      <c r="Q117" s="1012"/>
      <c r="R117" s="1012"/>
      <c r="S117" s="1012"/>
      <c r="T117" s="1012"/>
      <c r="U117" s="1012"/>
      <c r="V117" s="1012"/>
      <c r="W117" s="1012"/>
      <c r="X117" s="1012"/>
      <c r="Y117" s="1012"/>
      <c r="Z117" s="1012"/>
      <c r="AA117" s="1012"/>
      <c r="AB117" s="1012"/>
      <c r="AC117" s="1012"/>
      <c r="AD117" s="1012"/>
      <c r="AE117" s="1012"/>
      <c r="AF117" s="1012"/>
      <c r="AG117" s="1012"/>
      <c r="AH117" s="1012"/>
      <c r="AI117" s="1012"/>
      <c r="AJ117" s="1012"/>
      <c r="AK117" s="995"/>
      <c r="AL117" s="994"/>
      <c r="AM117" s="994"/>
      <c r="AN117" s="994"/>
      <c r="AO117" s="1012"/>
      <c r="AP117" s="1114"/>
      <c r="AQ117" s="1012"/>
      <c r="AR117" s="1012"/>
      <c r="AS117" s="1012"/>
      <c r="AT117" s="1012"/>
      <c r="AU117" s="1012"/>
      <c r="AV117" s="1012"/>
      <c r="AW117" s="1012"/>
      <c r="AX117" s="1012"/>
      <c r="AY117" s="1012"/>
      <c r="AZ117" s="1012"/>
      <c r="BA117" s="1012"/>
      <c r="BB117" s="1012"/>
      <c r="BC117" s="1012"/>
      <c r="BD117" s="1012"/>
      <c r="BE117" s="1012"/>
      <c r="BF117" s="1012"/>
      <c r="BG117" s="1012"/>
      <c r="BH117" s="1012"/>
      <c r="BI117" s="1012"/>
      <c r="BJ117" s="1012"/>
    </row>
    <row r="118" ht="11.25" customHeight="1">
      <c r="A118" s="994"/>
      <c r="B118" s="994"/>
      <c r="C118" s="994"/>
      <c r="D118" s="1012"/>
      <c r="E118" s="995"/>
      <c r="F118" s="1012"/>
      <c r="G118" s="1012"/>
      <c r="H118" s="1012"/>
      <c r="I118" s="1012"/>
      <c r="J118" s="1012"/>
      <c r="K118" s="1012"/>
      <c r="L118" s="1012"/>
      <c r="M118" s="1012"/>
      <c r="N118" s="1012"/>
      <c r="O118" s="1012"/>
      <c r="P118" s="1012"/>
      <c r="Q118" s="1012"/>
      <c r="R118" s="1012"/>
      <c r="S118" s="1012"/>
      <c r="T118" s="1012"/>
      <c r="U118" s="1012"/>
      <c r="V118" s="1012"/>
      <c r="W118" s="1012"/>
      <c r="X118" s="1012"/>
      <c r="Y118" s="1012"/>
      <c r="Z118" s="1012"/>
      <c r="AA118" s="1012"/>
      <c r="AB118" s="1012"/>
      <c r="AC118" s="1012"/>
      <c r="AD118" s="1012"/>
      <c r="AE118" s="1012"/>
      <c r="AF118" s="1012"/>
      <c r="AG118" s="1012"/>
      <c r="AH118" s="1012"/>
      <c r="AI118" s="1012"/>
      <c r="AJ118" s="1012"/>
      <c r="AK118" s="995"/>
      <c r="AL118" s="994"/>
      <c r="AM118" s="994"/>
      <c r="AN118" s="994"/>
      <c r="AO118" s="1012"/>
      <c r="AP118" s="1114"/>
      <c r="AQ118" s="1012"/>
      <c r="AR118" s="1012"/>
      <c r="AS118" s="1012"/>
      <c r="AT118" s="1012"/>
      <c r="AU118" s="1012"/>
      <c r="AV118" s="1012"/>
      <c r="AW118" s="1012"/>
      <c r="AX118" s="1012"/>
      <c r="AY118" s="1012"/>
      <c r="AZ118" s="1012"/>
      <c r="BA118" s="1012"/>
      <c r="BB118" s="1012"/>
      <c r="BC118" s="1012"/>
      <c r="BD118" s="1012"/>
      <c r="BE118" s="1012"/>
      <c r="BF118" s="1012"/>
      <c r="BG118" s="1012"/>
      <c r="BH118" s="1012"/>
      <c r="BI118" s="1012"/>
      <c r="BJ118" s="1012"/>
    </row>
    <row r="119" ht="11.25" customHeight="1">
      <c r="A119" s="994"/>
      <c r="B119" s="994"/>
      <c r="C119" s="994"/>
      <c r="D119" s="1012"/>
      <c r="E119" s="995"/>
      <c r="F119" s="1012"/>
      <c r="G119" s="1012"/>
      <c r="H119" s="1012"/>
      <c r="I119" s="1012"/>
      <c r="J119" s="1012"/>
      <c r="K119" s="1012"/>
      <c r="L119" s="1012"/>
      <c r="M119" s="1012"/>
      <c r="N119" s="1012"/>
      <c r="O119" s="1012"/>
      <c r="P119" s="1012"/>
      <c r="Q119" s="1012"/>
      <c r="R119" s="1012"/>
      <c r="S119" s="1012"/>
      <c r="T119" s="1012"/>
      <c r="U119" s="1012"/>
      <c r="V119" s="1012"/>
      <c r="W119" s="1012"/>
      <c r="X119" s="1012"/>
      <c r="Y119" s="1012"/>
      <c r="Z119" s="1012"/>
      <c r="AA119" s="1012"/>
      <c r="AB119" s="1012"/>
      <c r="AC119" s="1012"/>
      <c r="AD119" s="1012"/>
      <c r="AE119" s="1012"/>
      <c r="AF119" s="1012"/>
      <c r="AG119" s="1012"/>
      <c r="AH119" s="1012"/>
      <c r="AI119" s="1012"/>
      <c r="AJ119" s="1012"/>
      <c r="AK119" s="995"/>
      <c r="AL119" s="994"/>
      <c r="AM119" s="994"/>
      <c r="AN119" s="994"/>
      <c r="AO119" s="1012"/>
      <c r="AP119" s="1114"/>
      <c r="AQ119" s="1012"/>
      <c r="AR119" s="1012"/>
      <c r="AS119" s="1012"/>
      <c r="AT119" s="1012"/>
      <c r="AU119" s="1012"/>
      <c r="AV119" s="1012"/>
      <c r="AW119" s="1012"/>
      <c r="AX119" s="1012"/>
      <c r="AY119" s="1012"/>
      <c r="AZ119" s="1012"/>
      <c r="BA119" s="1012"/>
      <c r="BB119" s="1012"/>
      <c r="BC119" s="1012"/>
      <c r="BD119" s="1012"/>
      <c r="BE119" s="1012"/>
      <c r="BF119" s="1012"/>
      <c r="BG119" s="1012"/>
      <c r="BH119" s="1012"/>
      <c r="BI119" s="1012"/>
      <c r="BJ119" s="1012"/>
    </row>
    <row r="120" ht="11.25" customHeight="1">
      <c r="A120" s="994"/>
      <c r="B120" s="994"/>
      <c r="C120" s="994"/>
      <c r="D120" s="1012"/>
      <c r="E120" s="995"/>
      <c r="F120" s="1012"/>
      <c r="G120" s="1012"/>
      <c r="H120" s="1012"/>
      <c r="I120" s="1012"/>
      <c r="J120" s="1012"/>
      <c r="K120" s="1012"/>
      <c r="L120" s="1012"/>
      <c r="M120" s="1012"/>
      <c r="N120" s="1012"/>
      <c r="O120" s="1012"/>
      <c r="P120" s="1012"/>
      <c r="Q120" s="1012"/>
      <c r="R120" s="1012"/>
      <c r="S120" s="1012"/>
      <c r="T120" s="1012"/>
      <c r="U120" s="1012"/>
      <c r="V120" s="1012"/>
      <c r="W120" s="1012"/>
      <c r="X120" s="1012"/>
      <c r="Y120" s="1012"/>
      <c r="Z120" s="1012"/>
      <c r="AA120" s="1012"/>
      <c r="AB120" s="1012"/>
      <c r="AC120" s="1012"/>
      <c r="AD120" s="1012"/>
      <c r="AE120" s="1012"/>
      <c r="AF120" s="1012"/>
      <c r="AG120" s="1012"/>
      <c r="AH120" s="1012"/>
      <c r="AI120" s="1012"/>
      <c r="AJ120" s="1012"/>
      <c r="AK120" s="995"/>
      <c r="AL120" s="994"/>
      <c r="AM120" s="994"/>
      <c r="AN120" s="994"/>
      <c r="AO120" s="1012"/>
      <c r="AP120" s="1114"/>
      <c r="AQ120" s="1012"/>
      <c r="AR120" s="1012"/>
      <c r="AS120" s="1012"/>
      <c r="AT120" s="1012"/>
      <c r="AU120" s="1012"/>
      <c r="AV120" s="1012"/>
      <c r="AW120" s="1012"/>
      <c r="AX120" s="1012"/>
      <c r="AY120" s="1012"/>
      <c r="AZ120" s="1012"/>
      <c r="BA120" s="1012"/>
      <c r="BB120" s="1012"/>
      <c r="BC120" s="1012"/>
      <c r="BD120" s="1012"/>
      <c r="BE120" s="1012"/>
      <c r="BF120" s="1012"/>
      <c r="BG120" s="1012"/>
      <c r="BH120" s="1012"/>
      <c r="BI120" s="1012"/>
      <c r="BJ120" s="1012"/>
    </row>
    <row r="121" ht="11.25" customHeight="1">
      <c r="A121" s="994"/>
      <c r="B121" s="994"/>
      <c r="C121" s="994"/>
      <c r="D121" s="1012"/>
      <c r="E121" s="995"/>
      <c r="F121" s="1012"/>
      <c r="G121" s="1012"/>
      <c r="H121" s="1012"/>
      <c r="I121" s="1012"/>
      <c r="J121" s="1012"/>
      <c r="K121" s="1012"/>
      <c r="L121" s="1012"/>
      <c r="M121" s="1012"/>
      <c r="N121" s="1012"/>
      <c r="O121" s="1012"/>
      <c r="P121" s="1012"/>
      <c r="Q121" s="1012"/>
      <c r="R121" s="1012"/>
      <c r="S121" s="1012"/>
      <c r="T121" s="1012"/>
      <c r="U121" s="1012"/>
      <c r="V121" s="1012"/>
      <c r="W121" s="1012"/>
      <c r="X121" s="1012"/>
      <c r="Y121" s="1012"/>
      <c r="Z121" s="1012"/>
      <c r="AA121" s="1012"/>
      <c r="AB121" s="1012"/>
      <c r="AC121" s="1012"/>
      <c r="AD121" s="1012"/>
      <c r="AE121" s="1012"/>
      <c r="AF121" s="1012"/>
      <c r="AG121" s="1012"/>
      <c r="AH121" s="1012"/>
      <c r="AI121" s="1012"/>
      <c r="AJ121" s="1012"/>
      <c r="AK121" s="995"/>
      <c r="AL121" s="994"/>
      <c r="AM121" s="994"/>
      <c r="AN121" s="994"/>
      <c r="AO121" s="1012"/>
      <c r="AP121" s="1114"/>
      <c r="AQ121" s="1012"/>
      <c r="AR121" s="1012"/>
      <c r="AS121" s="1012"/>
      <c r="AT121" s="1012"/>
      <c r="AU121" s="1012"/>
      <c r="AV121" s="1012"/>
      <c r="AW121" s="1012"/>
      <c r="AX121" s="1012"/>
      <c r="AY121" s="1012"/>
      <c r="AZ121" s="1012"/>
      <c r="BA121" s="1012"/>
      <c r="BB121" s="1012"/>
      <c r="BC121" s="1012"/>
      <c r="BD121" s="1012"/>
      <c r="BE121" s="1012"/>
      <c r="BF121" s="1012"/>
      <c r="BG121" s="1012"/>
      <c r="BH121" s="1012"/>
      <c r="BI121" s="1012"/>
      <c r="BJ121" s="1012"/>
    </row>
    <row r="122" ht="11.25" customHeight="1">
      <c r="A122" s="994"/>
      <c r="B122" s="994"/>
      <c r="C122" s="994"/>
      <c r="D122" s="1012"/>
      <c r="E122" s="995"/>
      <c r="F122" s="1012"/>
      <c r="G122" s="1012"/>
      <c r="H122" s="1012"/>
      <c r="I122" s="1012"/>
      <c r="J122" s="1012"/>
      <c r="K122" s="1012"/>
      <c r="L122" s="1012"/>
      <c r="M122" s="1012"/>
      <c r="N122" s="1012"/>
      <c r="O122" s="1012"/>
      <c r="P122" s="1012"/>
      <c r="Q122" s="1012"/>
      <c r="R122" s="1012"/>
      <c r="S122" s="1012"/>
      <c r="T122" s="1012"/>
      <c r="U122" s="1012"/>
      <c r="V122" s="1012"/>
      <c r="W122" s="1012"/>
      <c r="X122" s="1012"/>
      <c r="Y122" s="1012"/>
      <c r="Z122" s="1012"/>
      <c r="AA122" s="1012"/>
      <c r="AB122" s="1012"/>
      <c r="AC122" s="1012"/>
      <c r="AD122" s="1012"/>
      <c r="AE122" s="1012"/>
      <c r="AF122" s="1012"/>
      <c r="AG122" s="1012"/>
      <c r="AH122" s="1012"/>
      <c r="AI122" s="1012"/>
      <c r="AJ122" s="1012"/>
      <c r="AK122" s="995"/>
      <c r="AL122" s="994"/>
      <c r="AM122" s="994"/>
      <c r="AN122" s="994"/>
      <c r="AO122" s="1012"/>
      <c r="AP122" s="1114"/>
      <c r="AQ122" s="1012"/>
      <c r="AR122" s="1012"/>
      <c r="AS122" s="1012"/>
      <c r="AT122" s="1012"/>
      <c r="AU122" s="1012"/>
      <c r="AV122" s="1012"/>
      <c r="AW122" s="1012"/>
      <c r="AX122" s="1012"/>
      <c r="AY122" s="1012"/>
      <c r="AZ122" s="1012"/>
      <c r="BA122" s="1012"/>
      <c r="BB122" s="1012"/>
      <c r="BC122" s="1012"/>
      <c r="BD122" s="1012"/>
      <c r="BE122" s="1012"/>
      <c r="BF122" s="1012"/>
      <c r="BG122" s="1012"/>
      <c r="BH122" s="1012"/>
      <c r="BI122" s="1012"/>
      <c r="BJ122" s="1012"/>
    </row>
    <row r="123" ht="11.25" customHeight="1">
      <c r="A123" s="994"/>
      <c r="B123" s="994"/>
      <c r="C123" s="994"/>
      <c r="D123" s="1012"/>
      <c r="E123" s="995"/>
      <c r="F123" s="1012"/>
      <c r="G123" s="1012"/>
      <c r="H123" s="1012"/>
      <c r="I123" s="1012"/>
      <c r="J123" s="1012"/>
      <c r="K123" s="1012"/>
      <c r="L123" s="1012"/>
      <c r="M123" s="1012"/>
      <c r="N123" s="1012"/>
      <c r="O123" s="1012"/>
      <c r="P123" s="1012"/>
      <c r="Q123" s="1012"/>
      <c r="R123" s="1012"/>
      <c r="S123" s="1012"/>
      <c r="T123" s="1012"/>
      <c r="U123" s="1012"/>
      <c r="V123" s="1012"/>
      <c r="W123" s="1012"/>
      <c r="X123" s="1012"/>
      <c r="Y123" s="1012"/>
      <c r="Z123" s="1012"/>
      <c r="AA123" s="1012"/>
      <c r="AB123" s="1012"/>
      <c r="AC123" s="1012"/>
      <c r="AD123" s="1012"/>
      <c r="AE123" s="1012"/>
      <c r="AF123" s="1012"/>
      <c r="AG123" s="1012"/>
      <c r="AH123" s="1012"/>
      <c r="AI123" s="1012"/>
      <c r="AJ123" s="1012"/>
      <c r="AK123" s="995"/>
      <c r="AL123" s="994"/>
      <c r="AM123" s="994"/>
      <c r="AN123" s="994"/>
      <c r="AO123" s="1012"/>
      <c r="AP123" s="1114"/>
      <c r="AQ123" s="1012"/>
      <c r="AR123" s="1012"/>
      <c r="AS123" s="1012"/>
      <c r="AT123" s="1012"/>
      <c r="AU123" s="1012"/>
      <c r="AV123" s="1012"/>
      <c r="AW123" s="1012"/>
      <c r="AX123" s="1012"/>
      <c r="AY123" s="1012"/>
      <c r="AZ123" s="1012"/>
      <c r="BA123" s="1012"/>
      <c r="BB123" s="1012"/>
      <c r="BC123" s="1012"/>
      <c r="BD123" s="1012"/>
      <c r="BE123" s="1012"/>
      <c r="BF123" s="1012"/>
      <c r="BG123" s="1012"/>
      <c r="BH123" s="1012"/>
      <c r="BI123" s="1012"/>
      <c r="BJ123" s="1012"/>
    </row>
    <row r="124" ht="11.25" customHeight="1">
      <c r="A124" s="994"/>
      <c r="B124" s="994"/>
      <c r="C124" s="994"/>
      <c r="D124" s="1012"/>
      <c r="E124" s="995"/>
      <c r="F124" s="1012"/>
      <c r="G124" s="1012"/>
      <c r="H124" s="1012"/>
      <c r="I124" s="1012"/>
      <c r="J124" s="1012"/>
      <c r="K124" s="1012"/>
      <c r="L124" s="1012"/>
      <c r="M124" s="1012"/>
      <c r="N124" s="1012"/>
      <c r="O124" s="1012"/>
      <c r="P124" s="1012"/>
      <c r="Q124" s="1012"/>
      <c r="R124" s="1012"/>
      <c r="S124" s="1012"/>
      <c r="T124" s="1012"/>
      <c r="U124" s="1012"/>
      <c r="V124" s="1012"/>
      <c r="W124" s="1012"/>
      <c r="X124" s="1012"/>
      <c r="Y124" s="1012"/>
      <c r="Z124" s="1012"/>
      <c r="AA124" s="1012"/>
      <c r="AB124" s="1012"/>
      <c r="AC124" s="1012"/>
      <c r="AD124" s="1012"/>
      <c r="AE124" s="1012"/>
      <c r="AF124" s="1012"/>
      <c r="AG124" s="1012"/>
      <c r="AH124" s="1012"/>
      <c r="AI124" s="1012"/>
      <c r="AJ124" s="1012"/>
      <c r="AK124" s="995"/>
      <c r="AL124" s="994"/>
      <c r="AM124" s="994"/>
      <c r="AN124" s="994"/>
      <c r="AO124" s="1012"/>
      <c r="AP124" s="1114"/>
      <c r="AQ124" s="1012"/>
      <c r="AR124" s="1012"/>
      <c r="AS124" s="1012"/>
      <c r="AT124" s="1012"/>
      <c r="AU124" s="1012"/>
      <c r="AV124" s="1012"/>
      <c r="AW124" s="1012"/>
      <c r="AX124" s="1012"/>
      <c r="AY124" s="1012"/>
      <c r="AZ124" s="1012"/>
      <c r="BA124" s="1012"/>
      <c r="BB124" s="1012"/>
      <c r="BC124" s="1012"/>
      <c r="BD124" s="1012"/>
      <c r="BE124" s="1012"/>
      <c r="BF124" s="1012"/>
      <c r="BG124" s="1012"/>
      <c r="BH124" s="1012"/>
      <c r="BI124" s="1012"/>
      <c r="BJ124" s="1012"/>
    </row>
    <row r="125" ht="11.25" customHeight="1">
      <c r="A125" s="994"/>
      <c r="B125" s="994"/>
      <c r="C125" s="994"/>
      <c r="D125" s="1012"/>
      <c r="E125" s="995"/>
      <c r="F125" s="1012"/>
      <c r="G125" s="1012"/>
      <c r="H125" s="1012"/>
      <c r="I125" s="1012"/>
      <c r="J125" s="1012"/>
      <c r="K125" s="1012"/>
      <c r="L125" s="1012"/>
      <c r="M125" s="1012"/>
      <c r="N125" s="1012"/>
      <c r="O125" s="1012"/>
      <c r="P125" s="1012"/>
      <c r="Q125" s="1012"/>
      <c r="R125" s="1012"/>
      <c r="S125" s="1012"/>
      <c r="T125" s="1012"/>
      <c r="U125" s="1012"/>
      <c r="V125" s="1012"/>
      <c r="W125" s="1012"/>
      <c r="X125" s="1012"/>
      <c r="Y125" s="1012"/>
      <c r="Z125" s="1012"/>
      <c r="AA125" s="1012"/>
      <c r="AB125" s="1012"/>
      <c r="AC125" s="1012"/>
      <c r="AD125" s="1012"/>
      <c r="AE125" s="1012"/>
      <c r="AF125" s="1012"/>
      <c r="AG125" s="1012"/>
      <c r="AH125" s="1012"/>
      <c r="AI125" s="1012"/>
      <c r="AJ125" s="1012"/>
      <c r="AK125" s="995"/>
      <c r="AL125" s="994"/>
      <c r="AM125" s="994"/>
      <c r="AN125" s="994"/>
      <c r="AO125" s="1012"/>
      <c r="AP125" s="1114"/>
      <c r="AQ125" s="1012"/>
      <c r="AR125" s="1012"/>
      <c r="AS125" s="1012"/>
      <c r="AT125" s="1012"/>
      <c r="AU125" s="1012"/>
      <c r="AV125" s="1012"/>
      <c r="AW125" s="1012"/>
      <c r="AX125" s="1012"/>
      <c r="AY125" s="1012"/>
      <c r="AZ125" s="1012"/>
      <c r="BA125" s="1012"/>
      <c r="BB125" s="1012"/>
      <c r="BC125" s="1012"/>
      <c r="BD125" s="1012"/>
      <c r="BE125" s="1012"/>
      <c r="BF125" s="1012"/>
      <c r="BG125" s="1012"/>
      <c r="BH125" s="1012"/>
      <c r="BI125" s="1012"/>
      <c r="BJ125" s="1012"/>
    </row>
    <row r="126" ht="11.25" customHeight="1">
      <c r="A126" s="994"/>
      <c r="B126" s="994"/>
      <c r="C126" s="994"/>
      <c r="D126" s="1012"/>
      <c r="E126" s="995"/>
      <c r="F126" s="1012"/>
      <c r="G126" s="1012"/>
      <c r="H126" s="1012"/>
      <c r="I126" s="1012"/>
      <c r="J126" s="1012"/>
      <c r="K126" s="1012"/>
      <c r="L126" s="1012"/>
      <c r="M126" s="1012"/>
      <c r="N126" s="1012"/>
      <c r="O126" s="1012"/>
      <c r="P126" s="1012"/>
      <c r="Q126" s="1012"/>
      <c r="R126" s="1012"/>
      <c r="S126" s="1012"/>
      <c r="T126" s="1012"/>
      <c r="U126" s="1012"/>
      <c r="V126" s="1012"/>
      <c r="W126" s="1012"/>
      <c r="X126" s="1012"/>
      <c r="Y126" s="1012"/>
      <c r="Z126" s="1012"/>
      <c r="AA126" s="1012"/>
      <c r="AB126" s="1012"/>
      <c r="AC126" s="1012"/>
      <c r="AD126" s="1012"/>
      <c r="AE126" s="1012"/>
      <c r="AF126" s="1012"/>
      <c r="AG126" s="1012"/>
      <c r="AH126" s="1012"/>
      <c r="AI126" s="1012"/>
      <c r="AJ126" s="1012"/>
      <c r="AK126" s="995"/>
      <c r="AL126" s="994"/>
      <c r="AM126" s="994"/>
      <c r="AN126" s="994"/>
      <c r="AO126" s="1012"/>
      <c r="AP126" s="1114"/>
      <c r="AQ126" s="1012"/>
      <c r="AR126" s="1012"/>
      <c r="AS126" s="1012"/>
      <c r="AT126" s="1012"/>
      <c r="AU126" s="1012"/>
      <c r="AV126" s="1012"/>
      <c r="AW126" s="1012"/>
      <c r="AX126" s="1012"/>
      <c r="AY126" s="1012"/>
      <c r="AZ126" s="1012"/>
      <c r="BA126" s="1012"/>
      <c r="BB126" s="1012"/>
      <c r="BC126" s="1012"/>
      <c r="BD126" s="1012"/>
      <c r="BE126" s="1012"/>
      <c r="BF126" s="1012"/>
      <c r="BG126" s="1012"/>
      <c r="BH126" s="1012"/>
      <c r="BI126" s="1012"/>
      <c r="BJ126" s="1012"/>
    </row>
    <row r="127" ht="11.25" customHeight="1">
      <c r="A127" s="994"/>
      <c r="B127" s="994"/>
      <c r="C127" s="994"/>
      <c r="D127" s="1012"/>
      <c r="E127" s="995"/>
      <c r="F127" s="1012"/>
      <c r="G127" s="1012"/>
      <c r="H127" s="1012"/>
      <c r="I127" s="1012"/>
      <c r="J127" s="1012"/>
      <c r="K127" s="1012"/>
      <c r="L127" s="1012"/>
      <c r="M127" s="1012"/>
      <c r="N127" s="1012"/>
      <c r="O127" s="1012"/>
      <c r="P127" s="1012"/>
      <c r="Q127" s="1012"/>
      <c r="R127" s="1012"/>
      <c r="S127" s="1012"/>
      <c r="T127" s="1012"/>
      <c r="U127" s="1012"/>
      <c r="V127" s="1012"/>
      <c r="W127" s="1012"/>
      <c r="X127" s="1012"/>
      <c r="Y127" s="1012"/>
      <c r="Z127" s="1012"/>
      <c r="AA127" s="1012"/>
      <c r="AB127" s="1012"/>
      <c r="AC127" s="1012"/>
      <c r="AD127" s="1012"/>
      <c r="AE127" s="1012"/>
      <c r="AF127" s="1012"/>
      <c r="AG127" s="1012"/>
      <c r="AH127" s="1012"/>
      <c r="AI127" s="1012"/>
      <c r="AJ127" s="1012"/>
      <c r="AK127" s="995"/>
      <c r="AL127" s="994"/>
      <c r="AM127" s="994"/>
      <c r="AN127" s="994"/>
      <c r="AO127" s="1012"/>
      <c r="AP127" s="1114"/>
      <c r="AQ127" s="1012"/>
      <c r="AR127" s="1012"/>
      <c r="AS127" s="1012"/>
      <c r="AT127" s="1012"/>
      <c r="AU127" s="1012"/>
      <c r="AV127" s="1012"/>
      <c r="AW127" s="1012"/>
      <c r="AX127" s="1012"/>
      <c r="AY127" s="1012"/>
      <c r="AZ127" s="1012"/>
      <c r="BA127" s="1012"/>
      <c r="BB127" s="1012"/>
      <c r="BC127" s="1012"/>
      <c r="BD127" s="1012"/>
      <c r="BE127" s="1012"/>
      <c r="BF127" s="1012"/>
      <c r="BG127" s="1012"/>
      <c r="BH127" s="1012"/>
      <c r="BI127" s="1012"/>
      <c r="BJ127" s="1012"/>
    </row>
    <row r="128" ht="11.25" customHeight="1">
      <c r="A128" s="994"/>
      <c r="B128" s="994"/>
      <c r="C128" s="994"/>
      <c r="D128" s="1012"/>
      <c r="E128" s="995"/>
      <c r="F128" s="1012"/>
      <c r="G128" s="1012"/>
      <c r="H128" s="1012"/>
      <c r="I128" s="1012"/>
      <c r="J128" s="1012"/>
      <c r="K128" s="1012"/>
      <c r="L128" s="1012"/>
      <c r="M128" s="1012"/>
      <c r="N128" s="1012"/>
      <c r="O128" s="1012"/>
      <c r="P128" s="1012"/>
      <c r="Q128" s="1012"/>
      <c r="R128" s="1012"/>
      <c r="S128" s="1012"/>
      <c r="T128" s="1012"/>
      <c r="U128" s="1012"/>
      <c r="V128" s="1012"/>
      <c r="W128" s="1012"/>
      <c r="X128" s="1012"/>
      <c r="Y128" s="1012"/>
      <c r="Z128" s="1012"/>
      <c r="AA128" s="1012"/>
      <c r="AB128" s="1012"/>
      <c r="AC128" s="1012"/>
      <c r="AD128" s="1012"/>
      <c r="AE128" s="1012"/>
      <c r="AF128" s="1012"/>
      <c r="AG128" s="1012"/>
      <c r="AH128" s="1012"/>
      <c r="AI128" s="1012"/>
      <c r="AJ128" s="1012"/>
      <c r="AK128" s="995"/>
      <c r="AL128" s="994"/>
      <c r="AM128" s="994"/>
      <c r="AN128" s="994"/>
      <c r="AO128" s="1012"/>
      <c r="AP128" s="1114"/>
      <c r="AQ128" s="1012"/>
      <c r="AR128" s="1012"/>
      <c r="AS128" s="1012"/>
      <c r="AT128" s="1012"/>
      <c r="AU128" s="1012"/>
      <c r="AV128" s="1012"/>
      <c r="AW128" s="1012"/>
      <c r="AX128" s="1012"/>
      <c r="AY128" s="1012"/>
      <c r="AZ128" s="1012"/>
      <c r="BA128" s="1012"/>
      <c r="BB128" s="1012"/>
      <c r="BC128" s="1012"/>
      <c r="BD128" s="1012"/>
      <c r="BE128" s="1012"/>
      <c r="BF128" s="1012"/>
      <c r="BG128" s="1012"/>
      <c r="BH128" s="1012"/>
      <c r="BI128" s="1012"/>
      <c r="BJ128" s="1012"/>
    </row>
    <row r="129" ht="11.25" customHeight="1">
      <c r="A129" s="994"/>
      <c r="B129" s="994"/>
      <c r="C129" s="994"/>
      <c r="D129" s="1012"/>
      <c r="E129" s="995"/>
      <c r="F129" s="1012"/>
      <c r="G129" s="1012"/>
      <c r="H129" s="1012"/>
      <c r="I129" s="1012"/>
      <c r="J129" s="1012"/>
      <c r="K129" s="1012"/>
      <c r="L129" s="1012"/>
      <c r="M129" s="1012"/>
      <c r="N129" s="1012"/>
      <c r="O129" s="1012"/>
      <c r="P129" s="1012"/>
      <c r="Q129" s="1012"/>
      <c r="R129" s="1012"/>
      <c r="S129" s="1012"/>
      <c r="T129" s="1012"/>
      <c r="U129" s="1012"/>
      <c r="V129" s="1012"/>
      <c r="W129" s="1012"/>
      <c r="X129" s="1012"/>
      <c r="Y129" s="1012"/>
      <c r="Z129" s="1012"/>
      <c r="AA129" s="1012"/>
      <c r="AB129" s="1012"/>
      <c r="AC129" s="1012"/>
      <c r="AD129" s="1012"/>
      <c r="AE129" s="1012"/>
      <c r="AF129" s="1012"/>
      <c r="AG129" s="1012"/>
      <c r="AH129" s="1012"/>
      <c r="AI129" s="1012"/>
      <c r="AJ129" s="1012"/>
      <c r="AK129" s="995"/>
      <c r="AL129" s="994"/>
      <c r="AM129" s="994"/>
      <c r="AN129" s="994"/>
      <c r="AO129" s="1012"/>
      <c r="AP129" s="1114"/>
      <c r="AQ129" s="1012"/>
      <c r="AR129" s="1012"/>
      <c r="AS129" s="1012"/>
      <c r="AT129" s="1012"/>
      <c r="AU129" s="1012"/>
      <c r="AV129" s="1012"/>
      <c r="AW129" s="1012"/>
      <c r="AX129" s="1012"/>
      <c r="AY129" s="1012"/>
      <c r="AZ129" s="1012"/>
      <c r="BA129" s="1012"/>
      <c r="BB129" s="1012"/>
      <c r="BC129" s="1012"/>
      <c r="BD129" s="1012"/>
      <c r="BE129" s="1012"/>
      <c r="BF129" s="1012"/>
      <c r="BG129" s="1012"/>
      <c r="BH129" s="1012"/>
      <c r="BI129" s="1012"/>
      <c r="BJ129" s="1012"/>
    </row>
    <row r="130" ht="11.25" customHeight="1">
      <c r="A130" s="994"/>
      <c r="B130" s="994"/>
      <c r="C130" s="994"/>
      <c r="D130" s="1012"/>
      <c r="E130" s="995"/>
      <c r="F130" s="1012"/>
      <c r="G130" s="1012"/>
      <c r="H130" s="1012"/>
      <c r="I130" s="1012"/>
      <c r="J130" s="1012"/>
      <c r="K130" s="1012"/>
      <c r="L130" s="1012"/>
      <c r="M130" s="1012"/>
      <c r="N130" s="1012"/>
      <c r="O130" s="1012"/>
      <c r="P130" s="1012"/>
      <c r="Q130" s="1012"/>
      <c r="R130" s="1012"/>
      <c r="S130" s="1012"/>
      <c r="T130" s="1012"/>
      <c r="U130" s="1012"/>
      <c r="V130" s="1012"/>
      <c r="W130" s="1012"/>
      <c r="X130" s="1012"/>
      <c r="Y130" s="1012"/>
      <c r="Z130" s="1012"/>
      <c r="AA130" s="1012"/>
      <c r="AB130" s="1012"/>
      <c r="AC130" s="1012"/>
      <c r="AD130" s="1012"/>
      <c r="AE130" s="1012"/>
      <c r="AF130" s="1012"/>
      <c r="AG130" s="1012"/>
      <c r="AH130" s="1012"/>
      <c r="AI130" s="1012"/>
      <c r="AJ130" s="1012"/>
      <c r="AK130" s="995"/>
      <c r="AL130" s="994"/>
      <c r="AM130" s="994"/>
      <c r="AN130" s="994"/>
      <c r="AO130" s="1012"/>
      <c r="AP130" s="1114"/>
      <c r="AQ130" s="1012"/>
      <c r="AR130" s="1012"/>
      <c r="AS130" s="1012"/>
      <c r="AT130" s="1012"/>
      <c r="AU130" s="1012"/>
      <c r="AV130" s="1012"/>
      <c r="AW130" s="1012"/>
      <c r="AX130" s="1012"/>
      <c r="AY130" s="1012"/>
      <c r="AZ130" s="1012"/>
      <c r="BA130" s="1012"/>
      <c r="BB130" s="1012"/>
      <c r="BC130" s="1012"/>
      <c r="BD130" s="1012"/>
      <c r="BE130" s="1012"/>
      <c r="BF130" s="1012"/>
      <c r="BG130" s="1012"/>
      <c r="BH130" s="1012"/>
      <c r="BI130" s="1012"/>
      <c r="BJ130" s="1012"/>
    </row>
    <row r="131" ht="11.25" customHeight="1">
      <c r="A131" s="994"/>
      <c r="B131" s="994"/>
      <c r="C131" s="994"/>
      <c r="D131" s="1012"/>
      <c r="E131" s="995"/>
      <c r="F131" s="1012"/>
      <c r="G131" s="1012"/>
      <c r="H131" s="1012"/>
      <c r="I131" s="1012"/>
      <c r="J131" s="1012"/>
      <c r="K131" s="1012"/>
      <c r="L131" s="1012"/>
      <c r="M131" s="1012"/>
      <c r="N131" s="1012"/>
      <c r="O131" s="1012"/>
      <c r="P131" s="1012"/>
      <c r="Q131" s="1012"/>
      <c r="R131" s="1012"/>
      <c r="S131" s="1012"/>
      <c r="T131" s="1012"/>
      <c r="U131" s="1012"/>
      <c r="V131" s="1012"/>
      <c r="W131" s="1012"/>
      <c r="X131" s="1012"/>
      <c r="Y131" s="1012"/>
      <c r="Z131" s="1012"/>
      <c r="AA131" s="1012"/>
      <c r="AB131" s="1012"/>
      <c r="AC131" s="1012"/>
      <c r="AD131" s="1012"/>
      <c r="AE131" s="1012"/>
      <c r="AF131" s="1012"/>
      <c r="AG131" s="1012"/>
      <c r="AH131" s="1012"/>
      <c r="AI131" s="1012"/>
      <c r="AJ131" s="1012"/>
      <c r="AK131" s="995"/>
      <c r="AL131" s="994"/>
      <c r="AM131" s="994"/>
      <c r="AN131" s="994"/>
      <c r="AO131" s="1012"/>
      <c r="AP131" s="1114"/>
      <c r="AQ131" s="1012"/>
      <c r="AR131" s="1012"/>
      <c r="AS131" s="1012"/>
      <c r="AT131" s="1012"/>
      <c r="AU131" s="1012"/>
      <c r="AV131" s="1012"/>
      <c r="AW131" s="1012"/>
      <c r="AX131" s="1012"/>
      <c r="AY131" s="1012"/>
      <c r="AZ131" s="1012"/>
      <c r="BA131" s="1012"/>
      <c r="BB131" s="1012"/>
      <c r="BC131" s="1012"/>
      <c r="BD131" s="1012"/>
      <c r="BE131" s="1012"/>
      <c r="BF131" s="1012"/>
      <c r="BG131" s="1012"/>
      <c r="BH131" s="1012"/>
      <c r="BI131" s="1012"/>
      <c r="BJ131" s="1012"/>
    </row>
    <row r="132" ht="11.25" customHeight="1">
      <c r="A132" s="994"/>
      <c r="B132" s="994"/>
      <c r="C132" s="994"/>
      <c r="D132" s="1012"/>
      <c r="E132" s="995"/>
      <c r="F132" s="1012"/>
      <c r="G132" s="1012"/>
      <c r="H132" s="1012"/>
      <c r="I132" s="1012"/>
      <c r="J132" s="1012"/>
      <c r="K132" s="1012"/>
      <c r="L132" s="1012"/>
      <c r="M132" s="1012"/>
      <c r="N132" s="1012"/>
      <c r="O132" s="1012"/>
      <c r="P132" s="1012"/>
      <c r="Q132" s="1012"/>
      <c r="R132" s="1012"/>
      <c r="S132" s="1012"/>
      <c r="T132" s="1012"/>
      <c r="U132" s="1012"/>
      <c r="V132" s="1012"/>
      <c r="W132" s="1012"/>
      <c r="X132" s="1012"/>
      <c r="Y132" s="1012"/>
      <c r="Z132" s="1012"/>
      <c r="AA132" s="1012"/>
      <c r="AB132" s="1012"/>
      <c r="AC132" s="1012"/>
      <c r="AD132" s="1012"/>
      <c r="AE132" s="1012"/>
      <c r="AF132" s="1012"/>
      <c r="AG132" s="1012"/>
      <c r="AH132" s="1012"/>
      <c r="AI132" s="1012"/>
      <c r="AJ132" s="1012"/>
      <c r="AK132" s="995"/>
      <c r="AL132" s="994"/>
      <c r="AM132" s="994"/>
      <c r="AN132" s="994"/>
      <c r="AO132" s="1012"/>
      <c r="AP132" s="1114"/>
      <c r="AQ132" s="1012"/>
      <c r="AR132" s="1012"/>
      <c r="AS132" s="1012"/>
      <c r="AT132" s="1012"/>
      <c r="AU132" s="1012"/>
      <c r="AV132" s="1012"/>
      <c r="AW132" s="1012"/>
      <c r="AX132" s="1012"/>
      <c r="AY132" s="1012"/>
      <c r="AZ132" s="1012"/>
      <c r="BA132" s="1012"/>
      <c r="BB132" s="1012"/>
      <c r="BC132" s="1012"/>
      <c r="BD132" s="1012"/>
      <c r="BE132" s="1012"/>
      <c r="BF132" s="1012"/>
      <c r="BG132" s="1012"/>
      <c r="BH132" s="1012"/>
      <c r="BI132" s="1012"/>
      <c r="BJ132" s="1012"/>
    </row>
    <row r="133" ht="11.25" customHeight="1">
      <c r="A133" s="994"/>
      <c r="B133" s="994"/>
      <c r="C133" s="994"/>
      <c r="D133" s="1012"/>
      <c r="E133" s="995"/>
      <c r="F133" s="1012"/>
      <c r="G133" s="1012"/>
      <c r="H133" s="1012"/>
      <c r="I133" s="1012"/>
      <c r="J133" s="1012"/>
      <c r="K133" s="1012"/>
      <c r="L133" s="1012"/>
      <c r="M133" s="1012"/>
      <c r="N133" s="1012"/>
      <c r="O133" s="1012"/>
      <c r="P133" s="1012"/>
      <c r="Q133" s="1012"/>
      <c r="R133" s="1012"/>
      <c r="S133" s="1012"/>
      <c r="T133" s="1012"/>
      <c r="U133" s="1012"/>
      <c r="V133" s="1012"/>
      <c r="W133" s="1012"/>
      <c r="X133" s="1012"/>
      <c r="Y133" s="1012"/>
      <c r="Z133" s="1012"/>
      <c r="AA133" s="1012"/>
      <c r="AB133" s="1012"/>
      <c r="AC133" s="1012"/>
      <c r="AD133" s="1012"/>
      <c r="AE133" s="1012"/>
      <c r="AF133" s="1012"/>
      <c r="AG133" s="1012"/>
      <c r="AH133" s="1012"/>
      <c r="AI133" s="1012"/>
      <c r="AJ133" s="1012"/>
      <c r="AK133" s="995"/>
      <c r="AL133" s="994"/>
      <c r="AM133" s="994"/>
      <c r="AN133" s="994"/>
      <c r="AO133" s="1012"/>
      <c r="AP133" s="1114"/>
      <c r="AQ133" s="1012"/>
      <c r="AR133" s="1012"/>
      <c r="AS133" s="1012"/>
      <c r="AT133" s="1012"/>
      <c r="AU133" s="1012"/>
      <c r="AV133" s="1012"/>
      <c r="AW133" s="1012"/>
      <c r="AX133" s="1012"/>
      <c r="AY133" s="1012"/>
      <c r="AZ133" s="1012"/>
      <c r="BA133" s="1012"/>
      <c r="BB133" s="1012"/>
      <c r="BC133" s="1012"/>
      <c r="BD133" s="1012"/>
      <c r="BE133" s="1012"/>
      <c r="BF133" s="1012"/>
      <c r="BG133" s="1012"/>
      <c r="BH133" s="1012"/>
      <c r="BI133" s="1012"/>
      <c r="BJ133" s="1012"/>
    </row>
    <row r="134" ht="11.25" customHeight="1">
      <c r="A134" s="994"/>
      <c r="B134" s="994"/>
      <c r="C134" s="994"/>
      <c r="D134" s="1012"/>
      <c r="E134" s="995"/>
      <c r="F134" s="1012"/>
      <c r="G134" s="1012"/>
      <c r="H134" s="1012"/>
      <c r="I134" s="1012"/>
      <c r="J134" s="1012"/>
      <c r="K134" s="1012"/>
      <c r="L134" s="1012"/>
      <c r="M134" s="1012"/>
      <c r="N134" s="1012"/>
      <c r="O134" s="1012"/>
      <c r="P134" s="1012"/>
      <c r="Q134" s="1012"/>
      <c r="R134" s="1012"/>
      <c r="S134" s="1012"/>
      <c r="T134" s="1012"/>
      <c r="U134" s="1012"/>
      <c r="V134" s="1012"/>
      <c r="W134" s="1012"/>
      <c r="X134" s="1012"/>
      <c r="Y134" s="1012"/>
      <c r="Z134" s="1012"/>
      <c r="AA134" s="1012"/>
      <c r="AB134" s="1012"/>
      <c r="AC134" s="1012"/>
      <c r="AD134" s="1012"/>
      <c r="AE134" s="1012"/>
      <c r="AF134" s="1012"/>
      <c r="AG134" s="1012"/>
      <c r="AH134" s="1012"/>
      <c r="AI134" s="1012"/>
      <c r="AJ134" s="1012"/>
      <c r="AK134" s="995"/>
      <c r="AL134" s="994"/>
      <c r="AM134" s="994"/>
      <c r="AN134" s="994"/>
      <c r="AO134" s="1012"/>
      <c r="AP134" s="1114"/>
      <c r="AQ134" s="1012"/>
      <c r="AR134" s="1012"/>
      <c r="AS134" s="1012"/>
      <c r="AT134" s="1012"/>
      <c r="AU134" s="1012"/>
      <c r="AV134" s="1012"/>
      <c r="AW134" s="1012"/>
      <c r="AX134" s="1012"/>
      <c r="AY134" s="1012"/>
      <c r="AZ134" s="1012"/>
      <c r="BA134" s="1012"/>
      <c r="BB134" s="1012"/>
      <c r="BC134" s="1012"/>
      <c r="BD134" s="1012"/>
      <c r="BE134" s="1012"/>
      <c r="BF134" s="1012"/>
      <c r="BG134" s="1012"/>
      <c r="BH134" s="1012"/>
      <c r="BI134" s="1012"/>
      <c r="BJ134" s="1012"/>
    </row>
    <row r="135" ht="11.25" customHeight="1">
      <c r="A135" s="994"/>
      <c r="B135" s="994"/>
      <c r="C135" s="994"/>
      <c r="D135" s="1012"/>
      <c r="E135" s="995"/>
      <c r="F135" s="1012"/>
      <c r="G135" s="1012"/>
      <c r="H135" s="1012"/>
      <c r="I135" s="1012"/>
      <c r="J135" s="1012"/>
      <c r="K135" s="1012"/>
      <c r="L135" s="1012"/>
      <c r="M135" s="1012"/>
      <c r="N135" s="1012"/>
      <c r="O135" s="1012"/>
      <c r="P135" s="1012"/>
      <c r="Q135" s="1012"/>
      <c r="R135" s="1012"/>
      <c r="S135" s="1012"/>
      <c r="T135" s="1012"/>
      <c r="U135" s="1012"/>
      <c r="V135" s="1012"/>
      <c r="W135" s="1012"/>
      <c r="X135" s="1012"/>
      <c r="Y135" s="1012"/>
      <c r="Z135" s="1012"/>
      <c r="AA135" s="1012"/>
      <c r="AB135" s="1012"/>
      <c r="AC135" s="1012"/>
      <c r="AD135" s="1012"/>
      <c r="AE135" s="1012"/>
      <c r="AF135" s="1012"/>
      <c r="AG135" s="1012"/>
      <c r="AH135" s="1012"/>
      <c r="AI135" s="1012"/>
      <c r="AJ135" s="1012"/>
      <c r="AK135" s="995"/>
      <c r="AL135" s="994"/>
      <c r="AM135" s="994"/>
      <c r="AN135" s="994"/>
      <c r="AO135" s="1012"/>
      <c r="AP135" s="1114"/>
      <c r="AQ135" s="1012"/>
      <c r="AR135" s="1012"/>
      <c r="AS135" s="1012"/>
      <c r="AT135" s="1012"/>
      <c r="AU135" s="1012"/>
      <c r="AV135" s="1012"/>
      <c r="AW135" s="1012"/>
      <c r="AX135" s="1012"/>
      <c r="AY135" s="1012"/>
      <c r="AZ135" s="1012"/>
      <c r="BA135" s="1012"/>
      <c r="BB135" s="1012"/>
      <c r="BC135" s="1012"/>
      <c r="BD135" s="1012"/>
      <c r="BE135" s="1012"/>
      <c r="BF135" s="1012"/>
      <c r="BG135" s="1012"/>
      <c r="BH135" s="1012"/>
      <c r="BI135" s="1012"/>
      <c r="BJ135" s="1012"/>
    </row>
    <row r="136" ht="11.25" customHeight="1">
      <c r="A136" s="994"/>
      <c r="B136" s="994"/>
      <c r="C136" s="994"/>
      <c r="D136" s="1012"/>
      <c r="E136" s="995"/>
      <c r="F136" s="1012"/>
      <c r="G136" s="1012"/>
      <c r="H136" s="1012"/>
      <c r="I136" s="1012"/>
      <c r="J136" s="1012"/>
      <c r="K136" s="1012"/>
      <c r="L136" s="1012"/>
      <c r="M136" s="1012"/>
      <c r="N136" s="1012"/>
      <c r="O136" s="1012"/>
      <c r="P136" s="1012"/>
      <c r="Q136" s="1012"/>
      <c r="R136" s="1012"/>
      <c r="S136" s="1012"/>
      <c r="T136" s="1012"/>
      <c r="U136" s="1012"/>
      <c r="V136" s="1012"/>
      <c r="W136" s="1012"/>
      <c r="X136" s="1012"/>
      <c r="Y136" s="1012"/>
      <c r="Z136" s="1012"/>
      <c r="AA136" s="1012"/>
      <c r="AB136" s="1012"/>
      <c r="AC136" s="1012"/>
      <c r="AD136" s="1012"/>
      <c r="AE136" s="1012"/>
      <c r="AF136" s="1012"/>
      <c r="AG136" s="1012"/>
      <c r="AH136" s="1012"/>
      <c r="AI136" s="1012"/>
      <c r="AJ136" s="1012"/>
      <c r="AK136" s="995"/>
      <c r="AL136" s="994"/>
      <c r="AM136" s="994"/>
      <c r="AN136" s="994"/>
      <c r="AO136" s="1012"/>
      <c r="AP136" s="1114"/>
      <c r="AQ136" s="1012"/>
      <c r="AR136" s="1012"/>
      <c r="AS136" s="1012"/>
      <c r="AT136" s="1012"/>
      <c r="AU136" s="1012"/>
      <c r="AV136" s="1012"/>
      <c r="AW136" s="1012"/>
      <c r="AX136" s="1012"/>
      <c r="AY136" s="1012"/>
      <c r="AZ136" s="1012"/>
      <c r="BA136" s="1012"/>
      <c r="BB136" s="1012"/>
      <c r="BC136" s="1012"/>
      <c r="BD136" s="1012"/>
      <c r="BE136" s="1012"/>
      <c r="BF136" s="1012"/>
      <c r="BG136" s="1012"/>
      <c r="BH136" s="1012"/>
      <c r="BI136" s="1012"/>
      <c r="BJ136" s="1012"/>
    </row>
    <row r="137" ht="11.25" customHeight="1">
      <c r="A137" s="994"/>
      <c r="B137" s="994"/>
      <c r="C137" s="994"/>
      <c r="D137" s="1012"/>
      <c r="E137" s="995"/>
      <c r="F137" s="1012"/>
      <c r="G137" s="1012"/>
      <c r="H137" s="1012"/>
      <c r="I137" s="1012"/>
      <c r="J137" s="1012"/>
      <c r="K137" s="1012"/>
      <c r="L137" s="1012"/>
      <c r="M137" s="1012"/>
      <c r="N137" s="1012"/>
      <c r="O137" s="1012"/>
      <c r="P137" s="1012"/>
      <c r="Q137" s="1012"/>
      <c r="R137" s="1012"/>
      <c r="S137" s="1012"/>
      <c r="T137" s="1012"/>
      <c r="U137" s="1012"/>
      <c r="V137" s="1012"/>
      <c r="W137" s="1012"/>
      <c r="X137" s="1012"/>
      <c r="Y137" s="1012"/>
      <c r="Z137" s="1012"/>
      <c r="AA137" s="1012"/>
      <c r="AB137" s="1012"/>
      <c r="AC137" s="1012"/>
      <c r="AD137" s="1012"/>
      <c r="AE137" s="1012"/>
      <c r="AF137" s="1012"/>
      <c r="AG137" s="1012"/>
      <c r="AH137" s="1012"/>
      <c r="AI137" s="1012"/>
      <c r="AJ137" s="1012"/>
      <c r="AK137" s="995"/>
      <c r="AL137" s="994"/>
      <c r="AM137" s="994"/>
      <c r="AN137" s="994"/>
      <c r="AO137" s="1012"/>
      <c r="AP137" s="1114"/>
      <c r="AQ137" s="1012"/>
      <c r="AR137" s="1012"/>
      <c r="AS137" s="1012"/>
      <c r="AT137" s="1012"/>
      <c r="AU137" s="1012"/>
      <c r="AV137" s="1012"/>
      <c r="AW137" s="1012"/>
      <c r="AX137" s="1012"/>
      <c r="AY137" s="1012"/>
      <c r="AZ137" s="1012"/>
      <c r="BA137" s="1012"/>
      <c r="BB137" s="1012"/>
      <c r="BC137" s="1012"/>
      <c r="BD137" s="1012"/>
      <c r="BE137" s="1012"/>
      <c r="BF137" s="1012"/>
      <c r="BG137" s="1012"/>
      <c r="BH137" s="1012"/>
      <c r="BI137" s="1012"/>
      <c r="BJ137" s="1012"/>
    </row>
    <row r="138" ht="11.25" customHeight="1">
      <c r="A138" s="994"/>
      <c r="B138" s="994"/>
      <c r="C138" s="994"/>
      <c r="D138" s="1012"/>
      <c r="E138" s="995"/>
      <c r="F138" s="1012"/>
      <c r="G138" s="1012"/>
      <c r="H138" s="1012"/>
      <c r="I138" s="1012"/>
      <c r="J138" s="1012"/>
      <c r="K138" s="1012"/>
      <c r="L138" s="1012"/>
      <c r="M138" s="1012"/>
      <c r="N138" s="1012"/>
      <c r="O138" s="1012"/>
      <c r="P138" s="1012"/>
      <c r="Q138" s="1012"/>
      <c r="R138" s="1012"/>
      <c r="S138" s="1012"/>
      <c r="T138" s="1012"/>
      <c r="U138" s="1012"/>
      <c r="V138" s="1012"/>
      <c r="W138" s="1012"/>
      <c r="X138" s="1012"/>
      <c r="Y138" s="1012"/>
      <c r="Z138" s="1012"/>
      <c r="AA138" s="1012"/>
      <c r="AB138" s="1012"/>
      <c r="AC138" s="1012"/>
      <c r="AD138" s="1012"/>
      <c r="AE138" s="1012"/>
      <c r="AF138" s="1012"/>
      <c r="AG138" s="1012"/>
      <c r="AH138" s="1012"/>
      <c r="AI138" s="1012"/>
      <c r="AJ138" s="1012"/>
      <c r="AK138" s="995"/>
      <c r="AL138" s="994"/>
      <c r="AM138" s="994"/>
      <c r="AN138" s="994"/>
      <c r="AO138" s="1012"/>
      <c r="AP138" s="1114"/>
      <c r="AQ138" s="1012"/>
      <c r="AR138" s="1012"/>
      <c r="AS138" s="1012"/>
      <c r="AT138" s="1012"/>
      <c r="AU138" s="1012"/>
      <c r="AV138" s="1012"/>
      <c r="AW138" s="1012"/>
      <c r="AX138" s="1012"/>
      <c r="AY138" s="1012"/>
      <c r="AZ138" s="1012"/>
      <c r="BA138" s="1012"/>
      <c r="BB138" s="1012"/>
      <c r="BC138" s="1012"/>
      <c r="BD138" s="1012"/>
      <c r="BE138" s="1012"/>
      <c r="BF138" s="1012"/>
      <c r="BG138" s="1012"/>
      <c r="BH138" s="1012"/>
      <c r="BI138" s="1012"/>
      <c r="BJ138" s="1012"/>
    </row>
    <row r="139" ht="11.25" customHeight="1">
      <c r="A139" s="994"/>
      <c r="B139" s="994"/>
      <c r="C139" s="994"/>
      <c r="D139" s="1012"/>
      <c r="E139" s="995"/>
      <c r="F139" s="1012"/>
      <c r="G139" s="1012"/>
      <c r="H139" s="1012"/>
      <c r="I139" s="1012"/>
      <c r="J139" s="1012"/>
      <c r="K139" s="1012"/>
      <c r="L139" s="1012"/>
      <c r="M139" s="1012"/>
      <c r="N139" s="1012"/>
      <c r="O139" s="1012"/>
      <c r="P139" s="1012"/>
      <c r="Q139" s="1012"/>
      <c r="R139" s="1012"/>
      <c r="S139" s="1012"/>
      <c r="T139" s="1012"/>
      <c r="U139" s="1012"/>
      <c r="V139" s="1012"/>
      <c r="W139" s="1012"/>
      <c r="X139" s="1012"/>
      <c r="Y139" s="1012"/>
      <c r="Z139" s="1012"/>
      <c r="AA139" s="1012"/>
      <c r="AB139" s="1012"/>
      <c r="AC139" s="1012"/>
      <c r="AD139" s="1012"/>
      <c r="AE139" s="1012"/>
      <c r="AF139" s="1012"/>
      <c r="AG139" s="1012"/>
      <c r="AH139" s="1012"/>
      <c r="AI139" s="1012"/>
      <c r="AJ139" s="1012"/>
      <c r="AK139" s="995"/>
      <c r="AL139" s="994"/>
      <c r="AM139" s="994"/>
      <c r="AN139" s="994"/>
      <c r="AO139" s="1012"/>
      <c r="AP139" s="1114"/>
      <c r="AQ139" s="1012"/>
      <c r="AR139" s="1012"/>
      <c r="AS139" s="1012"/>
      <c r="AT139" s="1012"/>
      <c r="AU139" s="1012"/>
      <c r="AV139" s="1012"/>
      <c r="AW139" s="1012"/>
      <c r="AX139" s="1012"/>
      <c r="AY139" s="1012"/>
      <c r="AZ139" s="1012"/>
      <c r="BA139" s="1012"/>
      <c r="BB139" s="1012"/>
      <c r="BC139" s="1012"/>
      <c r="BD139" s="1012"/>
      <c r="BE139" s="1012"/>
      <c r="BF139" s="1012"/>
      <c r="BG139" s="1012"/>
      <c r="BH139" s="1012"/>
      <c r="BI139" s="1012"/>
      <c r="BJ139" s="1012"/>
    </row>
    <row r="140" ht="11.25" customHeight="1">
      <c r="A140" s="994"/>
      <c r="B140" s="994"/>
      <c r="C140" s="994"/>
      <c r="D140" s="1012"/>
      <c r="E140" s="995"/>
      <c r="F140" s="1012"/>
      <c r="G140" s="1012"/>
      <c r="H140" s="1012"/>
      <c r="I140" s="1012"/>
      <c r="J140" s="1012"/>
      <c r="K140" s="1012"/>
      <c r="L140" s="1012"/>
      <c r="M140" s="1012"/>
      <c r="N140" s="1012"/>
      <c r="O140" s="1012"/>
      <c r="P140" s="1012"/>
      <c r="Q140" s="1012"/>
      <c r="R140" s="1012"/>
      <c r="S140" s="1012"/>
      <c r="T140" s="1012"/>
      <c r="U140" s="1012"/>
      <c r="V140" s="1012"/>
      <c r="W140" s="1012"/>
      <c r="X140" s="1012"/>
      <c r="Y140" s="1012"/>
      <c r="Z140" s="1012"/>
      <c r="AA140" s="1012"/>
      <c r="AB140" s="1012"/>
      <c r="AC140" s="1012"/>
      <c r="AD140" s="1012"/>
      <c r="AE140" s="1012"/>
      <c r="AF140" s="1012"/>
      <c r="AG140" s="1012"/>
      <c r="AH140" s="1012"/>
      <c r="AI140" s="1012"/>
      <c r="AJ140" s="1012"/>
      <c r="AK140" s="995"/>
      <c r="AL140" s="994"/>
      <c r="AM140" s="994"/>
      <c r="AN140" s="994"/>
      <c r="AO140" s="1012"/>
      <c r="AP140" s="1114"/>
      <c r="AQ140" s="1012"/>
      <c r="AR140" s="1012"/>
      <c r="AS140" s="1012"/>
      <c r="AT140" s="1012"/>
      <c r="AU140" s="1012"/>
      <c r="AV140" s="1012"/>
      <c r="AW140" s="1012"/>
      <c r="AX140" s="1012"/>
      <c r="AY140" s="1012"/>
      <c r="AZ140" s="1012"/>
      <c r="BA140" s="1012"/>
      <c r="BB140" s="1012"/>
      <c r="BC140" s="1012"/>
      <c r="BD140" s="1012"/>
      <c r="BE140" s="1012"/>
      <c r="BF140" s="1012"/>
      <c r="BG140" s="1012"/>
      <c r="BH140" s="1012"/>
      <c r="BI140" s="1012"/>
      <c r="BJ140" s="1012"/>
    </row>
    <row r="141" ht="11.25" customHeight="1">
      <c r="A141" s="994"/>
      <c r="B141" s="994"/>
      <c r="C141" s="994"/>
      <c r="D141" s="1012"/>
      <c r="E141" s="995"/>
      <c r="F141" s="1012"/>
      <c r="G141" s="1012"/>
      <c r="H141" s="1012"/>
      <c r="I141" s="1012"/>
      <c r="J141" s="1012"/>
      <c r="K141" s="1012"/>
      <c r="L141" s="1012"/>
      <c r="M141" s="1012"/>
      <c r="N141" s="1012"/>
      <c r="O141" s="1012"/>
      <c r="P141" s="1012"/>
      <c r="Q141" s="1012"/>
      <c r="R141" s="1012"/>
      <c r="S141" s="1012"/>
      <c r="T141" s="1012"/>
      <c r="U141" s="1012"/>
      <c r="V141" s="1012"/>
      <c r="W141" s="1012"/>
      <c r="X141" s="1012"/>
      <c r="Y141" s="1012"/>
      <c r="Z141" s="1012"/>
      <c r="AA141" s="1012"/>
      <c r="AB141" s="1012"/>
      <c r="AC141" s="1012"/>
      <c r="AD141" s="1012"/>
      <c r="AE141" s="1012"/>
      <c r="AF141" s="1012"/>
      <c r="AG141" s="1012"/>
      <c r="AH141" s="1012"/>
      <c r="AI141" s="1012"/>
      <c r="AJ141" s="1012"/>
      <c r="AK141" s="995"/>
      <c r="AL141" s="994"/>
      <c r="AM141" s="994"/>
      <c r="AN141" s="994"/>
      <c r="AO141" s="1012"/>
      <c r="AP141" s="1114"/>
      <c r="AQ141" s="1012"/>
      <c r="AR141" s="1012"/>
      <c r="AS141" s="1012"/>
      <c r="AT141" s="1012"/>
      <c r="AU141" s="1012"/>
      <c r="AV141" s="1012"/>
      <c r="AW141" s="1012"/>
      <c r="AX141" s="1012"/>
      <c r="AY141" s="1012"/>
      <c r="AZ141" s="1012"/>
      <c r="BA141" s="1012"/>
      <c r="BB141" s="1012"/>
      <c r="BC141" s="1012"/>
      <c r="BD141" s="1012"/>
      <c r="BE141" s="1012"/>
      <c r="BF141" s="1012"/>
      <c r="BG141" s="1012"/>
      <c r="BH141" s="1012"/>
      <c r="BI141" s="1012"/>
      <c r="BJ141" s="1012"/>
    </row>
    <row r="142" ht="11.25" customHeight="1">
      <c r="A142" s="994"/>
      <c r="B142" s="994"/>
      <c r="C142" s="994"/>
      <c r="D142" s="1012"/>
      <c r="E142" s="995"/>
      <c r="F142" s="1012"/>
      <c r="G142" s="1012"/>
      <c r="H142" s="1012"/>
      <c r="I142" s="1012"/>
      <c r="J142" s="1012"/>
      <c r="K142" s="1012"/>
      <c r="L142" s="1012"/>
      <c r="M142" s="1012"/>
      <c r="N142" s="1012"/>
      <c r="O142" s="1012"/>
      <c r="P142" s="1012"/>
      <c r="Q142" s="1012"/>
      <c r="R142" s="1012"/>
      <c r="S142" s="1012"/>
      <c r="T142" s="1012"/>
      <c r="U142" s="1012"/>
      <c r="V142" s="1012"/>
      <c r="W142" s="1012"/>
      <c r="X142" s="1012"/>
      <c r="Y142" s="1012"/>
      <c r="Z142" s="1012"/>
      <c r="AA142" s="1012"/>
      <c r="AB142" s="1012"/>
      <c r="AC142" s="1012"/>
      <c r="AD142" s="1012"/>
      <c r="AE142" s="1012"/>
      <c r="AF142" s="1012"/>
      <c r="AG142" s="1012"/>
      <c r="AH142" s="1012"/>
      <c r="AI142" s="1012"/>
      <c r="AJ142" s="1012"/>
      <c r="AK142" s="995"/>
      <c r="AL142" s="994"/>
      <c r="AM142" s="994"/>
      <c r="AN142" s="994"/>
      <c r="AO142" s="1012"/>
      <c r="AP142" s="1114"/>
      <c r="AQ142" s="1012"/>
      <c r="AR142" s="1012"/>
      <c r="AS142" s="1012"/>
      <c r="AT142" s="1012"/>
      <c r="AU142" s="1012"/>
      <c r="AV142" s="1012"/>
      <c r="AW142" s="1012"/>
      <c r="AX142" s="1012"/>
      <c r="AY142" s="1012"/>
      <c r="AZ142" s="1012"/>
      <c r="BA142" s="1012"/>
      <c r="BB142" s="1012"/>
      <c r="BC142" s="1012"/>
      <c r="BD142" s="1012"/>
      <c r="BE142" s="1012"/>
      <c r="BF142" s="1012"/>
      <c r="BG142" s="1012"/>
      <c r="BH142" s="1012"/>
      <c r="BI142" s="1012"/>
      <c r="BJ142" s="1012"/>
    </row>
    <row r="143" ht="11.25" customHeight="1">
      <c r="A143" s="994"/>
      <c r="B143" s="994"/>
      <c r="C143" s="994"/>
      <c r="D143" s="1012"/>
      <c r="E143" s="995"/>
      <c r="F143" s="1012"/>
      <c r="G143" s="1012"/>
      <c r="H143" s="1012"/>
      <c r="I143" s="1012"/>
      <c r="J143" s="1012"/>
      <c r="K143" s="1012"/>
      <c r="L143" s="1012"/>
      <c r="M143" s="1012"/>
      <c r="N143" s="1012"/>
      <c r="O143" s="1012"/>
      <c r="P143" s="1012"/>
      <c r="Q143" s="1012"/>
      <c r="R143" s="1012"/>
      <c r="S143" s="1012"/>
      <c r="T143" s="1012"/>
      <c r="U143" s="1012"/>
      <c r="V143" s="1012"/>
      <c r="W143" s="1012"/>
      <c r="X143" s="1012"/>
      <c r="Y143" s="1012"/>
      <c r="Z143" s="1012"/>
      <c r="AA143" s="1012"/>
      <c r="AB143" s="1012"/>
      <c r="AC143" s="1012"/>
      <c r="AD143" s="1012"/>
      <c r="AE143" s="1012"/>
      <c r="AF143" s="1012"/>
      <c r="AG143" s="1012"/>
      <c r="AH143" s="1012"/>
      <c r="AI143" s="1012"/>
      <c r="AJ143" s="1012"/>
      <c r="AK143" s="995"/>
      <c r="AL143" s="994"/>
      <c r="AM143" s="994"/>
      <c r="AN143" s="994"/>
      <c r="AO143" s="1012"/>
      <c r="AP143" s="1114"/>
      <c r="AQ143" s="1012"/>
      <c r="AR143" s="1012"/>
      <c r="AS143" s="1012"/>
      <c r="AT143" s="1012"/>
      <c r="AU143" s="1012"/>
      <c r="AV143" s="1012"/>
      <c r="AW143" s="1012"/>
      <c r="AX143" s="1012"/>
      <c r="AY143" s="1012"/>
      <c r="AZ143" s="1012"/>
      <c r="BA143" s="1012"/>
      <c r="BB143" s="1012"/>
      <c r="BC143" s="1012"/>
      <c r="BD143" s="1012"/>
      <c r="BE143" s="1012"/>
      <c r="BF143" s="1012"/>
      <c r="BG143" s="1012"/>
      <c r="BH143" s="1012"/>
      <c r="BI143" s="1012"/>
      <c r="BJ143" s="1012"/>
    </row>
    <row r="144" ht="11.25" customHeight="1">
      <c r="A144" s="994"/>
      <c r="B144" s="994"/>
      <c r="C144" s="994"/>
      <c r="D144" s="1012"/>
      <c r="E144" s="995"/>
      <c r="F144" s="1012"/>
      <c r="G144" s="1012"/>
      <c r="H144" s="1012"/>
      <c r="I144" s="1012"/>
      <c r="J144" s="1012"/>
      <c r="K144" s="1012"/>
      <c r="L144" s="1012"/>
      <c r="M144" s="1012"/>
      <c r="N144" s="1012"/>
      <c r="O144" s="1012"/>
      <c r="P144" s="1012"/>
      <c r="Q144" s="1012"/>
      <c r="R144" s="1012"/>
      <c r="S144" s="1012"/>
      <c r="T144" s="1012"/>
      <c r="U144" s="1012"/>
      <c r="V144" s="1012"/>
      <c r="W144" s="1012"/>
      <c r="X144" s="1012"/>
      <c r="Y144" s="1012"/>
      <c r="Z144" s="1012"/>
      <c r="AA144" s="1012"/>
      <c r="AB144" s="1012"/>
      <c r="AC144" s="1012"/>
      <c r="AD144" s="1012"/>
      <c r="AE144" s="1012"/>
      <c r="AF144" s="1012"/>
      <c r="AG144" s="1012"/>
      <c r="AH144" s="1012"/>
      <c r="AI144" s="1012"/>
      <c r="AJ144" s="1012"/>
      <c r="AK144" s="995"/>
      <c r="AL144" s="994"/>
      <c r="AM144" s="994"/>
      <c r="AN144" s="994"/>
      <c r="AO144" s="1012"/>
      <c r="AP144" s="1114"/>
      <c r="AQ144" s="1012"/>
      <c r="AR144" s="1012"/>
      <c r="AS144" s="1012"/>
      <c r="AT144" s="1012"/>
      <c r="AU144" s="1012"/>
      <c r="AV144" s="1012"/>
      <c r="AW144" s="1012"/>
      <c r="AX144" s="1012"/>
      <c r="AY144" s="1012"/>
      <c r="AZ144" s="1012"/>
      <c r="BA144" s="1012"/>
      <c r="BB144" s="1012"/>
      <c r="BC144" s="1012"/>
      <c r="BD144" s="1012"/>
      <c r="BE144" s="1012"/>
      <c r="BF144" s="1012"/>
      <c r="BG144" s="1012"/>
      <c r="BH144" s="1012"/>
      <c r="BI144" s="1012"/>
      <c r="BJ144" s="1012"/>
    </row>
    <row r="145" ht="11.25" customHeight="1">
      <c r="A145" s="994"/>
      <c r="B145" s="994"/>
      <c r="C145" s="994"/>
      <c r="D145" s="1012"/>
      <c r="E145" s="995"/>
      <c r="F145" s="1012"/>
      <c r="G145" s="1012"/>
      <c r="H145" s="1012"/>
      <c r="I145" s="1012"/>
      <c r="J145" s="1012"/>
      <c r="K145" s="1012"/>
      <c r="L145" s="1012"/>
      <c r="M145" s="1012"/>
      <c r="N145" s="1012"/>
      <c r="O145" s="1012"/>
      <c r="P145" s="1012"/>
      <c r="Q145" s="1012"/>
      <c r="R145" s="1012"/>
      <c r="S145" s="1012"/>
      <c r="T145" s="1012"/>
      <c r="U145" s="1012"/>
      <c r="V145" s="1012"/>
      <c r="W145" s="1012"/>
      <c r="X145" s="1012"/>
      <c r="Y145" s="1012"/>
      <c r="Z145" s="1012"/>
      <c r="AA145" s="1012"/>
      <c r="AB145" s="1012"/>
      <c r="AC145" s="1012"/>
      <c r="AD145" s="1012"/>
      <c r="AE145" s="1012"/>
      <c r="AF145" s="1012"/>
      <c r="AG145" s="1012"/>
      <c r="AH145" s="1012"/>
      <c r="AI145" s="1012"/>
      <c r="AJ145" s="1012"/>
      <c r="AK145" s="995"/>
      <c r="AL145" s="994"/>
      <c r="AM145" s="994"/>
      <c r="AN145" s="994"/>
      <c r="AO145" s="1012"/>
      <c r="AP145" s="1114"/>
      <c r="AQ145" s="1012"/>
      <c r="AR145" s="1012"/>
      <c r="AS145" s="1012"/>
      <c r="AT145" s="1012"/>
      <c r="AU145" s="1012"/>
      <c r="AV145" s="1012"/>
      <c r="AW145" s="1012"/>
      <c r="AX145" s="1012"/>
      <c r="AY145" s="1012"/>
      <c r="AZ145" s="1012"/>
      <c r="BA145" s="1012"/>
      <c r="BB145" s="1012"/>
      <c r="BC145" s="1012"/>
      <c r="BD145" s="1012"/>
      <c r="BE145" s="1012"/>
      <c r="BF145" s="1012"/>
      <c r="BG145" s="1012"/>
      <c r="BH145" s="1012"/>
      <c r="BI145" s="1012"/>
      <c r="BJ145" s="1012"/>
    </row>
    <row r="146" ht="11.25" customHeight="1">
      <c r="A146" s="994"/>
      <c r="B146" s="994"/>
      <c r="C146" s="994"/>
      <c r="D146" s="1012"/>
      <c r="E146" s="995"/>
      <c r="F146" s="1012"/>
      <c r="G146" s="1012"/>
      <c r="H146" s="1012"/>
      <c r="I146" s="1012"/>
      <c r="J146" s="1012"/>
      <c r="K146" s="1012"/>
      <c r="L146" s="1012"/>
      <c r="M146" s="1012"/>
      <c r="N146" s="1012"/>
      <c r="O146" s="1012"/>
      <c r="P146" s="1012"/>
      <c r="Q146" s="1012"/>
      <c r="R146" s="1012"/>
      <c r="S146" s="1012"/>
      <c r="T146" s="1012"/>
      <c r="U146" s="1012"/>
      <c r="V146" s="1012"/>
      <c r="W146" s="1012"/>
      <c r="X146" s="1012"/>
      <c r="Y146" s="1012"/>
      <c r="Z146" s="1012"/>
      <c r="AA146" s="1012"/>
      <c r="AB146" s="1012"/>
      <c r="AC146" s="1012"/>
      <c r="AD146" s="1012"/>
      <c r="AE146" s="1012"/>
      <c r="AF146" s="1012"/>
      <c r="AG146" s="1012"/>
      <c r="AH146" s="1012"/>
      <c r="AI146" s="1012"/>
      <c r="AJ146" s="1012"/>
      <c r="AK146" s="995"/>
      <c r="AL146" s="994"/>
      <c r="AM146" s="994"/>
      <c r="AN146" s="994"/>
      <c r="AO146" s="1012"/>
      <c r="AP146" s="1114"/>
      <c r="AQ146" s="1012"/>
      <c r="AR146" s="1012"/>
      <c r="AS146" s="1012"/>
      <c r="AT146" s="1012"/>
      <c r="AU146" s="1012"/>
      <c r="AV146" s="1012"/>
      <c r="AW146" s="1012"/>
      <c r="AX146" s="1012"/>
      <c r="AY146" s="1012"/>
      <c r="AZ146" s="1012"/>
      <c r="BA146" s="1012"/>
      <c r="BB146" s="1012"/>
      <c r="BC146" s="1012"/>
      <c r="BD146" s="1012"/>
      <c r="BE146" s="1012"/>
      <c r="BF146" s="1012"/>
      <c r="BG146" s="1012"/>
      <c r="BH146" s="1012"/>
      <c r="BI146" s="1012"/>
      <c r="BJ146" s="1012"/>
    </row>
    <row r="147" ht="11.25" customHeight="1">
      <c r="A147" s="994"/>
      <c r="B147" s="994"/>
      <c r="C147" s="994"/>
      <c r="D147" s="1012"/>
      <c r="E147" s="995"/>
      <c r="F147" s="1012"/>
      <c r="G147" s="1012"/>
      <c r="H147" s="1012"/>
      <c r="I147" s="1012"/>
      <c r="J147" s="1012"/>
      <c r="K147" s="1012"/>
      <c r="L147" s="1012"/>
      <c r="M147" s="1012"/>
      <c r="N147" s="1012"/>
      <c r="O147" s="1012"/>
      <c r="P147" s="1012"/>
      <c r="Q147" s="1012"/>
      <c r="R147" s="1012"/>
      <c r="S147" s="1012"/>
      <c r="T147" s="1012"/>
      <c r="U147" s="1012"/>
      <c r="V147" s="1012"/>
      <c r="W147" s="1012"/>
      <c r="X147" s="1012"/>
      <c r="Y147" s="1012"/>
      <c r="Z147" s="1012"/>
      <c r="AA147" s="1012"/>
      <c r="AB147" s="1012"/>
      <c r="AC147" s="1012"/>
      <c r="AD147" s="1012"/>
      <c r="AE147" s="1012"/>
      <c r="AF147" s="1012"/>
      <c r="AG147" s="1012"/>
      <c r="AH147" s="1012"/>
      <c r="AI147" s="1012"/>
      <c r="AJ147" s="1012"/>
      <c r="AK147" s="995"/>
      <c r="AL147" s="994"/>
      <c r="AM147" s="994"/>
      <c r="AN147" s="994"/>
      <c r="AO147" s="1012"/>
      <c r="AP147" s="1114"/>
      <c r="AQ147" s="1012"/>
      <c r="AR147" s="1012"/>
      <c r="AS147" s="1012"/>
      <c r="AT147" s="1012"/>
      <c r="AU147" s="1012"/>
      <c r="AV147" s="1012"/>
      <c r="AW147" s="1012"/>
      <c r="AX147" s="1012"/>
      <c r="AY147" s="1012"/>
      <c r="AZ147" s="1012"/>
      <c r="BA147" s="1012"/>
      <c r="BB147" s="1012"/>
      <c r="BC147" s="1012"/>
      <c r="BD147" s="1012"/>
      <c r="BE147" s="1012"/>
      <c r="BF147" s="1012"/>
      <c r="BG147" s="1012"/>
      <c r="BH147" s="1012"/>
      <c r="BI147" s="1012"/>
      <c r="BJ147" s="1012"/>
    </row>
    <row r="148" ht="11.25" customHeight="1">
      <c r="A148" s="994"/>
      <c r="B148" s="994"/>
      <c r="C148" s="994"/>
      <c r="D148" s="1012"/>
      <c r="E148" s="995"/>
      <c r="F148" s="1012"/>
      <c r="G148" s="1012"/>
      <c r="H148" s="1012"/>
      <c r="I148" s="1012"/>
      <c r="J148" s="1012"/>
      <c r="K148" s="1012"/>
      <c r="L148" s="1012"/>
      <c r="M148" s="1012"/>
      <c r="N148" s="1012"/>
      <c r="O148" s="1012"/>
      <c r="P148" s="1012"/>
      <c r="Q148" s="1012"/>
      <c r="R148" s="1012"/>
      <c r="S148" s="1012"/>
      <c r="T148" s="1012"/>
      <c r="U148" s="1012"/>
      <c r="V148" s="1012"/>
      <c r="W148" s="1012"/>
      <c r="X148" s="1012"/>
      <c r="Y148" s="1012"/>
      <c r="Z148" s="1012"/>
      <c r="AA148" s="1012"/>
      <c r="AB148" s="1012"/>
      <c r="AC148" s="1012"/>
      <c r="AD148" s="1012"/>
      <c r="AE148" s="1012"/>
      <c r="AF148" s="1012"/>
      <c r="AG148" s="1012"/>
      <c r="AH148" s="1012"/>
      <c r="AI148" s="1012"/>
      <c r="AJ148" s="1012"/>
      <c r="AK148" s="995"/>
      <c r="AL148" s="994"/>
      <c r="AM148" s="994"/>
      <c r="AN148" s="994"/>
      <c r="AO148" s="1012"/>
      <c r="AP148" s="1114"/>
      <c r="AQ148" s="1012"/>
      <c r="AR148" s="1012"/>
      <c r="AS148" s="1012"/>
      <c r="AT148" s="1012"/>
      <c r="AU148" s="1012"/>
      <c r="AV148" s="1012"/>
      <c r="AW148" s="1012"/>
      <c r="AX148" s="1012"/>
      <c r="AY148" s="1012"/>
      <c r="AZ148" s="1012"/>
      <c r="BA148" s="1012"/>
      <c r="BB148" s="1012"/>
      <c r="BC148" s="1012"/>
      <c r="BD148" s="1012"/>
      <c r="BE148" s="1012"/>
      <c r="BF148" s="1012"/>
      <c r="BG148" s="1012"/>
      <c r="BH148" s="1012"/>
      <c r="BI148" s="1012"/>
      <c r="BJ148" s="1012"/>
    </row>
    <row r="149" ht="11.25" customHeight="1">
      <c r="A149" s="994"/>
      <c r="B149" s="994"/>
      <c r="C149" s="994"/>
      <c r="D149" s="1012"/>
      <c r="E149" s="995"/>
      <c r="F149" s="1012"/>
      <c r="G149" s="1012"/>
      <c r="H149" s="1012"/>
      <c r="I149" s="1012"/>
      <c r="J149" s="1012"/>
      <c r="K149" s="1012"/>
      <c r="L149" s="1012"/>
      <c r="M149" s="1012"/>
      <c r="N149" s="1012"/>
      <c r="O149" s="1012"/>
      <c r="P149" s="1012"/>
      <c r="Q149" s="1012"/>
      <c r="R149" s="1012"/>
      <c r="S149" s="1012"/>
      <c r="T149" s="1012"/>
      <c r="U149" s="1012"/>
      <c r="V149" s="1012"/>
      <c r="W149" s="1012"/>
      <c r="X149" s="1012"/>
      <c r="Y149" s="1012"/>
      <c r="Z149" s="1012"/>
      <c r="AA149" s="1012"/>
      <c r="AB149" s="1012"/>
      <c r="AC149" s="1012"/>
      <c r="AD149" s="1012"/>
      <c r="AE149" s="1012"/>
      <c r="AF149" s="1012"/>
      <c r="AG149" s="1012"/>
      <c r="AH149" s="1012"/>
      <c r="AI149" s="1012"/>
      <c r="AJ149" s="1012"/>
      <c r="AK149" s="995"/>
      <c r="AL149" s="994"/>
      <c r="AM149" s="994"/>
      <c r="AN149" s="994"/>
      <c r="AO149" s="1012"/>
      <c r="AP149" s="1114"/>
      <c r="AQ149" s="1012"/>
      <c r="AR149" s="1012"/>
      <c r="AS149" s="1012"/>
      <c r="AT149" s="1012"/>
      <c r="AU149" s="1012"/>
      <c r="AV149" s="1012"/>
      <c r="AW149" s="1012"/>
      <c r="AX149" s="1012"/>
      <c r="AY149" s="1012"/>
      <c r="AZ149" s="1012"/>
      <c r="BA149" s="1012"/>
      <c r="BB149" s="1012"/>
      <c r="BC149" s="1012"/>
      <c r="BD149" s="1012"/>
      <c r="BE149" s="1012"/>
      <c r="BF149" s="1012"/>
      <c r="BG149" s="1012"/>
      <c r="BH149" s="1012"/>
      <c r="BI149" s="1012"/>
      <c r="BJ149" s="1012"/>
    </row>
    <row r="150" ht="11.25" customHeight="1">
      <c r="A150" s="994"/>
      <c r="B150" s="994"/>
      <c r="C150" s="994"/>
      <c r="D150" s="1012"/>
      <c r="E150" s="995"/>
      <c r="F150" s="1012"/>
      <c r="G150" s="1012"/>
      <c r="H150" s="1012"/>
      <c r="I150" s="1012"/>
      <c r="J150" s="1012"/>
      <c r="K150" s="1012"/>
      <c r="L150" s="1012"/>
      <c r="M150" s="1012"/>
      <c r="N150" s="1012"/>
      <c r="O150" s="1012"/>
      <c r="P150" s="1012"/>
      <c r="Q150" s="1012"/>
      <c r="R150" s="1012"/>
      <c r="S150" s="1012"/>
      <c r="T150" s="1012"/>
      <c r="U150" s="1012"/>
      <c r="V150" s="1012"/>
      <c r="W150" s="1012"/>
      <c r="X150" s="1012"/>
      <c r="Y150" s="1012"/>
      <c r="Z150" s="1012"/>
      <c r="AA150" s="1012"/>
      <c r="AB150" s="1012"/>
      <c r="AC150" s="1012"/>
      <c r="AD150" s="1012"/>
      <c r="AE150" s="1012"/>
      <c r="AF150" s="1012"/>
      <c r="AG150" s="1012"/>
      <c r="AH150" s="1012"/>
      <c r="AI150" s="1012"/>
      <c r="AJ150" s="1012"/>
      <c r="AK150" s="995"/>
      <c r="AL150" s="994"/>
      <c r="AM150" s="994"/>
      <c r="AN150" s="994"/>
      <c r="AO150" s="1012"/>
      <c r="AP150" s="1114"/>
      <c r="AQ150" s="1012"/>
      <c r="AR150" s="1012"/>
      <c r="AS150" s="1012"/>
      <c r="AT150" s="1012"/>
      <c r="AU150" s="1012"/>
      <c r="AV150" s="1012"/>
      <c r="AW150" s="1012"/>
      <c r="AX150" s="1012"/>
      <c r="AY150" s="1012"/>
      <c r="AZ150" s="1012"/>
      <c r="BA150" s="1012"/>
      <c r="BB150" s="1012"/>
      <c r="BC150" s="1012"/>
      <c r="BD150" s="1012"/>
      <c r="BE150" s="1012"/>
      <c r="BF150" s="1012"/>
      <c r="BG150" s="1012"/>
      <c r="BH150" s="1012"/>
      <c r="BI150" s="1012"/>
      <c r="BJ150" s="1012"/>
    </row>
    <row r="151" ht="11.25" customHeight="1">
      <c r="A151" s="994"/>
      <c r="B151" s="994"/>
      <c r="C151" s="994"/>
      <c r="D151" s="1012"/>
      <c r="E151" s="995"/>
      <c r="F151" s="1012"/>
      <c r="G151" s="1012"/>
      <c r="H151" s="1012"/>
      <c r="I151" s="1012"/>
      <c r="J151" s="1012"/>
      <c r="K151" s="1012"/>
      <c r="L151" s="1012"/>
      <c r="M151" s="1012"/>
      <c r="N151" s="1012"/>
      <c r="O151" s="1012"/>
      <c r="P151" s="1012"/>
      <c r="Q151" s="1012"/>
      <c r="R151" s="1012"/>
      <c r="S151" s="1012"/>
      <c r="T151" s="1012"/>
      <c r="U151" s="1012"/>
      <c r="V151" s="1012"/>
      <c r="W151" s="1012"/>
      <c r="X151" s="1012"/>
      <c r="Y151" s="1012"/>
      <c r="Z151" s="1012"/>
      <c r="AA151" s="1012"/>
      <c r="AB151" s="1012"/>
      <c r="AC151" s="1012"/>
      <c r="AD151" s="1012"/>
      <c r="AE151" s="1012"/>
      <c r="AF151" s="1012"/>
      <c r="AG151" s="1012"/>
      <c r="AH151" s="1012"/>
      <c r="AI151" s="1012"/>
      <c r="AJ151" s="1012"/>
      <c r="AK151" s="995"/>
      <c r="AL151" s="994"/>
      <c r="AM151" s="994"/>
      <c r="AN151" s="994"/>
      <c r="AO151" s="1012"/>
      <c r="AP151" s="1114"/>
      <c r="AQ151" s="1012"/>
      <c r="AR151" s="1012"/>
      <c r="AS151" s="1012"/>
      <c r="AT151" s="1012"/>
      <c r="AU151" s="1012"/>
      <c r="AV151" s="1012"/>
      <c r="AW151" s="1012"/>
      <c r="AX151" s="1012"/>
      <c r="AY151" s="1012"/>
      <c r="AZ151" s="1012"/>
      <c r="BA151" s="1012"/>
      <c r="BB151" s="1012"/>
      <c r="BC151" s="1012"/>
      <c r="BD151" s="1012"/>
      <c r="BE151" s="1012"/>
      <c r="BF151" s="1012"/>
      <c r="BG151" s="1012"/>
      <c r="BH151" s="1012"/>
      <c r="BI151" s="1012"/>
      <c r="BJ151" s="1012"/>
    </row>
    <row r="152" ht="11.25" customHeight="1">
      <c r="A152" s="994"/>
      <c r="B152" s="994"/>
      <c r="C152" s="994"/>
      <c r="D152" s="1012"/>
      <c r="E152" s="995"/>
      <c r="F152" s="1012"/>
      <c r="G152" s="1012"/>
      <c r="H152" s="1012"/>
      <c r="I152" s="1012"/>
      <c r="J152" s="1012"/>
      <c r="K152" s="1012"/>
      <c r="L152" s="1012"/>
      <c r="M152" s="1012"/>
      <c r="N152" s="1012"/>
      <c r="O152" s="1012"/>
      <c r="P152" s="1012"/>
      <c r="Q152" s="1012"/>
      <c r="R152" s="1012"/>
      <c r="S152" s="1012"/>
      <c r="T152" s="1012"/>
      <c r="U152" s="1012"/>
      <c r="V152" s="1012"/>
      <c r="W152" s="1012"/>
      <c r="X152" s="1012"/>
      <c r="Y152" s="1012"/>
      <c r="Z152" s="1012"/>
      <c r="AA152" s="1012"/>
      <c r="AB152" s="1012"/>
      <c r="AC152" s="1012"/>
      <c r="AD152" s="1012"/>
      <c r="AE152" s="1012"/>
      <c r="AF152" s="1012"/>
      <c r="AG152" s="1012"/>
      <c r="AH152" s="1012"/>
      <c r="AI152" s="1012"/>
      <c r="AJ152" s="1012"/>
      <c r="AK152" s="995"/>
      <c r="AL152" s="994"/>
      <c r="AM152" s="994"/>
      <c r="AN152" s="994"/>
      <c r="AO152" s="1012"/>
      <c r="AP152" s="1114"/>
      <c r="AQ152" s="1012"/>
      <c r="AR152" s="1012"/>
      <c r="AS152" s="1012"/>
      <c r="AT152" s="1012"/>
      <c r="AU152" s="1012"/>
      <c r="AV152" s="1012"/>
      <c r="AW152" s="1012"/>
      <c r="AX152" s="1012"/>
      <c r="AY152" s="1012"/>
      <c r="AZ152" s="1012"/>
      <c r="BA152" s="1012"/>
      <c r="BB152" s="1012"/>
      <c r="BC152" s="1012"/>
      <c r="BD152" s="1012"/>
      <c r="BE152" s="1012"/>
      <c r="BF152" s="1012"/>
      <c r="BG152" s="1012"/>
      <c r="BH152" s="1012"/>
      <c r="BI152" s="1012"/>
      <c r="BJ152" s="1012"/>
    </row>
    <row r="153" ht="11.25" customHeight="1">
      <c r="A153" s="994"/>
      <c r="B153" s="994"/>
      <c r="C153" s="994"/>
      <c r="D153" s="1012"/>
      <c r="E153" s="995"/>
      <c r="F153" s="1012"/>
      <c r="G153" s="1012"/>
      <c r="H153" s="1012"/>
      <c r="I153" s="1012"/>
      <c r="J153" s="1012"/>
      <c r="K153" s="1012"/>
      <c r="L153" s="1012"/>
      <c r="M153" s="1012"/>
      <c r="N153" s="1012"/>
      <c r="O153" s="1012"/>
      <c r="P153" s="1012"/>
      <c r="Q153" s="1012"/>
      <c r="R153" s="1012"/>
      <c r="S153" s="1012"/>
      <c r="T153" s="1012"/>
      <c r="U153" s="1012"/>
      <c r="V153" s="1012"/>
      <c r="W153" s="1012"/>
      <c r="X153" s="1012"/>
      <c r="Y153" s="1012"/>
      <c r="Z153" s="1012"/>
      <c r="AA153" s="1012"/>
      <c r="AB153" s="1012"/>
      <c r="AC153" s="1012"/>
      <c r="AD153" s="1012"/>
      <c r="AE153" s="1012"/>
      <c r="AF153" s="1012"/>
      <c r="AG153" s="1012"/>
      <c r="AH153" s="1012"/>
      <c r="AI153" s="1012"/>
      <c r="AJ153" s="1012"/>
      <c r="AK153" s="995"/>
      <c r="AL153" s="994"/>
      <c r="AM153" s="994"/>
      <c r="AN153" s="994"/>
      <c r="AO153" s="1012"/>
      <c r="AP153" s="1114"/>
      <c r="AQ153" s="1012"/>
      <c r="AR153" s="1012"/>
      <c r="AS153" s="1012"/>
      <c r="AT153" s="1012"/>
      <c r="AU153" s="1012"/>
      <c r="AV153" s="1012"/>
      <c r="AW153" s="1012"/>
      <c r="AX153" s="1012"/>
      <c r="AY153" s="1012"/>
      <c r="AZ153" s="1012"/>
      <c r="BA153" s="1012"/>
      <c r="BB153" s="1012"/>
      <c r="BC153" s="1012"/>
      <c r="BD153" s="1012"/>
      <c r="BE153" s="1012"/>
      <c r="BF153" s="1012"/>
      <c r="BG153" s="1012"/>
      <c r="BH153" s="1012"/>
      <c r="BI153" s="1012"/>
      <c r="BJ153" s="1012"/>
    </row>
    <row r="154" ht="11.25" customHeight="1">
      <c r="A154" s="994"/>
      <c r="B154" s="994"/>
      <c r="C154" s="994"/>
      <c r="D154" s="1012"/>
      <c r="E154" s="995"/>
      <c r="F154" s="1012"/>
      <c r="G154" s="1012"/>
      <c r="H154" s="1012"/>
      <c r="I154" s="1012"/>
      <c r="J154" s="1012"/>
      <c r="K154" s="1012"/>
      <c r="L154" s="1012"/>
      <c r="M154" s="1012"/>
      <c r="N154" s="1012"/>
      <c r="O154" s="1012"/>
      <c r="P154" s="1012"/>
      <c r="Q154" s="1012"/>
      <c r="R154" s="1012"/>
      <c r="S154" s="1012"/>
      <c r="T154" s="1012"/>
      <c r="U154" s="1012"/>
      <c r="V154" s="1012"/>
      <c r="W154" s="1012"/>
      <c r="X154" s="1012"/>
      <c r="Y154" s="1012"/>
      <c r="Z154" s="1012"/>
      <c r="AA154" s="1012"/>
      <c r="AB154" s="1012"/>
      <c r="AC154" s="1012"/>
      <c r="AD154" s="1012"/>
      <c r="AE154" s="1012"/>
      <c r="AF154" s="1012"/>
      <c r="AG154" s="1012"/>
      <c r="AH154" s="1012"/>
      <c r="AI154" s="1012"/>
      <c r="AJ154" s="1012"/>
      <c r="AK154" s="995"/>
      <c r="AL154" s="994"/>
      <c r="AM154" s="994"/>
      <c r="AN154" s="994"/>
      <c r="AO154" s="1012"/>
      <c r="AP154" s="1114"/>
      <c r="AQ154" s="1012"/>
      <c r="AR154" s="1012"/>
      <c r="AS154" s="1012"/>
      <c r="AT154" s="1012"/>
      <c r="AU154" s="1012"/>
      <c r="AV154" s="1012"/>
      <c r="AW154" s="1012"/>
      <c r="AX154" s="1012"/>
      <c r="AY154" s="1012"/>
      <c r="AZ154" s="1012"/>
      <c r="BA154" s="1012"/>
      <c r="BB154" s="1012"/>
      <c r="BC154" s="1012"/>
      <c r="BD154" s="1012"/>
      <c r="BE154" s="1012"/>
      <c r="BF154" s="1012"/>
      <c r="BG154" s="1012"/>
      <c r="BH154" s="1012"/>
      <c r="BI154" s="1012"/>
      <c r="BJ154" s="1012"/>
    </row>
    <row r="155" ht="11.25" customHeight="1">
      <c r="A155" s="994"/>
      <c r="B155" s="994"/>
      <c r="C155" s="994"/>
      <c r="D155" s="1012"/>
      <c r="E155" s="995"/>
      <c r="F155" s="1012"/>
      <c r="G155" s="1012"/>
      <c r="H155" s="1012"/>
      <c r="I155" s="1012"/>
      <c r="J155" s="1012"/>
      <c r="K155" s="1012"/>
      <c r="L155" s="1012"/>
      <c r="M155" s="1012"/>
      <c r="N155" s="1012"/>
      <c r="O155" s="1012"/>
      <c r="P155" s="1012"/>
      <c r="Q155" s="1012"/>
      <c r="R155" s="1012"/>
      <c r="S155" s="1012"/>
      <c r="T155" s="1012"/>
      <c r="U155" s="1012"/>
      <c r="V155" s="1012"/>
      <c r="W155" s="1012"/>
      <c r="X155" s="1012"/>
      <c r="Y155" s="1012"/>
      <c r="Z155" s="1012"/>
      <c r="AA155" s="1012"/>
      <c r="AB155" s="1012"/>
      <c r="AC155" s="1012"/>
      <c r="AD155" s="1012"/>
      <c r="AE155" s="1012"/>
      <c r="AF155" s="1012"/>
      <c r="AG155" s="1012"/>
      <c r="AH155" s="1012"/>
      <c r="AI155" s="1012"/>
      <c r="AJ155" s="1012"/>
      <c r="AK155" s="995"/>
      <c r="AL155" s="994"/>
      <c r="AM155" s="994"/>
      <c r="AN155" s="994"/>
      <c r="AO155" s="1012"/>
      <c r="AP155" s="1114"/>
      <c r="AQ155" s="1012"/>
      <c r="AR155" s="1012"/>
      <c r="AS155" s="1012"/>
      <c r="AT155" s="1012"/>
      <c r="AU155" s="1012"/>
      <c r="AV155" s="1012"/>
      <c r="AW155" s="1012"/>
      <c r="AX155" s="1012"/>
      <c r="AY155" s="1012"/>
      <c r="AZ155" s="1012"/>
      <c r="BA155" s="1012"/>
      <c r="BB155" s="1012"/>
      <c r="BC155" s="1012"/>
      <c r="BD155" s="1012"/>
      <c r="BE155" s="1012"/>
      <c r="BF155" s="1012"/>
      <c r="BG155" s="1012"/>
      <c r="BH155" s="1012"/>
      <c r="BI155" s="1012"/>
      <c r="BJ155" s="1012"/>
    </row>
    <row r="156" ht="11.25" customHeight="1">
      <c r="A156" s="994"/>
      <c r="B156" s="994"/>
      <c r="C156" s="994"/>
      <c r="D156" s="1012"/>
      <c r="E156" s="995"/>
      <c r="F156" s="1012"/>
      <c r="G156" s="1012"/>
      <c r="H156" s="1012"/>
      <c r="I156" s="1012"/>
      <c r="J156" s="1012"/>
      <c r="K156" s="1012"/>
      <c r="L156" s="1012"/>
      <c r="M156" s="1012"/>
      <c r="N156" s="1012"/>
      <c r="O156" s="1012"/>
      <c r="P156" s="1012"/>
      <c r="Q156" s="1012"/>
      <c r="R156" s="1012"/>
      <c r="S156" s="1012"/>
      <c r="T156" s="1012"/>
      <c r="U156" s="1012"/>
      <c r="V156" s="1012"/>
      <c r="W156" s="1012"/>
      <c r="X156" s="1012"/>
      <c r="Y156" s="1012"/>
      <c r="Z156" s="1012"/>
      <c r="AA156" s="1012"/>
      <c r="AB156" s="1012"/>
      <c r="AC156" s="1012"/>
      <c r="AD156" s="1012"/>
      <c r="AE156" s="1012"/>
      <c r="AF156" s="1012"/>
      <c r="AG156" s="1012"/>
      <c r="AH156" s="1012"/>
      <c r="AI156" s="1012"/>
      <c r="AJ156" s="1012"/>
      <c r="AK156" s="995"/>
      <c r="AL156" s="994"/>
      <c r="AM156" s="994"/>
      <c r="AN156" s="994"/>
      <c r="AO156" s="1012"/>
      <c r="AP156" s="1114"/>
      <c r="AQ156" s="1012"/>
      <c r="AR156" s="1012"/>
      <c r="AS156" s="1012"/>
      <c r="AT156" s="1012"/>
      <c r="AU156" s="1012"/>
      <c r="AV156" s="1012"/>
      <c r="AW156" s="1012"/>
      <c r="AX156" s="1012"/>
      <c r="AY156" s="1012"/>
      <c r="AZ156" s="1012"/>
      <c r="BA156" s="1012"/>
      <c r="BB156" s="1012"/>
      <c r="BC156" s="1012"/>
      <c r="BD156" s="1012"/>
      <c r="BE156" s="1012"/>
      <c r="BF156" s="1012"/>
      <c r="BG156" s="1012"/>
      <c r="BH156" s="1012"/>
      <c r="BI156" s="1012"/>
      <c r="BJ156" s="1012"/>
    </row>
    <row r="157" ht="11.25" customHeight="1">
      <c r="A157" s="994"/>
      <c r="B157" s="994"/>
      <c r="C157" s="994"/>
      <c r="D157" s="1012"/>
      <c r="E157" s="995"/>
      <c r="F157" s="1012"/>
      <c r="G157" s="1012"/>
      <c r="H157" s="1012"/>
      <c r="I157" s="1012"/>
      <c r="J157" s="1012"/>
      <c r="K157" s="1012"/>
      <c r="L157" s="1012"/>
      <c r="M157" s="1012"/>
      <c r="N157" s="1012"/>
      <c r="O157" s="1012"/>
      <c r="P157" s="1012"/>
      <c r="Q157" s="1012"/>
      <c r="R157" s="1012"/>
      <c r="S157" s="1012"/>
      <c r="T157" s="1012"/>
      <c r="U157" s="1012"/>
      <c r="V157" s="1012"/>
      <c r="W157" s="1012"/>
      <c r="X157" s="1012"/>
      <c r="Y157" s="1012"/>
      <c r="Z157" s="1012"/>
      <c r="AA157" s="1012"/>
      <c r="AB157" s="1012"/>
      <c r="AC157" s="1012"/>
      <c r="AD157" s="1012"/>
      <c r="AE157" s="1012"/>
      <c r="AF157" s="1012"/>
      <c r="AG157" s="1012"/>
      <c r="AH157" s="1012"/>
      <c r="AI157" s="1012"/>
      <c r="AJ157" s="1012"/>
      <c r="AK157" s="995"/>
      <c r="AL157" s="994"/>
      <c r="AM157" s="994"/>
      <c r="AN157" s="994"/>
      <c r="AO157" s="1012"/>
      <c r="AP157" s="1114"/>
      <c r="AQ157" s="1012"/>
      <c r="AR157" s="1012"/>
      <c r="AS157" s="1012"/>
      <c r="AT157" s="1012"/>
      <c r="AU157" s="1012"/>
      <c r="AV157" s="1012"/>
      <c r="AW157" s="1012"/>
      <c r="AX157" s="1012"/>
      <c r="AY157" s="1012"/>
      <c r="AZ157" s="1012"/>
      <c r="BA157" s="1012"/>
      <c r="BB157" s="1012"/>
      <c r="BC157" s="1012"/>
      <c r="BD157" s="1012"/>
      <c r="BE157" s="1012"/>
      <c r="BF157" s="1012"/>
      <c r="BG157" s="1012"/>
      <c r="BH157" s="1012"/>
      <c r="BI157" s="1012"/>
      <c r="BJ157" s="1012"/>
    </row>
    <row r="158" ht="11.25" customHeight="1">
      <c r="A158" s="994"/>
      <c r="B158" s="994"/>
      <c r="C158" s="994"/>
      <c r="D158" s="1012"/>
      <c r="E158" s="995"/>
      <c r="F158" s="1012"/>
      <c r="G158" s="1012"/>
      <c r="H158" s="1012"/>
      <c r="I158" s="1012"/>
      <c r="J158" s="1012"/>
      <c r="K158" s="1012"/>
      <c r="L158" s="1012"/>
      <c r="M158" s="1012"/>
      <c r="N158" s="1012"/>
      <c r="O158" s="1012"/>
      <c r="P158" s="1012"/>
      <c r="Q158" s="1012"/>
      <c r="R158" s="1012"/>
      <c r="S158" s="1012"/>
      <c r="T158" s="1012"/>
      <c r="U158" s="1012"/>
      <c r="V158" s="1012"/>
      <c r="W158" s="1012"/>
      <c r="X158" s="1012"/>
      <c r="Y158" s="1012"/>
      <c r="Z158" s="1012"/>
      <c r="AA158" s="1012"/>
      <c r="AB158" s="1012"/>
      <c r="AC158" s="1012"/>
      <c r="AD158" s="1012"/>
      <c r="AE158" s="1012"/>
      <c r="AF158" s="1012"/>
      <c r="AG158" s="1012"/>
      <c r="AH158" s="1012"/>
      <c r="AI158" s="1012"/>
      <c r="AJ158" s="1012"/>
      <c r="AK158" s="995"/>
      <c r="AL158" s="994"/>
      <c r="AM158" s="994"/>
      <c r="AN158" s="994"/>
      <c r="AO158" s="1012"/>
      <c r="AP158" s="1114"/>
      <c r="AQ158" s="1012"/>
      <c r="AR158" s="1012"/>
      <c r="AS158" s="1012"/>
      <c r="AT158" s="1012"/>
      <c r="AU158" s="1012"/>
      <c r="AV158" s="1012"/>
      <c r="AW158" s="1012"/>
      <c r="AX158" s="1012"/>
      <c r="AY158" s="1012"/>
      <c r="AZ158" s="1012"/>
      <c r="BA158" s="1012"/>
      <c r="BB158" s="1012"/>
      <c r="BC158" s="1012"/>
      <c r="BD158" s="1012"/>
      <c r="BE158" s="1012"/>
      <c r="BF158" s="1012"/>
      <c r="BG158" s="1012"/>
      <c r="BH158" s="1012"/>
      <c r="BI158" s="1012"/>
      <c r="BJ158" s="1012"/>
    </row>
    <row r="159" ht="11.25" customHeight="1">
      <c r="A159" s="994"/>
      <c r="B159" s="994"/>
      <c r="C159" s="994"/>
      <c r="D159" s="1012"/>
      <c r="E159" s="995"/>
      <c r="F159" s="1012"/>
      <c r="G159" s="1012"/>
      <c r="H159" s="1012"/>
      <c r="I159" s="1012"/>
      <c r="J159" s="1012"/>
      <c r="K159" s="1012"/>
      <c r="L159" s="1012"/>
      <c r="M159" s="1012"/>
      <c r="N159" s="1012"/>
      <c r="O159" s="1012"/>
      <c r="P159" s="1012"/>
      <c r="Q159" s="1012"/>
      <c r="R159" s="1012"/>
      <c r="S159" s="1012"/>
      <c r="T159" s="1012"/>
      <c r="U159" s="1012"/>
      <c r="V159" s="1012"/>
      <c r="W159" s="1012"/>
      <c r="X159" s="1012"/>
      <c r="Y159" s="1012"/>
      <c r="Z159" s="1012"/>
      <c r="AA159" s="1012"/>
      <c r="AB159" s="1012"/>
      <c r="AC159" s="1012"/>
      <c r="AD159" s="1012"/>
      <c r="AE159" s="1012"/>
      <c r="AF159" s="1012"/>
      <c r="AG159" s="1012"/>
      <c r="AH159" s="1012"/>
      <c r="AI159" s="1012"/>
      <c r="AJ159" s="1012"/>
      <c r="AK159" s="995"/>
      <c r="AL159" s="994"/>
      <c r="AM159" s="994"/>
      <c r="AN159" s="994"/>
      <c r="AO159" s="1012"/>
      <c r="AP159" s="1114"/>
      <c r="AQ159" s="1012"/>
      <c r="AR159" s="1012"/>
      <c r="AS159" s="1012"/>
      <c r="AT159" s="1012"/>
      <c r="AU159" s="1012"/>
      <c r="AV159" s="1012"/>
      <c r="AW159" s="1012"/>
      <c r="AX159" s="1012"/>
      <c r="AY159" s="1012"/>
      <c r="AZ159" s="1012"/>
      <c r="BA159" s="1012"/>
      <c r="BB159" s="1012"/>
      <c r="BC159" s="1012"/>
      <c r="BD159" s="1012"/>
      <c r="BE159" s="1012"/>
      <c r="BF159" s="1012"/>
      <c r="BG159" s="1012"/>
      <c r="BH159" s="1012"/>
      <c r="BI159" s="1012"/>
      <c r="BJ159" s="1012"/>
    </row>
    <row r="160" ht="11.25" customHeight="1">
      <c r="A160" s="994"/>
      <c r="B160" s="994"/>
      <c r="C160" s="994"/>
      <c r="D160" s="1012"/>
      <c r="E160" s="995"/>
      <c r="F160" s="1012"/>
      <c r="G160" s="1012"/>
      <c r="H160" s="1012"/>
      <c r="I160" s="1012"/>
      <c r="J160" s="1012"/>
      <c r="K160" s="1012"/>
      <c r="L160" s="1012"/>
      <c r="M160" s="1012"/>
      <c r="N160" s="1012"/>
      <c r="O160" s="1012"/>
      <c r="P160" s="1012"/>
      <c r="Q160" s="1012"/>
      <c r="R160" s="1012"/>
      <c r="S160" s="1012"/>
      <c r="T160" s="1012"/>
      <c r="U160" s="1012"/>
      <c r="V160" s="1012"/>
      <c r="W160" s="1012"/>
      <c r="X160" s="1012"/>
      <c r="Y160" s="1012"/>
      <c r="Z160" s="1012"/>
      <c r="AA160" s="1012"/>
      <c r="AB160" s="1012"/>
      <c r="AC160" s="1012"/>
      <c r="AD160" s="1012"/>
      <c r="AE160" s="1012"/>
      <c r="AF160" s="1012"/>
      <c r="AG160" s="1012"/>
      <c r="AH160" s="1012"/>
      <c r="AI160" s="1012"/>
      <c r="AJ160" s="1012"/>
      <c r="AK160" s="995"/>
      <c r="AL160" s="994"/>
      <c r="AM160" s="994"/>
      <c r="AN160" s="994"/>
      <c r="AO160" s="1012"/>
      <c r="AP160" s="1114"/>
      <c r="AQ160" s="1012"/>
      <c r="AR160" s="1012"/>
      <c r="AS160" s="1012"/>
      <c r="AT160" s="1012"/>
      <c r="AU160" s="1012"/>
      <c r="AV160" s="1012"/>
      <c r="AW160" s="1012"/>
      <c r="AX160" s="1012"/>
      <c r="AY160" s="1012"/>
      <c r="AZ160" s="1012"/>
      <c r="BA160" s="1012"/>
      <c r="BB160" s="1012"/>
      <c r="BC160" s="1012"/>
      <c r="BD160" s="1012"/>
      <c r="BE160" s="1012"/>
      <c r="BF160" s="1012"/>
      <c r="BG160" s="1012"/>
      <c r="BH160" s="1012"/>
      <c r="BI160" s="1012"/>
      <c r="BJ160" s="1012"/>
    </row>
    <row r="161" ht="11.25" customHeight="1">
      <c r="A161" s="994"/>
      <c r="B161" s="994"/>
      <c r="C161" s="994"/>
      <c r="D161" s="1012"/>
      <c r="E161" s="995"/>
      <c r="F161" s="1012"/>
      <c r="G161" s="1012"/>
      <c r="H161" s="1012"/>
      <c r="I161" s="1012"/>
      <c r="J161" s="1012"/>
      <c r="K161" s="1012"/>
      <c r="L161" s="1012"/>
      <c r="M161" s="1012"/>
      <c r="N161" s="1012"/>
      <c r="O161" s="1012"/>
      <c r="P161" s="1012"/>
      <c r="Q161" s="1012"/>
      <c r="R161" s="1012"/>
      <c r="S161" s="1012"/>
      <c r="T161" s="1012"/>
      <c r="U161" s="1012"/>
      <c r="V161" s="1012"/>
      <c r="W161" s="1012"/>
      <c r="X161" s="1012"/>
      <c r="Y161" s="1012"/>
      <c r="Z161" s="1012"/>
      <c r="AA161" s="1012"/>
      <c r="AB161" s="1012"/>
      <c r="AC161" s="1012"/>
      <c r="AD161" s="1012"/>
      <c r="AE161" s="1012"/>
      <c r="AF161" s="1012"/>
      <c r="AG161" s="1012"/>
      <c r="AH161" s="1012"/>
      <c r="AI161" s="1012"/>
      <c r="AJ161" s="1012"/>
      <c r="AK161" s="995"/>
      <c r="AL161" s="994"/>
      <c r="AM161" s="994"/>
      <c r="AN161" s="994"/>
      <c r="AO161" s="1012"/>
      <c r="AP161" s="1114"/>
      <c r="AQ161" s="1012"/>
      <c r="AR161" s="1012"/>
      <c r="AS161" s="1012"/>
      <c r="AT161" s="1012"/>
      <c r="AU161" s="1012"/>
      <c r="AV161" s="1012"/>
      <c r="AW161" s="1012"/>
      <c r="AX161" s="1012"/>
      <c r="AY161" s="1012"/>
      <c r="AZ161" s="1012"/>
      <c r="BA161" s="1012"/>
      <c r="BB161" s="1012"/>
      <c r="BC161" s="1012"/>
      <c r="BD161" s="1012"/>
      <c r="BE161" s="1012"/>
      <c r="BF161" s="1012"/>
      <c r="BG161" s="1012"/>
      <c r="BH161" s="1012"/>
      <c r="BI161" s="1012"/>
      <c r="BJ161" s="1012"/>
    </row>
    <row r="162" ht="11.25" customHeight="1">
      <c r="A162" s="994"/>
      <c r="B162" s="994"/>
      <c r="C162" s="994"/>
      <c r="D162" s="1012"/>
      <c r="E162" s="995"/>
      <c r="F162" s="1012"/>
      <c r="G162" s="1012"/>
      <c r="H162" s="1012"/>
      <c r="I162" s="1012"/>
      <c r="J162" s="1012"/>
      <c r="K162" s="1012"/>
      <c r="L162" s="1012"/>
      <c r="M162" s="1012"/>
      <c r="N162" s="1012"/>
      <c r="O162" s="1012"/>
      <c r="P162" s="1012"/>
      <c r="Q162" s="1012"/>
      <c r="R162" s="1012"/>
      <c r="S162" s="1012"/>
      <c r="T162" s="1012"/>
      <c r="U162" s="1012"/>
      <c r="V162" s="1012"/>
      <c r="W162" s="1012"/>
      <c r="X162" s="1012"/>
      <c r="Y162" s="1012"/>
      <c r="Z162" s="1012"/>
      <c r="AA162" s="1012"/>
      <c r="AB162" s="1012"/>
      <c r="AC162" s="1012"/>
      <c r="AD162" s="1012"/>
      <c r="AE162" s="1012"/>
      <c r="AF162" s="1012"/>
      <c r="AG162" s="1012"/>
      <c r="AH162" s="1012"/>
      <c r="AI162" s="1012"/>
      <c r="AJ162" s="1012"/>
      <c r="AK162" s="995"/>
      <c r="AL162" s="994"/>
      <c r="AM162" s="994"/>
      <c r="AN162" s="994"/>
      <c r="AO162" s="1012"/>
      <c r="AP162" s="1114"/>
      <c r="AQ162" s="1012"/>
      <c r="AR162" s="1012"/>
      <c r="AS162" s="1012"/>
      <c r="AT162" s="1012"/>
      <c r="AU162" s="1012"/>
      <c r="AV162" s="1012"/>
      <c r="AW162" s="1012"/>
      <c r="AX162" s="1012"/>
      <c r="AY162" s="1012"/>
      <c r="AZ162" s="1012"/>
      <c r="BA162" s="1012"/>
      <c r="BB162" s="1012"/>
      <c r="BC162" s="1012"/>
      <c r="BD162" s="1012"/>
      <c r="BE162" s="1012"/>
      <c r="BF162" s="1012"/>
      <c r="BG162" s="1012"/>
      <c r="BH162" s="1012"/>
      <c r="BI162" s="1012"/>
      <c r="BJ162" s="1012"/>
    </row>
    <row r="163" ht="11.25" customHeight="1">
      <c r="A163" s="994"/>
      <c r="B163" s="994"/>
      <c r="C163" s="994"/>
      <c r="D163" s="1012"/>
      <c r="E163" s="995"/>
      <c r="F163" s="1012"/>
      <c r="G163" s="1012"/>
      <c r="H163" s="1012"/>
      <c r="I163" s="1012"/>
      <c r="J163" s="1012"/>
      <c r="K163" s="1012"/>
      <c r="L163" s="1012"/>
      <c r="M163" s="1012"/>
      <c r="N163" s="1012"/>
      <c r="O163" s="1012"/>
      <c r="P163" s="1012"/>
      <c r="Q163" s="1012"/>
      <c r="R163" s="1012"/>
      <c r="S163" s="1012"/>
      <c r="T163" s="1012"/>
      <c r="U163" s="1012"/>
      <c r="V163" s="1012"/>
      <c r="W163" s="1012"/>
      <c r="X163" s="1012"/>
      <c r="Y163" s="1012"/>
      <c r="Z163" s="1012"/>
      <c r="AA163" s="1012"/>
      <c r="AB163" s="1012"/>
      <c r="AC163" s="1012"/>
      <c r="AD163" s="1012"/>
      <c r="AE163" s="1012"/>
      <c r="AF163" s="1012"/>
      <c r="AG163" s="1012"/>
      <c r="AH163" s="1012"/>
      <c r="AI163" s="1012"/>
      <c r="AJ163" s="1012"/>
      <c r="AK163" s="995"/>
      <c r="AL163" s="994"/>
      <c r="AM163" s="994"/>
      <c r="AN163" s="994"/>
      <c r="AO163" s="1012"/>
      <c r="AP163" s="1114"/>
      <c r="AQ163" s="1012"/>
      <c r="AR163" s="1012"/>
      <c r="AS163" s="1012"/>
      <c r="AT163" s="1012"/>
      <c r="AU163" s="1012"/>
      <c r="AV163" s="1012"/>
      <c r="AW163" s="1012"/>
      <c r="AX163" s="1012"/>
      <c r="AY163" s="1012"/>
      <c r="AZ163" s="1012"/>
      <c r="BA163" s="1012"/>
      <c r="BB163" s="1012"/>
      <c r="BC163" s="1012"/>
      <c r="BD163" s="1012"/>
      <c r="BE163" s="1012"/>
      <c r="BF163" s="1012"/>
      <c r="BG163" s="1012"/>
      <c r="BH163" s="1012"/>
      <c r="BI163" s="1012"/>
      <c r="BJ163" s="1012"/>
    </row>
    <row r="164" ht="11.25" customHeight="1">
      <c r="A164" s="994"/>
      <c r="B164" s="994"/>
      <c r="C164" s="994"/>
      <c r="D164" s="1012"/>
      <c r="E164" s="995"/>
      <c r="F164" s="1012"/>
      <c r="G164" s="1012"/>
      <c r="H164" s="1012"/>
      <c r="I164" s="1012"/>
      <c r="J164" s="1012"/>
      <c r="K164" s="1012"/>
      <c r="L164" s="1012"/>
      <c r="M164" s="1012"/>
      <c r="N164" s="1012"/>
      <c r="O164" s="1012"/>
      <c r="P164" s="1012"/>
      <c r="Q164" s="1012"/>
      <c r="R164" s="1012"/>
      <c r="S164" s="1012"/>
      <c r="T164" s="1012"/>
      <c r="U164" s="1012"/>
      <c r="V164" s="1012"/>
      <c r="W164" s="1012"/>
      <c r="X164" s="1012"/>
      <c r="Y164" s="1012"/>
      <c r="Z164" s="1012"/>
      <c r="AA164" s="1012"/>
      <c r="AB164" s="1012"/>
      <c r="AC164" s="1012"/>
      <c r="AD164" s="1012"/>
      <c r="AE164" s="1012"/>
      <c r="AF164" s="1012"/>
      <c r="AG164" s="1012"/>
      <c r="AH164" s="1012"/>
      <c r="AI164" s="1012"/>
      <c r="AJ164" s="1012"/>
      <c r="AK164" s="995"/>
      <c r="AL164" s="994"/>
      <c r="AM164" s="994"/>
      <c r="AN164" s="994"/>
      <c r="AO164" s="1012"/>
      <c r="AP164" s="1114"/>
      <c r="AQ164" s="1012"/>
      <c r="AR164" s="1012"/>
      <c r="AS164" s="1012"/>
      <c r="AT164" s="1012"/>
      <c r="AU164" s="1012"/>
      <c r="AV164" s="1012"/>
      <c r="AW164" s="1012"/>
      <c r="AX164" s="1012"/>
      <c r="AY164" s="1012"/>
      <c r="AZ164" s="1012"/>
      <c r="BA164" s="1012"/>
      <c r="BB164" s="1012"/>
      <c r="BC164" s="1012"/>
      <c r="BD164" s="1012"/>
      <c r="BE164" s="1012"/>
      <c r="BF164" s="1012"/>
      <c r="BG164" s="1012"/>
      <c r="BH164" s="1012"/>
      <c r="BI164" s="1012"/>
      <c r="BJ164" s="1012"/>
    </row>
    <row r="165" ht="11.25" customHeight="1">
      <c r="A165" s="994"/>
      <c r="B165" s="994"/>
      <c r="C165" s="994"/>
      <c r="D165" s="1012"/>
      <c r="E165" s="995"/>
      <c r="F165" s="1012"/>
      <c r="G165" s="1012"/>
      <c r="H165" s="1012"/>
      <c r="I165" s="1012"/>
      <c r="J165" s="1012"/>
      <c r="K165" s="1012"/>
      <c r="L165" s="1012"/>
      <c r="M165" s="1012"/>
      <c r="N165" s="1012"/>
      <c r="O165" s="1012"/>
      <c r="P165" s="1012"/>
      <c r="Q165" s="1012"/>
      <c r="R165" s="1012"/>
      <c r="S165" s="1012"/>
      <c r="T165" s="1012"/>
      <c r="U165" s="1012"/>
      <c r="V165" s="1012"/>
      <c r="W165" s="1012"/>
      <c r="X165" s="1012"/>
      <c r="Y165" s="1012"/>
      <c r="Z165" s="1012"/>
      <c r="AA165" s="1012"/>
      <c r="AB165" s="1012"/>
      <c r="AC165" s="1012"/>
      <c r="AD165" s="1012"/>
      <c r="AE165" s="1012"/>
      <c r="AF165" s="1012"/>
      <c r="AG165" s="1012"/>
      <c r="AH165" s="1012"/>
      <c r="AI165" s="1012"/>
      <c r="AJ165" s="1012"/>
      <c r="AK165" s="995"/>
      <c r="AL165" s="994"/>
      <c r="AM165" s="994"/>
      <c r="AN165" s="994"/>
      <c r="AO165" s="1012"/>
      <c r="AP165" s="1114"/>
      <c r="AQ165" s="1012"/>
      <c r="AR165" s="1012"/>
      <c r="AS165" s="1012"/>
      <c r="AT165" s="1012"/>
      <c r="AU165" s="1012"/>
      <c r="AV165" s="1012"/>
      <c r="AW165" s="1012"/>
      <c r="AX165" s="1012"/>
      <c r="AY165" s="1012"/>
      <c r="AZ165" s="1012"/>
      <c r="BA165" s="1012"/>
      <c r="BB165" s="1012"/>
      <c r="BC165" s="1012"/>
      <c r="BD165" s="1012"/>
      <c r="BE165" s="1012"/>
      <c r="BF165" s="1012"/>
      <c r="BG165" s="1012"/>
      <c r="BH165" s="1012"/>
      <c r="BI165" s="1012"/>
      <c r="BJ165" s="1012"/>
    </row>
    <row r="166" ht="11.25" customHeight="1">
      <c r="A166" s="994"/>
      <c r="B166" s="994"/>
      <c r="C166" s="994"/>
      <c r="D166" s="1012"/>
      <c r="E166" s="995"/>
      <c r="F166" s="1012"/>
      <c r="G166" s="1012"/>
      <c r="H166" s="1012"/>
      <c r="I166" s="1012"/>
      <c r="J166" s="1012"/>
      <c r="K166" s="1012"/>
      <c r="L166" s="1012"/>
      <c r="M166" s="1012"/>
      <c r="N166" s="1012"/>
      <c r="O166" s="1012"/>
      <c r="P166" s="1012"/>
      <c r="Q166" s="1012"/>
      <c r="R166" s="1012"/>
      <c r="S166" s="1012"/>
      <c r="T166" s="1012"/>
      <c r="U166" s="1012"/>
      <c r="V166" s="1012"/>
      <c r="W166" s="1012"/>
      <c r="X166" s="1012"/>
      <c r="Y166" s="1012"/>
      <c r="Z166" s="1012"/>
      <c r="AA166" s="1012"/>
      <c r="AB166" s="1012"/>
      <c r="AC166" s="1012"/>
      <c r="AD166" s="1012"/>
      <c r="AE166" s="1012"/>
      <c r="AF166" s="1012"/>
      <c r="AG166" s="1012"/>
      <c r="AH166" s="1012"/>
      <c r="AI166" s="1012"/>
      <c r="AJ166" s="1012"/>
      <c r="AK166" s="995"/>
      <c r="AL166" s="994"/>
      <c r="AM166" s="994"/>
      <c r="AN166" s="994"/>
      <c r="AO166" s="1012"/>
      <c r="AP166" s="1114"/>
      <c r="AQ166" s="1012"/>
      <c r="AR166" s="1012"/>
      <c r="AS166" s="1012"/>
      <c r="AT166" s="1012"/>
      <c r="AU166" s="1012"/>
      <c r="AV166" s="1012"/>
      <c r="AW166" s="1012"/>
      <c r="AX166" s="1012"/>
      <c r="AY166" s="1012"/>
      <c r="AZ166" s="1012"/>
      <c r="BA166" s="1012"/>
      <c r="BB166" s="1012"/>
      <c r="BC166" s="1012"/>
      <c r="BD166" s="1012"/>
      <c r="BE166" s="1012"/>
      <c r="BF166" s="1012"/>
      <c r="BG166" s="1012"/>
      <c r="BH166" s="1012"/>
      <c r="BI166" s="1012"/>
      <c r="BJ166" s="1012"/>
    </row>
    <row r="167" ht="11.25" customHeight="1">
      <c r="A167" s="994"/>
      <c r="B167" s="994"/>
      <c r="C167" s="994"/>
      <c r="D167" s="1012"/>
      <c r="E167" s="995"/>
      <c r="F167" s="1012"/>
      <c r="G167" s="1012"/>
      <c r="H167" s="1012"/>
      <c r="I167" s="1012"/>
      <c r="J167" s="1012"/>
      <c r="K167" s="1012"/>
      <c r="L167" s="1012"/>
      <c r="M167" s="1012"/>
      <c r="N167" s="1012"/>
      <c r="O167" s="1012"/>
      <c r="P167" s="1012"/>
      <c r="Q167" s="1012"/>
      <c r="R167" s="1012"/>
      <c r="S167" s="1012"/>
      <c r="T167" s="1012"/>
      <c r="U167" s="1012"/>
      <c r="V167" s="1012"/>
      <c r="W167" s="1012"/>
      <c r="X167" s="1012"/>
      <c r="Y167" s="1012"/>
      <c r="Z167" s="1012"/>
      <c r="AA167" s="1012"/>
      <c r="AB167" s="1012"/>
      <c r="AC167" s="1012"/>
      <c r="AD167" s="1012"/>
      <c r="AE167" s="1012"/>
      <c r="AF167" s="1012"/>
      <c r="AG167" s="1012"/>
      <c r="AH167" s="1012"/>
      <c r="AI167" s="1012"/>
      <c r="AJ167" s="1012"/>
      <c r="AK167" s="995"/>
      <c r="AL167" s="994"/>
      <c r="AM167" s="994"/>
      <c r="AN167" s="994"/>
      <c r="AO167" s="1012"/>
      <c r="AP167" s="1114"/>
      <c r="AQ167" s="1012"/>
      <c r="AR167" s="1012"/>
      <c r="AS167" s="1012"/>
      <c r="AT167" s="1012"/>
      <c r="AU167" s="1012"/>
      <c r="AV167" s="1012"/>
      <c r="AW167" s="1012"/>
      <c r="AX167" s="1012"/>
      <c r="AY167" s="1012"/>
      <c r="AZ167" s="1012"/>
      <c r="BA167" s="1012"/>
      <c r="BB167" s="1012"/>
      <c r="BC167" s="1012"/>
      <c r="BD167" s="1012"/>
      <c r="BE167" s="1012"/>
      <c r="BF167" s="1012"/>
      <c r="BG167" s="1012"/>
      <c r="BH167" s="1012"/>
      <c r="BI167" s="1012"/>
      <c r="BJ167" s="1012"/>
    </row>
    <row r="168" ht="11.25" customHeight="1">
      <c r="A168" s="994"/>
      <c r="B168" s="994"/>
      <c r="C168" s="994"/>
      <c r="D168" s="1012"/>
      <c r="E168" s="995"/>
      <c r="F168" s="1012"/>
      <c r="G168" s="1012"/>
      <c r="H168" s="1012"/>
      <c r="I168" s="1012"/>
      <c r="J168" s="1012"/>
      <c r="K168" s="1012"/>
      <c r="L168" s="1012"/>
      <c r="M168" s="1012"/>
      <c r="N168" s="1012"/>
      <c r="O168" s="1012"/>
      <c r="P168" s="1012"/>
      <c r="Q168" s="1012"/>
      <c r="R168" s="1012"/>
      <c r="S168" s="1012"/>
      <c r="T168" s="1012"/>
      <c r="U168" s="1012"/>
      <c r="V168" s="1012"/>
      <c r="W168" s="1012"/>
      <c r="X168" s="1012"/>
      <c r="Y168" s="1012"/>
      <c r="Z168" s="1012"/>
      <c r="AA168" s="1012"/>
      <c r="AB168" s="1012"/>
      <c r="AC168" s="1012"/>
      <c r="AD168" s="1012"/>
      <c r="AE168" s="1012"/>
      <c r="AF168" s="1012"/>
      <c r="AG168" s="1012"/>
      <c r="AH168" s="1012"/>
      <c r="AI168" s="1012"/>
      <c r="AJ168" s="1012"/>
      <c r="AK168" s="995"/>
      <c r="AL168" s="994"/>
      <c r="AM168" s="994"/>
      <c r="AN168" s="994"/>
      <c r="AO168" s="1012"/>
      <c r="AP168" s="1114"/>
      <c r="AQ168" s="1012"/>
      <c r="AR168" s="1012"/>
      <c r="AS168" s="1012"/>
      <c r="AT168" s="1012"/>
      <c r="AU168" s="1012"/>
      <c r="AV168" s="1012"/>
      <c r="AW168" s="1012"/>
      <c r="AX168" s="1012"/>
      <c r="AY168" s="1012"/>
      <c r="AZ168" s="1012"/>
      <c r="BA168" s="1012"/>
      <c r="BB168" s="1012"/>
      <c r="BC168" s="1012"/>
      <c r="BD168" s="1012"/>
      <c r="BE168" s="1012"/>
      <c r="BF168" s="1012"/>
      <c r="BG168" s="1012"/>
      <c r="BH168" s="1012"/>
      <c r="BI168" s="1012"/>
      <c r="BJ168" s="1012"/>
    </row>
    <row r="169" ht="11.25" customHeight="1">
      <c r="A169" s="994"/>
      <c r="B169" s="994"/>
      <c r="C169" s="994"/>
      <c r="D169" s="1012"/>
      <c r="E169" s="995"/>
      <c r="F169" s="1012"/>
      <c r="G169" s="1012"/>
      <c r="H169" s="1012"/>
      <c r="I169" s="1012"/>
      <c r="J169" s="1012"/>
      <c r="K169" s="1012"/>
      <c r="L169" s="1012"/>
      <c r="M169" s="1012"/>
      <c r="N169" s="1012"/>
      <c r="O169" s="1012"/>
      <c r="P169" s="1012"/>
      <c r="Q169" s="1012"/>
      <c r="R169" s="1012"/>
      <c r="S169" s="1012"/>
      <c r="T169" s="1012"/>
      <c r="U169" s="1012"/>
      <c r="V169" s="1012"/>
      <c r="W169" s="1012"/>
      <c r="X169" s="1012"/>
      <c r="Y169" s="1012"/>
      <c r="Z169" s="1012"/>
      <c r="AA169" s="1012"/>
      <c r="AB169" s="1012"/>
      <c r="AC169" s="1012"/>
      <c r="AD169" s="1012"/>
      <c r="AE169" s="1012"/>
      <c r="AF169" s="1012"/>
      <c r="AG169" s="1012"/>
      <c r="AH169" s="1012"/>
      <c r="AI169" s="1012"/>
      <c r="AJ169" s="1012"/>
      <c r="AK169" s="995"/>
      <c r="AL169" s="994"/>
      <c r="AM169" s="994"/>
      <c r="AN169" s="994"/>
      <c r="AO169" s="1012"/>
      <c r="AP169" s="1114"/>
      <c r="AQ169" s="1012"/>
      <c r="AR169" s="1012"/>
      <c r="AS169" s="1012"/>
      <c r="AT169" s="1012"/>
      <c r="AU169" s="1012"/>
      <c r="AV169" s="1012"/>
      <c r="AW169" s="1012"/>
      <c r="AX169" s="1012"/>
      <c r="AY169" s="1012"/>
      <c r="AZ169" s="1012"/>
      <c r="BA169" s="1012"/>
      <c r="BB169" s="1012"/>
      <c r="BC169" s="1012"/>
      <c r="BD169" s="1012"/>
      <c r="BE169" s="1012"/>
      <c r="BF169" s="1012"/>
      <c r="BG169" s="1012"/>
      <c r="BH169" s="1012"/>
      <c r="BI169" s="1012"/>
      <c r="BJ169" s="1012"/>
    </row>
    <row r="170" ht="11.25" customHeight="1">
      <c r="A170" s="994"/>
      <c r="B170" s="994"/>
      <c r="C170" s="994"/>
      <c r="D170" s="1012"/>
      <c r="E170" s="995"/>
      <c r="F170" s="1012"/>
      <c r="G170" s="1012"/>
      <c r="H170" s="1012"/>
      <c r="I170" s="1012"/>
      <c r="J170" s="1012"/>
      <c r="K170" s="1012"/>
      <c r="L170" s="1012"/>
      <c r="M170" s="1012"/>
      <c r="N170" s="1012"/>
      <c r="O170" s="1012"/>
      <c r="P170" s="1012"/>
      <c r="Q170" s="1012"/>
      <c r="R170" s="1012"/>
      <c r="S170" s="1012"/>
      <c r="T170" s="1012"/>
      <c r="U170" s="1012"/>
      <c r="V170" s="1012"/>
      <c r="W170" s="1012"/>
      <c r="X170" s="1012"/>
      <c r="Y170" s="1012"/>
      <c r="Z170" s="1012"/>
      <c r="AA170" s="1012"/>
      <c r="AB170" s="1012"/>
      <c r="AC170" s="1012"/>
      <c r="AD170" s="1012"/>
      <c r="AE170" s="1012"/>
      <c r="AF170" s="1012"/>
      <c r="AG170" s="1012"/>
      <c r="AH170" s="1012"/>
      <c r="AI170" s="1012"/>
      <c r="AJ170" s="1012"/>
      <c r="AK170" s="995"/>
      <c r="AL170" s="994"/>
      <c r="AM170" s="994"/>
      <c r="AN170" s="994"/>
      <c r="AO170" s="1012"/>
      <c r="AP170" s="1114"/>
      <c r="AQ170" s="1012"/>
      <c r="AR170" s="1012"/>
      <c r="AS170" s="1012"/>
      <c r="AT170" s="1012"/>
      <c r="AU170" s="1012"/>
      <c r="AV170" s="1012"/>
      <c r="AW170" s="1012"/>
      <c r="AX170" s="1012"/>
      <c r="AY170" s="1012"/>
      <c r="AZ170" s="1012"/>
      <c r="BA170" s="1012"/>
      <c r="BB170" s="1012"/>
      <c r="BC170" s="1012"/>
      <c r="BD170" s="1012"/>
      <c r="BE170" s="1012"/>
      <c r="BF170" s="1012"/>
      <c r="BG170" s="1012"/>
      <c r="BH170" s="1012"/>
      <c r="BI170" s="1012"/>
      <c r="BJ170" s="1012"/>
    </row>
    <row r="171" ht="11.25" customHeight="1">
      <c r="A171" s="994"/>
      <c r="B171" s="994"/>
      <c r="C171" s="994"/>
      <c r="D171" s="1012"/>
      <c r="E171" s="995"/>
      <c r="F171" s="1012"/>
      <c r="G171" s="1012"/>
      <c r="H171" s="1012"/>
      <c r="I171" s="1012"/>
      <c r="J171" s="1012"/>
      <c r="K171" s="1012"/>
      <c r="L171" s="1012"/>
      <c r="M171" s="1012"/>
      <c r="N171" s="1012"/>
      <c r="O171" s="1012"/>
      <c r="P171" s="1012"/>
      <c r="Q171" s="1012"/>
      <c r="R171" s="1012"/>
      <c r="S171" s="1012"/>
      <c r="T171" s="1012"/>
      <c r="U171" s="1012"/>
      <c r="V171" s="1012"/>
      <c r="W171" s="1012"/>
      <c r="X171" s="1012"/>
      <c r="Y171" s="1012"/>
      <c r="Z171" s="1012"/>
      <c r="AA171" s="1012"/>
      <c r="AB171" s="1012"/>
      <c r="AC171" s="1012"/>
      <c r="AD171" s="1012"/>
      <c r="AE171" s="1012"/>
      <c r="AF171" s="1012"/>
      <c r="AG171" s="1012"/>
      <c r="AH171" s="1012"/>
      <c r="AI171" s="1012"/>
      <c r="AJ171" s="1012"/>
      <c r="AK171" s="995"/>
      <c r="AL171" s="994"/>
      <c r="AM171" s="994"/>
      <c r="AN171" s="994"/>
      <c r="AO171" s="1012"/>
      <c r="AP171" s="1114"/>
      <c r="AQ171" s="1012"/>
      <c r="AR171" s="1012"/>
      <c r="AS171" s="1012"/>
      <c r="AT171" s="1012"/>
      <c r="AU171" s="1012"/>
      <c r="AV171" s="1012"/>
      <c r="AW171" s="1012"/>
      <c r="AX171" s="1012"/>
      <c r="AY171" s="1012"/>
      <c r="AZ171" s="1012"/>
      <c r="BA171" s="1012"/>
      <c r="BB171" s="1012"/>
      <c r="BC171" s="1012"/>
      <c r="BD171" s="1012"/>
      <c r="BE171" s="1012"/>
      <c r="BF171" s="1012"/>
      <c r="BG171" s="1012"/>
      <c r="BH171" s="1012"/>
      <c r="BI171" s="1012"/>
      <c r="BJ171" s="1012"/>
    </row>
    <row r="172" ht="11.25" customHeight="1">
      <c r="A172" s="994"/>
      <c r="B172" s="994"/>
      <c r="C172" s="994"/>
      <c r="D172" s="1012"/>
      <c r="E172" s="995"/>
      <c r="F172" s="1012"/>
      <c r="G172" s="1012"/>
      <c r="H172" s="1012"/>
      <c r="I172" s="1012"/>
      <c r="J172" s="1012"/>
      <c r="K172" s="1012"/>
      <c r="L172" s="1012"/>
      <c r="M172" s="1012"/>
      <c r="N172" s="1012"/>
      <c r="O172" s="1012"/>
      <c r="P172" s="1012"/>
      <c r="Q172" s="1012"/>
      <c r="R172" s="1012"/>
      <c r="S172" s="1012"/>
      <c r="T172" s="1012"/>
      <c r="U172" s="1012"/>
      <c r="V172" s="1012"/>
      <c r="W172" s="1012"/>
      <c r="X172" s="1012"/>
      <c r="Y172" s="1012"/>
      <c r="Z172" s="1012"/>
      <c r="AA172" s="1012"/>
      <c r="AB172" s="1012"/>
      <c r="AC172" s="1012"/>
      <c r="AD172" s="1012"/>
      <c r="AE172" s="1012"/>
      <c r="AF172" s="1012"/>
      <c r="AG172" s="1012"/>
      <c r="AH172" s="1012"/>
      <c r="AI172" s="1012"/>
      <c r="AJ172" s="1012"/>
      <c r="AK172" s="995"/>
      <c r="AL172" s="994"/>
      <c r="AM172" s="994"/>
      <c r="AN172" s="994"/>
      <c r="AO172" s="1012"/>
      <c r="AP172" s="1114"/>
      <c r="AQ172" s="1012"/>
      <c r="AR172" s="1012"/>
      <c r="AS172" s="1012"/>
      <c r="AT172" s="1012"/>
      <c r="AU172" s="1012"/>
      <c r="AV172" s="1012"/>
      <c r="AW172" s="1012"/>
      <c r="AX172" s="1012"/>
      <c r="AY172" s="1012"/>
      <c r="AZ172" s="1012"/>
      <c r="BA172" s="1012"/>
      <c r="BB172" s="1012"/>
      <c r="BC172" s="1012"/>
      <c r="BD172" s="1012"/>
      <c r="BE172" s="1012"/>
      <c r="BF172" s="1012"/>
      <c r="BG172" s="1012"/>
      <c r="BH172" s="1012"/>
      <c r="BI172" s="1012"/>
      <c r="BJ172" s="1012"/>
    </row>
    <row r="173" ht="11.25" customHeight="1">
      <c r="A173" s="994"/>
      <c r="B173" s="994"/>
      <c r="C173" s="994"/>
      <c r="D173" s="1012"/>
      <c r="E173" s="995"/>
      <c r="F173" s="1012"/>
      <c r="G173" s="1012"/>
      <c r="H173" s="1012"/>
      <c r="I173" s="1012"/>
      <c r="J173" s="1012"/>
      <c r="K173" s="1012"/>
      <c r="L173" s="1012"/>
      <c r="M173" s="1012"/>
      <c r="N173" s="1012"/>
      <c r="O173" s="1012"/>
      <c r="P173" s="1012"/>
      <c r="Q173" s="1012"/>
      <c r="R173" s="1012"/>
      <c r="S173" s="1012"/>
      <c r="T173" s="1012"/>
      <c r="U173" s="1012"/>
      <c r="V173" s="1012"/>
      <c r="W173" s="1012"/>
      <c r="X173" s="1012"/>
      <c r="Y173" s="1012"/>
      <c r="Z173" s="1012"/>
      <c r="AA173" s="1012"/>
      <c r="AB173" s="1012"/>
      <c r="AC173" s="1012"/>
      <c r="AD173" s="1012"/>
      <c r="AE173" s="1012"/>
      <c r="AF173" s="1012"/>
      <c r="AG173" s="1012"/>
      <c r="AH173" s="1012"/>
      <c r="AI173" s="1012"/>
      <c r="AJ173" s="1012"/>
      <c r="AK173" s="995"/>
      <c r="AL173" s="994"/>
      <c r="AM173" s="994"/>
      <c r="AN173" s="994"/>
      <c r="AO173" s="1012"/>
      <c r="AP173" s="1114"/>
      <c r="AQ173" s="1012"/>
      <c r="AR173" s="1012"/>
      <c r="AS173" s="1012"/>
      <c r="AT173" s="1012"/>
      <c r="AU173" s="1012"/>
      <c r="AV173" s="1012"/>
      <c r="AW173" s="1012"/>
      <c r="AX173" s="1012"/>
      <c r="AY173" s="1012"/>
      <c r="AZ173" s="1012"/>
      <c r="BA173" s="1012"/>
      <c r="BB173" s="1012"/>
      <c r="BC173" s="1012"/>
      <c r="BD173" s="1012"/>
      <c r="BE173" s="1012"/>
      <c r="BF173" s="1012"/>
      <c r="BG173" s="1012"/>
      <c r="BH173" s="1012"/>
      <c r="BI173" s="1012"/>
      <c r="BJ173" s="1012"/>
    </row>
    <row r="174" ht="11.25" customHeight="1">
      <c r="A174" s="994"/>
      <c r="B174" s="994"/>
      <c r="C174" s="994"/>
      <c r="D174" s="1012"/>
      <c r="E174" s="995"/>
      <c r="F174" s="1012"/>
      <c r="G174" s="1012"/>
      <c r="H174" s="1012"/>
      <c r="I174" s="1012"/>
      <c r="J174" s="1012"/>
      <c r="K174" s="1012"/>
      <c r="L174" s="1012"/>
      <c r="M174" s="1012"/>
      <c r="N174" s="1012"/>
      <c r="O174" s="1012"/>
      <c r="P174" s="1012"/>
      <c r="Q174" s="1012"/>
      <c r="R174" s="1012"/>
      <c r="S174" s="1012"/>
      <c r="T174" s="1012"/>
      <c r="U174" s="1012"/>
      <c r="V174" s="1012"/>
      <c r="W174" s="1012"/>
      <c r="X174" s="1012"/>
      <c r="Y174" s="1012"/>
      <c r="Z174" s="1012"/>
      <c r="AA174" s="1012"/>
      <c r="AB174" s="1012"/>
      <c r="AC174" s="1012"/>
      <c r="AD174" s="1012"/>
      <c r="AE174" s="1012"/>
      <c r="AF174" s="1012"/>
      <c r="AG174" s="1012"/>
      <c r="AH174" s="1012"/>
      <c r="AI174" s="1012"/>
      <c r="AJ174" s="1012"/>
      <c r="AK174" s="995"/>
      <c r="AL174" s="994"/>
      <c r="AM174" s="994"/>
      <c r="AN174" s="994"/>
      <c r="AO174" s="1012"/>
      <c r="AP174" s="1114"/>
      <c r="AQ174" s="1012"/>
      <c r="AR174" s="1012"/>
      <c r="AS174" s="1012"/>
      <c r="AT174" s="1012"/>
      <c r="AU174" s="1012"/>
      <c r="AV174" s="1012"/>
      <c r="AW174" s="1012"/>
      <c r="AX174" s="1012"/>
      <c r="AY174" s="1012"/>
      <c r="AZ174" s="1012"/>
      <c r="BA174" s="1012"/>
      <c r="BB174" s="1012"/>
      <c r="BC174" s="1012"/>
      <c r="BD174" s="1012"/>
      <c r="BE174" s="1012"/>
      <c r="BF174" s="1012"/>
      <c r="BG174" s="1012"/>
      <c r="BH174" s="1012"/>
      <c r="BI174" s="1012"/>
      <c r="BJ174" s="1012"/>
    </row>
    <row r="175" ht="11.25" customHeight="1">
      <c r="A175" s="994"/>
      <c r="B175" s="994"/>
      <c r="C175" s="994"/>
      <c r="D175" s="1012"/>
      <c r="E175" s="995"/>
      <c r="F175" s="1012"/>
      <c r="G175" s="1012"/>
      <c r="H175" s="1012"/>
      <c r="I175" s="1012"/>
      <c r="J175" s="1012"/>
      <c r="K175" s="1012"/>
      <c r="L175" s="1012"/>
      <c r="M175" s="1012"/>
      <c r="N175" s="1012"/>
      <c r="O175" s="1012"/>
      <c r="P175" s="1012"/>
      <c r="Q175" s="1012"/>
      <c r="R175" s="1012"/>
      <c r="S175" s="1012"/>
      <c r="T175" s="1012"/>
      <c r="U175" s="1012"/>
      <c r="V175" s="1012"/>
      <c r="W175" s="1012"/>
      <c r="X175" s="1012"/>
      <c r="Y175" s="1012"/>
      <c r="Z175" s="1012"/>
      <c r="AA175" s="1012"/>
      <c r="AB175" s="1012"/>
      <c r="AC175" s="1012"/>
      <c r="AD175" s="1012"/>
      <c r="AE175" s="1012"/>
      <c r="AF175" s="1012"/>
      <c r="AG175" s="1012"/>
      <c r="AH175" s="1012"/>
      <c r="AI175" s="1012"/>
      <c r="AJ175" s="1012"/>
      <c r="AK175" s="995"/>
      <c r="AL175" s="994"/>
      <c r="AM175" s="994"/>
      <c r="AN175" s="994"/>
      <c r="AO175" s="1012"/>
      <c r="AP175" s="1114"/>
      <c r="AQ175" s="1012"/>
      <c r="AR175" s="1012"/>
      <c r="AS175" s="1012"/>
      <c r="AT175" s="1012"/>
      <c r="AU175" s="1012"/>
      <c r="AV175" s="1012"/>
      <c r="AW175" s="1012"/>
      <c r="AX175" s="1012"/>
      <c r="AY175" s="1012"/>
      <c r="AZ175" s="1012"/>
      <c r="BA175" s="1012"/>
      <c r="BB175" s="1012"/>
      <c r="BC175" s="1012"/>
      <c r="BD175" s="1012"/>
      <c r="BE175" s="1012"/>
      <c r="BF175" s="1012"/>
      <c r="BG175" s="1012"/>
      <c r="BH175" s="1012"/>
      <c r="BI175" s="1012"/>
      <c r="BJ175" s="1012"/>
    </row>
    <row r="176" ht="11.25" customHeight="1">
      <c r="A176" s="994"/>
      <c r="B176" s="994"/>
      <c r="C176" s="994"/>
      <c r="D176" s="1012"/>
      <c r="E176" s="995"/>
      <c r="F176" s="1012"/>
      <c r="G176" s="1012"/>
      <c r="H176" s="1012"/>
      <c r="I176" s="1012"/>
      <c r="J176" s="1012"/>
      <c r="K176" s="1012"/>
      <c r="L176" s="1012"/>
      <c r="M176" s="1012"/>
      <c r="N176" s="1012"/>
      <c r="O176" s="1012"/>
      <c r="P176" s="1012"/>
      <c r="Q176" s="1012"/>
      <c r="R176" s="1012"/>
      <c r="S176" s="1012"/>
      <c r="T176" s="1012"/>
      <c r="U176" s="1012"/>
      <c r="V176" s="1012"/>
      <c r="W176" s="1012"/>
      <c r="X176" s="1012"/>
      <c r="Y176" s="1012"/>
      <c r="Z176" s="1012"/>
      <c r="AA176" s="1012"/>
      <c r="AB176" s="1012"/>
      <c r="AC176" s="1012"/>
      <c r="AD176" s="1012"/>
      <c r="AE176" s="1012"/>
      <c r="AF176" s="1012"/>
      <c r="AG176" s="1012"/>
      <c r="AH176" s="1012"/>
      <c r="AI176" s="1012"/>
      <c r="AJ176" s="1012"/>
      <c r="AK176" s="995"/>
      <c r="AL176" s="994"/>
      <c r="AM176" s="994"/>
      <c r="AN176" s="994"/>
      <c r="AO176" s="1012"/>
      <c r="AP176" s="1114"/>
      <c r="AQ176" s="1012"/>
      <c r="AR176" s="1012"/>
      <c r="AS176" s="1012"/>
      <c r="AT176" s="1012"/>
      <c r="AU176" s="1012"/>
      <c r="AV176" s="1012"/>
      <c r="AW176" s="1012"/>
      <c r="AX176" s="1012"/>
      <c r="AY176" s="1012"/>
      <c r="AZ176" s="1012"/>
      <c r="BA176" s="1012"/>
      <c r="BB176" s="1012"/>
      <c r="BC176" s="1012"/>
      <c r="BD176" s="1012"/>
      <c r="BE176" s="1012"/>
      <c r="BF176" s="1012"/>
      <c r="BG176" s="1012"/>
      <c r="BH176" s="1012"/>
      <c r="BI176" s="1012"/>
      <c r="BJ176" s="1012"/>
    </row>
    <row r="177" ht="11.25" customHeight="1">
      <c r="A177" s="994"/>
      <c r="B177" s="994"/>
      <c r="C177" s="994"/>
      <c r="D177" s="1012"/>
      <c r="E177" s="995"/>
      <c r="F177" s="1012"/>
      <c r="G177" s="1012"/>
      <c r="H177" s="1012"/>
      <c r="I177" s="1012"/>
      <c r="J177" s="1012"/>
      <c r="K177" s="1012"/>
      <c r="L177" s="1012"/>
      <c r="M177" s="1012"/>
      <c r="N177" s="1012"/>
      <c r="O177" s="1012"/>
      <c r="P177" s="1012"/>
      <c r="Q177" s="1012"/>
      <c r="R177" s="1012"/>
      <c r="S177" s="1012"/>
      <c r="T177" s="1012"/>
      <c r="U177" s="1012"/>
      <c r="V177" s="1012"/>
      <c r="W177" s="1012"/>
      <c r="X177" s="1012"/>
      <c r="Y177" s="1012"/>
      <c r="Z177" s="1012"/>
      <c r="AA177" s="1012"/>
      <c r="AB177" s="1012"/>
      <c r="AC177" s="1012"/>
      <c r="AD177" s="1012"/>
      <c r="AE177" s="1012"/>
      <c r="AF177" s="1012"/>
      <c r="AG177" s="1012"/>
      <c r="AH177" s="1012"/>
      <c r="AI177" s="1012"/>
      <c r="AJ177" s="1012"/>
      <c r="AK177" s="995"/>
      <c r="AL177" s="994"/>
      <c r="AM177" s="994"/>
      <c r="AN177" s="994"/>
      <c r="AO177" s="1012"/>
      <c r="AP177" s="1114"/>
      <c r="AQ177" s="1012"/>
      <c r="AR177" s="1012"/>
      <c r="AS177" s="1012"/>
      <c r="AT177" s="1012"/>
      <c r="AU177" s="1012"/>
      <c r="AV177" s="1012"/>
      <c r="AW177" s="1012"/>
      <c r="AX177" s="1012"/>
      <c r="AY177" s="1012"/>
      <c r="AZ177" s="1012"/>
      <c r="BA177" s="1012"/>
      <c r="BB177" s="1012"/>
      <c r="BC177" s="1012"/>
      <c r="BD177" s="1012"/>
      <c r="BE177" s="1012"/>
      <c r="BF177" s="1012"/>
      <c r="BG177" s="1012"/>
      <c r="BH177" s="1012"/>
      <c r="BI177" s="1012"/>
      <c r="BJ177" s="1012"/>
    </row>
    <row r="178" ht="11.25" customHeight="1">
      <c r="A178" s="994"/>
      <c r="B178" s="994"/>
      <c r="C178" s="994"/>
      <c r="D178" s="1012"/>
      <c r="E178" s="995"/>
      <c r="F178" s="1012"/>
      <c r="G178" s="1012"/>
      <c r="H178" s="1012"/>
      <c r="I178" s="1012"/>
      <c r="J178" s="1012"/>
      <c r="K178" s="1012"/>
      <c r="L178" s="1012"/>
      <c r="M178" s="1012"/>
      <c r="N178" s="1012"/>
      <c r="O178" s="1012"/>
      <c r="P178" s="1012"/>
      <c r="Q178" s="1012"/>
      <c r="R178" s="1012"/>
      <c r="S178" s="1012"/>
      <c r="T178" s="1012"/>
      <c r="U178" s="1012"/>
      <c r="V178" s="1012"/>
      <c r="W178" s="1012"/>
      <c r="X178" s="1012"/>
      <c r="Y178" s="1012"/>
      <c r="Z178" s="1012"/>
      <c r="AA178" s="1012"/>
      <c r="AB178" s="1012"/>
      <c r="AC178" s="1012"/>
      <c r="AD178" s="1012"/>
      <c r="AE178" s="1012"/>
      <c r="AF178" s="1012"/>
      <c r="AG178" s="1012"/>
      <c r="AH178" s="1012"/>
      <c r="AI178" s="1012"/>
      <c r="AJ178" s="1012"/>
      <c r="AK178" s="995"/>
      <c r="AL178" s="994"/>
      <c r="AM178" s="994"/>
      <c r="AN178" s="994"/>
      <c r="AO178" s="1012"/>
      <c r="AP178" s="1114"/>
      <c r="AQ178" s="1012"/>
      <c r="AR178" s="1012"/>
      <c r="AS178" s="1012"/>
      <c r="AT178" s="1012"/>
      <c r="AU178" s="1012"/>
      <c r="AV178" s="1012"/>
      <c r="AW178" s="1012"/>
      <c r="AX178" s="1012"/>
      <c r="AY178" s="1012"/>
      <c r="AZ178" s="1012"/>
      <c r="BA178" s="1012"/>
      <c r="BB178" s="1012"/>
      <c r="BC178" s="1012"/>
      <c r="BD178" s="1012"/>
      <c r="BE178" s="1012"/>
      <c r="BF178" s="1012"/>
      <c r="BG178" s="1012"/>
      <c r="BH178" s="1012"/>
      <c r="BI178" s="1012"/>
      <c r="BJ178" s="1012"/>
    </row>
    <row r="179" ht="11.25" customHeight="1">
      <c r="A179" s="994"/>
      <c r="B179" s="994"/>
      <c r="C179" s="994"/>
      <c r="D179" s="1012"/>
      <c r="E179" s="995"/>
      <c r="F179" s="1012"/>
      <c r="G179" s="1012"/>
      <c r="H179" s="1012"/>
      <c r="I179" s="1012"/>
      <c r="J179" s="1012"/>
      <c r="K179" s="1012"/>
      <c r="L179" s="1012"/>
      <c r="M179" s="1012"/>
      <c r="N179" s="1012"/>
      <c r="O179" s="1012"/>
      <c r="P179" s="1012"/>
      <c r="Q179" s="1012"/>
      <c r="R179" s="1012"/>
      <c r="S179" s="1012"/>
      <c r="T179" s="1012"/>
      <c r="U179" s="1012"/>
      <c r="V179" s="1012"/>
      <c r="W179" s="1012"/>
      <c r="X179" s="1012"/>
      <c r="Y179" s="1012"/>
      <c r="Z179" s="1012"/>
      <c r="AA179" s="1012"/>
      <c r="AB179" s="1012"/>
      <c r="AC179" s="1012"/>
      <c r="AD179" s="1012"/>
      <c r="AE179" s="1012"/>
      <c r="AF179" s="1012"/>
      <c r="AG179" s="1012"/>
      <c r="AH179" s="1012"/>
      <c r="AI179" s="1012"/>
      <c r="AJ179" s="1012"/>
      <c r="AK179" s="995"/>
      <c r="AL179" s="994"/>
      <c r="AM179" s="994"/>
      <c r="AN179" s="994"/>
      <c r="AO179" s="1012"/>
      <c r="AP179" s="1114"/>
      <c r="AQ179" s="1012"/>
      <c r="AR179" s="1012"/>
      <c r="AS179" s="1012"/>
      <c r="AT179" s="1012"/>
      <c r="AU179" s="1012"/>
      <c r="AV179" s="1012"/>
      <c r="AW179" s="1012"/>
      <c r="AX179" s="1012"/>
      <c r="AY179" s="1012"/>
      <c r="AZ179" s="1012"/>
      <c r="BA179" s="1012"/>
      <c r="BB179" s="1012"/>
      <c r="BC179" s="1012"/>
      <c r="BD179" s="1012"/>
      <c r="BE179" s="1012"/>
      <c r="BF179" s="1012"/>
      <c r="BG179" s="1012"/>
      <c r="BH179" s="1012"/>
      <c r="BI179" s="1012"/>
      <c r="BJ179" s="1012"/>
    </row>
    <row r="180" ht="11.25" customHeight="1">
      <c r="A180" s="994"/>
      <c r="B180" s="994"/>
      <c r="C180" s="994"/>
      <c r="D180" s="1012"/>
      <c r="E180" s="995"/>
      <c r="F180" s="1012"/>
      <c r="G180" s="1012"/>
      <c r="H180" s="1012"/>
      <c r="I180" s="1012"/>
      <c r="J180" s="1012"/>
      <c r="K180" s="1012"/>
      <c r="L180" s="1012"/>
      <c r="M180" s="1012"/>
      <c r="N180" s="1012"/>
      <c r="O180" s="1012"/>
      <c r="P180" s="1012"/>
      <c r="Q180" s="1012"/>
      <c r="R180" s="1012"/>
      <c r="S180" s="1012"/>
      <c r="T180" s="1012"/>
      <c r="U180" s="1012"/>
      <c r="V180" s="1012"/>
      <c r="W180" s="1012"/>
      <c r="X180" s="1012"/>
      <c r="Y180" s="1012"/>
      <c r="Z180" s="1012"/>
      <c r="AA180" s="1012"/>
      <c r="AB180" s="1012"/>
      <c r="AC180" s="1012"/>
      <c r="AD180" s="1012"/>
      <c r="AE180" s="1012"/>
      <c r="AF180" s="1012"/>
      <c r="AG180" s="1012"/>
      <c r="AH180" s="1012"/>
      <c r="AI180" s="1012"/>
      <c r="AJ180" s="1012"/>
      <c r="AK180" s="995"/>
      <c r="AL180" s="994"/>
      <c r="AM180" s="994"/>
      <c r="AN180" s="994"/>
      <c r="AO180" s="1012"/>
      <c r="AP180" s="1114"/>
      <c r="AQ180" s="1012"/>
      <c r="AR180" s="1012"/>
      <c r="AS180" s="1012"/>
      <c r="AT180" s="1012"/>
      <c r="AU180" s="1012"/>
      <c r="AV180" s="1012"/>
      <c r="AW180" s="1012"/>
      <c r="AX180" s="1012"/>
      <c r="AY180" s="1012"/>
      <c r="AZ180" s="1012"/>
      <c r="BA180" s="1012"/>
      <c r="BB180" s="1012"/>
      <c r="BC180" s="1012"/>
      <c r="BD180" s="1012"/>
      <c r="BE180" s="1012"/>
      <c r="BF180" s="1012"/>
      <c r="BG180" s="1012"/>
      <c r="BH180" s="1012"/>
      <c r="BI180" s="1012"/>
      <c r="BJ180" s="1012"/>
    </row>
    <row r="181" ht="11.25" customHeight="1">
      <c r="A181" s="994"/>
      <c r="B181" s="994"/>
      <c r="C181" s="994"/>
      <c r="D181" s="1012"/>
      <c r="E181" s="995"/>
      <c r="F181" s="1012"/>
      <c r="G181" s="1012"/>
      <c r="H181" s="1012"/>
      <c r="I181" s="1012"/>
      <c r="J181" s="1012"/>
      <c r="K181" s="1012"/>
      <c r="L181" s="1012"/>
      <c r="M181" s="1012"/>
      <c r="N181" s="1012"/>
      <c r="O181" s="1012"/>
      <c r="P181" s="1012"/>
      <c r="Q181" s="1012"/>
      <c r="R181" s="1012"/>
      <c r="S181" s="1012"/>
      <c r="T181" s="1012"/>
      <c r="U181" s="1012"/>
      <c r="V181" s="1012"/>
      <c r="W181" s="1012"/>
      <c r="X181" s="1012"/>
      <c r="Y181" s="1012"/>
      <c r="Z181" s="1012"/>
      <c r="AA181" s="1012"/>
      <c r="AB181" s="1012"/>
      <c r="AC181" s="1012"/>
      <c r="AD181" s="1012"/>
      <c r="AE181" s="1012"/>
      <c r="AF181" s="1012"/>
      <c r="AG181" s="1012"/>
      <c r="AH181" s="1012"/>
      <c r="AI181" s="1012"/>
      <c r="AJ181" s="1012"/>
      <c r="AK181" s="995"/>
      <c r="AL181" s="994"/>
      <c r="AM181" s="994"/>
      <c r="AN181" s="994"/>
      <c r="AO181" s="1012"/>
      <c r="AP181" s="1114"/>
      <c r="AQ181" s="1012"/>
      <c r="AR181" s="1012"/>
      <c r="AS181" s="1012"/>
      <c r="AT181" s="1012"/>
      <c r="AU181" s="1012"/>
      <c r="AV181" s="1012"/>
      <c r="AW181" s="1012"/>
      <c r="AX181" s="1012"/>
      <c r="AY181" s="1012"/>
      <c r="AZ181" s="1012"/>
      <c r="BA181" s="1012"/>
      <c r="BB181" s="1012"/>
      <c r="BC181" s="1012"/>
      <c r="BD181" s="1012"/>
      <c r="BE181" s="1012"/>
      <c r="BF181" s="1012"/>
      <c r="BG181" s="1012"/>
      <c r="BH181" s="1012"/>
      <c r="BI181" s="1012"/>
      <c r="BJ181" s="1012"/>
    </row>
    <row r="182" ht="11.25" customHeight="1">
      <c r="A182" s="994"/>
      <c r="B182" s="994"/>
      <c r="C182" s="994"/>
      <c r="D182" s="1012"/>
      <c r="E182" s="995"/>
      <c r="F182" s="1012"/>
      <c r="G182" s="1012"/>
      <c r="H182" s="1012"/>
      <c r="I182" s="1012"/>
      <c r="J182" s="1012"/>
      <c r="K182" s="1012"/>
      <c r="L182" s="1012"/>
      <c r="M182" s="1012"/>
      <c r="N182" s="1012"/>
      <c r="O182" s="1012"/>
      <c r="P182" s="1012"/>
      <c r="Q182" s="1012"/>
      <c r="R182" s="1012"/>
      <c r="S182" s="1012"/>
      <c r="T182" s="1012"/>
      <c r="U182" s="1012"/>
      <c r="V182" s="1012"/>
      <c r="W182" s="1012"/>
      <c r="X182" s="1012"/>
      <c r="Y182" s="1012"/>
      <c r="Z182" s="1012"/>
      <c r="AA182" s="1012"/>
      <c r="AB182" s="1012"/>
      <c r="AC182" s="1012"/>
      <c r="AD182" s="1012"/>
      <c r="AE182" s="1012"/>
      <c r="AF182" s="1012"/>
      <c r="AG182" s="1012"/>
      <c r="AH182" s="1012"/>
      <c r="AI182" s="1012"/>
      <c r="AJ182" s="1012"/>
      <c r="AK182" s="995"/>
      <c r="AL182" s="994"/>
      <c r="AM182" s="994"/>
      <c r="AN182" s="994"/>
      <c r="AO182" s="1012"/>
      <c r="AP182" s="1114"/>
      <c r="AQ182" s="1012"/>
      <c r="AR182" s="1012"/>
      <c r="AS182" s="1012"/>
      <c r="AT182" s="1012"/>
      <c r="AU182" s="1012"/>
      <c r="AV182" s="1012"/>
      <c r="AW182" s="1012"/>
      <c r="AX182" s="1012"/>
      <c r="AY182" s="1012"/>
      <c r="AZ182" s="1012"/>
      <c r="BA182" s="1012"/>
      <c r="BB182" s="1012"/>
      <c r="BC182" s="1012"/>
      <c r="BD182" s="1012"/>
      <c r="BE182" s="1012"/>
      <c r="BF182" s="1012"/>
      <c r="BG182" s="1012"/>
      <c r="BH182" s="1012"/>
      <c r="BI182" s="1012"/>
      <c r="BJ182" s="1012"/>
    </row>
    <row r="183" ht="11.25" customHeight="1">
      <c r="A183" s="994"/>
      <c r="B183" s="994"/>
      <c r="C183" s="994"/>
      <c r="D183" s="1012"/>
      <c r="E183" s="995"/>
      <c r="F183" s="1012"/>
      <c r="G183" s="1012"/>
      <c r="H183" s="1012"/>
      <c r="I183" s="1012"/>
      <c r="J183" s="1012"/>
      <c r="K183" s="1012"/>
      <c r="L183" s="1012"/>
      <c r="M183" s="1012"/>
      <c r="N183" s="1012"/>
      <c r="O183" s="1012"/>
      <c r="P183" s="1012"/>
      <c r="Q183" s="1012"/>
      <c r="R183" s="1012"/>
      <c r="S183" s="1012"/>
      <c r="T183" s="1012"/>
      <c r="U183" s="1012"/>
      <c r="V183" s="1012"/>
      <c r="W183" s="1012"/>
      <c r="X183" s="1012"/>
      <c r="Y183" s="1012"/>
      <c r="Z183" s="1012"/>
      <c r="AA183" s="1012"/>
      <c r="AB183" s="1012"/>
      <c r="AC183" s="1012"/>
      <c r="AD183" s="1012"/>
      <c r="AE183" s="1012"/>
      <c r="AF183" s="1012"/>
      <c r="AG183" s="1012"/>
      <c r="AH183" s="1012"/>
      <c r="AI183" s="1012"/>
      <c r="AJ183" s="1012"/>
      <c r="AK183" s="995"/>
      <c r="AL183" s="994"/>
      <c r="AM183" s="994"/>
      <c r="AN183" s="994"/>
      <c r="AO183" s="1012"/>
      <c r="AP183" s="1114"/>
      <c r="AQ183" s="1012"/>
      <c r="AR183" s="1012"/>
      <c r="AS183" s="1012"/>
      <c r="AT183" s="1012"/>
      <c r="AU183" s="1012"/>
      <c r="AV183" s="1012"/>
      <c r="AW183" s="1012"/>
      <c r="AX183" s="1012"/>
      <c r="AY183" s="1012"/>
      <c r="AZ183" s="1012"/>
      <c r="BA183" s="1012"/>
      <c r="BB183" s="1012"/>
      <c r="BC183" s="1012"/>
      <c r="BD183" s="1012"/>
      <c r="BE183" s="1012"/>
      <c r="BF183" s="1012"/>
      <c r="BG183" s="1012"/>
      <c r="BH183" s="1012"/>
      <c r="BI183" s="1012"/>
      <c r="BJ183" s="1012"/>
    </row>
    <row r="184" ht="11.25" customHeight="1">
      <c r="A184" s="994"/>
      <c r="B184" s="994"/>
      <c r="C184" s="994"/>
      <c r="D184" s="1012"/>
      <c r="E184" s="995"/>
      <c r="F184" s="1012"/>
      <c r="G184" s="1012"/>
      <c r="H184" s="1012"/>
      <c r="I184" s="1012"/>
      <c r="J184" s="1012"/>
      <c r="K184" s="1012"/>
      <c r="L184" s="1012"/>
      <c r="M184" s="1012"/>
      <c r="N184" s="1012"/>
      <c r="O184" s="1012"/>
      <c r="P184" s="1012"/>
      <c r="Q184" s="1012"/>
      <c r="R184" s="1012"/>
      <c r="S184" s="1012"/>
      <c r="T184" s="1012"/>
      <c r="U184" s="1012"/>
      <c r="V184" s="1012"/>
      <c r="W184" s="1012"/>
      <c r="X184" s="1012"/>
      <c r="Y184" s="1012"/>
      <c r="Z184" s="1012"/>
      <c r="AA184" s="1012"/>
      <c r="AB184" s="1012"/>
      <c r="AC184" s="1012"/>
      <c r="AD184" s="1012"/>
      <c r="AE184" s="1012"/>
      <c r="AF184" s="1012"/>
      <c r="AG184" s="1012"/>
      <c r="AH184" s="1012"/>
      <c r="AI184" s="1012"/>
      <c r="AJ184" s="1012"/>
      <c r="AK184" s="995"/>
      <c r="AL184" s="994"/>
      <c r="AM184" s="994"/>
      <c r="AN184" s="994"/>
      <c r="AO184" s="1012"/>
      <c r="AP184" s="1114"/>
      <c r="AQ184" s="1012"/>
      <c r="AR184" s="1012"/>
      <c r="AS184" s="1012"/>
      <c r="AT184" s="1012"/>
      <c r="AU184" s="1012"/>
      <c r="AV184" s="1012"/>
      <c r="AW184" s="1012"/>
      <c r="AX184" s="1012"/>
      <c r="AY184" s="1012"/>
      <c r="AZ184" s="1012"/>
      <c r="BA184" s="1012"/>
      <c r="BB184" s="1012"/>
      <c r="BC184" s="1012"/>
      <c r="BD184" s="1012"/>
      <c r="BE184" s="1012"/>
      <c r="BF184" s="1012"/>
      <c r="BG184" s="1012"/>
      <c r="BH184" s="1012"/>
      <c r="BI184" s="1012"/>
      <c r="BJ184" s="1012"/>
    </row>
    <row r="185" ht="11.25" customHeight="1">
      <c r="A185" s="994"/>
      <c r="B185" s="994"/>
      <c r="C185" s="994"/>
      <c r="D185" s="1012"/>
      <c r="E185" s="995"/>
      <c r="F185" s="1012"/>
      <c r="G185" s="1012"/>
      <c r="H185" s="1012"/>
      <c r="I185" s="1012"/>
      <c r="J185" s="1012"/>
      <c r="K185" s="1012"/>
      <c r="L185" s="1012"/>
      <c r="M185" s="1012"/>
      <c r="N185" s="1012"/>
      <c r="O185" s="1012"/>
      <c r="P185" s="1012"/>
      <c r="Q185" s="1012"/>
      <c r="R185" s="1012"/>
      <c r="S185" s="1012"/>
      <c r="T185" s="1012"/>
      <c r="U185" s="1012"/>
      <c r="V185" s="1012"/>
      <c r="W185" s="1012"/>
      <c r="X185" s="1012"/>
      <c r="Y185" s="1012"/>
      <c r="Z185" s="1012"/>
      <c r="AA185" s="1012"/>
      <c r="AB185" s="1012"/>
      <c r="AC185" s="1012"/>
      <c r="AD185" s="1012"/>
      <c r="AE185" s="1012"/>
      <c r="AF185" s="1012"/>
      <c r="AG185" s="1012"/>
      <c r="AH185" s="1012"/>
      <c r="AI185" s="1012"/>
      <c r="AJ185" s="1012"/>
      <c r="AK185" s="995"/>
      <c r="AL185" s="994"/>
      <c r="AM185" s="994"/>
      <c r="AN185" s="994"/>
      <c r="AO185" s="1012"/>
      <c r="AP185" s="1114"/>
      <c r="AQ185" s="1012"/>
      <c r="AR185" s="1012"/>
      <c r="AS185" s="1012"/>
      <c r="AT185" s="1012"/>
      <c r="AU185" s="1012"/>
      <c r="AV185" s="1012"/>
      <c r="AW185" s="1012"/>
      <c r="AX185" s="1012"/>
      <c r="AY185" s="1012"/>
      <c r="AZ185" s="1012"/>
      <c r="BA185" s="1012"/>
      <c r="BB185" s="1012"/>
      <c r="BC185" s="1012"/>
      <c r="BD185" s="1012"/>
      <c r="BE185" s="1012"/>
      <c r="BF185" s="1012"/>
      <c r="BG185" s="1012"/>
      <c r="BH185" s="1012"/>
      <c r="BI185" s="1012"/>
      <c r="BJ185" s="1012"/>
    </row>
    <row r="186" ht="11.25" customHeight="1">
      <c r="A186" s="994"/>
      <c r="B186" s="994"/>
      <c r="C186" s="994"/>
      <c r="D186" s="1012"/>
      <c r="E186" s="995"/>
      <c r="F186" s="1012"/>
      <c r="G186" s="1012"/>
      <c r="H186" s="1012"/>
      <c r="I186" s="1012"/>
      <c r="J186" s="1012"/>
      <c r="K186" s="1012"/>
      <c r="L186" s="1012"/>
      <c r="M186" s="1012"/>
      <c r="N186" s="1012"/>
      <c r="O186" s="1012"/>
      <c r="P186" s="1012"/>
      <c r="Q186" s="1012"/>
      <c r="R186" s="1012"/>
      <c r="S186" s="1012"/>
      <c r="T186" s="1012"/>
      <c r="U186" s="1012"/>
      <c r="V186" s="1012"/>
      <c r="W186" s="1012"/>
      <c r="X186" s="1012"/>
      <c r="Y186" s="1012"/>
      <c r="Z186" s="1012"/>
      <c r="AA186" s="1012"/>
      <c r="AB186" s="1012"/>
      <c r="AC186" s="1012"/>
      <c r="AD186" s="1012"/>
      <c r="AE186" s="1012"/>
      <c r="AF186" s="1012"/>
      <c r="AG186" s="1012"/>
      <c r="AH186" s="1012"/>
      <c r="AI186" s="1012"/>
      <c r="AJ186" s="1012"/>
      <c r="AK186" s="995"/>
      <c r="AL186" s="994"/>
      <c r="AM186" s="994"/>
      <c r="AN186" s="994"/>
      <c r="AO186" s="1012"/>
      <c r="AP186" s="1114"/>
      <c r="AQ186" s="1012"/>
      <c r="AR186" s="1012"/>
      <c r="AS186" s="1012"/>
      <c r="AT186" s="1012"/>
      <c r="AU186" s="1012"/>
      <c r="AV186" s="1012"/>
      <c r="AW186" s="1012"/>
      <c r="AX186" s="1012"/>
      <c r="AY186" s="1012"/>
      <c r="AZ186" s="1012"/>
      <c r="BA186" s="1012"/>
      <c r="BB186" s="1012"/>
      <c r="BC186" s="1012"/>
      <c r="BD186" s="1012"/>
      <c r="BE186" s="1012"/>
      <c r="BF186" s="1012"/>
      <c r="BG186" s="1012"/>
      <c r="BH186" s="1012"/>
      <c r="BI186" s="1012"/>
      <c r="BJ186" s="1012"/>
    </row>
    <row r="187" ht="11.25" customHeight="1">
      <c r="A187" s="994"/>
      <c r="B187" s="994"/>
      <c r="C187" s="994"/>
      <c r="D187" s="1012"/>
      <c r="E187" s="995"/>
      <c r="F187" s="1012"/>
      <c r="G187" s="1012"/>
      <c r="H187" s="1012"/>
      <c r="I187" s="1012"/>
      <c r="J187" s="1012"/>
      <c r="K187" s="1012"/>
      <c r="L187" s="1012"/>
      <c r="M187" s="1012"/>
      <c r="N187" s="1012"/>
      <c r="O187" s="1012"/>
      <c r="P187" s="1012"/>
      <c r="Q187" s="1012"/>
      <c r="R187" s="1012"/>
      <c r="S187" s="1012"/>
      <c r="T187" s="1012"/>
      <c r="U187" s="1012"/>
      <c r="V187" s="1012"/>
      <c r="W187" s="1012"/>
      <c r="X187" s="1012"/>
      <c r="Y187" s="1012"/>
      <c r="Z187" s="1012"/>
      <c r="AA187" s="1012"/>
      <c r="AB187" s="1012"/>
      <c r="AC187" s="1012"/>
      <c r="AD187" s="1012"/>
      <c r="AE187" s="1012"/>
      <c r="AF187" s="1012"/>
      <c r="AG187" s="1012"/>
      <c r="AH187" s="1012"/>
      <c r="AI187" s="1012"/>
      <c r="AJ187" s="1012"/>
      <c r="AK187" s="995"/>
      <c r="AL187" s="994"/>
      <c r="AM187" s="994"/>
      <c r="AN187" s="994"/>
      <c r="AO187" s="1012"/>
      <c r="AP187" s="1114"/>
      <c r="AQ187" s="1012"/>
      <c r="AR187" s="1012"/>
      <c r="AS187" s="1012"/>
      <c r="AT187" s="1012"/>
      <c r="AU187" s="1012"/>
      <c r="AV187" s="1012"/>
      <c r="AW187" s="1012"/>
      <c r="AX187" s="1012"/>
      <c r="AY187" s="1012"/>
      <c r="AZ187" s="1012"/>
      <c r="BA187" s="1012"/>
      <c r="BB187" s="1012"/>
      <c r="BC187" s="1012"/>
      <c r="BD187" s="1012"/>
      <c r="BE187" s="1012"/>
      <c r="BF187" s="1012"/>
      <c r="BG187" s="1012"/>
      <c r="BH187" s="1012"/>
      <c r="BI187" s="1012"/>
      <c r="BJ187" s="1012"/>
    </row>
    <row r="188" ht="11.25" customHeight="1">
      <c r="A188" s="994"/>
      <c r="B188" s="994"/>
      <c r="C188" s="994"/>
      <c r="D188" s="1012"/>
      <c r="E188" s="995"/>
      <c r="F188" s="1012"/>
      <c r="G188" s="1012"/>
      <c r="H188" s="1012"/>
      <c r="I188" s="1012"/>
      <c r="J188" s="1012"/>
      <c r="K188" s="1012"/>
      <c r="L188" s="1012"/>
      <c r="M188" s="1012"/>
      <c r="N188" s="1012"/>
      <c r="O188" s="1012"/>
      <c r="P188" s="1012"/>
      <c r="Q188" s="1012"/>
      <c r="R188" s="1012"/>
      <c r="S188" s="1012"/>
      <c r="T188" s="1012"/>
      <c r="U188" s="1012"/>
      <c r="V188" s="1012"/>
      <c r="W188" s="1012"/>
      <c r="X188" s="1012"/>
      <c r="Y188" s="1012"/>
      <c r="Z188" s="1012"/>
      <c r="AA188" s="1012"/>
      <c r="AB188" s="1012"/>
      <c r="AC188" s="1012"/>
      <c r="AD188" s="1012"/>
      <c r="AE188" s="1012"/>
      <c r="AF188" s="1012"/>
      <c r="AG188" s="1012"/>
      <c r="AH188" s="1012"/>
      <c r="AI188" s="1012"/>
      <c r="AJ188" s="1012"/>
      <c r="AK188" s="995"/>
      <c r="AL188" s="994"/>
      <c r="AM188" s="994"/>
      <c r="AN188" s="994"/>
      <c r="AO188" s="1012"/>
      <c r="AP188" s="1114"/>
      <c r="AQ188" s="1012"/>
      <c r="AR188" s="1012"/>
      <c r="AS188" s="1012"/>
      <c r="AT188" s="1012"/>
      <c r="AU188" s="1012"/>
      <c r="AV188" s="1012"/>
      <c r="AW188" s="1012"/>
      <c r="AX188" s="1012"/>
      <c r="AY188" s="1012"/>
      <c r="AZ188" s="1012"/>
      <c r="BA188" s="1012"/>
      <c r="BB188" s="1012"/>
      <c r="BC188" s="1012"/>
      <c r="BD188" s="1012"/>
      <c r="BE188" s="1012"/>
      <c r="BF188" s="1012"/>
      <c r="BG188" s="1012"/>
      <c r="BH188" s="1012"/>
      <c r="BI188" s="1012"/>
      <c r="BJ188" s="1012"/>
    </row>
    <row r="189" ht="11.25" customHeight="1">
      <c r="A189" s="994"/>
      <c r="B189" s="994"/>
      <c r="C189" s="994"/>
      <c r="D189" s="1012"/>
      <c r="E189" s="995"/>
      <c r="F189" s="1012"/>
      <c r="G189" s="1012"/>
      <c r="H189" s="1012"/>
      <c r="I189" s="1012"/>
      <c r="J189" s="1012"/>
      <c r="K189" s="1012"/>
      <c r="L189" s="1012"/>
      <c r="M189" s="1012"/>
      <c r="N189" s="1012"/>
      <c r="O189" s="1012"/>
      <c r="P189" s="1012"/>
      <c r="Q189" s="1012"/>
      <c r="R189" s="1012"/>
      <c r="S189" s="1012"/>
      <c r="T189" s="1012"/>
      <c r="U189" s="1012"/>
      <c r="V189" s="1012"/>
      <c r="W189" s="1012"/>
      <c r="X189" s="1012"/>
      <c r="Y189" s="1012"/>
      <c r="Z189" s="1012"/>
      <c r="AA189" s="1012"/>
      <c r="AB189" s="1012"/>
      <c r="AC189" s="1012"/>
      <c r="AD189" s="1012"/>
      <c r="AE189" s="1012"/>
      <c r="AF189" s="1012"/>
      <c r="AG189" s="1012"/>
      <c r="AH189" s="1012"/>
      <c r="AI189" s="1012"/>
      <c r="AJ189" s="1012"/>
      <c r="AK189" s="995"/>
      <c r="AL189" s="994"/>
      <c r="AM189" s="994"/>
      <c r="AN189" s="994"/>
      <c r="AO189" s="1012"/>
      <c r="AP189" s="1114"/>
      <c r="AQ189" s="1012"/>
      <c r="AR189" s="1012"/>
      <c r="AS189" s="1012"/>
      <c r="AT189" s="1012"/>
      <c r="AU189" s="1012"/>
      <c r="AV189" s="1012"/>
      <c r="AW189" s="1012"/>
      <c r="AX189" s="1012"/>
      <c r="AY189" s="1012"/>
      <c r="AZ189" s="1012"/>
      <c r="BA189" s="1012"/>
      <c r="BB189" s="1012"/>
      <c r="BC189" s="1012"/>
      <c r="BD189" s="1012"/>
      <c r="BE189" s="1012"/>
      <c r="BF189" s="1012"/>
      <c r="BG189" s="1012"/>
      <c r="BH189" s="1012"/>
      <c r="BI189" s="1012"/>
      <c r="BJ189" s="1012"/>
    </row>
    <row r="190" ht="11.25" customHeight="1">
      <c r="A190" s="994"/>
      <c r="B190" s="994"/>
      <c r="C190" s="994"/>
      <c r="D190" s="1012"/>
      <c r="E190" s="995"/>
      <c r="F190" s="1012"/>
      <c r="G190" s="1012"/>
      <c r="H190" s="1012"/>
      <c r="I190" s="1012"/>
      <c r="J190" s="1012"/>
      <c r="K190" s="1012"/>
      <c r="L190" s="1012"/>
      <c r="M190" s="1012"/>
      <c r="N190" s="1012"/>
      <c r="O190" s="1012"/>
      <c r="P190" s="1012"/>
      <c r="Q190" s="1012"/>
      <c r="R190" s="1012"/>
      <c r="S190" s="1012"/>
      <c r="T190" s="1012"/>
      <c r="U190" s="1012"/>
      <c r="V190" s="1012"/>
      <c r="W190" s="1012"/>
      <c r="X190" s="1012"/>
      <c r="Y190" s="1012"/>
      <c r="Z190" s="1012"/>
      <c r="AA190" s="1012"/>
      <c r="AB190" s="1012"/>
      <c r="AC190" s="1012"/>
      <c r="AD190" s="1012"/>
      <c r="AE190" s="1012"/>
      <c r="AF190" s="1012"/>
      <c r="AG190" s="1012"/>
      <c r="AH190" s="1012"/>
      <c r="AI190" s="1012"/>
      <c r="AJ190" s="1012"/>
      <c r="AK190" s="995"/>
      <c r="AL190" s="994"/>
      <c r="AM190" s="994"/>
      <c r="AN190" s="994"/>
      <c r="AO190" s="1012"/>
      <c r="AP190" s="1114"/>
      <c r="AQ190" s="1012"/>
      <c r="AR190" s="1012"/>
      <c r="AS190" s="1012"/>
      <c r="AT190" s="1012"/>
      <c r="AU190" s="1012"/>
      <c r="AV190" s="1012"/>
      <c r="AW190" s="1012"/>
      <c r="AX190" s="1012"/>
      <c r="AY190" s="1012"/>
      <c r="AZ190" s="1012"/>
      <c r="BA190" s="1012"/>
      <c r="BB190" s="1012"/>
      <c r="BC190" s="1012"/>
      <c r="BD190" s="1012"/>
      <c r="BE190" s="1012"/>
      <c r="BF190" s="1012"/>
      <c r="BG190" s="1012"/>
      <c r="BH190" s="1012"/>
      <c r="BI190" s="1012"/>
      <c r="BJ190" s="1012"/>
    </row>
    <row r="191" ht="11.25" customHeight="1">
      <c r="A191" s="994"/>
      <c r="B191" s="994"/>
      <c r="C191" s="994"/>
      <c r="D191" s="1012"/>
      <c r="E191" s="995"/>
      <c r="F191" s="1012"/>
      <c r="G191" s="1012"/>
      <c r="H191" s="1012"/>
      <c r="I191" s="1012"/>
      <c r="J191" s="1012"/>
      <c r="K191" s="1012"/>
      <c r="L191" s="1012"/>
      <c r="M191" s="1012"/>
      <c r="N191" s="1012"/>
      <c r="O191" s="1012"/>
      <c r="P191" s="1012"/>
      <c r="Q191" s="1012"/>
      <c r="R191" s="1012"/>
      <c r="S191" s="1012"/>
      <c r="T191" s="1012"/>
      <c r="U191" s="1012"/>
      <c r="V191" s="1012"/>
      <c r="W191" s="1012"/>
      <c r="X191" s="1012"/>
      <c r="Y191" s="1012"/>
      <c r="Z191" s="1012"/>
      <c r="AA191" s="1012"/>
      <c r="AB191" s="1012"/>
      <c r="AC191" s="1012"/>
      <c r="AD191" s="1012"/>
      <c r="AE191" s="1012"/>
      <c r="AF191" s="1012"/>
      <c r="AG191" s="1012"/>
      <c r="AH191" s="1012"/>
      <c r="AI191" s="1012"/>
      <c r="AJ191" s="1012"/>
      <c r="AK191" s="995"/>
      <c r="AL191" s="994"/>
      <c r="AM191" s="994"/>
      <c r="AN191" s="994"/>
      <c r="AO191" s="1012"/>
      <c r="AP191" s="1114"/>
      <c r="AQ191" s="1012"/>
      <c r="AR191" s="1012"/>
      <c r="AS191" s="1012"/>
      <c r="AT191" s="1012"/>
      <c r="AU191" s="1012"/>
      <c r="AV191" s="1012"/>
      <c r="AW191" s="1012"/>
      <c r="AX191" s="1012"/>
      <c r="AY191" s="1012"/>
      <c r="AZ191" s="1012"/>
      <c r="BA191" s="1012"/>
      <c r="BB191" s="1012"/>
      <c r="BC191" s="1012"/>
      <c r="BD191" s="1012"/>
      <c r="BE191" s="1012"/>
      <c r="BF191" s="1012"/>
      <c r="BG191" s="1012"/>
      <c r="BH191" s="1012"/>
      <c r="BI191" s="1012"/>
      <c r="BJ191" s="1012"/>
    </row>
    <row r="192" ht="11.25" customHeight="1">
      <c r="A192" s="994"/>
      <c r="B192" s="994"/>
      <c r="C192" s="994"/>
      <c r="D192" s="1012"/>
      <c r="E192" s="995"/>
      <c r="F192" s="1012"/>
      <c r="G192" s="1012"/>
      <c r="H192" s="1012"/>
      <c r="I192" s="1012"/>
      <c r="J192" s="1012"/>
      <c r="K192" s="1012"/>
      <c r="L192" s="1012"/>
      <c r="M192" s="1012"/>
      <c r="N192" s="1012"/>
      <c r="O192" s="1012"/>
      <c r="P192" s="1012"/>
      <c r="Q192" s="1012"/>
      <c r="R192" s="1012"/>
      <c r="S192" s="1012"/>
      <c r="T192" s="1012"/>
      <c r="U192" s="1012"/>
      <c r="V192" s="1012"/>
      <c r="W192" s="1012"/>
      <c r="X192" s="1012"/>
      <c r="Y192" s="1012"/>
      <c r="Z192" s="1012"/>
      <c r="AA192" s="1012"/>
      <c r="AB192" s="1012"/>
      <c r="AC192" s="1012"/>
      <c r="AD192" s="1012"/>
      <c r="AE192" s="1012"/>
      <c r="AF192" s="1012"/>
      <c r="AG192" s="1012"/>
      <c r="AH192" s="1012"/>
      <c r="AI192" s="1012"/>
      <c r="AJ192" s="1012"/>
      <c r="AK192" s="995"/>
      <c r="AL192" s="994"/>
      <c r="AM192" s="994"/>
      <c r="AN192" s="994"/>
      <c r="AO192" s="1012"/>
      <c r="AP192" s="1114"/>
      <c r="AQ192" s="1012"/>
      <c r="AR192" s="1012"/>
      <c r="AS192" s="1012"/>
      <c r="AT192" s="1012"/>
      <c r="AU192" s="1012"/>
      <c r="AV192" s="1012"/>
      <c r="AW192" s="1012"/>
      <c r="AX192" s="1012"/>
      <c r="AY192" s="1012"/>
      <c r="AZ192" s="1012"/>
      <c r="BA192" s="1012"/>
      <c r="BB192" s="1012"/>
      <c r="BC192" s="1012"/>
      <c r="BD192" s="1012"/>
      <c r="BE192" s="1012"/>
      <c r="BF192" s="1012"/>
      <c r="BG192" s="1012"/>
      <c r="BH192" s="1012"/>
      <c r="BI192" s="1012"/>
      <c r="BJ192" s="1012"/>
    </row>
    <row r="193" ht="11.25" customHeight="1">
      <c r="A193" s="994"/>
      <c r="B193" s="994"/>
      <c r="C193" s="994"/>
      <c r="D193" s="1012"/>
      <c r="E193" s="995"/>
      <c r="F193" s="1012"/>
      <c r="G193" s="1012"/>
      <c r="H193" s="1012"/>
      <c r="I193" s="1012"/>
      <c r="J193" s="1012"/>
      <c r="K193" s="1012"/>
      <c r="L193" s="1012"/>
      <c r="M193" s="1012"/>
      <c r="N193" s="1012"/>
      <c r="O193" s="1012"/>
      <c r="P193" s="1012"/>
      <c r="Q193" s="1012"/>
      <c r="R193" s="1012"/>
      <c r="S193" s="1012"/>
      <c r="T193" s="1012"/>
      <c r="U193" s="1012"/>
      <c r="V193" s="1012"/>
      <c r="W193" s="1012"/>
      <c r="X193" s="1012"/>
      <c r="Y193" s="1012"/>
      <c r="Z193" s="1012"/>
      <c r="AA193" s="1012"/>
      <c r="AB193" s="1012"/>
      <c r="AC193" s="1012"/>
      <c r="AD193" s="1012"/>
      <c r="AE193" s="1012"/>
      <c r="AF193" s="1012"/>
      <c r="AG193" s="1012"/>
      <c r="AH193" s="1012"/>
      <c r="AI193" s="1012"/>
      <c r="AJ193" s="1012"/>
      <c r="AK193" s="995"/>
      <c r="AL193" s="994"/>
      <c r="AM193" s="994"/>
      <c r="AN193" s="994"/>
      <c r="AO193" s="1012"/>
      <c r="AP193" s="1114"/>
      <c r="AQ193" s="1012"/>
      <c r="AR193" s="1012"/>
      <c r="AS193" s="1012"/>
      <c r="AT193" s="1012"/>
      <c r="AU193" s="1012"/>
      <c r="AV193" s="1012"/>
      <c r="AW193" s="1012"/>
      <c r="AX193" s="1012"/>
      <c r="AY193" s="1012"/>
      <c r="AZ193" s="1012"/>
      <c r="BA193" s="1012"/>
      <c r="BB193" s="1012"/>
      <c r="BC193" s="1012"/>
      <c r="BD193" s="1012"/>
      <c r="BE193" s="1012"/>
      <c r="BF193" s="1012"/>
      <c r="BG193" s="1012"/>
      <c r="BH193" s="1012"/>
      <c r="BI193" s="1012"/>
      <c r="BJ193" s="1012"/>
    </row>
    <row r="194" ht="11.25" customHeight="1">
      <c r="A194" s="994"/>
      <c r="B194" s="994"/>
      <c r="C194" s="994"/>
      <c r="D194" s="1012"/>
      <c r="E194" s="995"/>
      <c r="F194" s="1012"/>
      <c r="G194" s="1012"/>
      <c r="H194" s="1012"/>
      <c r="I194" s="1012"/>
      <c r="J194" s="1012"/>
      <c r="K194" s="1012"/>
      <c r="L194" s="1012"/>
      <c r="M194" s="1012"/>
      <c r="N194" s="1012"/>
      <c r="O194" s="1012"/>
      <c r="P194" s="1012"/>
      <c r="Q194" s="1012"/>
      <c r="R194" s="1012"/>
      <c r="S194" s="1012"/>
      <c r="T194" s="1012"/>
      <c r="U194" s="1012"/>
      <c r="V194" s="1012"/>
      <c r="W194" s="1012"/>
      <c r="X194" s="1012"/>
      <c r="Y194" s="1012"/>
      <c r="Z194" s="1012"/>
      <c r="AA194" s="1012"/>
      <c r="AB194" s="1012"/>
      <c r="AC194" s="1012"/>
      <c r="AD194" s="1012"/>
      <c r="AE194" s="1012"/>
      <c r="AF194" s="1012"/>
      <c r="AG194" s="1012"/>
      <c r="AH194" s="1012"/>
      <c r="AI194" s="1012"/>
      <c r="AJ194" s="1012"/>
      <c r="AK194" s="995"/>
      <c r="AL194" s="994"/>
      <c r="AM194" s="994"/>
      <c r="AN194" s="994"/>
      <c r="AO194" s="1012"/>
      <c r="AP194" s="1114"/>
      <c r="AQ194" s="1012"/>
      <c r="AR194" s="1012"/>
      <c r="AS194" s="1012"/>
      <c r="AT194" s="1012"/>
      <c r="AU194" s="1012"/>
      <c r="AV194" s="1012"/>
      <c r="AW194" s="1012"/>
      <c r="AX194" s="1012"/>
      <c r="AY194" s="1012"/>
      <c r="AZ194" s="1012"/>
      <c r="BA194" s="1012"/>
      <c r="BB194" s="1012"/>
      <c r="BC194" s="1012"/>
      <c r="BD194" s="1012"/>
      <c r="BE194" s="1012"/>
      <c r="BF194" s="1012"/>
      <c r="BG194" s="1012"/>
      <c r="BH194" s="1012"/>
      <c r="BI194" s="1012"/>
      <c r="BJ194" s="1012"/>
    </row>
    <row r="195" ht="11.25" customHeight="1">
      <c r="A195" s="994"/>
      <c r="B195" s="994"/>
      <c r="C195" s="994"/>
      <c r="D195" s="1012"/>
      <c r="E195" s="995"/>
      <c r="F195" s="1012"/>
      <c r="G195" s="1012"/>
      <c r="H195" s="1012"/>
      <c r="I195" s="1012"/>
      <c r="J195" s="1012"/>
      <c r="K195" s="1012"/>
      <c r="L195" s="1012"/>
      <c r="M195" s="1012"/>
      <c r="N195" s="1012"/>
      <c r="O195" s="1012"/>
      <c r="P195" s="1012"/>
      <c r="Q195" s="1012"/>
      <c r="R195" s="1012"/>
      <c r="S195" s="1012"/>
      <c r="T195" s="1012"/>
      <c r="U195" s="1012"/>
      <c r="V195" s="1012"/>
      <c r="W195" s="1012"/>
      <c r="X195" s="1012"/>
      <c r="Y195" s="1012"/>
      <c r="Z195" s="1012"/>
      <c r="AA195" s="1012"/>
      <c r="AB195" s="1012"/>
      <c r="AC195" s="1012"/>
      <c r="AD195" s="1012"/>
      <c r="AE195" s="1012"/>
      <c r="AF195" s="1012"/>
      <c r="AG195" s="1012"/>
      <c r="AH195" s="1012"/>
      <c r="AI195" s="1012"/>
      <c r="AJ195" s="1012"/>
      <c r="AK195" s="995"/>
      <c r="AL195" s="994"/>
      <c r="AM195" s="994"/>
      <c r="AN195" s="994"/>
      <c r="AO195" s="1012"/>
      <c r="AP195" s="1114"/>
      <c r="AQ195" s="1012"/>
      <c r="AR195" s="1012"/>
      <c r="AS195" s="1012"/>
      <c r="AT195" s="1012"/>
      <c r="AU195" s="1012"/>
      <c r="AV195" s="1012"/>
      <c r="AW195" s="1012"/>
      <c r="AX195" s="1012"/>
      <c r="AY195" s="1012"/>
      <c r="AZ195" s="1012"/>
      <c r="BA195" s="1012"/>
      <c r="BB195" s="1012"/>
      <c r="BC195" s="1012"/>
      <c r="BD195" s="1012"/>
      <c r="BE195" s="1012"/>
      <c r="BF195" s="1012"/>
      <c r="BG195" s="1012"/>
      <c r="BH195" s="1012"/>
      <c r="BI195" s="1012"/>
      <c r="BJ195" s="1012"/>
    </row>
    <row r="196" ht="11.25" customHeight="1">
      <c r="A196" s="994"/>
      <c r="B196" s="994"/>
      <c r="C196" s="994"/>
      <c r="D196" s="1012"/>
      <c r="E196" s="995"/>
      <c r="F196" s="1012"/>
      <c r="G196" s="1012"/>
      <c r="H196" s="1012"/>
      <c r="I196" s="1012"/>
      <c r="J196" s="1012"/>
      <c r="K196" s="1012"/>
      <c r="L196" s="1012"/>
      <c r="M196" s="1012"/>
      <c r="N196" s="1012"/>
      <c r="O196" s="1012"/>
      <c r="P196" s="1012"/>
      <c r="Q196" s="1012"/>
      <c r="R196" s="1012"/>
      <c r="S196" s="1012"/>
      <c r="T196" s="1012"/>
      <c r="U196" s="1012"/>
      <c r="V196" s="1012"/>
      <c r="W196" s="1012"/>
      <c r="X196" s="1012"/>
      <c r="Y196" s="1012"/>
      <c r="Z196" s="1012"/>
      <c r="AA196" s="1012"/>
      <c r="AB196" s="1012"/>
      <c r="AC196" s="1012"/>
      <c r="AD196" s="1012"/>
      <c r="AE196" s="1012"/>
      <c r="AF196" s="1012"/>
      <c r="AG196" s="1012"/>
      <c r="AH196" s="1012"/>
      <c r="AI196" s="1012"/>
      <c r="AJ196" s="1012"/>
      <c r="AK196" s="995"/>
      <c r="AL196" s="994"/>
      <c r="AM196" s="994"/>
      <c r="AN196" s="994"/>
      <c r="AO196" s="1012"/>
      <c r="AP196" s="1114"/>
      <c r="AQ196" s="1012"/>
      <c r="AR196" s="1012"/>
      <c r="AS196" s="1012"/>
      <c r="AT196" s="1012"/>
      <c r="AU196" s="1012"/>
      <c r="AV196" s="1012"/>
      <c r="AW196" s="1012"/>
      <c r="AX196" s="1012"/>
      <c r="AY196" s="1012"/>
      <c r="AZ196" s="1012"/>
      <c r="BA196" s="1012"/>
      <c r="BB196" s="1012"/>
      <c r="BC196" s="1012"/>
      <c r="BD196" s="1012"/>
      <c r="BE196" s="1012"/>
      <c r="BF196" s="1012"/>
      <c r="BG196" s="1012"/>
      <c r="BH196" s="1012"/>
      <c r="BI196" s="1012"/>
      <c r="BJ196" s="1012"/>
    </row>
    <row r="197" ht="11.25" customHeight="1">
      <c r="A197" s="994"/>
      <c r="B197" s="994"/>
      <c r="C197" s="994"/>
      <c r="D197" s="1012"/>
      <c r="E197" s="995"/>
      <c r="F197" s="1012"/>
      <c r="G197" s="1012"/>
      <c r="H197" s="1012"/>
      <c r="I197" s="1012"/>
      <c r="J197" s="1012"/>
      <c r="K197" s="1012"/>
      <c r="L197" s="1012"/>
      <c r="M197" s="1012"/>
      <c r="N197" s="1012"/>
      <c r="O197" s="1012"/>
      <c r="P197" s="1012"/>
      <c r="Q197" s="1012"/>
      <c r="R197" s="1012"/>
      <c r="S197" s="1012"/>
      <c r="T197" s="1012"/>
      <c r="U197" s="1012"/>
      <c r="V197" s="1012"/>
      <c r="W197" s="1012"/>
      <c r="X197" s="1012"/>
      <c r="Y197" s="1012"/>
      <c r="Z197" s="1012"/>
      <c r="AA197" s="1012"/>
      <c r="AB197" s="1012"/>
      <c r="AC197" s="1012"/>
      <c r="AD197" s="1012"/>
      <c r="AE197" s="1012"/>
      <c r="AF197" s="1012"/>
      <c r="AG197" s="1012"/>
      <c r="AH197" s="1012"/>
      <c r="AI197" s="1012"/>
      <c r="AJ197" s="1012"/>
      <c r="AK197" s="995"/>
      <c r="AL197" s="994"/>
      <c r="AM197" s="994"/>
      <c r="AN197" s="994"/>
      <c r="AO197" s="1012"/>
      <c r="AP197" s="1114"/>
      <c r="AQ197" s="1012"/>
      <c r="AR197" s="1012"/>
      <c r="AS197" s="1012"/>
      <c r="AT197" s="1012"/>
      <c r="AU197" s="1012"/>
      <c r="AV197" s="1012"/>
      <c r="AW197" s="1012"/>
      <c r="AX197" s="1012"/>
      <c r="AY197" s="1012"/>
      <c r="AZ197" s="1012"/>
      <c r="BA197" s="1012"/>
      <c r="BB197" s="1012"/>
      <c r="BC197" s="1012"/>
      <c r="BD197" s="1012"/>
      <c r="BE197" s="1012"/>
      <c r="BF197" s="1012"/>
      <c r="BG197" s="1012"/>
      <c r="BH197" s="1012"/>
      <c r="BI197" s="1012"/>
      <c r="BJ197" s="1012"/>
    </row>
    <row r="198" ht="11.25" customHeight="1">
      <c r="A198" s="994"/>
      <c r="B198" s="994"/>
      <c r="C198" s="994"/>
      <c r="D198" s="1012"/>
      <c r="E198" s="995"/>
      <c r="F198" s="1012"/>
      <c r="G198" s="1012"/>
      <c r="H198" s="1012"/>
      <c r="I198" s="1012"/>
      <c r="J198" s="1012"/>
      <c r="K198" s="1012"/>
      <c r="L198" s="1012"/>
      <c r="M198" s="1012"/>
      <c r="N198" s="1012"/>
      <c r="O198" s="1012"/>
      <c r="P198" s="1012"/>
      <c r="Q198" s="1012"/>
      <c r="R198" s="1012"/>
      <c r="S198" s="1012"/>
      <c r="T198" s="1012"/>
      <c r="U198" s="1012"/>
      <c r="V198" s="1012"/>
      <c r="W198" s="1012"/>
      <c r="X198" s="1012"/>
      <c r="Y198" s="1012"/>
      <c r="Z198" s="1012"/>
      <c r="AA198" s="1012"/>
      <c r="AB198" s="1012"/>
      <c r="AC198" s="1012"/>
      <c r="AD198" s="1012"/>
      <c r="AE198" s="1012"/>
      <c r="AF198" s="1012"/>
      <c r="AG198" s="1012"/>
      <c r="AH198" s="1012"/>
      <c r="AI198" s="1012"/>
      <c r="AJ198" s="1012"/>
      <c r="AK198" s="995"/>
      <c r="AL198" s="994"/>
      <c r="AM198" s="994"/>
      <c r="AN198" s="994"/>
      <c r="AO198" s="1012"/>
      <c r="AP198" s="1114"/>
      <c r="AQ198" s="1012"/>
      <c r="AR198" s="1012"/>
      <c r="AS198" s="1012"/>
      <c r="AT198" s="1012"/>
      <c r="AU198" s="1012"/>
      <c r="AV198" s="1012"/>
      <c r="AW198" s="1012"/>
      <c r="AX198" s="1012"/>
      <c r="AY198" s="1012"/>
      <c r="AZ198" s="1012"/>
      <c r="BA198" s="1012"/>
      <c r="BB198" s="1012"/>
      <c r="BC198" s="1012"/>
      <c r="BD198" s="1012"/>
      <c r="BE198" s="1012"/>
      <c r="BF198" s="1012"/>
      <c r="BG198" s="1012"/>
      <c r="BH198" s="1012"/>
      <c r="BI198" s="1012"/>
      <c r="BJ198" s="1012"/>
    </row>
    <row r="199" ht="11.25" customHeight="1">
      <c r="A199" s="994"/>
      <c r="B199" s="994"/>
      <c r="C199" s="994"/>
      <c r="D199" s="1012"/>
      <c r="E199" s="995"/>
      <c r="F199" s="1012"/>
      <c r="G199" s="1012"/>
      <c r="H199" s="1012"/>
      <c r="I199" s="1012"/>
      <c r="J199" s="1012"/>
      <c r="K199" s="1012"/>
      <c r="L199" s="1012"/>
      <c r="M199" s="1012"/>
      <c r="N199" s="1012"/>
      <c r="O199" s="1012"/>
      <c r="P199" s="1012"/>
      <c r="Q199" s="1012"/>
      <c r="R199" s="1012"/>
      <c r="S199" s="1012"/>
      <c r="T199" s="1012"/>
      <c r="U199" s="1012"/>
      <c r="V199" s="1012"/>
      <c r="W199" s="1012"/>
      <c r="X199" s="1012"/>
      <c r="Y199" s="1012"/>
      <c r="Z199" s="1012"/>
      <c r="AA199" s="1012"/>
      <c r="AB199" s="1012"/>
      <c r="AC199" s="1012"/>
      <c r="AD199" s="1012"/>
      <c r="AE199" s="1012"/>
      <c r="AF199" s="1012"/>
      <c r="AG199" s="1012"/>
      <c r="AH199" s="1012"/>
      <c r="AI199" s="1012"/>
      <c r="AJ199" s="1012"/>
      <c r="AK199" s="995"/>
      <c r="AL199" s="994"/>
      <c r="AM199" s="994"/>
      <c r="AN199" s="994"/>
      <c r="AO199" s="1012"/>
      <c r="AP199" s="1114"/>
      <c r="AQ199" s="1012"/>
      <c r="AR199" s="1012"/>
      <c r="AS199" s="1012"/>
      <c r="AT199" s="1012"/>
      <c r="AU199" s="1012"/>
      <c r="AV199" s="1012"/>
      <c r="AW199" s="1012"/>
      <c r="AX199" s="1012"/>
      <c r="AY199" s="1012"/>
      <c r="AZ199" s="1012"/>
      <c r="BA199" s="1012"/>
      <c r="BB199" s="1012"/>
      <c r="BC199" s="1012"/>
      <c r="BD199" s="1012"/>
      <c r="BE199" s="1012"/>
      <c r="BF199" s="1012"/>
      <c r="BG199" s="1012"/>
      <c r="BH199" s="1012"/>
      <c r="BI199" s="1012"/>
      <c r="BJ199" s="1012"/>
    </row>
    <row r="200" ht="11.25" customHeight="1">
      <c r="A200" s="994"/>
      <c r="B200" s="994"/>
      <c r="C200" s="994"/>
      <c r="D200" s="1012"/>
      <c r="E200" s="995"/>
      <c r="F200" s="1012"/>
      <c r="G200" s="1012"/>
      <c r="H200" s="1012"/>
      <c r="I200" s="1012"/>
      <c r="J200" s="1012"/>
      <c r="K200" s="1012"/>
      <c r="L200" s="1012"/>
      <c r="M200" s="1012"/>
      <c r="N200" s="1012"/>
      <c r="O200" s="1012"/>
      <c r="P200" s="1012"/>
      <c r="Q200" s="1012"/>
      <c r="R200" s="1012"/>
      <c r="S200" s="1012"/>
      <c r="T200" s="1012"/>
      <c r="U200" s="1012"/>
      <c r="V200" s="1012"/>
      <c r="W200" s="1012"/>
      <c r="X200" s="1012"/>
      <c r="Y200" s="1012"/>
      <c r="Z200" s="1012"/>
      <c r="AA200" s="1012"/>
      <c r="AB200" s="1012"/>
      <c r="AC200" s="1012"/>
      <c r="AD200" s="1012"/>
      <c r="AE200" s="1012"/>
      <c r="AF200" s="1012"/>
      <c r="AG200" s="1012"/>
      <c r="AH200" s="1012"/>
      <c r="AI200" s="1012"/>
      <c r="AJ200" s="1012"/>
      <c r="AK200" s="995"/>
      <c r="AL200" s="994"/>
      <c r="AM200" s="994"/>
      <c r="AN200" s="994"/>
      <c r="AO200" s="1012"/>
      <c r="AP200" s="1114"/>
      <c r="AQ200" s="1012"/>
      <c r="AR200" s="1012"/>
      <c r="AS200" s="1012"/>
      <c r="AT200" s="1012"/>
      <c r="AU200" s="1012"/>
      <c r="AV200" s="1012"/>
      <c r="AW200" s="1012"/>
      <c r="AX200" s="1012"/>
      <c r="AY200" s="1012"/>
      <c r="AZ200" s="1012"/>
      <c r="BA200" s="1012"/>
      <c r="BB200" s="1012"/>
      <c r="BC200" s="1012"/>
      <c r="BD200" s="1012"/>
      <c r="BE200" s="1012"/>
      <c r="BF200" s="1012"/>
      <c r="BG200" s="1012"/>
      <c r="BH200" s="1012"/>
      <c r="BI200" s="1012"/>
      <c r="BJ200" s="1012"/>
    </row>
    <row r="201" ht="11.25" customHeight="1">
      <c r="A201" s="994"/>
      <c r="B201" s="994"/>
      <c r="C201" s="994"/>
      <c r="D201" s="1012"/>
      <c r="E201" s="995"/>
      <c r="F201" s="1012"/>
      <c r="G201" s="1012"/>
      <c r="H201" s="1012"/>
      <c r="I201" s="1012"/>
      <c r="J201" s="1012"/>
      <c r="K201" s="1012"/>
      <c r="L201" s="1012"/>
      <c r="M201" s="1012"/>
      <c r="N201" s="1012"/>
      <c r="O201" s="1012"/>
      <c r="P201" s="1012"/>
      <c r="Q201" s="1012"/>
      <c r="R201" s="1012"/>
      <c r="S201" s="1012"/>
      <c r="T201" s="1012"/>
      <c r="U201" s="1012"/>
      <c r="V201" s="1012"/>
      <c r="W201" s="1012"/>
      <c r="X201" s="1012"/>
      <c r="Y201" s="1012"/>
      <c r="Z201" s="1012"/>
      <c r="AA201" s="1012"/>
      <c r="AB201" s="1012"/>
      <c r="AC201" s="1012"/>
      <c r="AD201" s="1012"/>
      <c r="AE201" s="1012"/>
      <c r="AF201" s="1012"/>
      <c r="AG201" s="1012"/>
      <c r="AH201" s="1012"/>
      <c r="AI201" s="1012"/>
      <c r="AJ201" s="1012"/>
      <c r="AK201" s="995"/>
      <c r="AL201" s="994"/>
      <c r="AM201" s="994"/>
      <c r="AN201" s="994"/>
      <c r="AO201" s="1012"/>
      <c r="AP201" s="1114"/>
      <c r="AQ201" s="1012"/>
      <c r="AR201" s="1012"/>
      <c r="AS201" s="1012"/>
      <c r="AT201" s="1012"/>
      <c r="AU201" s="1012"/>
      <c r="AV201" s="1012"/>
      <c r="AW201" s="1012"/>
      <c r="AX201" s="1012"/>
      <c r="AY201" s="1012"/>
      <c r="AZ201" s="1012"/>
      <c r="BA201" s="1012"/>
      <c r="BB201" s="1012"/>
      <c r="BC201" s="1012"/>
      <c r="BD201" s="1012"/>
      <c r="BE201" s="1012"/>
      <c r="BF201" s="1012"/>
      <c r="BG201" s="1012"/>
      <c r="BH201" s="1012"/>
      <c r="BI201" s="1012"/>
      <c r="BJ201" s="1012"/>
    </row>
    <row r="202" ht="11.25" customHeight="1">
      <c r="A202" s="994"/>
      <c r="B202" s="994"/>
      <c r="C202" s="994"/>
      <c r="D202" s="1012"/>
      <c r="E202" s="995"/>
      <c r="F202" s="1012"/>
      <c r="G202" s="1012"/>
      <c r="H202" s="1012"/>
      <c r="I202" s="1012"/>
      <c r="J202" s="1012"/>
      <c r="K202" s="1012"/>
      <c r="L202" s="1012"/>
      <c r="M202" s="1012"/>
      <c r="N202" s="1012"/>
      <c r="O202" s="1012"/>
      <c r="P202" s="1012"/>
      <c r="Q202" s="1012"/>
      <c r="R202" s="1012"/>
      <c r="S202" s="1012"/>
      <c r="T202" s="1012"/>
      <c r="U202" s="1012"/>
      <c r="V202" s="1012"/>
      <c r="W202" s="1012"/>
      <c r="X202" s="1012"/>
      <c r="Y202" s="1012"/>
      <c r="Z202" s="1012"/>
      <c r="AA202" s="1012"/>
      <c r="AB202" s="1012"/>
      <c r="AC202" s="1012"/>
      <c r="AD202" s="1012"/>
      <c r="AE202" s="1012"/>
      <c r="AF202" s="1012"/>
      <c r="AG202" s="1012"/>
      <c r="AH202" s="1012"/>
      <c r="AI202" s="1012"/>
      <c r="AJ202" s="1012"/>
      <c r="AK202" s="995"/>
      <c r="AL202" s="994"/>
      <c r="AM202" s="994"/>
      <c r="AN202" s="994"/>
      <c r="AO202" s="1012"/>
      <c r="AP202" s="1114"/>
      <c r="AQ202" s="1012"/>
      <c r="AR202" s="1012"/>
      <c r="AS202" s="1012"/>
      <c r="AT202" s="1012"/>
      <c r="AU202" s="1012"/>
      <c r="AV202" s="1012"/>
      <c r="AW202" s="1012"/>
      <c r="AX202" s="1012"/>
      <c r="AY202" s="1012"/>
      <c r="AZ202" s="1012"/>
      <c r="BA202" s="1012"/>
      <c r="BB202" s="1012"/>
      <c r="BC202" s="1012"/>
      <c r="BD202" s="1012"/>
      <c r="BE202" s="1012"/>
      <c r="BF202" s="1012"/>
      <c r="BG202" s="1012"/>
      <c r="BH202" s="1012"/>
      <c r="BI202" s="1012"/>
      <c r="BJ202" s="1012"/>
    </row>
    <row r="203" ht="11.25" customHeight="1">
      <c r="A203" s="994"/>
      <c r="B203" s="994"/>
      <c r="C203" s="994"/>
      <c r="D203" s="1012"/>
      <c r="E203" s="995"/>
      <c r="F203" s="1012"/>
      <c r="G203" s="1012"/>
      <c r="H203" s="1012"/>
      <c r="I203" s="1012"/>
      <c r="J203" s="1012"/>
      <c r="K203" s="1012"/>
      <c r="L203" s="1012"/>
      <c r="M203" s="1012"/>
      <c r="N203" s="1012"/>
      <c r="O203" s="1012"/>
      <c r="P203" s="1012"/>
      <c r="Q203" s="1012"/>
      <c r="R203" s="1012"/>
      <c r="S203" s="1012"/>
      <c r="T203" s="1012"/>
      <c r="U203" s="1012"/>
      <c r="V203" s="1012"/>
      <c r="W203" s="1012"/>
      <c r="X203" s="1012"/>
      <c r="Y203" s="1012"/>
      <c r="Z203" s="1012"/>
      <c r="AA203" s="1012"/>
      <c r="AB203" s="1012"/>
      <c r="AC203" s="1012"/>
      <c r="AD203" s="1012"/>
      <c r="AE203" s="1012"/>
      <c r="AF203" s="1012"/>
      <c r="AG203" s="1012"/>
      <c r="AH203" s="1012"/>
      <c r="AI203" s="1012"/>
      <c r="AJ203" s="1012"/>
      <c r="AK203" s="995"/>
      <c r="AL203" s="994"/>
      <c r="AM203" s="994"/>
      <c r="AN203" s="994"/>
      <c r="AO203" s="1012"/>
      <c r="AP203" s="1114"/>
      <c r="AQ203" s="1012"/>
      <c r="AR203" s="1012"/>
      <c r="AS203" s="1012"/>
      <c r="AT203" s="1012"/>
      <c r="AU203" s="1012"/>
      <c r="AV203" s="1012"/>
      <c r="AW203" s="1012"/>
      <c r="AX203" s="1012"/>
      <c r="AY203" s="1012"/>
      <c r="AZ203" s="1012"/>
      <c r="BA203" s="1012"/>
      <c r="BB203" s="1012"/>
      <c r="BC203" s="1012"/>
      <c r="BD203" s="1012"/>
      <c r="BE203" s="1012"/>
      <c r="BF203" s="1012"/>
      <c r="BG203" s="1012"/>
      <c r="BH203" s="1012"/>
      <c r="BI203" s="1012"/>
      <c r="BJ203" s="1012"/>
    </row>
    <row r="204" ht="11.25" customHeight="1">
      <c r="A204" s="994"/>
      <c r="B204" s="994"/>
      <c r="C204" s="994"/>
      <c r="D204" s="1012"/>
      <c r="E204" s="995"/>
      <c r="F204" s="1012"/>
      <c r="G204" s="1012"/>
      <c r="H204" s="1012"/>
      <c r="I204" s="1012"/>
      <c r="J204" s="1012"/>
      <c r="K204" s="1012"/>
      <c r="L204" s="1012"/>
      <c r="M204" s="1012"/>
      <c r="N204" s="1012"/>
      <c r="O204" s="1012"/>
      <c r="P204" s="1012"/>
      <c r="Q204" s="1012"/>
      <c r="R204" s="1012"/>
      <c r="S204" s="1012"/>
      <c r="T204" s="1012"/>
      <c r="U204" s="1012"/>
      <c r="V204" s="1012"/>
      <c r="W204" s="1012"/>
      <c r="X204" s="1012"/>
      <c r="Y204" s="1012"/>
      <c r="Z204" s="1012"/>
      <c r="AA204" s="1012"/>
      <c r="AB204" s="1012"/>
      <c r="AC204" s="1012"/>
      <c r="AD204" s="1012"/>
      <c r="AE204" s="1012"/>
      <c r="AF204" s="1012"/>
      <c r="AG204" s="1012"/>
      <c r="AH204" s="1012"/>
      <c r="AI204" s="1012"/>
      <c r="AJ204" s="1012"/>
      <c r="AK204" s="995"/>
      <c r="AL204" s="994"/>
      <c r="AM204" s="994"/>
      <c r="AN204" s="994"/>
      <c r="AO204" s="1012"/>
      <c r="AP204" s="1114"/>
      <c r="AQ204" s="1012"/>
      <c r="AR204" s="1012"/>
      <c r="AS204" s="1012"/>
      <c r="AT204" s="1012"/>
      <c r="AU204" s="1012"/>
      <c r="AV204" s="1012"/>
      <c r="AW204" s="1012"/>
      <c r="AX204" s="1012"/>
      <c r="AY204" s="1012"/>
      <c r="AZ204" s="1012"/>
      <c r="BA204" s="1012"/>
      <c r="BB204" s="1012"/>
      <c r="BC204" s="1012"/>
      <c r="BD204" s="1012"/>
      <c r="BE204" s="1012"/>
      <c r="BF204" s="1012"/>
      <c r="BG204" s="1012"/>
      <c r="BH204" s="1012"/>
      <c r="BI204" s="1012"/>
      <c r="BJ204" s="1012"/>
    </row>
    <row r="205" ht="11.25" customHeight="1">
      <c r="A205" s="994"/>
      <c r="B205" s="994"/>
      <c r="C205" s="994"/>
      <c r="D205" s="1012"/>
      <c r="E205" s="995"/>
      <c r="F205" s="1012"/>
      <c r="G205" s="1012"/>
      <c r="H205" s="1012"/>
      <c r="I205" s="1012"/>
      <c r="J205" s="1012"/>
      <c r="K205" s="1012"/>
      <c r="L205" s="1012"/>
      <c r="M205" s="1012"/>
      <c r="N205" s="1012"/>
      <c r="O205" s="1012"/>
      <c r="P205" s="1012"/>
      <c r="Q205" s="1012"/>
      <c r="R205" s="1012"/>
      <c r="S205" s="1012"/>
      <c r="T205" s="1012"/>
      <c r="U205" s="1012"/>
      <c r="V205" s="1012"/>
      <c r="W205" s="1012"/>
      <c r="X205" s="1012"/>
      <c r="Y205" s="1012"/>
      <c r="Z205" s="1012"/>
      <c r="AA205" s="1012"/>
      <c r="AB205" s="1012"/>
      <c r="AC205" s="1012"/>
      <c r="AD205" s="1012"/>
      <c r="AE205" s="1012"/>
      <c r="AF205" s="1012"/>
      <c r="AG205" s="1012"/>
      <c r="AH205" s="1012"/>
      <c r="AI205" s="1012"/>
      <c r="AJ205" s="1012"/>
      <c r="AK205" s="995"/>
      <c r="AL205" s="994"/>
      <c r="AM205" s="994"/>
      <c r="AN205" s="994"/>
      <c r="AO205" s="1012"/>
      <c r="AP205" s="1114"/>
      <c r="AQ205" s="1012"/>
      <c r="AR205" s="1012"/>
      <c r="AS205" s="1012"/>
      <c r="AT205" s="1012"/>
      <c r="AU205" s="1012"/>
      <c r="AV205" s="1012"/>
      <c r="AW205" s="1012"/>
      <c r="AX205" s="1012"/>
      <c r="AY205" s="1012"/>
      <c r="AZ205" s="1012"/>
      <c r="BA205" s="1012"/>
      <c r="BB205" s="1012"/>
      <c r="BC205" s="1012"/>
      <c r="BD205" s="1012"/>
      <c r="BE205" s="1012"/>
      <c r="BF205" s="1012"/>
      <c r="BG205" s="1012"/>
      <c r="BH205" s="1012"/>
      <c r="BI205" s="1012"/>
      <c r="BJ205" s="1012"/>
    </row>
    <row r="206" ht="11.25" customHeight="1">
      <c r="A206" s="994"/>
      <c r="B206" s="994"/>
      <c r="C206" s="994"/>
      <c r="D206" s="1012"/>
      <c r="E206" s="995"/>
      <c r="F206" s="1012"/>
      <c r="G206" s="1012"/>
      <c r="H206" s="1012"/>
      <c r="I206" s="1012"/>
      <c r="J206" s="1012"/>
      <c r="K206" s="1012"/>
      <c r="L206" s="1012"/>
      <c r="M206" s="1012"/>
      <c r="N206" s="1012"/>
      <c r="O206" s="1012"/>
      <c r="P206" s="1012"/>
      <c r="Q206" s="1012"/>
      <c r="R206" s="1012"/>
      <c r="S206" s="1012"/>
      <c r="T206" s="1012"/>
      <c r="U206" s="1012"/>
      <c r="V206" s="1012"/>
      <c r="W206" s="1012"/>
      <c r="X206" s="1012"/>
      <c r="Y206" s="1012"/>
      <c r="Z206" s="1012"/>
      <c r="AA206" s="1012"/>
      <c r="AB206" s="1012"/>
      <c r="AC206" s="1012"/>
      <c r="AD206" s="1012"/>
      <c r="AE206" s="1012"/>
      <c r="AF206" s="1012"/>
      <c r="AG206" s="1012"/>
      <c r="AH206" s="1012"/>
      <c r="AI206" s="1012"/>
      <c r="AJ206" s="1012"/>
      <c r="AK206" s="995"/>
      <c r="AL206" s="994"/>
      <c r="AM206" s="994"/>
      <c r="AN206" s="994"/>
      <c r="AO206" s="1012"/>
      <c r="AP206" s="1114"/>
      <c r="AQ206" s="1012"/>
      <c r="AR206" s="1012"/>
      <c r="AS206" s="1012"/>
      <c r="AT206" s="1012"/>
      <c r="AU206" s="1012"/>
      <c r="AV206" s="1012"/>
      <c r="AW206" s="1012"/>
      <c r="AX206" s="1012"/>
      <c r="AY206" s="1012"/>
      <c r="AZ206" s="1012"/>
      <c r="BA206" s="1012"/>
      <c r="BB206" s="1012"/>
      <c r="BC206" s="1012"/>
      <c r="BD206" s="1012"/>
      <c r="BE206" s="1012"/>
      <c r="BF206" s="1012"/>
      <c r="BG206" s="1012"/>
      <c r="BH206" s="1012"/>
      <c r="BI206" s="1012"/>
      <c r="BJ206" s="1012"/>
    </row>
    <row r="207" ht="11.25" customHeight="1">
      <c r="A207" s="994"/>
      <c r="B207" s="994"/>
      <c r="C207" s="994"/>
      <c r="D207" s="1012"/>
      <c r="E207" s="995"/>
      <c r="F207" s="1012"/>
      <c r="G207" s="1012"/>
      <c r="H207" s="1012"/>
      <c r="I207" s="1012"/>
      <c r="J207" s="1012"/>
      <c r="K207" s="1012"/>
      <c r="L207" s="1012"/>
      <c r="M207" s="1012"/>
      <c r="N207" s="1012"/>
      <c r="O207" s="1012"/>
      <c r="P207" s="1012"/>
      <c r="Q207" s="1012"/>
      <c r="R207" s="1012"/>
      <c r="S207" s="1012"/>
      <c r="T207" s="1012"/>
      <c r="U207" s="1012"/>
      <c r="V207" s="1012"/>
      <c r="W207" s="1012"/>
      <c r="X207" s="1012"/>
      <c r="Y207" s="1012"/>
      <c r="Z207" s="1012"/>
      <c r="AA207" s="1012"/>
      <c r="AB207" s="1012"/>
      <c r="AC207" s="1012"/>
      <c r="AD207" s="1012"/>
      <c r="AE207" s="1012"/>
      <c r="AF207" s="1012"/>
      <c r="AG207" s="1012"/>
      <c r="AH207" s="1012"/>
      <c r="AI207" s="1012"/>
      <c r="AJ207" s="1012"/>
      <c r="AK207" s="995"/>
      <c r="AL207" s="994"/>
      <c r="AM207" s="994"/>
      <c r="AN207" s="994"/>
      <c r="AO207" s="1012"/>
      <c r="AP207" s="1114"/>
      <c r="AQ207" s="1012"/>
      <c r="AR207" s="1012"/>
      <c r="AS207" s="1012"/>
      <c r="AT207" s="1012"/>
      <c r="AU207" s="1012"/>
      <c r="AV207" s="1012"/>
      <c r="AW207" s="1012"/>
      <c r="AX207" s="1012"/>
      <c r="AY207" s="1012"/>
      <c r="AZ207" s="1012"/>
      <c r="BA207" s="1012"/>
      <c r="BB207" s="1012"/>
      <c r="BC207" s="1012"/>
      <c r="BD207" s="1012"/>
      <c r="BE207" s="1012"/>
      <c r="BF207" s="1012"/>
      <c r="BG207" s="1012"/>
      <c r="BH207" s="1012"/>
      <c r="BI207" s="1012"/>
      <c r="BJ207" s="1012"/>
    </row>
    <row r="208" ht="11.25" customHeight="1">
      <c r="A208" s="994"/>
      <c r="B208" s="994"/>
      <c r="C208" s="994"/>
      <c r="D208" s="1012"/>
      <c r="E208" s="995"/>
      <c r="F208" s="1012"/>
      <c r="G208" s="1012"/>
      <c r="H208" s="1012"/>
      <c r="I208" s="1012"/>
      <c r="J208" s="1012"/>
      <c r="K208" s="1012"/>
      <c r="L208" s="1012"/>
      <c r="M208" s="1012"/>
      <c r="N208" s="1012"/>
      <c r="O208" s="1012"/>
      <c r="P208" s="1012"/>
      <c r="Q208" s="1012"/>
      <c r="R208" s="1012"/>
      <c r="S208" s="1012"/>
      <c r="T208" s="1012"/>
      <c r="U208" s="1012"/>
      <c r="V208" s="1012"/>
      <c r="W208" s="1012"/>
      <c r="X208" s="1012"/>
      <c r="Y208" s="1012"/>
      <c r="Z208" s="1012"/>
      <c r="AA208" s="1012"/>
      <c r="AB208" s="1012"/>
      <c r="AC208" s="1012"/>
      <c r="AD208" s="1012"/>
      <c r="AE208" s="1012"/>
      <c r="AF208" s="1012"/>
      <c r="AG208" s="1012"/>
      <c r="AH208" s="1012"/>
      <c r="AI208" s="1012"/>
      <c r="AJ208" s="1012"/>
      <c r="AK208" s="995"/>
      <c r="AL208" s="994"/>
      <c r="AM208" s="994"/>
      <c r="AN208" s="994"/>
      <c r="AO208" s="1012"/>
      <c r="AP208" s="1114"/>
      <c r="AQ208" s="1012"/>
      <c r="AR208" s="1012"/>
      <c r="AS208" s="1012"/>
      <c r="AT208" s="1012"/>
      <c r="AU208" s="1012"/>
      <c r="AV208" s="1012"/>
      <c r="AW208" s="1012"/>
      <c r="AX208" s="1012"/>
      <c r="AY208" s="1012"/>
      <c r="AZ208" s="1012"/>
      <c r="BA208" s="1012"/>
      <c r="BB208" s="1012"/>
      <c r="BC208" s="1012"/>
      <c r="BD208" s="1012"/>
      <c r="BE208" s="1012"/>
      <c r="BF208" s="1012"/>
      <c r="BG208" s="1012"/>
      <c r="BH208" s="1012"/>
      <c r="BI208" s="1012"/>
      <c r="BJ208" s="1012"/>
    </row>
    <row r="209" ht="11.25" customHeight="1">
      <c r="A209" s="994"/>
      <c r="B209" s="994"/>
      <c r="C209" s="994"/>
      <c r="D209" s="1012"/>
      <c r="E209" s="995"/>
      <c r="F209" s="1012"/>
      <c r="G209" s="1012"/>
      <c r="H209" s="1012"/>
      <c r="I209" s="1012"/>
      <c r="J209" s="1012"/>
      <c r="K209" s="1012"/>
      <c r="L209" s="1012"/>
      <c r="M209" s="1012"/>
      <c r="N209" s="1012"/>
      <c r="O209" s="1012"/>
      <c r="P209" s="1012"/>
      <c r="Q209" s="1012"/>
      <c r="R209" s="1012"/>
      <c r="S209" s="1012"/>
      <c r="T209" s="1012"/>
      <c r="U209" s="1012"/>
      <c r="V209" s="1012"/>
      <c r="W209" s="1012"/>
      <c r="X209" s="1012"/>
      <c r="Y209" s="1012"/>
      <c r="Z209" s="1012"/>
      <c r="AA209" s="1012"/>
      <c r="AB209" s="1012"/>
      <c r="AC209" s="1012"/>
      <c r="AD209" s="1012"/>
      <c r="AE209" s="1012"/>
      <c r="AF209" s="1012"/>
      <c r="AG209" s="1012"/>
      <c r="AH209" s="1012"/>
      <c r="AI209" s="1012"/>
      <c r="AJ209" s="1012"/>
      <c r="AK209" s="995"/>
      <c r="AL209" s="994"/>
      <c r="AM209" s="994"/>
      <c r="AN209" s="994"/>
      <c r="AO209" s="1012"/>
      <c r="AP209" s="1114"/>
      <c r="AQ209" s="1012"/>
      <c r="AR209" s="1012"/>
      <c r="AS209" s="1012"/>
      <c r="AT209" s="1012"/>
      <c r="AU209" s="1012"/>
      <c r="AV209" s="1012"/>
      <c r="AW209" s="1012"/>
      <c r="AX209" s="1012"/>
      <c r="AY209" s="1012"/>
      <c r="AZ209" s="1012"/>
      <c r="BA209" s="1012"/>
      <c r="BB209" s="1012"/>
      <c r="BC209" s="1012"/>
      <c r="BD209" s="1012"/>
      <c r="BE209" s="1012"/>
      <c r="BF209" s="1012"/>
      <c r="BG209" s="1012"/>
      <c r="BH209" s="1012"/>
      <c r="BI209" s="1012"/>
      <c r="BJ209" s="1012"/>
    </row>
    <row r="210" ht="11.25" customHeight="1">
      <c r="A210" s="994"/>
      <c r="B210" s="994"/>
      <c r="C210" s="994"/>
      <c r="D210" s="1012"/>
      <c r="E210" s="995"/>
      <c r="F210" s="1012"/>
      <c r="G210" s="1012"/>
      <c r="H210" s="1012"/>
      <c r="I210" s="1012"/>
      <c r="J210" s="1012"/>
      <c r="K210" s="1012"/>
      <c r="L210" s="1012"/>
      <c r="M210" s="1012"/>
      <c r="N210" s="1012"/>
      <c r="O210" s="1012"/>
      <c r="P210" s="1012"/>
      <c r="Q210" s="1012"/>
      <c r="R210" s="1012"/>
      <c r="S210" s="1012"/>
      <c r="T210" s="1012"/>
      <c r="U210" s="1012"/>
      <c r="V210" s="1012"/>
      <c r="W210" s="1012"/>
      <c r="X210" s="1012"/>
      <c r="Y210" s="1012"/>
      <c r="Z210" s="1012"/>
      <c r="AA210" s="1012"/>
      <c r="AB210" s="1012"/>
      <c r="AC210" s="1012"/>
      <c r="AD210" s="1012"/>
      <c r="AE210" s="1012"/>
      <c r="AF210" s="1012"/>
      <c r="AG210" s="1012"/>
      <c r="AH210" s="1012"/>
      <c r="AI210" s="1012"/>
      <c r="AJ210" s="1012"/>
      <c r="AK210" s="995"/>
      <c r="AL210" s="994"/>
      <c r="AM210" s="994"/>
      <c r="AN210" s="994"/>
      <c r="AO210" s="1012"/>
      <c r="AP210" s="1114"/>
      <c r="AQ210" s="1012"/>
      <c r="AR210" s="1012"/>
      <c r="AS210" s="1012"/>
      <c r="AT210" s="1012"/>
      <c r="AU210" s="1012"/>
      <c r="AV210" s="1012"/>
      <c r="AW210" s="1012"/>
      <c r="AX210" s="1012"/>
      <c r="AY210" s="1012"/>
      <c r="AZ210" s="1012"/>
      <c r="BA210" s="1012"/>
      <c r="BB210" s="1012"/>
      <c r="BC210" s="1012"/>
      <c r="BD210" s="1012"/>
      <c r="BE210" s="1012"/>
      <c r="BF210" s="1012"/>
      <c r="BG210" s="1012"/>
      <c r="BH210" s="1012"/>
      <c r="BI210" s="1012"/>
      <c r="BJ210" s="1012"/>
    </row>
    <row r="211" ht="11.25" customHeight="1">
      <c r="A211" s="994"/>
      <c r="B211" s="994"/>
      <c r="C211" s="994"/>
      <c r="D211" s="1012"/>
      <c r="E211" s="995"/>
      <c r="F211" s="1012"/>
      <c r="G211" s="1012"/>
      <c r="H211" s="1012"/>
      <c r="I211" s="1012"/>
      <c r="J211" s="1012"/>
      <c r="K211" s="1012"/>
      <c r="L211" s="1012"/>
      <c r="M211" s="1012"/>
      <c r="N211" s="1012"/>
      <c r="O211" s="1012"/>
      <c r="P211" s="1012"/>
      <c r="Q211" s="1012"/>
      <c r="R211" s="1012"/>
      <c r="S211" s="1012"/>
      <c r="T211" s="1012"/>
      <c r="U211" s="1012"/>
      <c r="V211" s="1012"/>
      <c r="W211" s="1012"/>
      <c r="X211" s="1012"/>
      <c r="Y211" s="1012"/>
      <c r="Z211" s="1012"/>
      <c r="AA211" s="1012"/>
      <c r="AB211" s="1012"/>
      <c r="AC211" s="1012"/>
      <c r="AD211" s="1012"/>
      <c r="AE211" s="1012"/>
      <c r="AF211" s="1012"/>
      <c r="AG211" s="1012"/>
      <c r="AH211" s="1012"/>
      <c r="AI211" s="1012"/>
      <c r="AJ211" s="1012"/>
      <c r="AK211" s="995"/>
      <c r="AL211" s="994"/>
      <c r="AM211" s="994"/>
      <c r="AN211" s="994"/>
      <c r="AO211" s="1012"/>
      <c r="AP211" s="1114"/>
      <c r="AQ211" s="1012"/>
      <c r="AR211" s="1012"/>
      <c r="AS211" s="1012"/>
      <c r="AT211" s="1012"/>
      <c r="AU211" s="1012"/>
      <c r="AV211" s="1012"/>
      <c r="AW211" s="1012"/>
      <c r="AX211" s="1012"/>
      <c r="AY211" s="1012"/>
      <c r="AZ211" s="1012"/>
      <c r="BA211" s="1012"/>
      <c r="BB211" s="1012"/>
      <c r="BC211" s="1012"/>
      <c r="BD211" s="1012"/>
      <c r="BE211" s="1012"/>
      <c r="BF211" s="1012"/>
      <c r="BG211" s="1012"/>
      <c r="BH211" s="1012"/>
      <c r="BI211" s="1012"/>
      <c r="BJ211" s="1012"/>
    </row>
    <row r="212" ht="11.25" customHeight="1">
      <c r="A212" s="994"/>
      <c r="B212" s="994"/>
      <c r="C212" s="994"/>
      <c r="D212" s="1012"/>
      <c r="E212" s="995"/>
      <c r="F212" s="1012"/>
      <c r="G212" s="1012"/>
      <c r="H212" s="1012"/>
      <c r="I212" s="1012"/>
      <c r="J212" s="1012"/>
      <c r="K212" s="1012"/>
      <c r="L212" s="1012"/>
      <c r="M212" s="1012"/>
      <c r="N212" s="1012"/>
      <c r="O212" s="1012"/>
      <c r="P212" s="1012"/>
      <c r="Q212" s="1012"/>
      <c r="R212" s="1012"/>
      <c r="S212" s="1012"/>
      <c r="T212" s="1012"/>
      <c r="U212" s="1012"/>
      <c r="V212" s="1012"/>
      <c r="W212" s="1012"/>
      <c r="X212" s="1012"/>
      <c r="Y212" s="1012"/>
      <c r="Z212" s="1012"/>
      <c r="AA212" s="1012"/>
      <c r="AB212" s="1012"/>
      <c r="AC212" s="1012"/>
      <c r="AD212" s="1012"/>
      <c r="AE212" s="1012"/>
      <c r="AF212" s="1012"/>
      <c r="AG212" s="1012"/>
      <c r="AH212" s="1012"/>
      <c r="AI212" s="1012"/>
      <c r="AJ212" s="1012"/>
      <c r="AK212" s="995"/>
      <c r="AL212" s="994"/>
      <c r="AM212" s="994"/>
      <c r="AN212" s="994"/>
      <c r="AO212" s="1012"/>
      <c r="AP212" s="1114"/>
      <c r="AQ212" s="1012"/>
      <c r="AR212" s="1012"/>
      <c r="AS212" s="1012"/>
      <c r="AT212" s="1012"/>
      <c r="AU212" s="1012"/>
      <c r="AV212" s="1012"/>
      <c r="AW212" s="1012"/>
      <c r="AX212" s="1012"/>
      <c r="AY212" s="1012"/>
      <c r="AZ212" s="1012"/>
      <c r="BA212" s="1012"/>
      <c r="BB212" s="1012"/>
      <c r="BC212" s="1012"/>
      <c r="BD212" s="1012"/>
      <c r="BE212" s="1012"/>
      <c r="BF212" s="1012"/>
      <c r="BG212" s="1012"/>
      <c r="BH212" s="1012"/>
      <c r="BI212" s="1012"/>
      <c r="BJ212" s="1012"/>
    </row>
    <row r="213" ht="11.25" customHeight="1">
      <c r="A213" s="994"/>
      <c r="B213" s="994"/>
      <c r="C213" s="994"/>
      <c r="D213" s="1012"/>
      <c r="E213" s="995"/>
      <c r="F213" s="1012"/>
      <c r="G213" s="1012"/>
      <c r="H213" s="1012"/>
      <c r="I213" s="1012"/>
      <c r="J213" s="1012"/>
      <c r="K213" s="1012"/>
      <c r="L213" s="1012"/>
      <c r="M213" s="1012"/>
      <c r="N213" s="1012"/>
      <c r="O213" s="1012"/>
      <c r="P213" s="1012"/>
      <c r="Q213" s="1012"/>
      <c r="R213" s="1012"/>
      <c r="S213" s="1012"/>
      <c r="T213" s="1012"/>
      <c r="U213" s="1012"/>
      <c r="V213" s="1012"/>
      <c r="W213" s="1012"/>
      <c r="X213" s="1012"/>
      <c r="Y213" s="1012"/>
      <c r="Z213" s="1012"/>
      <c r="AA213" s="1012"/>
      <c r="AB213" s="1012"/>
      <c r="AC213" s="1012"/>
      <c r="AD213" s="1012"/>
      <c r="AE213" s="1012"/>
      <c r="AF213" s="1012"/>
      <c r="AG213" s="1012"/>
      <c r="AH213" s="1012"/>
      <c r="AI213" s="1012"/>
      <c r="AJ213" s="1012"/>
      <c r="AK213" s="995"/>
      <c r="AL213" s="994"/>
      <c r="AM213" s="994"/>
      <c r="AN213" s="994"/>
      <c r="AO213" s="1012"/>
      <c r="AP213" s="1114"/>
      <c r="AQ213" s="1012"/>
      <c r="AR213" s="1012"/>
      <c r="AS213" s="1012"/>
      <c r="AT213" s="1012"/>
      <c r="AU213" s="1012"/>
      <c r="AV213" s="1012"/>
      <c r="AW213" s="1012"/>
      <c r="AX213" s="1012"/>
      <c r="AY213" s="1012"/>
      <c r="AZ213" s="1012"/>
      <c r="BA213" s="1012"/>
      <c r="BB213" s="1012"/>
      <c r="BC213" s="1012"/>
      <c r="BD213" s="1012"/>
      <c r="BE213" s="1012"/>
      <c r="BF213" s="1012"/>
      <c r="BG213" s="1012"/>
      <c r="BH213" s="1012"/>
      <c r="BI213" s="1012"/>
      <c r="BJ213" s="1012"/>
    </row>
    <row r="214" ht="11.25" customHeight="1">
      <c r="A214" s="994"/>
      <c r="B214" s="994"/>
      <c r="C214" s="994"/>
      <c r="D214" s="1012"/>
      <c r="E214" s="995"/>
      <c r="F214" s="1012"/>
      <c r="G214" s="1012"/>
      <c r="H214" s="1012"/>
      <c r="I214" s="1012"/>
      <c r="J214" s="1012"/>
      <c r="K214" s="1012"/>
      <c r="L214" s="1012"/>
      <c r="M214" s="1012"/>
      <c r="N214" s="1012"/>
      <c r="O214" s="1012"/>
      <c r="P214" s="1012"/>
      <c r="Q214" s="1012"/>
      <c r="R214" s="1012"/>
      <c r="S214" s="1012"/>
      <c r="T214" s="1012"/>
      <c r="U214" s="1012"/>
      <c r="V214" s="1012"/>
      <c r="W214" s="1012"/>
      <c r="X214" s="1012"/>
      <c r="Y214" s="1012"/>
      <c r="Z214" s="1012"/>
      <c r="AA214" s="1012"/>
      <c r="AB214" s="1012"/>
      <c r="AC214" s="1012"/>
      <c r="AD214" s="1012"/>
      <c r="AE214" s="1012"/>
      <c r="AF214" s="1012"/>
      <c r="AG214" s="1012"/>
      <c r="AH214" s="1012"/>
      <c r="AI214" s="1012"/>
      <c r="AJ214" s="1012"/>
      <c r="AK214" s="995"/>
      <c r="AL214" s="994"/>
      <c r="AM214" s="994"/>
      <c r="AN214" s="994"/>
      <c r="AO214" s="1012"/>
      <c r="AP214" s="1114"/>
      <c r="AQ214" s="1012"/>
      <c r="AR214" s="1012"/>
      <c r="AS214" s="1012"/>
      <c r="AT214" s="1012"/>
      <c r="AU214" s="1012"/>
      <c r="AV214" s="1012"/>
      <c r="AW214" s="1012"/>
      <c r="AX214" s="1012"/>
      <c r="AY214" s="1012"/>
      <c r="AZ214" s="1012"/>
      <c r="BA214" s="1012"/>
      <c r="BB214" s="1012"/>
      <c r="BC214" s="1012"/>
      <c r="BD214" s="1012"/>
      <c r="BE214" s="1012"/>
      <c r="BF214" s="1012"/>
      <c r="BG214" s="1012"/>
      <c r="BH214" s="1012"/>
      <c r="BI214" s="1012"/>
      <c r="BJ214" s="1012"/>
    </row>
    <row r="215" ht="11.25" customHeight="1">
      <c r="A215" s="994"/>
      <c r="B215" s="994"/>
      <c r="C215" s="994"/>
      <c r="D215" s="1012"/>
      <c r="E215" s="995"/>
      <c r="F215" s="1012"/>
      <c r="G215" s="1012"/>
      <c r="H215" s="1012"/>
      <c r="I215" s="1012"/>
      <c r="J215" s="1012"/>
      <c r="K215" s="1012"/>
      <c r="L215" s="1012"/>
      <c r="M215" s="1012"/>
      <c r="N215" s="1012"/>
      <c r="O215" s="1012"/>
      <c r="P215" s="1012"/>
      <c r="Q215" s="1012"/>
      <c r="R215" s="1012"/>
      <c r="S215" s="1012"/>
      <c r="T215" s="1012"/>
      <c r="U215" s="1012"/>
      <c r="V215" s="1012"/>
      <c r="W215" s="1012"/>
      <c r="X215" s="1012"/>
      <c r="Y215" s="1012"/>
      <c r="Z215" s="1012"/>
      <c r="AA215" s="1012"/>
      <c r="AB215" s="1012"/>
      <c r="AC215" s="1012"/>
      <c r="AD215" s="1012"/>
      <c r="AE215" s="1012"/>
      <c r="AF215" s="1012"/>
      <c r="AG215" s="1012"/>
      <c r="AH215" s="1012"/>
      <c r="AI215" s="1012"/>
      <c r="AJ215" s="1012"/>
      <c r="AK215" s="995"/>
      <c r="AL215" s="994"/>
      <c r="AM215" s="994"/>
      <c r="AN215" s="994"/>
      <c r="AO215" s="1012"/>
      <c r="AP215" s="1114"/>
      <c r="AQ215" s="1012"/>
      <c r="AR215" s="1012"/>
      <c r="AS215" s="1012"/>
      <c r="AT215" s="1012"/>
      <c r="AU215" s="1012"/>
      <c r="AV215" s="1012"/>
      <c r="AW215" s="1012"/>
      <c r="AX215" s="1012"/>
      <c r="AY215" s="1012"/>
      <c r="AZ215" s="1012"/>
      <c r="BA215" s="1012"/>
      <c r="BB215" s="1012"/>
      <c r="BC215" s="1012"/>
      <c r="BD215" s="1012"/>
      <c r="BE215" s="1012"/>
      <c r="BF215" s="1012"/>
      <c r="BG215" s="1012"/>
      <c r="BH215" s="1012"/>
      <c r="BI215" s="1012"/>
      <c r="BJ215" s="1012"/>
    </row>
    <row r="216" ht="11.25" customHeight="1">
      <c r="A216" s="994"/>
      <c r="B216" s="994"/>
      <c r="C216" s="994"/>
      <c r="D216" s="1012"/>
      <c r="E216" s="995"/>
      <c r="F216" s="1012"/>
      <c r="G216" s="1012"/>
      <c r="H216" s="1012"/>
      <c r="I216" s="1012"/>
      <c r="J216" s="1012"/>
      <c r="K216" s="1012"/>
      <c r="L216" s="1012"/>
      <c r="M216" s="1012"/>
      <c r="N216" s="1012"/>
      <c r="O216" s="1012"/>
      <c r="P216" s="1012"/>
      <c r="Q216" s="1012"/>
      <c r="R216" s="1012"/>
      <c r="S216" s="1012"/>
      <c r="T216" s="1012"/>
      <c r="U216" s="1012"/>
      <c r="V216" s="1012"/>
      <c r="W216" s="1012"/>
      <c r="X216" s="1012"/>
      <c r="Y216" s="1012"/>
      <c r="Z216" s="1012"/>
      <c r="AA216" s="1012"/>
      <c r="AB216" s="1012"/>
      <c r="AC216" s="1012"/>
      <c r="AD216" s="1012"/>
      <c r="AE216" s="1012"/>
      <c r="AF216" s="1012"/>
      <c r="AG216" s="1012"/>
      <c r="AH216" s="1012"/>
      <c r="AI216" s="1012"/>
      <c r="AJ216" s="1012"/>
      <c r="AK216" s="995"/>
      <c r="AL216" s="994"/>
      <c r="AM216" s="994"/>
      <c r="AN216" s="994"/>
      <c r="AO216" s="1012"/>
      <c r="AP216" s="1114"/>
      <c r="AQ216" s="1012"/>
      <c r="AR216" s="1012"/>
      <c r="AS216" s="1012"/>
      <c r="AT216" s="1012"/>
      <c r="AU216" s="1012"/>
      <c r="AV216" s="1012"/>
      <c r="AW216" s="1012"/>
      <c r="AX216" s="1012"/>
      <c r="AY216" s="1012"/>
      <c r="AZ216" s="1012"/>
      <c r="BA216" s="1012"/>
      <c r="BB216" s="1012"/>
      <c r="BC216" s="1012"/>
      <c r="BD216" s="1012"/>
      <c r="BE216" s="1012"/>
      <c r="BF216" s="1012"/>
      <c r="BG216" s="1012"/>
      <c r="BH216" s="1012"/>
      <c r="BI216" s="1012"/>
      <c r="BJ216" s="1012"/>
    </row>
    <row r="217" ht="11.25" customHeight="1">
      <c r="A217" s="994"/>
      <c r="B217" s="994"/>
      <c r="C217" s="994"/>
      <c r="D217" s="1012"/>
      <c r="E217" s="995"/>
      <c r="F217" s="1012"/>
      <c r="G217" s="1012"/>
      <c r="H217" s="1012"/>
      <c r="I217" s="1012"/>
      <c r="J217" s="1012"/>
      <c r="K217" s="1012"/>
      <c r="L217" s="1012"/>
      <c r="M217" s="1012"/>
      <c r="N217" s="1012"/>
      <c r="O217" s="1012"/>
      <c r="P217" s="1012"/>
      <c r="Q217" s="1012"/>
      <c r="R217" s="1012"/>
      <c r="S217" s="1012"/>
      <c r="T217" s="1012"/>
      <c r="U217" s="1012"/>
      <c r="V217" s="1012"/>
      <c r="W217" s="1012"/>
      <c r="X217" s="1012"/>
      <c r="Y217" s="1012"/>
      <c r="Z217" s="1012"/>
      <c r="AA217" s="1012"/>
      <c r="AB217" s="1012"/>
      <c r="AC217" s="1012"/>
      <c r="AD217" s="1012"/>
      <c r="AE217" s="1012"/>
      <c r="AF217" s="1012"/>
      <c r="AG217" s="1012"/>
      <c r="AH217" s="1012"/>
      <c r="AI217" s="1012"/>
      <c r="AJ217" s="1012"/>
      <c r="AK217" s="995"/>
      <c r="AL217" s="994"/>
      <c r="AM217" s="994"/>
      <c r="AN217" s="994"/>
      <c r="AO217" s="1012"/>
      <c r="AP217" s="1114"/>
      <c r="AQ217" s="1012"/>
      <c r="AR217" s="1012"/>
      <c r="AS217" s="1012"/>
      <c r="AT217" s="1012"/>
      <c r="AU217" s="1012"/>
      <c r="AV217" s="1012"/>
      <c r="AW217" s="1012"/>
      <c r="AX217" s="1012"/>
      <c r="AY217" s="1012"/>
      <c r="AZ217" s="1012"/>
      <c r="BA217" s="1012"/>
      <c r="BB217" s="1012"/>
      <c r="BC217" s="1012"/>
      <c r="BD217" s="1012"/>
      <c r="BE217" s="1012"/>
      <c r="BF217" s="1012"/>
      <c r="BG217" s="1012"/>
      <c r="BH217" s="1012"/>
      <c r="BI217" s="1012"/>
      <c r="BJ217" s="1012"/>
    </row>
    <row r="218" ht="11.25" customHeight="1">
      <c r="A218" s="994"/>
      <c r="B218" s="994"/>
      <c r="C218" s="994"/>
      <c r="D218" s="1012"/>
      <c r="E218" s="995"/>
      <c r="F218" s="1012"/>
      <c r="G218" s="1012"/>
      <c r="H218" s="1012"/>
      <c r="I218" s="1012"/>
      <c r="J218" s="1012"/>
      <c r="K218" s="1012"/>
      <c r="L218" s="1012"/>
      <c r="M218" s="1012"/>
      <c r="N218" s="1012"/>
      <c r="O218" s="1012"/>
      <c r="P218" s="1012"/>
      <c r="Q218" s="1012"/>
      <c r="R218" s="1012"/>
      <c r="S218" s="1012"/>
      <c r="T218" s="1012"/>
      <c r="U218" s="1012"/>
      <c r="V218" s="1012"/>
      <c r="W218" s="1012"/>
      <c r="X218" s="1012"/>
      <c r="Y218" s="1012"/>
      <c r="Z218" s="1012"/>
      <c r="AA218" s="1012"/>
      <c r="AB218" s="1012"/>
      <c r="AC218" s="1012"/>
      <c r="AD218" s="1012"/>
      <c r="AE218" s="1012"/>
      <c r="AF218" s="1012"/>
      <c r="AG218" s="1012"/>
      <c r="AH218" s="1012"/>
      <c r="AI218" s="1012"/>
      <c r="AJ218" s="1012"/>
      <c r="AK218" s="995"/>
      <c r="AL218" s="994"/>
      <c r="AM218" s="994"/>
      <c r="AN218" s="994"/>
      <c r="AO218" s="1012"/>
      <c r="AP218" s="1114"/>
      <c r="AQ218" s="1012"/>
      <c r="AR218" s="1012"/>
      <c r="AS218" s="1012"/>
      <c r="AT218" s="1012"/>
      <c r="AU218" s="1012"/>
      <c r="AV218" s="1012"/>
      <c r="AW218" s="1012"/>
      <c r="AX218" s="1012"/>
      <c r="AY218" s="1012"/>
      <c r="AZ218" s="1012"/>
      <c r="BA218" s="1012"/>
      <c r="BB218" s="1012"/>
      <c r="BC218" s="1012"/>
      <c r="BD218" s="1012"/>
      <c r="BE218" s="1012"/>
      <c r="BF218" s="1012"/>
      <c r="BG218" s="1012"/>
      <c r="BH218" s="1012"/>
      <c r="BI218" s="1012"/>
      <c r="BJ218" s="1012"/>
    </row>
    <row r="219" ht="11.25" customHeight="1">
      <c r="A219" s="994"/>
      <c r="B219" s="994"/>
      <c r="C219" s="994"/>
      <c r="D219" s="1012"/>
      <c r="E219" s="995"/>
      <c r="F219" s="1012"/>
      <c r="G219" s="1012"/>
      <c r="H219" s="1012"/>
      <c r="I219" s="1012"/>
      <c r="J219" s="1012"/>
      <c r="K219" s="1012"/>
      <c r="L219" s="1012"/>
      <c r="M219" s="1012"/>
      <c r="N219" s="1012"/>
      <c r="O219" s="1012"/>
      <c r="P219" s="1012"/>
      <c r="Q219" s="1012"/>
      <c r="R219" s="1012"/>
      <c r="S219" s="1012"/>
      <c r="T219" s="1012"/>
      <c r="U219" s="1012"/>
      <c r="V219" s="1012"/>
      <c r="W219" s="1012"/>
      <c r="X219" s="1012"/>
      <c r="Y219" s="1012"/>
      <c r="Z219" s="1012"/>
      <c r="AA219" s="1012"/>
      <c r="AB219" s="1012"/>
      <c r="AC219" s="1012"/>
      <c r="AD219" s="1012"/>
      <c r="AE219" s="1012"/>
      <c r="AF219" s="1012"/>
      <c r="AG219" s="1012"/>
      <c r="AH219" s="1012"/>
      <c r="AI219" s="1012"/>
      <c r="AJ219" s="1012"/>
      <c r="AK219" s="995"/>
      <c r="AL219" s="994"/>
      <c r="AM219" s="994"/>
      <c r="AN219" s="994"/>
      <c r="AO219" s="1012"/>
      <c r="AP219" s="1114"/>
      <c r="AQ219" s="1012"/>
      <c r="AR219" s="1012"/>
      <c r="AS219" s="1012"/>
      <c r="AT219" s="1012"/>
      <c r="AU219" s="1012"/>
      <c r="AV219" s="1012"/>
      <c r="AW219" s="1012"/>
      <c r="AX219" s="1012"/>
      <c r="AY219" s="1012"/>
      <c r="AZ219" s="1012"/>
      <c r="BA219" s="1012"/>
      <c r="BB219" s="1012"/>
      <c r="BC219" s="1012"/>
      <c r="BD219" s="1012"/>
      <c r="BE219" s="1012"/>
      <c r="BF219" s="1012"/>
      <c r="BG219" s="1012"/>
      <c r="BH219" s="1012"/>
      <c r="BI219" s="1012"/>
      <c r="BJ219" s="1012"/>
    </row>
    <row r="220" ht="11.25" customHeight="1">
      <c r="A220" s="994"/>
      <c r="B220" s="994"/>
      <c r="C220" s="994"/>
      <c r="D220" s="1012"/>
      <c r="E220" s="995"/>
      <c r="F220" s="1012"/>
      <c r="G220" s="1012"/>
      <c r="H220" s="1012"/>
      <c r="I220" s="1012"/>
      <c r="J220" s="1012"/>
      <c r="K220" s="1012"/>
      <c r="L220" s="1012"/>
      <c r="M220" s="1012"/>
      <c r="N220" s="1012"/>
      <c r="O220" s="1012"/>
      <c r="P220" s="1012"/>
      <c r="Q220" s="1012"/>
      <c r="R220" s="1012"/>
      <c r="S220" s="1012"/>
      <c r="T220" s="1012"/>
      <c r="U220" s="1012"/>
      <c r="V220" s="1012"/>
      <c r="W220" s="1012"/>
      <c r="X220" s="1012"/>
      <c r="Y220" s="1012"/>
      <c r="Z220" s="1012"/>
      <c r="AA220" s="1012"/>
      <c r="AB220" s="1012"/>
      <c r="AC220" s="1012"/>
      <c r="AD220" s="1012"/>
      <c r="AE220" s="1012"/>
      <c r="AF220" s="1012"/>
      <c r="AG220" s="1012"/>
      <c r="AH220" s="1012"/>
      <c r="AI220" s="1012"/>
      <c r="AJ220" s="1012"/>
      <c r="AK220" s="995"/>
      <c r="AL220" s="994"/>
      <c r="AM220" s="994"/>
      <c r="AN220" s="994"/>
      <c r="AO220" s="1012"/>
      <c r="AP220" s="1114"/>
      <c r="AQ220" s="1012"/>
      <c r="AR220" s="1012"/>
      <c r="AS220" s="1012"/>
      <c r="AT220" s="1012"/>
      <c r="AU220" s="1012"/>
      <c r="AV220" s="1012"/>
      <c r="AW220" s="1012"/>
      <c r="AX220" s="1012"/>
      <c r="AY220" s="1012"/>
      <c r="AZ220" s="1012"/>
      <c r="BA220" s="1012"/>
      <c r="BB220" s="1012"/>
      <c r="BC220" s="1012"/>
      <c r="BD220" s="1012"/>
      <c r="BE220" s="1012"/>
      <c r="BF220" s="1012"/>
      <c r="BG220" s="1012"/>
      <c r="BH220" s="1012"/>
      <c r="BI220" s="1012"/>
      <c r="BJ220" s="1012"/>
    </row>
    <row r="221" ht="11.25" customHeight="1">
      <c r="A221" s="994"/>
      <c r="B221" s="994"/>
      <c r="C221" s="994"/>
      <c r="D221" s="1012"/>
      <c r="E221" s="995"/>
      <c r="F221" s="1012"/>
      <c r="G221" s="1012"/>
      <c r="H221" s="1012"/>
      <c r="I221" s="1012"/>
      <c r="J221" s="1012"/>
      <c r="K221" s="1012"/>
      <c r="L221" s="1012"/>
      <c r="M221" s="1012"/>
      <c r="N221" s="1012"/>
      <c r="O221" s="1012"/>
      <c r="P221" s="1012"/>
      <c r="Q221" s="1012"/>
      <c r="R221" s="1012"/>
      <c r="S221" s="1012"/>
      <c r="T221" s="1012"/>
      <c r="U221" s="1012"/>
      <c r="V221" s="1012"/>
      <c r="W221" s="1012"/>
      <c r="X221" s="1012"/>
      <c r="Y221" s="1012"/>
      <c r="Z221" s="1012"/>
      <c r="AA221" s="1012"/>
      <c r="AB221" s="1012"/>
      <c r="AC221" s="1012"/>
      <c r="AD221" s="1012"/>
      <c r="AE221" s="1012"/>
      <c r="AF221" s="1012"/>
      <c r="AG221" s="1012"/>
      <c r="AH221" s="1012"/>
      <c r="AI221" s="1012"/>
      <c r="AJ221" s="1012"/>
      <c r="AK221" s="995"/>
      <c r="AL221" s="994"/>
      <c r="AM221" s="994"/>
      <c r="AN221" s="994"/>
      <c r="AO221" s="1012"/>
      <c r="AP221" s="1114"/>
      <c r="AQ221" s="1012"/>
      <c r="AR221" s="1012"/>
      <c r="AS221" s="1012"/>
      <c r="AT221" s="1012"/>
      <c r="AU221" s="1012"/>
      <c r="AV221" s="1012"/>
      <c r="AW221" s="1012"/>
      <c r="AX221" s="1012"/>
      <c r="AY221" s="1012"/>
      <c r="AZ221" s="1012"/>
      <c r="BA221" s="1012"/>
      <c r="BB221" s="1012"/>
      <c r="BC221" s="1012"/>
      <c r="BD221" s="1012"/>
      <c r="BE221" s="1012"/>
      <c r="BF221" s="1012"/>
      <c r="BG221" s="1012"/>
      <c r="BH221" s="1012"/>
      <c r="BI221" s="1012"/>
      <c r="BJ221" s="1012"/>
    </row>
    <row r="222" ht="11.25" customHeight="1">
      <c r="A222" s="994"/>
      <c r="B222" s="994"/>
      <c r="C222" s="994"/>
      <c r="D222" s="1012"/>
      <c r="E222" s="995"/>
      <c r="F222" s="1012"/>
      <c r="G222" s="1012"/>
      <c r="H222" s="1012"/>
      <c r="I222" s="1012"/>
      <c r="J222" s="1012"/>
      <c r="K222" s="1012"/>
      <c r="L222" s="1012"/>
      <c r="M222" s="1012"/>
      <c r="N222" s="1012"/>
      <c r="O222" s="1012"/>
      <c r="P222" s="1012"/>
      <c r="Q222" s="1012"/>
      <c r="R222" s="1012"/>
      <c r="S222" s="1012"/>
      <c r="T222" s="1012"/>
      <c r="U222" s="1012"/>
      <c r="V222" s="1012"/>
      <c r="W222" s="1012"/>
      <c r="X222" s="1012"/>
      <c r="Y222" s="1012"/>
      <c r="Z222" s="1012"/>
      <c r="AA222" s="1012"/>
      <c r="AB222" s="1012"/>
      <c r="AC222" s="1012"/>
      <c r="AD222" s="1012"/>
      <c r="AE222" s="1012"/>
      <c r="AF222" s="1012"/>
      <c r="AG222" s="1012"/>
      <c r="AH222" s="1012"/>
      <c r="AI222" s="1012"/>
      <c r="AJ222" s="1012"/>
      <c r="AK222" s="995"/>
      <c r="AL222" s="994"/>
      <c r="AM222" s="994"/>
      <c r="AN222" s="994"/>
      <c r="AO222" s="1012"/>
      <c r="AP222" s="1114"/>
      <c r="AQ222" s="1012"/>
      <c r="AR222" s="1012"/>
      <c r="AS222" s="1012"/>
      <c r="AT222" s="1012"/>
      <c r="AU222" s="1012"/>
      <c r="AV222" s="1012"/>
      <c r="AW222" s="1012"/>
      <c r="AX222" s="1012"/>
      <c r="AY222" s="1012"/>
      <c r="AZ222" s="1012"/>
      <c r="BA222" s="1012"/>
      <c r="BB222" s="1012"/>
      <c r="BC222" s="1012"/>
      <c r="BD222" s="1012"/>
      <c r="BE222" s="1012"/>
      <c r="BF222" s="1012"/>
      <c r="BG222" s="1012"/>
      <c r="BH222" s="1012"/>
      <c r="BI222" s="1012"/>
      <c r="BJ222" s="1012"/>
    </row>
    <row r="223" ht="11.25" customHeight="1">
      <c r="A223" s="994"/>
      <c r="B223" s="994"/>
      <c r="C223" s="994"/>
      <c r="D223" s="1012"/>
      <c r="E223" s="995"/>
      <c r="F223" s="1012"/>
      <c r="G223" s="1012"/>
      <c r="H223" s="1012"/>
      <c r="I223" s="1012"/>
      <c r="J223" s="1012"/>
      <c r="K223" s="1012"/>
      <c r="L223" s="1012"/>
      <c r="M223" s="1012"/>
      <c r="N223" s="1012"/>
      <c r="O223" s="1012"/>
      <c r="P223" s="1012"/>
      <c r="Q223" s="1012"/>
      <c r="R223" s="1012"/>
      <c r="S223" s="1012"/>
      <c r="T223" s="1012"/>
      <c r="U223" s="1012"/>
      <c r="V223" s="1012"/>
      <c r="W223" s="1012"/>
      <c r="X223" s="1012"/>
      <c r="Y223" s="1012"/>
      <c r="Z223" s="1012"/>
      <c r="AA223" s="1012"/>
      <c r="AB223" s="1012"/>
      <c r="AC223" s="1012"/>
      <c r="AD223" s="1012"/>
      <c r="AE223" s="1012"/>
      <c r="AF223" s="1012"/>
      <c r="AG223" s="1012"/>
      <c r="AH223" s="1012"/>
      <c r="AI223" s="1012"/>
      <c r="AJ223" s="1012"/>
      <c r="AK223" s="995"/>
      <c r="AL223" s="994"/>
      <c r="AM223" s="994"/>
      <c r="AN223" s="994"/>
      <c r="AO223" s="1012"/>
      <c r="AP223" s="1114"/>
      <c r="AQ223" s="1012"/>
      <c r="AR223" s="1012"/>
      <c r="AS223" s="1012"/>
      <c r="AT223" s="1012"/>
      <c r="AU223" s="1012"/>
      <c r="AV223" s="1012"/>
      <c r="AW223" s="1012"/>
      <c r="AX223" s="1012"/>
      <c r="AY223" s="1012"/>
      <c r="AZ223" s="1012"/>
      <c r="BA223" s="1012"/>
      <c r="BB223" s="1012"/>
      <c r="BC223" s="1012"/>
      <c r="BD223" s="1012"/>
      <c r="BE223" s="1012"/>
      <c r="BF223" s="1012"/>
      <c r="BG223" s="1012"/>
      <c r="BH223" s="1012"/>
      <c r="BI223" s="1012"/>
      <c r="BJ223" s="1012"/>
    </row>
    <row r="224" ht="11.25" customHeight="1">
      <c r="A224" s="994"/>
      <c r="B224" s="994"/>
      <c r="C224" s="994"/>
      <c r="D224" s="1012"/>
      <c r="E224" s="995"/>
      <c r="F224" s="1012"/>
      <c r="G224" s="1012"/>
      <c r="H224" s="1012"/>
      <c r="I224" s="1012"/>
      <c r="J224" s="1012"/>
      <c r="K224" s="1012"/>
      <c r="L224" s="1012"/>
      <c r="M224" s="1012"/>
      <c r="N224" s="1012"/>
      <c r="O224" s="1012"/>
      <c r="P224" s="1012"/>
      <c r="Q224" s="1012"/>
      <c r="R224" s="1012"/>
      <c r="S224" s="1012"/>
      <c r="T224" s="1012"/>
      <c r="U224" s="1012"/>
      <c r="V224" s="1012"/>
      <c r="W224" s="1012"/>
      <c r="X224" s="1012"/>
      <c r="Y224" s="1012"/>
      <c r="Z224" s="1012"/>
      <c r="AA224" s="1012"/>
      <c r="AB224" s="1012"/>
      <c r="AC224" s="1012"/>
      <c r="AD224" s="1012"/>
      <c r="AE224" s="1012"/>
      <c r="AF224" s="1012"/>
      <c r="AG224" s="1012"/>
      <c r="AH224" s="1012"/>
      <c r="AI224" s="1012"/>
      <c r="AJ224" s="1012"/>
      <c r="AK224" s="995"/>
      <c r="AL224" s="994"/>
      <c r="AM224" s="994"/>
      <c r="AN224" s="994"/>
      <c r="AO224" s="1012"/>
      <c r="AP224" s="1114"/>
      <c r="AQ224" s="1012"/>
      <c r="AR224" s="1012"/>
      <c r="AS224" s="1012"/>
      <c r="AT224" s="1012"/>
      <c r="AU224" s="1012"/>
      <c r="AV224" s="1012"/>
      <c r="AW224" s="1012"/>
      <c r="AX224" s="1012"/>
      <c r="AY224" s="1012"/>
      <c r="AZ224" s="1012"/>
      <c r="BA224" s="1012"/>
      <c r="BB224" s="1012"/>
      <c r="BC224" s="1012"/>
      <c r="BD224" s="1012"/>
      <c r="BE224" s="1012"/>
      <c r="BF224" s="1012"/>
      <c r="BG224" s="1012"/>
      <c r="BH224" s="1012"/>
      <c r="BI224" s="1012"/>
      <c r="BJ224" s="1012"/>
    </row>
    <row r="225" ht="11.25" customHeight="1">
      <c r="A225" s="994"/>
      <c r="B225" s="994"/>
      <c r="C225" s="994"/>
      <c r="D225" s="1012"/>
      <c r="E225" s="995"/>
      <c r="F225" s="1012"/>
      <c r="G225" s="1012"/>
      <c r="H225" s="1012"/>
      <c r="I225" s="1012"/>
      <c r="J225" s="1012"/>
      <c r="K225" s="1012"/>
      <c r="L225" s="1012"/>
      <c r="M225" s="1012"/>
      <c r="N225" s="1012"/>
      <c r="O225" s="1012"/>
      <c r="P225" s="1012"/>
      <c r="Q225" s="1012"/>
      <c r="R225" s="1012"/>
      <c r="S225" s="1012"/>
      <c r="T225" s="1012"/>
      <c r="U225" s="1012"/>
      <c r="V225" s="1012"/>
      <c r="W225" s="1012"/>
      <c r="X225" s="1012"/>
      <c r="Y225" s="1012"/>
      <c r="Z225" s="1012"/>
      <c r="AA225" s="1012"/>
      <c r="AB225" s="1012"/>
      <c r="AC225" s="1012"/>
      <c r="AD225" s="1012"/>
      <c r="AE225" s="1012"/>
      <c r="AF225" s="1012"/>
      <c r="AG225" s="1012"/>
      <c r="AH225" s="1012"/>
      <c r="AI225" s="1012"/>
      <c r="AJ225" s="1012"/>
      <c r="AK225" s="995"/>
      <c r="AL225" s="994"/>
      <c r="AM225" s="994"/>
      <c r="AN225" s="994"/>
      <c r="AO225" s="1012"/>
      <c r="AP225" s="1114"/>
      <c r="AQ225" s="1012"/>
      <c r="AR225" s="1012"/>
      <c r="AS225" s="1012"/>
      <c r="AT225" s="1012"/>
      <c r="AU225" s="1012"/>
      <c r="AV225" s="1012"/>
      <c r="AW225" s="1012"/>
      <c r="AX225" s="1012"/>
      <c r="AY225" s="1012"/>
      <c r="AZ225" s="1012"/>
      <c r="BA225" s="1012"/>
      <c r="BB225" s="1012"/>
      <c r="BC225" s="1012"/>
      <c r="BD225" s="1012"/>
      <c r="BE225" s="1012"/>
      <c r="BF225" s="1012"/>
      <c r="BG225" s="1012"/>
      <c r="BH225" s="1012"/>
      <c r="BI225" s="1012"/>
      <c r="BJ225" s="1012"/>
    </row>
    <row r="226" ht="11.25" customHeight="1">
      <c r="A226" s="994"/>
      <c r="B226" s="994"/>
      <c r="C226" s="994"/>
      <c r="D226" s="1012"/>
      <c r="E226" s="995"/>
      <c r="F226" s="1012"/>
      <c r="G226" s="1012"/>
      <c r="H226" s="1012"/>
      <c r="I226" s="1012"/>
      <c r="J226" s="1012"/>
      <c r="K226" s="1012"/>
      <c r="L226" s="1012"/>
      <c r="M226" s="1012"/>
      <c r="N226" s="1012"/>
      <c r="O226" s="1012"/>
      <c r="P226" s="1012"/>
      <c r="Q226" s="1012"/>
      <c r="R226" s="1012"/>
      <c r="S226" s="1012"/>
      <c r="T226" s="1012"/>
      <c r="U226" s="1012"/>
      <c r="V226" s="1012"/>
      <c r="W226" s="1012"/>
      <c r="X226" s="1012"/>
      <c r="Y226" s="1012"/>
      <c r="Z226" s="1012"/>
      <c r="AA226" s="1012"/>
      <c r="AB226" s="1012"/>
      <c r="AC226" s="1012"/>
      <c r="AD226" s="1012"/>
      <c r="AE226" s="1012"/>
      <c r="AF226" s="1012"/>
      <c r="AG226" s="1012"/>
      <c r="AH226" s="1012"/>
      <c r="AI226" s="1012"/>
      <c r="AJ226" s="1012"/>
      <c r="AK226" s="995"/>
      <c r="AL226" s="994"/>
      <c r="AM226" s="994"/>
      <c r="AN226" s="994"/>
      <c r="AO226" s="1012"/>
      <c r="AP226" s="1114"/>
      <c r="AQ226" s="1012"/>
      <c r="AR226" s="1012"/>
      <c r="AS226" s="1012"/>
      <c r="AT226" s="1012"/>
      <c r="AU226" s="1012"/>
      <c r="AV226" s="1012"/>
      <c r="AW226" s="1012"/>
      <c r="AX226" s="1012"/>
      <c r="AY226" s="1012"/>
      <c r="AZ226" s="1012"/>
      <c r="BA226" s="1012"/>
      <c r="BB226" s="1012"/>
      <c r="BC226" s="1012"/>
      <c r="BD226" s="1012"/>
      <c r="BE226" s="1012"/>
      <c r="BF226" s="1012"/>
      <c r="BG226" s="1012"/>
      <c r="BH226" s="1012"/>
      <c r="BI226" s="1012"/>
      <c r="BJ226" s="1012"/>
    </row>
    <row r="227" ht="11.25" customHeight="1">
      <c r="A227" s="994"/>
      <c r="B227" s="994"/>
      <c r="C227" s="994"/>
      <c r="D227" s="1012"/>
      <c r="E227" s="995"/>
      <c r="F227" s="1012"/>
      <c r="G227" s="1012"/>
      <c r="H227" s="1012"/>
      <c r="I227" s="1012"/>
      <c r="J227" s="1012"/>
      <c r="K227" s="1012"/>
      <c r="L227" s="1012"/>
      <c r="M227" s="1012"/>
      <c r="N227" s="1012"/>
      <c r="O227" s="1012"/>
      <c r="P227" s="1012"/>
      <c r="Q227" s="1012"/>
      <c r="R227" s="1012"/>
      <c r="S227" s="1012"/>
      <c r="T227" s="1012"/>
      <c r="U227" s="1012"/>
      <c r="V227" s="1012"/>
      <c r="W227" s="1012"/>
      <c r="X227" s="1012"/>
      <c r="Y227" s="1012"/>
      <c r="Z227" s="1012"/>
      <c r="AA227" s="1012"/>
      <c r="AB227" s="1012"/>
      <c r="AC227" s="1012"/>
      <c r="AD227" s="1012"/>
      <c r="AE227" s="1012"/>
      <c r="AF227" s="1012"/>
      <c r="AG227" s="1012"/>
      <c r="AH227" s="1012"/>
      <c r="AI227" s="1012"/>
      <c r="AJ227" s="1012"/>
      <c r="AK227" s="995"/>
      <c r="AL227" s="994"/>
      <c r="AM227" s="994"/>
      <c r="AN227" s="994"/>
      <c r="AO227" s="1012"/>
      <c r="AP227" s="1114"/>
      <c r="AQ227" s="1012"/>
      <c r="AR227" s="1012"/>
      <c r="AS227" s="1012"/>
      <c r="AT227" s="1012"/>
      <c r="AU227" s="1012"/>
      <c r="AV227" s="1012"/>
      <c r="AW227" s="1012"/>
      <c r="AX227" s="1012"/>
      <c r="AY227" s="1012"/>
      <c r="AZ227" s="1012"/>
      <c r="BA227" s="1012"/>
      <c r="BB227" s="1012"/>
      <c r="BC227" s="1012"/>
      <c r="BD227" s="1012"/>
      <c r="BE227" s="1012"/>
      <c r="BF227" s="1012"/>
      <c r="BG227" s="1012"/>
      <c r="BH227" s="1012"/>
      <c r="BI227" s="1012"/>
      <c r="BJ227" s="1012"/>
    </row>
    <row r="228" ht="11.25" customHeight="1">
      <c r="A228" s="994"/>
      <c r="B228" s="994"/>
      <c r="C228" s="994"/>
      <c r="D228" s="1012"/>
      <c r="E228" s="995"/>
      <c r="F228" s="1012"/>
      <c r="G228" s="1012"/>
      <c r="H228" s="1012"/>
      <c r="I228" s="1012"/>
      <c r="J228" s="1012"/>
      <c r="K228" s="1012"/>
      <c r="L228" s="1012"/>
      <c r="M228" s="1012"/>
      <c r="N228" s="1012"/>
      <c r="O228" s="1012"/>
      <c r="P228" s="1012"/>
      <c r="Q228" s="1012"/>
      <c r="R228" s="1012"/>
      <c r="S228" s="1012"/>
      <c r="T228" s="1012"/>
      <c r="U228" s="1012"/>
      <c r="V228" s="1012"/>
      <c r="W228" s="1012"/>
      <c r="X228" s="1012"/>
      <c r="Y228" s="1012"/>
      <c r="Z228" s="1012"/>
      <c r="AA228" s="1012"/>
      <c r="AB228" s="1012"/>
      <c r="AC228" s="1012"/>
      <c r="AD228" s="1012"/>
      <c r="AE228" s="1012"/>
      <c r="AF228" s="1012"/>
      <c r="AG228" s="1012"/>
      <c r="AH228" s="1012"/>
      <c r="AI228" s="1012"/>
      <c r="AJ228" s="1012"/>
      <c r="AK228" s="995"/>
      <c r="AL228" s="994"/>
      <c r="AM228" s="994"/>
      <c r="AN228" s="994"/>
      <c r="AO228" s="1012"/>
      <c r="AP228" s="1114"/>
      <c r="AQ228" s="1012"/>
      <c r="AR228" s="1012"/>
      <c r="AS228" s="1012"/>
      <c r="AT228" s="1012"/>
      <c r="AU228" s="1012"/>
      <c r="AV228" s="1012"/>
      <c r="AW228" s="1012"/>
      <c r="AX228" s="1012"/>
      <c r="AY228" s="1012"/>
      <c r="AZ228" s="1012"/>
      <c r="BA228" s="1012"/>
      <c r="BB228" s="1012"/>
      <c r="BC228" s="1012"/>
      <c r="BD228" s="1012"/>
      <c r="BE228" s="1012"/>
      <c r="BF228" s="1012"/>
      <c r="BG228" s="1012"/>
      <c r="BH228" s="1012"/>
      <c r="BI228" s="1012"/>
      <c r="BJ228" s="1012"/>
    </row>
    <row r="229" ht="11.25" customHeight="1">
      <c r="A229" s="994"/>
      <c r="B229" s="994"/>
      <c r="C229" s="994"/>
      <c r="D229" s="1012"/>
      <c r="E229" s="995"/>
      <c r="F229" s="1012"/>
      <c r="G229" s="1012"/>
      <c r="H229" s="1012"/>
      <c r="I229" s="1012"/>
      <c r="J229" s="1012"/>
      <c r="K229" s="1012"/>
      <c r="L229" s="1012"/>
      <c r="M229" s="1012"/>
      <c r="N229" s="1012"/>
      <c r="O229" s="1012"/>
      <c r="P229" s="1012"/>
      <c r="Q229" s="1012"/>
      <c r="R229" s="1012"/>
      <c r="S229" s="1012"/>
      <c r="T229" s="1012"/>
      <c r="U229" s="1012"/>
      <c r="V229" s="1012"/>
      <c r="W229" s="1012"/>
      <c r="X229" s="1012"/>
      <c r="Y229" s="1012"/>
      <c r="Z229" s="1012"/>
      <c r="AA229" s="1012"/>
      <c r="AB229" s="1012"/>
      <c r="AC229" s="1012"/>
      <c r="AD229" s="1012"/>
      <c r="AE229" s="1012"/>
      <c r="AF229" s="1012"/>
      <c r="AG229" s="1012"/>
      <c r="AH229" s="1012"/>
      <c r="AI229" s="1012"/>
      <c r="AJ229" s="1012"/>
      <c r="AK229" s="995"/>
      <c r="AL229" s="994"/>
      <c r="AM229" s="994"/>
      <c r="AN229" s="994"/>
      <c r="AO229" s="1012"/>
      <c r="AP229" s="1114"/>
      <c r="AQ229" s="1012"/>
      <c r="AR229" s="1012"/>
      <c r="AS229" s="1012"/>
      <c r="AT229" s="1012"/>
      <c r="AU229" s="1012"/>
      <c r="AV229" s="1012"/>
      <c r="AW229" s="1012"/>
      <c r="AX229" s="1012"/>
      <c r="AY229" s="1012"/>
      <c r="AZ229" s="1012"/>
      <c r="BA229" s="1012"/>
      <c r="BB229" s="1012"/>
      <c r="BC229" s="1012"/>
      <c r="BD229" s="1012"/>
      <c r="BE229" s="1012"/>
      <c r="BF229" s="1012"/>
      <c r="BG229" s="1012"/>
      <c r="BH229" s="1012"/>
      <c r="BI229" s="1012"/>
      <c r="BJ229" s="1012"/>
    </row>
    <row r="230" ht="11.25" customHeight="1">
      <c r="A230" s="994"/>
      <c r="B230" s="994"/>
      <c r="C230" s="994"/>
      <c r="D230" s="1012"/>
      <c r="E230" s="995"/>
      <c r="F230" s="1012"/>
      <c r="G230" s="1012"/>
      <c r="H230" s="1012"/>
      <c r="I230" s="1012"/>
      <c r="J230" s="1012"/>
      <c r="K230" s="1012"/>
      <c r="L230" s="1012"/>
      <c r="M230" s="1012"/>
      <c r="N230" s="1012"/>
      <c r="O230" s="1012"/>
      <c r="P230" s="1012"/>
      <c r="Q230" s="1012"/>
      <c r="R230" s="1012"/>
      <c r="S230" s="1012"/>
      <c r="T230" s="1012"/>
      <c r="U230" s="1012"/>
      <c r="V230" s="1012"/>
      <c r="W230" s="1012"/>
      <c r="X230" s="1012"/>
      <c r="Y230" s="1012"/>
      <c r="Z230" s="1012"/>
      <c r="AA230" s="1012"/>
      <c r="AB230" s="1012"/>
      <c r="AC230" s="1012"/>
      <c r="AD230" s="1012"/>
      <c r="AE230" s="1012"/>
      <c r="AF230" s="1012"/>
      <c r="AG230" s="1012"/>
      <c r="AH230" s="1012"/>
      <c r="AI230" s="1012"/>
      <c r="AJ230" s="1012"/>
      <c r="AK230" s="995"/>
      <c r="AL230" s="994"/>
      <c r="AM230" s="994"/>
      <c r="AN230" s="994"/>
      <c r="AO230" s="1012"/>
      <c r="AP230" s="1114"/>
      <c r="AQ230" s="1012"/>
      <c r="AR230" s="1012"/>
      <c r="AS230" s="1012"/>
      <c r="AT230" s="1012"/>
      <c r="AU230" s="1012"/>
      <c r="AV230" s="1012"/>
      <c r="AW230" s="1012"/>
      <c r="AX230" s="1012"/>
      <c r="AY230" s="1012"/>
      <c r="AZ230" s="1012"/>
      <c r="BA230" s="1012"/>
      <c r="BB230" s="1012"/>
      <c r="BC230" s="1012"/>
      <c r="BD230" s="1012"/>
      <c r="BE230" s="1012"/>
      <c r="BF230" s="1012"/>
      <c r="BG230" s="1012"/>
      <c r="BH230" s="1012"/>
      <c r="BI230" s="1012"/>
      <c r="BJ230" s="1012"/>
    </row>
    <row r="231" ht="11.25" customHeight="1">
      <c r="A231" s="994"/>
      <c r="B231" s="994"/>
      <c r="C231" s="994"/>
      <c r="D231" s="1012"/>
      <c r="E231" s="995"/>
      <c r="F231" s="1012"/>
      <c r="G231" s="1012"/>
      <c r="H231" s="1012"/>
      <c r="I231" s="1012"/>
      <c r="J231" s="1012"/>
      <c r="K231" s="1012"/>
      <c r="L231" s="1012"/>
      <c r="M231" s="1012"/>
      <c r="N231" s="1012"/>
      <c r="O231" s="1012"/>
      <c r="P231" s="1012"/>
      <c r="Q231" s="1012"/>
      <c r="R231" s="1012"/>
      <c r="S231" s="1012"/>
      <c r="T231" s="1012"/>
      <c r="U231" s="1012"/>
      <c r="V231" s="1012"/>
      <c r="W231" s="1012"/>
      <c r="X231" s="1012"/>
      <c r="Y231" s="1012"/>
      <c r="Z231" s="1012"/>
      <c r="AA231" s="1012"/>
      <c r="AB231" s="1012"/>
      <c r="AC231" s="1012"/>
      <c r="AD231" s="1012"/>
      <c r="AE231" s="1012"/>
      <c r="AF231" s="1012"/>
      <c r="AG231" s="1012"/>
      <c r="AH231" s="1012"/>
      <c r="AI231" s="1012"/>
      <c r="AJ231" s="1012"/>
      <c r="AK231" s="995"/>
      <c r="AL231" s="994"/>
      <c r="AM231" s="994"/>
      <c r="AN231" s="994"/>
      <c r="AO231" s="1012"/>
      <c r="AP231" s="1114"/>
      <c r="AQ231" s="1012"/>
      <c r="AR231" s="1012"/>
      <c r="AS231" s="1012"/>
      <c r="AT231" s="1012"/>
      <c r="AU231" s="1012"/>
      <c r="AV231" s="1012"/>
      <c r="AW231" s="1012"/>
      <c r="AX231" s="1012"/>
      <c r="AY231" s="1012"/>
      <c r="AZ231" s="1012"/>
      <c r="BA231" s="1012"/>
      <c r="BB231" s="1012"/>
      <c r="BC231" s="1012"/>
      <c r="BD231" s="1012"/>
      <c r="BE231" s="1012"/>
      <c r="BF231" s="1012"/>
      <c r="BG231" s="1012"/>
      <c r="BH231" s="1012"/>
      <c r="BI231" s="1012"/>
      <c r="BJ231" s="1012"/>
    </row>
    <row r="232" ht="11.25" customHeight="1">
      <c r="A232" s="994"/>
      <c r="B232" s="994"/>
      <c r="C232" s="994"/>
      <c r="D232" s="1012"/>
      <c r="E232" s="995"/>
      <c r="F232" s="1012"/>
      <c r="G232" s="1012"/>
      <c r="H232" s="1012"/>
      <c r="I232" s="1012"/>
      <c r="J232" s="1012"/>
      <c r="K232" s="1012"/>
      <c r="L232" s="1012"/>
      <c r="M232" s="1012"/>
      <c r="N232" s="1012"/>
      <c r="O232" s="1012"/>
      <c r="P232" s="1012"/>
      <c r="Q232" s="1012"/>
      <c r="R232" s="1012"/>
      <c r="S232" s="1012"/>
      <c r="T232" s="1012"/>
      <c r="U232" s="1012"/>
      <c r="V232" s="1012"/>
      <c r="W232" s="1012"/>
      <c r="X232" s="1012"/>
      <c r="Y232" s="1012"/>
      <c r="Z232" s="1012"/>
      <c r="AA232" s="1012"/>
      <c r="AB232" s="1012"/>
      <c r="AC232" s="1012"/>
      <c r="AD232" s="1012"/>
      <c r="AE232" s="1012"/>
      <c r="AF232" s="1012"/>
      <c r="AG232" s="1012"/>
      <c r="AH232" s="1012"/>
      <c r="AI232" s="1012"/>
      <c r="AJ232" s="1012"/>
      <c r="AK232" s="995"/>
      <c r="AL232" s="994"/>
      <c r="AM232" s="994"/>
      <c r="AN232" s="994"/>
      <c r="AO232" s="1012"/>
      <c r="AP232" s="1114"/>
      <c r="AQ232" s="1012"/>
      <c r="AR232" s="1012"/>
      <c r="AS232" s="1012"/>
      <c r="AT232" s="1012"/>
      <c r="AU232" s="1012"/>
      <c r="AV232" s="1012"/>
      <c r="AW232" s="1012"/>
      <c r="AX232" s="1012"/>
      <c r="AY232" s="1012"/>
      <c r="AZ232" s="1012"/>
      <c r="BA232" s="1012"/>
      <c r="BB232" s="1012"/>
      <c r="BC232" s="1012"/>
      <c r="BD232" s="1012"/>
      <c r="BE232" s="1012"/>
      <c r="BF232" s="1012"/>
      <c r="BG232" s="1012"/>
      <c r="BH232" s="1012"/>
      <c r="BI232" s="1012"/>
      <c r="BJ232" s="1012"/>
    </row>
    <row r="233" ht="11.25" customHeight="1">
      <c r="A233" s="994"/>
      <c r="B233" s="994"/>
      <c r="C233" s="994"/>
      <c r="D233" s="1012"/>
      <c r="E233" s="995"/>
      <c r="F233" s="1012"/>
      <c r="G233" s="1012"/>
      <c r="H233" s="1012"/>
      <c r="I233" s="1012"/>
      <c r="J233" s="1012"/>
      <c r="K233" s="1012"/>
      <c r="L233" s="1012"/>
      <c r="M233" s="1012"/>
      <c r="N233" s="1012"/>
      <c r="O233" s="1012"/>
      <c r="P233" s="1012"/>
      <c r="Q233" s="1012"/>
      <c r="R233" s="1012"/>
      <c r="S233" s="1012"/>
      <c r="T233" s="1012"/>
      <c r="U233" s="1012"/>
      <c r="V233" s="1012"/>
      <c r="W233" s="1012"/>
      <c r="X233" s="1012"/>
      <c r="Y233" s="1012"/>
      <c r="Z233" s="1012"/>
      <c r="AA233" s="1012"/>
      <c r="AB233" s="1012"/>
      <c r="AC233" s="1012"/>
      <c r="AD233" s="1012"/>
      <c r="AE233" s="1012"/>
      <c r="AF233" s="1012"/>
      <c r="AG233" s="1012"/>
      <c r="AH233" s="1012"/>
      <c r="AI233" s="1012"/>
      <c r="AJ233" s="1012"/>
      <c r="AK233" s="995"/>
      <c r="AL233" s="994"/>
      <c r="AM233" s="994"/>
      <c r="AN233" s="994"/>
      <c r="AO233" s="1012"/>
      <c r="AP233" s="1114"/>
      <c r="AQ233" s="1012"/>
      <c r="AR233" s="1012"/>
      <c r="AS233" s="1012"/>
      <c r="AT233" s="1012"/>
      <c r="AU233" s="1012"/>
      <c r="AV233" s="1012"/>
      <c r="AW233" s="1012"/>
      <c r="AX233" s="1012"/>
      <c r="AY233" s="1012"/>
      <c r="AZ233" s="1012"/>
      <c r="BA233" s="1012"/>
      <c r="BB233" s="1012"/>
      <c r="BC233" s="1012"/>
      <c r="BD233" s="1012"/>
      <c r="BE233" s="1012"/>
      <c r="BF233" s="1012"/>
      <c r="BG233" s="1012"/>
      <c r="BH233" s="1012"/>
      <c r="BI233" s="1012"/>
      <c r="BJ233" s="1012"/>
    </row>
    <row r="234" ht="11.25" customHeight="1">
      <c r="A234" s="994"/>
      <c r="B234" s="994"/>
      <c r="C234" s="994"/>
      <c r="D234" s="1012"/>
      <c r="E234" s="995"/>
      <c r="F234" s="1012"/>
      <c r="G234" s="1012"/>
      <c r="H234" s="1012"/>
      <c r="I234" s="1012"/>
      <c r="J234" s="1012"/>
      <c r="K234" s="1012"/>
      <c r="L234" s="1012"/>
      <c r="M234" s="1012"/>
      <c r="N234" s="1012"/>
      <c r="O234" s="1012"/>
      <c r="P234" s="1012"/>
      <c r="Q234" s="1012"/>
      <c r="R234" s="1012"/>
      <c r="S234" s="1012"/>
      <c r="T234" s="1012"/>
      <c r="U234" s="1012"/>
      <c r="V234" s="1012"/>
      <c r="W234" s="1012"/>
      <c r="X234" s="1012"/>
      <c r="Y234" s="1012"/>
      <c r="Z234" s="1012"/>
      <c r="AA234" s="1012"/>
      <c r="AB234" s="1012"/>
      <c r="AC234" s="1012"/>
      <c r="AD234" s="1012"/>
      <c r="AE234" s="1012"/>
      <c r="AF234" s="1012"/>
      <c r="AG234" s="1012"/>
      <c r="AH234" s="1012"/>
      <c r="AI234" s="1012"/>
      <c r="AJ234" s="1012"/>
      <c r="AK234" s="995"/>
      <c r="AL234" s="994"/>
      <c r="AM234" s="994"/>
      <c r="AN234" s="994"/>
      <c r="AO234" s="1012"/>
      <c r="AP234" s="1114"/>
      <c r="AQ234" s="1012"/>
      <c r="AR234" s="1012"/>
      <c r="AS234" s="1012"/>
      <c r="AT234" s="1012"/>
      <c r="AU234" s="1012"/>
      <c r="AV234" s="1012"/>
      <c r="AW234" s="1012"/>
      <c r="AX234" s="1012"/>
      <c r="AY234" s="1012"/>
      <c r="AZ234" s="1012"/>
      <c r="BA234" s="1012"/>
      <c r="BB234" s="1012"/>
      <c r="BC234" s="1012"/>
      <c r="BD234" s="1012"/>
      <c r="BE234" s="1012"/>
      <c r="BF234" s="1012"/>
      <c r="BG234" s="1012"/>
      <c r="BH234" s="1012"/>
      <c r="BI234" s="1012"/>
      <c r="BJ234" s="1012"/>
    </row>
    <row r="235" ht="11.25" customHeight="1">
      <c r="A235" s="994"/>
      <c r="B235" s="994"/>
      <c r="C235" s="994"/>
      <c r="D235" s="1012"/>
      <c r="E235" s="995"/>
      <c r="F235" s="1012"/>
      <c r="G235" s="1012"/>
      <c r="H235" s="1012"/>
      <c r="I235" s="1012"/>
      <c r="J235" s="1012"/>
      <c r="K235" s="1012"/>
      <c r="L235" s="1012"/>
      <c r="M235" s="1012"/>
      <c r="N235" s="1012"/>
      <c r="O235" s="1012"/>
      <c r="P235" s="1012"/>
      <c r="Q235" s="1012"/>
      <c r="R235" s="1012"/>
      <c r="S235" s="1012"/>
      <c r="T235" s="1012"/>
      <c r="U235" s="1012"/>
      <c r="V235" s="1012"/>
      <c r="W235" s="1012"/>
      <c r="X235" s="1012"/>
      <c r="Y235" s="1012"/>
      <c r="Z235" s="1012"/>
      <c r="AA235" s="1012"/>
      <c r="AB235" s="1012"/>
      <c r="AC235" s="1012"/>
      <c r="AD235" s="1012"/>
      <c r="AE235" s="1012"/>
      <c r="AF235" s="1012"/>
      <c r="AG235" s="1012"/>
      <c r="AH235" s="1012"/>
      <c r="AI235" s="1012"/>
      <c r="AJ235" s="1012"/>
      <c r="AK235" s="995"/>
      <c r="AL235" s="994"/>
      <c r="AM235" s="994"/>
      <c r="AN235" s="994"/>
      <c r="AO235" s="1012"/>
      <c r="AP235" s="1114"/>
      <c r="AQ235" s="1012"/>
      <c r="AR235" s="1012"/>
      <c r="AS235" s="1012"/>
      <c r="AT235" s="1012"/>
      <c r="AU235" s="1012"/>
      <c r="AV235" s="1012"/>
      <c r="AW235" s="1012"/>
      <c r="AX235" s="1012"/>
      <c r="AY235" s="1012"/>
      <c r="AZ235" s="1012"/>
      <c r="BA235" s="1012"/>
      <c r="BB235" s="1012"/>
      <c r="BC235" s="1012"/>
      <c r="BD235" s="1012"/>
      <c r="BE235" s="1012"/>
      <c r="BF235" s="1012"/>
      <c r="BG235" s="1012"/>
      <c r="BH235" s="1012"/>
      <c r="BI235" s="1012"/>
      <c r="BJ235" s="1012"/>
    </row>
    <row r="236" ht="11.25" customHeight="1">
      <c r="A236" s="994"/>
      <c r="B236" s="994"/>
      <c r="C236" s="994"/>
      <c r="D236" s="1012"/>
      <c r="E236" s="995"/>
      <c r="F236" s="1012"/>
      <c r="G236" s="1012"/>
      <c r="H236" s="1012"/>
      <c r="I236" s="1012"/>
      <c r="J236" s="1012"/>
      <c r="K236" s="1012"/>
      <c r="L236" s="1012"/>
      <c r="M236" s="1012"/>
      <c r="N236" s="1012"/>
      <c r="O236" s="1012"/>
      <c r="P236" s="1012"/>
      <c r="Q236" s="1012"/>
      <c r="R236" s="1012"/>
      <c r="S236" s="1012"/>
      <c r="T236" s="1012"/>
      <c r="U236" s="1012"/>
      <c r="V236" s="1012"/>
      <c r="W236" s="1012"/>
      <c r="X236" s="1012"/>
      <c r="Y236" s="1012"/>
      <c r="Z236" s="1012"/>
      <c r="AA236" s="1012"/>
      <c r="AB236" s="1012"/>
      <c r="AC236" s="1012"/>
      <c r="AD236" s="1012"/>
      <c r="AE236" s="1012"/>
      <c r="AF236" s="1012"/>
      <c r="AG236" s="1012"/>
      <c r="AH236" s="1012"/>
      <c r="AI236" s="1012"/>
      <c r="AJ236" s="1012"/>
      <c r="AK236" s="995"/>
      <c r="AL236" s="994"/>
      <c r="AM236" s="994"/>
      <c r="AN236" s="994"/>
      <c r="AO236" s="1012"/>
      <c r="AP236" s="1114"/>
      <c r="AQ236" s="1012"/>
      <c r="AR236" s="1012"/>
      <c r="AS236" s="1012"/>
      <c r="AT236" s="1012"/>
      <c r="AU236" s="1012"/>
      <c r="AV236" s="1012"/>
      <c r="AW236" s="1012"/>
      <c r="AX236" s="1012"/>
      <c r="AY236" s="1012"/>
      <c r="AZ236" s="1012"/>
      <c r="BA236" s="1012"/>
      <c r="BB236" s="1012"/>
      <c r="BC236" s="1012"/>
      <c r="BD236" s="1012"/>
      <c r="BE236" s="1012"/>
      <c r="BF236" s="1012"/>
      <c r="BG236" s="1012"/>
      <c r="BH236" s="1012"/>
      <c r="BI236" s="1012"/>
      <c r="BJ236" s="1012"/>
    </row>
    <row r="237" ht="11.25" customHeight="1">
      <c r="A237" s="994"/>
      <c r="B237" s="994"/>
      <c r="C237" s="994"/>
      <c r="D237" s="1012"/>
      <c r="E237" s="995"/>
      <c r="F237" s="1012"/>
      <c r="G237" s="1012"/>
      <c r="H237" s="1012"/>
      <c r="I237" s="1012"/>
      <c r="J237" s="1012"/>
      <c r="K237" s="1012"/>
      <c r="L237" s="1012"/>
      <c r="M237" s="1012"/>
      <c r="N237" s="1012"/>
      <c r="O237" s="1012"/>
      <c r="P237" s="1012"/>
      <c r="Q237" s="1012"/>
      <c r="R237" s="1012"/>
      <c r="S237" s="1012"/>
      <c r="T237" s="1012"/>
      <c r="U237" s="1012"/>
      <c r="V237" s="1012"/>
      <c r="W237" s="1012"/>
      <c r="X237" s="1012"/>
      <c r="Y237" s="1012"/>
      <c r="Z237" s="1012"/>
      <c r="AA237" s="1012"/>
      <c r="AB237" s="1012"/>
      <c r="AC237" s="1012"/>
      <c r="AD237" s="1012"/>
      <c r="AE237" s="1012"/>
      <c r="AF237" s="1012"/>
      <c r="AG237" s="1012"/>
      <c r="AH237" s="1012"/>
      <c r="AI237" s="1012"/>
      <c r="AJ237" s="1012"/>
      <c r="AK237" s="995"/>
      <c r="AL237" s="994"/>
      <c r="AM237" s="994"/>
      <c r="AN237" s="994"/>
      <c r="AO237" s="1012"/>
      <c r="AP237" s="1114"/>
      <c r="AQ237" s="1012"/>
      <c r="AR237" s="1012"/>
      <c r="AS237" s="1012"/>
      <c r="AT237" s="1012"/>
      <c r="AU237" s="1012"/>
      <c r="AV237" s="1012"/>
      <c r="AW237" s="1012"/>
      <c r="AX237" s="1012"/>
      <c r="AY237" s="1012"/>
      <c r="AZ237" s="1012"/>
      <c r="BA237" s="1012"/>
      <c r="BB237" s="1012"/>
      <c r="BC237" s="1012"/>
      <c r="BD237" s="1012"/>
      <c r="BE237" s="1012"/>
      <c r="BF237" s="1012"/>
      <c r="BG237" s="1012"/>
      <c r="BH237" s="1012"/>
      <c r="BI237" s="1012"/>
      <c r="BJ237" s="1012"/>
    </row>
    <row r="238" ht="11.25" customHeight="1">
      <c r="A238" s="994"/>
      <c r="B238" s="994"/>
      <c r="C238" s="994"/>
      <c r="D238" s="1012"/>
      <c r="E238" s="995"/>
      <c r="F238" s="1012"/>
      <c r="G238" s="1012"/>
      <c r="H238" s="1012"/>
      <c r="I238" s="1012"/>
      <c r="J238" s="1012"/>
      <c r="K238" s="1012"/>
      <c r="L238" s="1012"/>
      <c r="M238" s="1012"/>
      <c r="N238" s="1012"/>
      <c r="O238" s="1012"/>
      <c r="P238" s="1012"/>
      <c r="Q238" s="1012"/>
      <c r="R238" s="1012"/>
      <c r="S238" s="1012"/>
      <c r="T238" s="1012"/>
      <c r="U238" s="1012"/>
      <c r="V238" s="1012"/>
      <c r="W238" s="1012"/>
      <c r="X238" s="1012"/>
      <c r="Y238" s="1012"/>
      <c r="Z238" s="1012"/>
      <c r="AA238" s="1012"/>
      <c r="AB238" s="1012"/>
      <c r="AC238" s="1012"/>
      <c r="AD238" s="1012"/>
      <c r="AE238" s="1012"/>
      <c r="AF238" s="1012"/>
      <c r="AG238" s="1012"/>
      <c r="AH238" s="1012"/>
      <c r="AI238" s="1012"/>
      <c r="AJ238" s="1012"/>
      <c r="AK238" s="995"/>
      <c r="AL238" s="994"/>
      <c r="AM238" s="994"/>
      <c r="AN238" s="994"/>
      <c r="AO238" s="1012"/>
      <c r="AP238" s="1114"/>
      <c r="AQ238" s="1012"/>
      <c r="AR238" s="1012"/>
      <c r="AS238" s="1012"/>
      <c r="AT238" s="1012"/>
      <c r="AU238" s="1012"/>
      <c r="AV238" s="1012"/>
      <c r="AW238" s="1012"/>
      <c r="AX238" s="1012"/>
      <c r="AY238" s="1012"/>
      <c r="AZ238" s="1012"/>
      <c r="BA238" s="1012"/>
      <c r="BB238" s="1012"/>
      <c r="BC238" s="1012"/>
      <c r="BD238" s="1012"/>
      <c r="BE238" s="1012"/>
      <c r="BF238" s="1012"/>
      <c r="BG238" s="1012"/>
      <c r="BH238" s="1012"/>
      <c r="BI238" s="1012"/>
      <c r="BJ238" s="1012"/>
    </row>
    <row r="239" ht="11.25" customHeight="1">
      <c r="A239" s="994"/>
      <c r="B239" s="994"/>
      <c r="C239" s="994"/>
      <c r="D239" s="1012"/>
      <c r="E239" s="995"/>
      <c r="F239" s="1012"/>
      <c r="G239" s="1012"/>
      <c r="H239" s="1012"/>
      <c r="I239" s="1012"/>
      <c r="J239" s="1012"/>
      <c r="K239" s="1012"/>
      <c r="L239" s="1012"/>
      <c r="M239" s="1012"/>
      <c r="N239" s="1012"/>
      <c r="O239" s="1012"/>
      <c r="P239" s="1012"/>
      <c r="Q239" s="1012"/>
      <c r="R239" s="1012"/>
      <c r="S239" s="1012"/>
      <c r="T239" s="1012"/>
      <c r="U239" s="1012"/>
      <c r="V239" s="1012"/>
      <c r="W239" s="1012"/>
      <c r="X239" s="1012"/>
      <c r="Y239" s="1012"/>
      <c r="Z239" s="1012"/>
      <c r="AA239" s="1012"/>
      <c r="AB239" s="1012"/>
      <c r="AC239" s="1012"/>
      <c r="AD239" s="1012"/>
      <c r="AE239" s="1012"/>
      <c r="AF239" s="1012"/>
      <c r="AG239" s="1012"/>
      <c r="AH239" s="1012"/>
      <c r="AI239" s="1012"/>
      <c r="AJ239" s="1012"/>
      <c r="AK239" s="995"/>
      <c r="AL239" s="994"/>
      <c r="AM239" s="994"/>
      <c r="AN239" s="994"/>
      <c r="AO239" s="1012"/>
      <c r="AP239" s="1114"/>
      <c r="AQ239" s="1012"/>
      <c r="AR239" s="1012"/>
      <c r="AS239" s="1012"/>
      <c r="AT239" s="1012"/>
      <c r="AU239" s="1012"/>
      <c r="AV239" s="1012"/>
      <c r="AW239" s="1012"/>
      <c r="AX239" s="1012"/>
      <c r="AY239" s="1012"/>
      <c r="AZ239" s="1012"/>
      <c r="BA239" s="1012"/>
      <c r="BB239" s="1012"/>
      <c r="BC239" s="1012"/>
      <c r="BD239" s="1012"/>
      <c r="BE239" s="1012"/>
      <c r="BF239" s="1012"/>
      <c r="BG239" s="1012"/>
      <c r="BH239" s="1012"/>
      <c r="BI239" s="1012"/>
      <c r="BJ239" s="1012"/>
    </row>
    <row r="240" ht="11.25" customHeight="1">
      <c r="A240" s="994"/>
      <c r="B240" s="994"/>
      <c r="C240" s="994"/>
      <c r="D240" s="1012"/>
      <c r="E240" s="995"/>
      <c r="F240" s="1012"/>
      <c r="G240" s="1012"/>
      <c r="H240" s="1012"/>
      <c r="I240" s="1012"/>
      <c r="J240" s="1012"/>
      <c r="K240" s="1012"/>
      <c r="L240" s="1012"/>
      <c r="M240" s="1012"/>
      <c r="N240" s="1012"/>
      <c r="O240" s="1012"/>
      <c r="P240" s="1012"/>
      <c r="Q240" s="1012"/>
      <c r="R240" s="1012"/>
      <c r="S240" s="1012"/>
      <c r="T240" s="1012"/>
      <c r="U240" s="1012"/>
      <c r="V240" s="1012"/>
      <c r="W240" s="1012"/>
      <c r="X240" s="1012"/>
      <c r="Y240" s="1012"/>
      <c r="Z240" s="1012"/>
      <c r="AA240" s="1012"/>
      <c r="AB240" s="1012"/>
      <c r="AC240" s="1012"/>
      <c r="AD240" s="1012"/>
      <c r="AE240" s="1012"/>
      <c r="AF240" s="1012"/>
      <c r="AG240" s="1012"/>
      <c r="AH240" s="1012"/>
      <c r="AI240" s="1012"/>
      <c r="AJ240" s="1012"/>
      <c r="AK240" s="995"/>
      <c r="AL240" s="994"/>
      <c r="AM240" s="994"/>
      <c r="AN240" s="994"/>
      <c r="AO240" s="1012"/>
      <c r="AP240" s="1114"/>
      <c r="AQ240" s="1012"/>
      <c r="AR240" s="1012"/>
      <c r="AS240" s="1012"/>
      <c r="AT240" s="1012"/>
      <c r="AU240" s="1012"/>
      <c r="AV240" s="1012"/>
      <c r="AW240" s="1012"/>
      <c r="AX240" s="1012"/>
      <c r="AY240" s="1012"/>
      <c r="AZ240" s="1012"/>
      <c r="BA240" s="1012"/>
      <c r="BB240" s="1012"/>
      <c r="BC240" s="1012"/>
      <c r="BD240" s="1012"/>
      <c r="BE240" s="1012"/>
      <c r="BF240" s="1012"/>
      <c r="BG240" s="1012"/>
      <c r="BH240" s="1012"/>
      <c r="BI240" s="1012"/>
      <c r="BJ240" s="1012"/>
    </row>
    <row r="241" ht="11.25" customHeight="1">
      <c r="A241" s="994"/>
      <c r="B241" s="994"/>
      <c r="C241" s="994"/>
      <c r="D241" s="1012"/>
      <c r="E241" s="995"/>
      <c r="F241" s="1012"/>
      <c r="G241" s="1012"/>
      <c r="H241" s="1012"/>
      <c r="I241" s="1012"/>
      <c r="J241" s="1012"/>
      <c r="K241" s="1012"/>
      <c r="L241" s="1012"/>
      <c r="M241" s="1012"/>
      <c r="N241" s="1012"/>
      <c r="O241" s="1012"/>
      <c r="P241" s="1012"/>
      <c r="Q241" s="1012"/>
      <c r="R241" s="1012"/>
      <c r="S241" s="1012"/>
      <c r="T241" s="1012"/>
      <c r="U241" s="1012"/>
      <c r="V241" s="1012"/>
      <c r="W241" s="1012"/>
      <c r="X241" s="1012"/>
      <c r="Y241" s="1012"/>
      <c r="Z241" s="1012"/>
      <c r="AA241" s="1012"/>
      <c r="AB241" s="1012"/>
      <c r="AC241" s="1012"/>
      <c r="AD241" s="1012"/>
      <c r="AE241" s="1012"/>
      <c r="AF241" s="1012"/>
      <c r="AG241" s="1012"/>
      <c r="AH241" s="1012"/>
      <c r="AI241" s="1012"/>
      <c r="AJ241" s="1012"/>
      <c r="AK241" s="995"/>
      <c r="AL241" s="994"/>
      <c r="AM241" s="994"/>
      <c r="AN241" s="994"/>
      <c r="AO241" s="1012"/>
      <c r="AP241" s="1114"/>
      <c r="AQ241" s="1012"/>
      <c r="AR241" s="1012"/>
      <c r="AS241" s="1012"/>
      <c r="AT241" s="1012"/>
      <c r="AU241" s="1012"/>
      <c r="AV241" s="1012"/>
      <c r="AW241" s="1012"/>
      <c r="AX241" s="1012"/>
      <c r="AY241" s="1012"/>
      <c r="AZ241" s="1012"/>
      <c r="BA241" s="1012"/>
      <c r="BB241" s="1012"/>
      <c r="BC241" s="1012"/>
      <c r="BD241" s="1012"/>
      <c r="BE241" s="1012"/>
      <c r="BF241" s="1012"/>
      <c r="BG241" s="1012"/>
      <c r="BH241" s="1012"/>
      <c r="BI241" s="1012"/>
      <c r="BJ241" s="1012"/>
    </row>
    <row r="242" ht="11.25" customHeight="1">
      <c r="A242" s="994"/>
      <c r="B242" s="994"/>
      <c r="C242" s="994"/>
      <c r="D242" s="1012"/>
      <c r="E242" s="995"/>
      <c r="F242" s="1012"/>
      <c r="G242" s="1012"/>
      <c r="H242" s="1012"/>
      <c r="I242" s="1012"/>
      <c r="J242" s="1012"/>
      <c r="K242" s="1012"/>
      <c r="L242" s="1012"/>
      <c r="M242" s="1012"/>
      <c r="N242" s="1012"/>
      <c r="O242" s="1012"/>
      <c r="P242" s="1012"/>
      <c r="Q242" s="1012"/>
      <c r="R242" s="1012"/>
      <c r="S242" s="1012"/>
      <c r="T242" s="1012"/>
      <c r="U242" s="1012"/>
      <c r="V242" s="1012"/>
      <c r="W242" s="1012"/>
      <c r="X242" s="1012"/>
      <c r="Y242" s="1012"/>
      <c r="Z242" s="1012"/>
      <c r="AA242" s="1012"/>
      <c r="AB242" s="1012"/>
      <c r="AC242" s="1012"/>
      <c r="AD242" s="1012"/>
      <c r="AE242" s="1012"/>
      <c r="AF242" s="1012"/>
      <c r="AG242" s="1012"/>
      <c r="AH242" s="1012"/>
      <c r="AI242" s="1012"/>
      <c r="AJ242" s="1012"/>
      <c r="AK242" s="995"/>
      <c r="AL242" s="994"/>
      <c r="AM242" s="994"/>
      <c r="AN242" s="994"/>
      <c r="AO242" s="1012"/>
      <c r="AP242" s="1114"/>
      <c r="AQ242" s="1012"/>
      <c r="AR242" s="1012"/>
      <c r="AS242" s="1012"/>
      <c r="AT242" s="1012"/>
      <c r="AU242" s="1012"/>
      <c r="AV242" s="1012"/>
      <c r="AW242" s="1012"/>
      <c r="AX242" s="1012"/>
      <c r="AY242" s="1012"/>
      <c r="AZ242" s="1012"/>
      <c r="BA242" s="1012"/>
      <c r="BB242" s="1012"/>
      <c r="BC242" s="1012"/>
      <c r="BD242" s="1012"/>
      <c r="BE242" s="1012"/>
      <c r="BF242" s="1012"/>
      <c r="BG242" s="1012"/>
      <c r="BH242" s="1012"/>
      <c r="BI242" s="1012"/>
      <c r="BJ242" s="1012"/>
    </row>
    <row r="243" ht="11.25" customHeight="1">
      <c r="A243" s="994"/>
      <c r="B243" s="994"/>
      <c r="C243" s="994"/>
      <c r="D243" s="1012"/>
      <c r="E243" s="995"/>
      <c r="F243" s="1012"/>
      <c r="G243" s="1012"/>
      <c r="H243" s="1012"/>
      <c r="I243" s="1012"/>
      <c r="J243" s="1012"/>
      <c r="K243" s="1012"/>
      <c r="L243" s="1012"/>
      <c r="M243" s="1012"/>
      <c r="N243" s="1012"/>
      <c r="O243" s="1012"/>
      <c r="P243" s="1012"/>
      <c r="Q243" s="1012"/>
      <c r="R243" s="1012"/>
      <c r="S243" s="1012"/>
      <c r="T243" s="1012"/>
      <c r="U243" s="1012"/>
      <c r="V243" s="1012"/>
      <c r="W243" s="1012"/>
      <c r="X243" s="1012"/>
      <c r="Y243" s="1012"/>
      <c r="Z243" s="1012"/>
      <c r="AA243" s="1012"/>
      <c r="AB243" s="1012"/>
      <c r="AC243" s="1012"/>
      <c r="AD243" s="1012"/>
      <c r="AE243" s="1012"/>
      <c r="AF243" s="1012"/>
      <c r="AG243" s="1012"/>
      <c r="AH243" s="1012"/>
      <c r="AI243" s="1012"/>
      <c r="AJ243" s="1012"/>
      <c r="AK243" s="995"/>
      <c r="AL243" s="994"/>
      <c r="AM243" s="994"/>
      <c r="AN243" s="994"/>
      <c r="AO243" s="1012"/>
      <c r="AP243" s="1114"/>
      <c r="AQ243" s="1012"/>
      <c r="AR243" s="1012"/>
      <c r="AS243" s="1012"/>
      <c r="AT243" s="1012"/>
      <c r="AU243" s="1012"/>
      <c r="AV243" s="1012"/>
      <c r="AW243" s="1012"/>
      <c r="AX243" s="1012"/>
      <c r="AY243" s="1012"/>
      <c r="AZ243" s="1012"/>
      <c r="BA243" s="1012"/>
      <c r="BB243" s="1012"/>
      <c r="BC243" s="1012"/>
      <c r="BD243" s="1012"/>
      <c r="BE243" s="1012"/>
      <c r="BF243" s="1012"/>
      <c r="BG243" s="1012"/>
      <c r="BH243" s="1012"/>
      <c r="BI243" s="1012"/>
      <c r="BJ243" s="1012"/>
    </row>
    <row r="244" ht="11.25" customHeight="1">
      <c r="A244" s="994"/>
      <c r="B244" s="994"/>
      <c r="C244" s="994"/>
      <c r="D244" s="1012"/>
      <c r="E244" s="995"/>
      <c r="F244" s="1012"/>
      <c r="G244" s="1012"/>
      <c r="H244" s="1012"/>
      <c r="I244" s="1012"/>
      <c r="J244" s="1012"/>
      <c r="K244" s="1012"/>
      <c r="L244" s="1012"/>
      <c r="M244" s="1012"/>
      <c r="N244" s="1012"/>
      <c r="O244" s="1012"/>
      <c r="P244" s="1012"/>
      <c r="Q244" s="1012"/>
      <c r="R244" s="1012"/>
      <c r="S244" s="1012"/>
      <c r="T244" s="1012"/>
      <c r="U244" s="1012"/>
      <c r="V244" s="1012"/>
      <c r="W244" s="1012"/>
      <c r="X244" s="1012"/>
      <c r="Y244" s="1012"/>
      <c r="Z244" s="1012"/>
      <c r="AA244" s="1012"/>
      <c r="AB244" s="1012"/>
      <c r="AC244" s="1012"/>
      <c r="AD244" s="1012"/>
      <c r="AE244" s="1012"/>
      <c r="AF244" s="1012"/>
      <c r="AG244" s="1012"/>
      <c r="AH244" s="1012"/>
      <c r="AI244" s="1012"/>
      <c r="AJ244" s="1012"/>
      <c r="AK244" s="995"/>
      <c r="AL244" s="994"/>
      <c r="AM244" s="994"/>
      <c r="AN244" s="994"/>
      <c r="AO244" s="1012"/>
      <c r="AP244" s="1114"/>
      <c r="AQ244" s="1012"/>
      <c r="AR244" s="1012"/>
      <c r="AS244" s="1012"/>
      <c r="AT244" s="1012"/>
      <c r="AU244" s="1012"/>
      <c r="AV244" s="1012"/>
      <c r="AW244" s="1012"/>
      <c r="AX244" s="1012"/>
      <c r="AY244" s="1012"/>
      <c r="AZ244" s="1012"/>
      <c r="BA244" s="1012"/>
      <c r="BB244" s="1012"/>
      <c r="BC244" s="1012"/>
      <c r="BD244" s="1012"/>
      <c r="BE244" s="1012"/>
      <c r="BF244" s="1012"/>
      <c r="BG244" s="1012"/>
      <c r="BH244" s="1012"/>
      <c r="BI244" s="1012"/>
      <c r="BJ244" s="1012"/>
    </row>
    <row r="245" ht="11.25" customHeight="1">
      <c r="A245" s="994"/>
      <c r="B245" s="994"/>
      <c r="C245" s="994"/>
      <c r="D245" s="1012"/>
      <c r="E245" s="995"/>
      <c r="F245" s="1012"/>
      <c r="G245" s="1012"/>
      <c r="H245" s="1012"/>
      <c r="I245" s="1012"/>
      <c r="J245" s="1012"/>
      <c r="K245" s="1012"/>
      <c r="L245" s="1012"/>
      <c r="M245" s="1012"/>
      <c r="N245" s="1012"/>
      <c r="O245" s="1012"/>
      <c r="P245" s="1012"/>
      <c r="Q245" s="1012"/>
      <c r="R245" s="1012"/>
      <c r="S245" s="1012"/>
      <c r="T245" s="1012"/>
      <c r="U245" s="1012"/>
      <c r="V245" s="1012"/>
      <c r="W245" s="1012"/>
      <c r="X245" s="1012"/>
      <c r="Y245" s="1012"/>
      <c r="Z245" s="1012"/>
      <c r="AA245" s="1012"/>
      <c r="AB245" s="1012"/>
      <c r="AC245" s="1012"/>
      <c r="AD245" s="1012"/>
      <c r="AE245" s="1012"/>
      <c r="AF245" s="1012"/>
      <c r="AG245" s="1012"/>
      <c r="AH245" s="1012"/>
      <c r="AI245" s="1012"/>
      <c r="AJ245" s="1012"/>
      <c r="AK245" s="995"/>
      <c r="AL245" s="994"/>
      <c r="AM245" s="994"/>
      <c r="AN245" s="994"/>
      <c r="AO245" s="1012"/>
      <c r="AP245" s="1114"/>
      <c r="AQ245" s="1012"/>
      <c r="AR245" s="1012"/>
      <c r="AS245" s="1012"/>
      <c r="AT245" s="1012"/>
      <c r="AU245" s="1012"/>
      <c r="AV245" s="1012"/>
      <c r="AW245" s="1012"/>
      <c r="AX245" s="1012"/>
      <c r="AY245" s="1012"/>
      <c r="AZ245" s="1012"/>
      <c r="BA245" s="1012"/>
      <c r="BB245" s="1012"/>
      <c r="BC245" s="1012"/>
      <c r="BD245" s="1012"/>
      <c r="BE245" s="1012"/>
      <c r="BF245" s="1012"/>
      <c r="BG245" s="1012"/>
      <c r="BH245" s="1012"/>
      <c r="BI245" s="1012"/>
      <c r="BJ245" s="1012"/>
    </row>
    <row r="246" ht="11.25" customHeight="1">
      <c r="A246" s="994"/>
      <c r="B246" s="994"/>
      <c r="C246" s="994"/>
      <c r="D246" s="1012"/>
      <c r="E246" s="995"/>
      <c r="F246" s="1012"/>
      <c r="G246" s="1012"/>
      <c r="H246" s="1012"/>
      <c r="I246" s="1012"/>
      <c r="J246" s="1012"/>
      <c r="K246" s="1012"/>
      <c r="L246" s="1012"/>
      <c r="M246" s="1012"/>
      <c r="N246" s="1012"/>
      <c r="O246" s="1012"/>
      <c r="P246" s="1012"/>
      <c r="Q246" s="1012"/>
      <c r="R246" s="1012"/>
      <c r="S246" s="1012"/>
      <c r="T246" s="1012"/>
      <c r="U246" s="1012"/>
      <c r="V246" s="1012"/>
      <c r="W246" s="1012"/>
      <c r="X246" s="1012"/>
      <c r="Y246" s="1012"/>
      <c r="Z246" s="1012"/>
      <c r="AA246" s="1012"/>
      <c r="AB246" s="1012"/>
      <c r="AC246" s="1012"/>
      <c r="AD246" s="1012"/>
      <c r="AE246" s="1012"/>
      <c r="AF246" s="1012"/>
      <c r="AG246" s="1012"/>
      <c r="AH246" s="1012"/>
      <c r="AI246" s="1012"/>
      <c r="AJ246" s="1012"/>
      <c r="AK246" s="995"/>
      <c r="AL246" s="994"/>
      <c r="AM246" s="994"/>
      <c r="AN246" s="994"/>
      <c r="AO246" s="1012"/>
      <c r="AP246" s="1114"/>
      <c r="AQ246" s="1012"/>
      <c r="AR246" s="1012"/>
      <c r="AS246" s="1012"/>
      <c r="AT246" s="1012"/>
      <c r="AU246" s="1012"/>
      <c r="AV246" s="1012"/>
      <c r="AW246" s="1012"/>
      <c r="AX246" s="1012"/>
      <c r="AY246" s="1012"/>
      <c r="AZ246" s="1012"/>
      <c r="BA246" s="1012"/>
      <c r="BB246" s="1012"/>
      <c r="BC246" s="1012"/>
      <c r="BD246" s="1012"/>
      <c r="BE246" s="1012"/>
      <c r="BF246" s="1012"/>
      <c r="BG246" s="1012"/>
      <c r="BH246" s="1012"/>
      <c r="BI246" s="1012"/>
      <c r="BJ246" s="1012"/>
    </row>
    <row r="247" ht="11.25" customHeight="1">
      <c r="A247" s="994"/>
      <c r="B247" s="994"/>
      <c r="C247" s="994"/>
      <c r="D247" s="1012"/>
      <c r="E247" s="995"/>
      <c r="F247" s="1012"/>
      <c r="G247" s="1012"/>
      <c r="H247" s="1012"/>
      <c r="I247" s="1012"/>
      <c r="J247" s="1012"/>
      <c r="K247" s="1012"/>
      <c r="L247" s="1012"/>
      <c r="M247" s="1012"/>
      <c r="N247" s="1012"/>
      <c r="O247" s="1012"/>
      <c r="P247" s="1012"/>
      <c r="Q247" s="1012"/>
      <c r="R247" s="1012"/>
      <c r="S247" s="1012"/>
      <c r="T247" s="1012"/>
      <c r="U247" s="1012"/>
      <c r="V247" s="1012"/>
      <c r="W247" s="1012"/>
      <c r="X247" s="1012"/>
      <c r="Y247" s="1012"/>
      <c r="Z247" s="1012"/>
      <c r="AA247" s="1012"/>
      <c r="AB247" s="1012"/>
      <c r="AC247" s="1012"/>
      <c r="AD247" s="1012"/>
      <c r="AE247" s="1012"/>
      <c r="AF247" s="1012"/>
      <c r="AG247" s="1012"/>
      <c r="AH247" s="1012"/>
      <c r="AI247" s="1012"/>
      <c r="AJ247" s="1012"/>
      <c r="AK247" s="995"/>
      <c r="AL247" s="994"/>
      <c r="AM247" s="994"/>
      <c r="AN247" s="994"/>
      <c r="AO247" s="1012"/>
      <c r="AP247" s="1114"/>
      <c r="AQ247" s="1012"/>
      <c r="AR247" s="1012"/>
      <c r="AS247" s="1012"/>
      <c r="AT247" s="1012"/>
      <c r="AU247" s="1012"/>
      <c r="AV247" s="1012"/>
      <c r="AW247" s="1012"/>
      <c r="AX247" s="1012"/>
      <c r="AY247" s="1012"/>
      <c r="AZ247" s="1012"/>
      <c r="BA247" s="1012"/>
      <c r="BB247" s="1012"/>
      <c r="BC247" s="1012"/>
      <c r="BD247" s="1012"/>
      <c r="BE247" s="1012"/>
      <c r="BF247" s="1012"/>
      <c r="BG247" s="1012"/>
      <c r="BH247" s="1012"/>
      <c r="BI247" s="1012"/>
      <c r="BJ247" s="1012"/>
    </row>
    <row r="248" ht="11.25" customHeight="1">
      <c r="A248" s="994"/>
      <c r="B248" s="994"/>
      <c r="C248" s="994"/>
      <c r="D248" s="1012"/>
      <c r="E248" s="995"/>
      <c r="F248" s="1012"/>
      <c r="G248" s="1012"/>
      <c r="H248" s="1012"/>
      <c r="I248" s="1012"/>
      <c r="J248" s="1012"/>
      <c r="K248" s="1012"/>
      <c r="L248" s="1012"/>
      <c r="M248" s="1012"/>
      <c r="N248" s="1012"/>
      <c r="O248" s="1012"/>
      <c r="P248" s="1012"/>
      <c r="Q248" s="1012"/>
      <c r="R248" s="1012"/>
      <c r="S248" s="1012"/>
      <c r="T248" s="1012"/>
      <c r="U248" s="1012"/>
      <c r="V248" s="1012"/>
      <c r="W248" s="1012"/>
      <c r="X248" s="1012"/>
      <c r="Y248" s="1012"/>
      <c r="Z248" s="1012"/>
      <c r="AA248" s="1012"/>
      <c r="AB248" s="1012"/>
      <c r="AC248" s="1012"/>
      <c r="AD248" s="1012"/>
      <c r="AE248" s="1012"/>
      <c r="AF248" s="1012"/>
      <c r="AG248" s="1012"/>
      <c r="AH248" s="1012"/>
      <c r="AI248" s="1012"/>
      <c r="AJ248" s="1012"/>
      <c r="AK248" s="995"/>
      <c r="AL248" s="994"/>
      <c r="AM248" s="994"/>
      <c r="AN248" s="994"/>
      <c r="AO248" s="1012"/>
      <c r="AP248" s="1114"/>
      <c r="AQ248" s="1012"/>
      <c r="AR248" s="1012"/>
      <c r="AS248" s="1012"/>
      <c r="AT248" s="1012"/>
      <c r="AU248" s="1012"/>
      <c r="AV248" s="1012"/>
      <c r="AW248" s="1012"/>
      <c r="AX248" s="1012"/>
      <c r="AY248" s="1012"/>
      <c r="AZ248" s="1012"/>
      <c r="BA248" s="1012"/>
      <c r="BB248" s="1012"/>
      <c r="BC248" s="1012"/>
      <c r="BD248" s="1012"/>
      <c r="BE248" s="1012"/>
      <c r="BF248" s="1012"/>
      <c r="BG248" s="1012"/>
      <c r="BH248" s="1012"/>
      <c r="BI248" s="1012"/>
      <c r="BJ248" s="1012"/>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H7:AJ7"/>
    <mergeCell ref="AL7:AP7"/>
    <mergeCell ref="D9:D11"/>
    <mergeCell ref="D12:D14"/>
    <mergeCell ref="H7:H8"/>
    <mergeCell ref="J7:J8"/>
    <mergeCell ref="L7:P7"/>
    <mergeCell ref="R7:T7"/>
    <mergeCell ref="V7:X7"/>
    <mergeCell ref="Z7:AC7"/>
    <mergeCell ref="AD7:AF7"/>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7070"/>
    <pageSetUpPr/>
  </sheetPr>
  <sheetViews>
    <sheetView showGridLines="0" workbookViewId="0"/>
  </sheetViews>
  <sheetFormatPr customHeight="1" defaultColWidth="14.43" defaultRowHeight="15.0"/>
  <cols>
    <col customWidth="1" min="1" max="1" width="10.86"/>
    <col customWidth="1" min="2" max="2" width="32.57"/>
    <col customWidth="1" min="3" max="3" width="16.86"/>
    <col customWidth="1" min="4" max="4" width="122.14"/>
    <col customWidth="1" min="5" max="5" width="33.29"/>
    <col customWidth="1" min="6" max="6" width="17.86"/>
    <col customWidth="1" min="7" max="7" width="14.43"/>
    <col customWidth="1" min="8" max="8" width="15.43"/>
    <col customWidth="1" min="9" max="10" width="26.0"/>
    <col customWidth="1" min="11" max="11" width="29.14"/>
    <col customWidth="1" min="12" max="12" width="23.14"/>
    <col customWidth="1" min="13" max="13" width="19.86"/>
  </cols>
  <sheetData>
    <row r="1" ht="26.25" customHeight="1">
      <c r="D1" s="1117"/>
      <c r="E1" s="1118" t="s">
        <v>413</v>
      </c>
      <c r="F1" s="1118"/>
      <c r="G1" s="1118"/>
    </row>
    <row r="2" ht="12.0" customHeight="1">
      <c r="D2" s="1117"/>
    </row>
    <row r="3" ht="9.75" customHeight="1">
      <c r="A3" s="1119" t="s">
        <v>414</v>
      </c>
      <c r="B3" s="1120" t="s">
        <v>415</v>
      </c>
      <c r="D3" s="1117"/>
    </row>
    <row r="4" ht="14.25" customHeight="1">
      <c r="A4" s="1121" t="s">
        <v>416</v>
      </c>
      <c r="B4" s="1122" t="s">
        <v>417</v>
      </c>
      <c r="C4" s="1123"/>
      <c r="D4" s="1124"/>
    </row>
    <row r="5" ht="14.25" customHeight="1">
      <c r="B5" s="1125"/>
      <c r="D5" s="1126"/>
      <c r="F5" s="1127" t="s">
        <v>418</v>
      </c>
      <c r="G5" s="1128" t="s">
        <v>419</v>
      </c>
    </row>
    <row r="6" ht="14.25" customHeight="1">
      <c r="B6" s="1129"/>
      <c r="C6" s="1130"/>
      <c r="D6" s="1131"/>
      <c r="F6" s="1127" t="s">
        <v>420</v>
      </c>
      <c r="G6" s="853" t="s">
        <v>421</v>
      </c>
    </row>
    <row r="7" ht="14.25" customHeight="1">
      <c r="D7" s="1117"/>
    </row>
    <row r="8" ht="34.5" customHeight="1">
      <c r="A8" s="1132" t="s">
        <v>422</v>
      </c>
      <c r="B8" s="1132" t="s">
        <v>423</v>
      </c>
      <c r="C8" s="1132" t="s">
        <v>424</v>
      </c>
      <c r="D8" s="1132" t="s">
        <v>425</v>
      </c>
      <c r="E8" s="1132" t="s">
        <v>426</v>
      </c>
      <c r="F8" s="1132" t="s">
        <v>427</v>
      </c>
      <c r="G8" s="1132" t="s">
        <v>428</v>
      </c>
      <c r="H8" s="1132" t="s">
        <v>429</v>
      </c>
      <c r="I8" s="1132" t="s">
        <v>430</v>
      </c>
      <c r="J8" s="1132" t="s">
        <v>431</v>
      </c>
      <c r="K8" s="1132" t="s">
        <v>432</v>
      </c>
      <c r="L8" s="1132" t="s">
        <v>433</v>
      </c>
      <c r="M8" s="1133" t="s">
        <v>434</v>
      </c>
    </row>
    <row r="9" ht="22.5" customHeight="1">
      <c r="A9" s="1134" t="s">
        <v>435</v>
      </c>
      <c r="B9" s="1134" t="s">
        <v>436</v>
      </c>
      <c r="C9" s="1135">
        <v>40730.0</v>
      </c>
      <c r="D9" s="1136" t="s">
        <v>437</v>
      </c>
      <c r="E9" s="1134" t="s">
        <v>438</v>
      </c>
      <c r="F9" s="1134" t="s">
        <v>439</v>
      </c>
      <c r="G9" s="1137">
        <v>64.5</v>
      </c>
      <c r="H9" s="1138">
        <v>100.0</v>
      </c>
      <c r="I9" s="1134" t="s">
        <v>440</v>
      </c>
      <c r="J9" s="1134" t="s">
        <v>441</v>
      </c>
      <c r="K9" s="1134" t="s">
        <v>442</v>
      </c>
      <c r="L9" s="1134" t="s">
        <v>443</v>
      </c>
      <c r="M9" s="1139" t="str">
        <f>HYPERLINK("https://my.pitchbook.com?c=20201-86T", "View company online")</f>
        <v>View company online</v>
      </c>
    </row>
    <row r="10" ht="22.5" customHeight="1">
      <c r="A10" s="1134"/>
      <c r="B10" s="1134"/>
      <c r="C10" s="1135"/>
      <c r="D10" s="1136"/>
      <c r="E10" s="1134"/>
      <c r="F10" s="1134"/>
      <c r="G10" s="1137"/>
      <c r="H10" s="1138"/>
      <c r="I10" s="1134"/>
      <c r="J10" s="1134"/>
      <c r="K10" s="1134"/>
      <c r="L10" s="1134"/>
      <c r="M10" s="1140"/>
    </row>
    <row r="11" ht="22.5" customHeight="1">
      <c r="A11" s="1134"/>
      <c r="B11" s="1134"/>
      <c r="C11" s="1135"/>
      <c r="D11" s="1136"/>
      <c r="E11" s="1134"/>
      <c r="F11" s="1134"/>
      <c r="G11" s="1137"/>
      <c r="H11" s="1138"/>
      <c r="I11" s="1134"/>
      <c r="J11" s="1134"/>
      <c r="K11" s="1134"/>
      <c r="L11" s="1134"/>
      <c r="M11" s="1140"/>
    </row>
    <row r="12" ht="22.5" customHeight="1">
      <c r="A12" s="1141"/>
      <c r="B12" s="1141"/>
      <c r="C12" s="1142"/>
      <c r="D12" s="1143"/>
      <c r="E12" s="1141"/>
      <c r="F12" s="1141"/>
      <c r="G12" s="1144"/>
      <c r="H12" s="1145"/>
      <c r="I12" s="1141"/>
      <c r="J12" s="1141"/>
      <c r="K12" s="1141"/>
      <c r="L12" s="1141"/>
      <c r="M12" s="1146"/>
    </row>
    <row r="13" ht="22.5" customHeight="1">
      <c r="A13" s="1134" t="s">
        <v>444</v>
      </c>
      <c r="B13" s="1134" t="s">
        <v>436</v>
      </c>
      <c r="C13" s="1135">
        <v>39070.0</v>
      </c>
      <c r="D13" s="1136" t="s">
        <v>437</v>
      </c>
      <c r="E13" s="1134" t="s">
        <v>445</v>
      </c>
      <c r="F13" s="1134" t="s">
        <v>446</v>
      </c>
      <c r="G13" s="1137">
        <v>3.33</v>
      </c>
      <c r="H13" s="1138" t="s">
        <v>194</v>
      </c>
      <c r="I13" s="1134" t="s">
        <v>447</v>
      </c>
      <c r="J13" s="1134" t="s">
        <v>194</v>
      </c>
      <c r="K13" s="1134" t="s">
        <v>442</v>
      </c>
      <c r="L13" s="1134" t="s">
        <v>443</v>
      </c>
      <c r="M13" s="1139" t="str">
        <f>HYPERLINK("https://my.pitchbook.com?c=20201-68T", "View company online")</f>
        <v>View company online</v>
      </c>
    </row>
    <row r="14" ht="22.5" customHeight="1">
      <c r="A14" s="1141"/>
      <c r="B14" s="1141"/>
      <c r="C14" s="1142"/>
      <c r="D14" s="1143"/>
      <c r="E14" s="1141"/>
      <c r="F14" s="1141"/>
      <c r="G14" s="1144"/>
      <c r="H14" s="1145"/>
      <c r="I14" s="1141"/>
      <c r="J14" s="1141"/>
      <c r="K14" s="1141"/>
      <c r="L14" s="1141"/>
      <c r="M14" s="1146"/>
    </row>
    <row r="15" ht="22.5" customHeight="1">
      <c r="A15" s="1134"/>
      <c r="B15" s="1134"/>
      <c r="C15" s="1135"/>
      <c r="D15" s="1136"/>
      <c r="E15" s="1134"/>
      <c r="F15" s="1134"/>
      <c r="G15" s="1137"/>
      <c r="H15" s="1138"/>
      <c r="I15" s="1134"/>
      <c r="J15" s="1134"/>
      <c r="K15" s="1134"/>
      <c r="L15" s="1134"/>
      <c r="M15" s="1140"/>
    </row>
    <row r="16" ht="22.5" customHeight="1">
      <c r="A16" s="1134"/>
      <c r="B16" s="1134"/>
      <c r="C16" s="1135"/>
      <c r="D16" s="1136"/>
      <c r="E16" s="1134"/>
      <c r="F16" s="1134"/>
      <c r="G16" s="1137"/>
      <c r="H16" s="1138"/>
      <c r="I16" s="1134"/>
      <c r="J16" s="1134"/>
      <c r="K16" s="1134"/>
      <c r="L16" s="1134"/>
      <c r="M16" s="1140"/>
    </row>
    <row r="17" ht="22.5" customHeight="1">
      <c r="A17" s="1134"/>
      <c r="B17" s="1134"/>
      <c r="C17" s="1135"/>
      <c r="D17" s="1136"/>
      <c r="E17" s="1134"/>
      <c r="F17" s="1134"/>
      <c r="G17" s="1137"/>
      <c r="H17" s="1138"/>
      <c r="I17" s="1134"/>
      <c r="J17" s="1134"/>
      <c r="K17" s="1134"/>
      <c r="L17" s="1134"/>
      <c r="M17" s="1140"/>
    </row>
    <row r="18" ht="22.5" customHeight="1">
      <c r="A18" s="1141"/>
      <c r="B18" s="1141"/>
      <c r="C18" s="1142"/>
      <c r="D18" s="1143"/>
      <c r="E18" s="1141"/>
      <c r="F18" s="1141"/>
      <c r="G18" s="1144"/>
      <c r="H18" s="1145"/>
      <c r="I18" s="1141"/>
      <c r="J18" s="1141"/>
      <c r="K18" s="1141"/>
      <c r="L18" s="1141"/>
      <c r="M18" s="1146"/>
    </row>
    <row r="19" ht="22.5" customHeight="1">
      <c r="A19" s="1134"/>
      <c r="B19" s="1134"/>
      <c r="C19" s="1135"/>
      <c r="D19" s="1136"/>
      <c r="E19" s="1134"/>
      <c r="F19" s="1134"/>
      <c r="G19" s="1137"/>
      <c r="H19" s="1138"/>
      <c r="I19" s="1134"/>
      <c r="J19" s="1134"/>
      <c r="K19" s="1134"/>
      <c r="L19" s="1134"/>
      <c r="M19" s="1140"/>
    </row>
    <row r="20" ht="22.5" customHeight="1">
      <c r="A20" s="1134" t="s">
        <v>448</v>
      </c>
      <c r="B20" s="1134" t="s">
        <v>449</v>
      </c>
      <c r="C20" s="1135">
        <v>40091.0</v>
      </c>
      <c r="D20" s="1136" t="s">
        <v>450</v>
      </c>
      <c r="E20" s="1134" t="s">
        <v>451</v>
      </c>
      <c r="F20" s="1134" t="s">
        <v>439</v>
      </c>
      <c r="G20" s="1137">
        <v>11.85</v>
      </c>
      <c r="H20" s="1138">
        <v>100.0</v>
      </c>
      <c r="I20" s="1134" t="s">
        <v>452</v>
      </c>
      <c r="J20" s="1134" t="s">
        <v>453</v>
      </c>
      <c r="K20" s="1134" t="s">
        <v>454</v>
      </c>
      <c r="L20" s="1134" t="s">
        <v>455</v>
      </c>
      <c r="M20" s="1139" t="str">
        <f>HYPERLINK("https://my.pitchbook.com?c=29985-40T", "View company online")</f>
        <v>View company online</v>
      </c>
    </row>
    <row r="21" ht="22.5" customHeight="1">
      <c r="A21" s="1141"/>
      <c r="B21" s="1141"/>
      <c r="C21" s="1142"/>
      <c r="D21" s="1143"/>
      <c r="E21" s="1141"/>
      <c r="F21" s="1141"/>
      <c r="G21" s="1144"/>
      <c r="H21" s="1145"/>
      <c r="I21" s="1141"/>
      <c r="J21" s="1141"/>
      <c r="K21" s="1141"/>
      <c r="L21" s="1141"/>
      <c r="M21" s="1146"/>
    </row>
    <row r="22" ht="22.5" customHeight="1">
      <c r="A22" s="1141"/>
      <c r="B22" s="1141"/>
      <c r="C22" s="1142"/>
      <c r="D22" s="1143"/>
      <c r="E22" s="1141"/>
      <c r="F22" s="1141"/>
      <c r="G22" s="1144"/>
      <c r="H22" s="1145"/>
      <c r="I22" s="1141"/>
      <c r="J22" s="1141"/>
      <c r="K22" s="1141"/>
      <c r="L22" s="1141"/>
      <c r="M22" s="1146"/>
    </row>
    <row r="23" ht="22.5" customHeight="1">
      <c r="A23" s="1141"/>
      <c r="B23" s="1141"/>
      <c r="C23" s="1142"/>
      <c r="D23" s="1143"/>
      <c r="E23" s="1141"/>
      <c r="F23" s="1141"/>
      <c r="G23" s="1144"/>
      <c r="H23" s="1145"/>
      <c r="I23" s="1141"/>
      <c r="J23" s="1141"/>
      <c r="K23" s="1141"/>
      <c r="L23" s="1141"/>
      <c r="M23" s="1146"/>
    </row>
    <row r="24" ht="22.5" customHeight="1">
      <c r="A24" s="1134"/>
      <c r="B24" s="1134"/>
      <c r="C24" s="1135"/>
      <c r="D24" s="1136"/>
      <c r="E24" s="1134"/>
      <c r="F24" s="1134"/>
      <c r="G24" s="1137"/>
      <c r="H24" s="1138"/>
      <c r="I24" s="1134"/>
      <c r="J24" s="1134"/>
      <c r="K24" s="1134"/>
      <c r="L24" s="1134"/>
      <c r="M24" s="1140"/>
    </row>
    <row r="25" ht="22.5" customHeight="1">
      <c r="A25" s="1141"/>
      <c r="B25" s="1141"/>
      <c r="C25" s="1142"/>
      <c r="D25" s="1143"/>
      <c r="E25" s="1141"/>
      <c r="F25" s="1141"/>
      <c r="G25" s="1144"/>
      <c r="H25" s="1145"/>
      <c r="I25" s="1141"/>
      <c r="J25" s="1141"/>
      <c r="K25" s="1141"/>
      <c r="L25" s="1141"/>
      <c r="M25" s="1146"/>
    </row>
    <row r="26" ht="22.5" customHeight="1">
      <c r="A26" s="1134"/>
      <c r="B26" s="1134"/>
      <c r="C26" s="1135"/>
      <c r="D26" s="1136"/>
      <c r="E26" s="1134"/>
      <c r="F26" s="1134"/>
      <c r="G26" s="1137"/>
      <c r="H26" s="1138"/>
      <c r="I26" s="1134"/>
      <c r="J26" s="1134"/>
      <c r="K26" s="1134"/>
      <c r="L26" s="1134"/>
      <c r="M26" s="1140"/>
    </row>
    <row r="27" ht="22.5" customHeight="1">
      <c r="A27" s="1141"/>
      <c r="B27" s="1141"/>
      <c r="C27" s="1142"/>
      <c r="D27" s="1143"/>
      <c r="E27" s="1141"/>
      <c r="F27" s="1141"/>
      <c r="G27" s="1144"/>
      <c r="H27" s="1145"/>
      <c r="I27" s="1141"/>
      <c r="J27" s="1141"/>
      <c r="K27" s="1141"/>
      <c r="L27" s="1141"/>
      <c r="M27" s="1146"/>
    </row>
    <row r="28" ht="22.5" customHeight="1">
      <c r="A28" s="1134"/>
      <c r="B28" s="1134"/>
      <c r="C28" s="1135"/>
      <c r="D28" s="1136"/>
      <c r="E28" s="1134"/>
      <c r="F28" s="1134"/>
      <c r="G28" s="1137"/>
      <c r="H28" s="1138"/>
      <c r="I28" s="1134"/>
      <c r="J28" s="1134"/>
      <c r="K28" s="1134"/>
      <c r="L28" s="1134"/>
      <c r="M28" s="1140"/>
    </row>
    <row r="29" ht="14.25" customHeight="1">
      <c r="A29" s="1141"/>
      <c r="B29" s="1141"/>
      <c r="C29" s="1142"/>
      <c r="D29" s="1143"/>
      <c r="E29" s="1141"/>
      <c r="F29" s="1141"/>
      <c r="G29" s="1144"/>
      <c r="H29" s="1145"/>
      <c r="I29" s="1141"/>
      <c r="J29" s="1141"/>
      <c r="K29" s="1141"/>
      <c r="L29" s="1141"/>
      <c r="M29" s="1146"/>
    </row>
    <row r="30" ht="14.25" customHeight="1">
      <c r="A30" s="1134"/>
      <c r="B30" s="1134"/>
      <c r="C30" s="1135"/>
      <c r="D30" s="1136"/>
      <c r="E30" s="1134"/>
      <c r="F30" s="1134"/>
      <c r="G30" s="1137"/>
      <c r="H30" s="1138"/>
      <c r="I30" s="1134"/>
      <c r="J30" s="1134"/>
      <c r="K30" s="1134"/>
      <c r="L30" s="1134"/>
      <c r="M30" s="1140"/>
    </row>
    <row r="31" ht="14.25" customHeight="1">
      <c r="A31" s="1141"/>
      <c r="B31" s="1141"/>
      <c r="C31" s="1142"/>
      <c r="D31" s="1143"/>
      <c r="E31" s="1141"/>
      <c r="F31" s="1141"/>
      <c r="G31" s="1144"/>
      <c r="H31" s="1145"/>
      <c r="I31" s="1141"/>
      <c r="J31" s="1141"/>
      <c r="K31" s="1141"/>
      <c r="L31" s="1141"/>
      <c r="M31" s="1146"/>
    </row>
    <row r="32" ht="14.25" customHeight="1">
      <c r="A32" s="1141"/>
      <c r="B32" s="1141"/>
      <c r="C32" s="1142"/>
      <c r="D32" s="1143"/>
      <c r="E32" s="1141"/>
      <c r="F32" s="1141"/>
      <c r="G32" s="1144"/>
      <c r="H32" s="1145"/>
      <c r="I32" s="1141"/>
      <c r="J32" s="1141"/>
      <c r="K32" s="1141"/>
      <c r="L32" s="1141"/>
      <c r="M32" s="1146"/>
    </row>
    <row r="33" ht="14.25" customHeight="1">
      <c r="A33" s="1134"/>
      <c r="B33" s="1134"/>
      <c r="C33" s="1135"/>
      <c r="D33" s="1136"/>
      <c r="E33" s="1134"/>
      <c r="F33" s="1134"/>
      <c r="G33" s="1137"/>
      <c r="H33" s="1138"/>
      <c r="I33" s="1134"/>
      <c r="J33" s="1134"/>
      <c r="K33" s="1134"/>
      <c r="L33" s="1134"/>
      <c r="M33" s="1140"/>
    </row>
    <row r="34" ht="14.25" customHeight="1">
      <c r="A34" s="1141"/>
      <c r="B34" s="1141"/>
      <c r="C34" s="1142"/>
      <c r="D34" s="1143"/>
      <c r="E34" s="1141"/>
      <c r="F34" s="1141"/>
      <c r="G34" s="1144"/>
      <c r="H34" s="1145"/>
      <c r="I34" s="1141"/>
      <c r="J34" s="1141"/>
      <c r="K34" s="1141"/>
      <c r="L34" s="1141"/>
      <c r="M34" s="1146"/>
    </row>
    <row r="35" ht="14.25" customHeight="1">
      <c r="A35" s="1134"/>
      <c r="B35" s="1134"/>
      <c r="C35" s="1135"/>
      <c r="D35" s="1136"/>
      <c r="E35" s="1134"/>
      <c r="F35" s="1134"/>
      <c r="G35" s="1137"/>
      <c r="H35" s="1138"/>
      <c r="I35" s="1134"/>
      <c r="J35" s="1134"/>
      <c r="K35" s="1134"/>
      <c r="L35" s="1134"/>
      <c r="M35" s="1140"/>
    </row>
    <row r="36" ht="14.25" customHeight="1">
      <c r="A36" s="1141"/>
      <c r="B36" s="1141"/>
      <c r="C36" s="1142"/>
      <c r="D36" s="1143"/>
      <c r="E36" s="1141"/>
      <c r="F36" s="1141"/>
      <c r="G36" s="1144"/>
      <c r="H36" s="1145"/>
      <c r="I36" s="1141"/>
      <c r="J36" s="1141"/>
      <c r="K36" s="1141"/>
      <c r="L36" s="1141"/>
      <c r="M36" s="1146"/>
    </row>
    <row r="37" ht="14.25" customHeight="1">
      <c r="A37" s="1141"/>
      <c r="B37" s="1141"/>
      <c r="C37" s="1142"/>
      <c r="D37" s="1143"/>
      <c r="E37" s="1141"/>
      <c r="F37" s="1141"/>
      <c r="G37" s="1144"/>
      <c r="H37" s="1145"/>
      <c r="I37" s="1141"/>
      <c r="J37" s="1141"/>
      <c r="K37" s="1141"/>
      <c r="L37" s="1141"/>
      <c r="M37" s="1146"/>
    </row>
    <row r="38" ht="14.25" customHeight="1">
      <c r="A38" s="1141"/>
      <c r="B38" s="1141"/>
      <c r="C38" s="1142"/>
      <c r="D38" s="1143"/>
      <c r="E38" s="1141"/>
      <c r="F38" s="1141"/>
      <c r="G38" s="1144"/>
      <c r="H38" s="1145"/>
      <c r="I38" s="1141"/>
      <c r="J38" s="1141"/>
      <c r="K38" s="1141"/>
      <c r="L38" s="1141"/>
      <c r="M38" s="1146"/>
    </row>
    <row r="39" ht="14.25" customHeight="1">
      <c r="A39" s="1134"/>
      <c r="B39" s="1134"/>
      <c r="C39" s="1135"/>
      <c r="D39" s="1136"/>
      <c r="E39" s="1134"/>
      <c r="F39" s="1134"/>
      <c r="G39" s="1137"/>
      <c r="H39" s="1138"/>
      <c r="I39" s="1134"/>
      <c r="J39" s="1134"/>
      <c r="K39" s="1134"/>
      <c r="L39" s="1134"/>
      <c r="M39" s="1140"/>
    </row>
    <row r="40" ht="14.25" customHeight="1">
      <c r="A40" s="1134"/>
      <c r="B40" s="1134"/>
      <c r="C40" s="1135"/>
      <c r="D40" s="1136"/>
      <c r="E40" s="1134"/>
      <c r="F40" s="1134"/>
      <c r="G40" s="1137"/>
      <c r="H40" s="1138"/>
      <c r="I40" s="1134"/>
      <c r="J40" s="1134"/>
      <c r="K40" s="1134"/>
      <c r="L40" s="1134"/>
      <c r="M40" s="1140"/>
    </row>
    <row r="41" ht="14.25" customHeight="1">
      <c r="A41" s="1141"/>
      <c r="B41" s="1141"/>
      <c r="C41" s="1142"/>
      <c r="D41" s="1143"/>
      <c r="E41" s="1141"/>
      <c r="F41" s="1141"/>
      <c r="G41" s="1144"/>
      <c r="H41" s="1145"/>
      <c r="I41" s="1141"/>
      <c r="J41" s="1141"/>
      <c r="K41" s="1141"/>
      <c r="L41" s="1141"/>
      <c r="M41" s="1146"/>
    </row>
    <row r="42" ht="14.25" customHeight="1">
      <c r="D42" s="1117"/>
    </row>
    <row r="43" ht="14.25" customHeight="1">
      <c r="D43" s="1117"/>
    </row>
    <row r="44" ht="14.25" customHeight="1">
      <c r="A44" s="892"/>
      <c r="D44" s="1117"/>
    </row>
    <row r="45" ht="14.25" customHeight="1">
      <c r="D45" s="1117"/>
    </row>
    <row r="46" ht="14.25" customHeight="1">
      <c r="D46" s="1117"/>
    </row>
    <row r="47" ht="14.25" customHeight="1">
      <c r="D47" s="1117"/>
    </row>
    <row r="48" ht="14.25" customHeight="1">
      <c r="D48" s="1117"/>
    </row>
    <row r="49" ht="14.25" customHeight="1">
      <c r="D49" s="1117"/>
    </row>
    <row r="50" ht="14.25" customHeight="1">
      <c r="D50" s="1117"/>
    </row>
    <row r="51" ht="14.25" customHeight="1">
      <c r="D51" s="1117"/>
    </row>
    <row r="52" ht="14.25" customHeight="1">
      <c r="D52" s="1117"/>
    </row>
    <row r="53" ht="14.25" customHeight="1">
      <c r="D53" s="1117"/>
    </row>
    <row r="54" ht="14.25" customHeight="1">
      <c r="D54" s="1117"/>
    </row>
    <row r="55" ht="14.25" customHeight="1">
      <c r="D55" s="1117"/>
    </row>
    <row r="56" ht="14.25" customHeight="1">
      <c r="D56" s="1117"/>
    </row>
    <row r="57" ht="14.25" customHeight="1">
      <c r="D57" s="1117"/>
    </row>
    <row r="58" ht="14.25" customHeight="1">
      <c r="D58" s="1117"/>
    </row>
    <row r="59" ht="14.25" customHeight="1">
      <c r="D59" s="1117"/>
    </row>
    <row r="60" ht="14.25" customHeight="1">
      <c r="D60" s="1117"/>
    </row>
    <row r="61" ht="14.25" customHeight="1">
      <c r="D61" s="1117"/>
    </row>
    <row r="62" ht="14.25" customHeight="1">
      <c r="D62" s="1117"/>
    </row>
    <row r="63" ht="14.25" customHeight="1">
      <c r="D63" s="1117"/>
    </row>
    <row r="64" ht="14.25" customHeight="1">
      <c r="D64" s="1117"/>
    </row>
    <row r="65" ht="14.25" customHeight="1">
      <c r="D65" s="1117"/>
    </row>
    <row r="66" ht="14.25" customHeight="1">
      <c r="D66" s="1117"/>
    </row>
    <row r="67" ht="14.25" customHeight="1">
      <c r="D67" s="1117"/>
    </row>
    <row r="68" ht="14.25" customHeight="1">
      <c r="D68" s="1117"/>
    </row>
    <row r="69" ht="14.25" customHeight="1">
      <c r="D69" s="1117"/>
    </row>
    <row r="70" ht="14.25" customHeight="1">
      <c r="D70" s="1117"/>
    </row>
    <row r="71" ht="14.25" customHeight="1">
      <c r="D71" s="1117"/>
    </row>
    <row r="72" ht="14.25" customHeight="1">
      <c r="D72" s="1117"/>
    </row>
    <row r="73" ht="14.25" customHeight="1">
      <c r="D73" s="1117"/>
    </row>
    <row r="74" ht="14.25" customHeight="1">
      <c r="D74" s="1117"/>
    </row>
    <row r="75" ht="14.25" customHeight="1">
      <c r="D75" s="1117"/>
    </row>
    <row r="76" ht="14.25" customHeight="1">
      <c r="D76" s="1117"/>
    </row>
    <row r="77" ht="14.25" customHeight="1">
      <c r="D77" s="1117"/>
    </row>
    <row r="78" ht="14.25" customHeight="1">
      <c r="D78" s="1117"/>
    </row>
    <row r="79" ht="14.25" customHeight="1">
      <c r="D79" s="1117"/>
    </row>
    <row r="80" ht="14.25" customHeight="1">
      <c r="D80" s="1117"/>
    </row>
    <row r="81" ht="14.25" customHeight="1">
      <c r="D81" s="1117"/>
    </row>
    <row r="82" ht="14.25" customHeight="1">
      <c r="D82" s="1117"/>
    </row>
    <row r="83" ht="14.25" customHeight="1">
      <c r="D83" s="1117"/>
    </row>
    <row r="84" ht="14.25" customHeight="1">
      <c r="D84" s="1117"/>
    </row>
    <row r="85" ht="14.25" customHeight="1">
      <c r="D85" s="1117"/>
    </row>
    <row r="86" ht="14.25" customHeight="1">
      <c r="D86" s="1117"/>
    </row>
    <row r="87" ht="14.25" customHeight="1">
      <c r="D87" s="1117"/>
    </row>
    <row r="88" ht="14.25" customHeight="1">
      <c r="D88" s="1117"/>
    </row>
    <row r="89" ht="14.25" customHeight="1">
      <c r="D89" s="1117"/>
    </row>
    <row r="90" ht="14.25" customHeight="1">
      <c r="D90" s="1117"/>
    </row>
    <row r="91" ht="14.25" customHeight="1">
      <c r="D91" s="1117"/>
    </row>
    <row r="92" ht="14.25" customHeight="1">
      <c r="D92" s="1117"/>
    </row>
    <row r="93" ht="14.25" customHeight="1">
      <c r="D93" s="1117"/>
    </row>
    <row r="94" ht="14.25" customHeight="1">
      <c r="D94" s="1117"/>
    </row>
    <row r="95" ht="14.25" customHeight="1">
      <c r="D95" s="1117"/>
    </row>
    <row r="96" ht="14.25" customHeight="1">
      <c r="D96" s="1117"/>
    </row>
    <row r="97" ht="14.25" customHeight="1">
      <c r="D97" s="1117"/>
    </row>
    <row r="98" ht="14.25" customHeight="1">
      <c r="D98" s="1117"/>
    </row>
    <row r="99" ht="14.25" customHeight="1">
      <c r="D99" s="1117"/>
    </row>
    <row r="100" ht="14.25" customHeight="1">
      <c r="D100" s="1117"/>
    </row>
    <row r="101" ht="14.25" customHeight="1">
      <c r="D101" s="1117"/>
    </row>
    <row r="102" ht="14.25" customHeight="1">
      <c r="D102" s="1117"/>
    </row>
    <row r="103" ht="14.25" customHeight="1">
      <c r="D103" s="1117"/>
    </row>
    <row r="104" ht="14.25" customHeight="1">
      <c r="D104" s="1117"/>
    </row>
    <row r="105" ht="14.25" customHeight="1">
      <c r="D105" s="1117"/>
    </row>
    <row r="106" ht="14.25" customHeight="1">
      <c r="D106" s="1117"/>
    </row>
    <row r="107" ht="14.25" customHeight="1">
      <c r="D107" s="1117"/>
    </row>
    <row r="108" ht="14.25" customHeight="1">
      <c r="D108" s="1117"/>
    </row>
    <row r="109" ht="14.25" customHeight="1">
      <c r="D109" s="1117"/>
    </row>
    <row r="110" ht="14.25" customHeight="1">
      <c r="D110" s="1117"/>
    </row>
    <row r="111" ht="14.25" customHeight="1">
      <c r="D111" s="1117"/>
    </row>
    <row r="112" ht="14.25" customHeight="1">
      <c r="D112" s="1117"/>
    </row>
    <row r="113" ht="14.25" customHeight="1">
      <c r="D113" s="1117"/>
    </row>
    <row r="114" ht="14.25" customHeight="1">
      <c r="D114" s="1117"/>
    </row>
    <row r="115" ht="14.25" customHeight="1">
      <c r="D115" s="1117"/>
    </row>
    <row r="116" ht="14.25" customHeight="1">
      <c r="D116" s="1117"/>
    </row>
    <row r="117" ht="14.25" customHeight="1">
      <c r="D117" s="1117"/>
    </row>
    <row r="118" ht="14.25" customHeight="1">
      <c r="D118" s="1117"/>
    </row>
    <row r="119" ht="14.25" customHeight="1">
      <c r="D119" s="1117"/>
    </row>
    <row r="120" ht="14.25" customHeight="1">
      <c r="D120" s="1117"/>
    </row>
    <row r="121" ht="14.25" customHeight="1">
      <c r="D121" s="1117"/>
    </row>
    <row r="122" ht="14.25" customHeight="1">
      <c r="D122" s="1117"/>
    </row>
    <row r="123" ht="14.25" customHeight="1">
      <c r="D123" s="1117"/>
    </row>
    <row r="124" ht="14.25" customHeight="1">
      <c r="D124" s="1117"/>
    </row>
    <row r="125" ht="14.25" customHeight="1">
      <c r="D125" s="1117"/>
    </row>
    <row r="126" ht="14.25" customHeight="1">
      <c r="D126" s="1117"/>
    </row>
    <row r="127" ht="14.25" customHeight="1">
      <c r="D127" s="1117"/>
    </row>
    <row r="128" ht="14.25" customHeight="1">
      <c r="D128" s="1117"/>
    </row>
    <row r="129" ht="14.25" customHeight="1">
      <c r="D129" s="1117"/>
    </row>
    <row r="130" ht="14.25" customHeight="1">
      <c r="D130" s="1117"/>
    </row>
    <row r="131" ht="14.25" customHeight="1">
      <c r="D131" s="1117"/>
    </row>
    <row r="132" ht="14.25" customHeight="1">
      <c r="D132" s="1117"/>
    </row>
    <row r="133" ht="14.25" customHeight="1">
      <c r="D133" s="1117"/>
    </row>
    <row r="134" ht="14.25" customHeight="1">
      <c r="D134" s="1117"/>
    </row>
    <row r="135" ht="14.25" customHeight="1">
      <c r="D135" s="1117"/>
    </row>
    <row r="136" ht="14.25" customHeight="1">
      <c r="D136" s="1117"/>
    </row>
    <row r="137" ht="14.25" customHeight="1">
      <c r="D137" s="1117"/>
    </row>
    <row r="138" ht="14.25" customHeight="1">
      <c r="D138" s="1117"/>
    </row>
    <row r="139" ht="14.25" customHeight="1">
      <c r="D139" s="1117"/>
    </row>
    <row r="140" ht="14.25" customHeight="1">
      <c r="D140" s="1117"/>
    </row>
    <row r="141" ht="14.25" customHeight="1">
      <c r="D141" s="1117"/>
    </row>
    <row r="142" ht="14.25" customHeight="1">
      <c r="D142" s="1117"/>
    </row>
    <row r="143" ht="14.25" customHeight="1">
      <c r="D143" s="1117"/>
    </row>
    <row r="144" ht="14.25" customHeight="1">
      <c r="D144" s="1117"/>
    </row>
    <row r="145" ht="14.25" customHeight="1">
      <c r="D145" s="1117"/>
    </row>
    <row r="146" ht="14.25" customHeight="1">
      <c r="D146" s="1117"/>
    </row>
    <row r="147" ht="14.25" customHeight="1">
      <c r="D147" s="1117"/>
    </row>
    <row r="148" ht="14.25" customHeight="1">
      <c r="D148" s="1117"/>
    </row>
    <row r="149" ht="14.25" customHeight="1">
      <c r="D149" s="1117"/>
    </row>
    <row r="150" ht="14.25" customHeight="1">
      <c r="D150" s="1117"/>
    </row>
    <row r="151" ht="14.25" customHeight="1">
      <c r="D151" s="1117"/>
    </row>
    <row r="152" ht="14.25" customHeight="1">
      <c r="D152" s="1117"/>
    </row>
    <row r="153" ht="14.25" customHeight="1">
      <c r="D153" s="1117"/>
    </row>
    <row r="154" ht="14.25" customHeight="1">
      <c r="D154" s="1117"/>
    </row>
    <row r="155" ht="14.25" customHeight="1">
      <c r="D155" s="1117"/>
    </row>
    <row r="156" ht="14.25" customHeight="1">
      <c r="D156" s="1117"/>
    </row>
    <row r="157" ht="14.25" customHeight="1">
      <c r="D157" s="1117"/>
    </row>
    <row r="158" ht="14.25" customHeight="1">
      <c r="D158" s="1117"/>
    </row>
    <row r="159" ht="14.25" customHeight="1">
      <c r="D159" s="1117"/>
    </row>
    <row r="160" ht="14.25" customHeight="1">
      <c r="D160" s="1117"/>
    </row>
    <row r="161" ht="14.25" customHeight="1">
      <c r="D161" s="1117"/>
    </row>
    <row r="162" ht="14.25" customHeight="1">
      <c r="D162" s="1117"/>
    </row>
    <row r="163" ht="14.25" customHeight="1">
      <c r="D163" s="1117"/>
    </row>
    <row r="164" ht="14.25" customHeight="1">
      <c r="D164" s="1117"/>
    </row>
    <row r="165" ht="14.25" customHeight="1">
      <c r="D165" s="1117"/>
    </row>
    <row r="166" ht="14.25" customHeight="1">
      <c r="D166" s="1117"/>
    </row>
    <row r="167" ht="14.25" customHeight="1">
      <c r="D167" s="1117"/>
    </row>
    <row r="168" ht="14.25" customHeight="1">
      <c r="D168" s="1117"/>
    </row>
    <row r="169" ht="14.25" customHeight="1">
      <c r="D169" s="1117"/>
    </row>
    <row r="170" ht="14.25" customHeight="1">
      <c r="D170" s="1117"/>
    </row>
    <row r="171" ht="14.25" customHeight="1">
      <c r="D171" s="1117"/>
    </row>
    <row r="172" ht="14.25" customHeight="1">
      <c r="D172" s="1117"/>
    </row>
    <row r="173" ht="14.25" customHeight="1">
      <c r="D173" s="1117"/>
    </row>
    <row r="174" ht="14.25" customHeight="1">
      <c r="D174" s="1117"/>
    </row>
    <row r="175" ht="14.25" customHeight="1">
      <c r="D175" s="1117"/>
    </row>
    <row r="176" ht="14.25" customHeight="1">
      <c r="D176" s="1117"/>
    </row>
    <row r="177" ht="14.25" customHeight="1">
      <c r="D177" s="1117"/>
    </row>
    <row r="178" ht="14.25" customHeight="1">
      <c r="D178" s="1117"/>
    </row>
    <row r="179" ht="14.25" customHeight="1">
      <c r="D179" s="1117"/>
    </row>
    <row r="180" ht="14.25" customHeight="1">
      <c r="D180" s="1117"/>
    </row>
    <row r="181" ht="14.25" customHeight="1">
      <c r="D181" s="1117"/>
    </row>
    <row r="182" ht="14.25" customHeight="1">
      <c r="D182" s="1117"/>
    </row>
    <row r="183" ht="14.25" customHeight="1">
      <c r="D183" s="1117"/>
    </row>
    <row r="184" ht="14.25" customHeight="1">
      <c r="D184" s="1117"/>
    </row>
    <row r="185" ht="14.25" customHeight="1">
      <c r="D185" s="1117"/>
    </row>
    <row r="186" ht="14.25" customHeight="1">
      <c r="D186" s="1117"/>
    </row>
    <row r="187" ht="14.25" customHeight="1">
      <c r="D187" s="1117"/>
    </row>
    <row r="188" ht="14.25" customHeight="1">
      <c r="D188" s="1117"/>
    </row>
    <row r="189" ht="14.25" customHeight="1">
      <c r="D189" s="1117"/>
    </row>
    <row r="190" ht="14.25" customHeight="1">
      <c r="D190" s="1117"/>
    </row>
    <row r="191" ht="14.25" customHeight="1">
      <c r="D191" s="1117"/>
    </row>
    <row r="192" ht="14.25" customHeight="1">
      <c r="D192" s="1117"/>
    </row>
    <row r="193" ht="14.25" customHeight="1">
      <c r="D193" s="1117"/>
    </row>
    <row r="194" ht="14.25" customHeight="1">
      <c r="D194" s="1117"/>
    </row>
    <row r="195" ht="14.25" customHeight="1">
      <c r="D195" s="1117"/>
    </row>
    <row r="196" ht="14.25" customHeight="1">
      <c r="D196" s="1117"/>
    </row>
    <row r="197" ht="14.25" customHeight="1">
      <c r="D197" s="1117"/>
    </row>
    <row r="198" ht="14.25" customHeight="1">
      <c r="D198" s="1117"/>
    </row>
    <row r="199" ht="14.25" customHeight="1">
      <c r="D199" s="1117"/>
    </row>
    <row r="200" ht="14.25" customHeight="1">
      <c r="D200" s="1117"/>
    </row>
    <row r="201" ht="14.25" customHeight="1">
      <c r="D201" s="1117"/>
    </row>
    <row r="202" ht="14.25" customHeight="1">
      <c r="D202" s="1117"/>
    </row>
    <row r="203" ht="14.25" customHeight="1">
      <c r="D203" s="1117"/>
    </row>
    <row r="204" ht="14.25" customHeight="1">
      <c r="D204" s="1117"/>
    </row>
    <row r="205" ht="14.25" customHeight="1">
      <c r="D205" s="1117"/>
    </row>
    <row r="206" ht="14.25" customHeight="1">
      <c r="D206" s="1117"/>
    </row>
    <row r="207" ht="14.25" customHeight="1">
      <c r="D207" s="1117"/>
    </row>
    <row r="208" ht="14.25" customHeight="1">
      <c r="D208" s="1117"/>
    </row>
    <row r="209" ht="14.25" customHeight="1">
      <c r="D209" s="1117"/>
    </row>
    <row r="210" ht="14.25" customHeight="1">
      <c r="D210" s="1117"/>
    </row>
    <row r="211" ht="14.25" customHeight="1">
      <c r="D211" s="1117"/>
    </row>
    <row r="212" ht="14.25" customHeight="1">
      <c r="D212" s="1117"/>
    </row>
    <row r="213" ht="14.25" customHeight="1">
      <c r="D213" s="1117"/>
    </row>
    <row r="214" ht="14.25" customHeight="1">
      <c r="D214" s="1117"/>
    </row>
    <row r="215" ht="14.25" customHeight="1">
      <c r="D215" s="1117"/>
    </row>
    <row r="216" ht="14.25" customHeight="1">
      <c r="D216" s="1117"/>
    </row>
    <row r="217" ht="14.25" customHeight="1">
      <c r="D217" s="1117"/>
    </row>
    <row r="218" ht="14.25" customHeight="1">
      <c r="D218" s="1117"/>
    </row>
    <row r="219" ht="14.25" customHeight="1">
      <c r="D219" s="1117"/>
    </row>
    <row r="220" ht="14.25" customHeight="1">
      <c r="D220" s="11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C3"/>
    <mergeCell ref="B4:D6"/>
  </mergeCells>
  <hyperlinks>
    <hyperlink r:id="rId1" ref="B3"/>
  </hyperlinks>
  <printOptions/>
  <pageMargins bottom="0.75" footer="0.0" header="0.0" left="0.7" right="0.7" top="0.75"/>
  <pageSetup orientation="portrait"/>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7070"/>
    <pageSetUpPr/>
  </sheetPr>
  <sheetViews>
    <sheetView showGridLines="0" workbookViewId="0"/>
  </sheetViews>
  <sheetFormatPr customHeight="1" defaultColWidth="14.43" defaultRowHeight="15.0"/>
  <cols>
    <col customWidth="1" min="1" max="2" width="12.29"/>
    <col customWidth="1" min="3" max="3" width="28.86"/>
    <col customWidth="1" min="4" max="4" width="12.29"/>
    <col customWidth="1" min="5" max="5" width="28.86"/>
    <col customWidth="1" min="6" max="6" width="255.57"/>
    <col customWidth="1" min="7" max="7" width="23.14"/>
    <col customWidth="1" min="8" max="8" width="7.14"/>
    <col customWidth="1" min="9" max="9" width="28.86"/>
    <col customWidth="1" min="10" max="10" width="26.71"/>
    <col customWidth="1" min="11" max="12" width="28.14"/>
    <col customWidth="1" min="13" max="13" width="33.29"/>
    <col customWidth="1" min="14" max="14" width="24.57"/>
    <col customWidth="1" min="15" max="15" width="21.57"/>
    <col customWidth="1" min="16" max="16" width="14.43"/>
    <col customWidth="1" min="17" max="17" width="11.57"/>
    <col customWidth="1" min="18" max="24" width="17.43"/>
    <col customWidth="1" min="25" max="25" width="14.43"/>
    <col customWidth="1" min="26" max="26" width="8.57"/>
    <col customWidth="1" min="27" max="27" width="11.57"/>
    <col customWidth="1" min="28" max="28" width="34.0"/>
    <col customWidth="1" min="29" max="31" width="14.43"/>
    <col customWidth="1" min="32" max="32" width="17.43"/>
    <col customWidth="1" min="33" max="33" width="14.43"/>
    <col customWidth="1" min="34" max="34" width="13.71"/>
    <col customWidth="1" min="35" max="35" width="17.43"/>
    <col customWidth="1" min="36" max="36" width="24.57"/>
    <col customWidth="1" min="37" max="37" width="13.71"/>
    <col customWidth="1" min="38" max="38" width="26.0"/>
    <col customWidth="1" min="39" max="39" width="14.43"/>
    <col customWidth="1" min="40" max="40" width="13.0"/>
    <col customWidth="1" min="41" max="41" width="14.43"/>
    <col customWidth="1" min="42" max="42" width="17.43"/>
    <col customWidth="1" min="43" max="43" width="14.43"/>
    <col customWidth="1" min="44" max="44" width="17.43"/>
    <col customWidth="1" min="45" max="45" width="13.0"/>
    <col customWidth="1" min="46" max="46" width="14.43"/>
    <col customWidth="1" min="47" max="50" width="13.0"/>
    <col customWidth="1" min="51" max="51" width="14.43"/>
    <col customWidth="1" min="52" max="52" width="13.0"/>
    <col customWidth="1" min="53" max="53" width="15.43"/>
    <col customWidth="1" min="54" max="55" width="13.0"/>
    <col customWidth="1" min="56" max="56" width="15.86"/>
    <col customWidth="1" min="57" max="57" width="13.0"/>
    <col customWidth="1" min="58" max="58" width="8.57"/>
    <col customWidth="1" min="59" max="59" width="18.14"/>
    <col customWidth="1" min="60" max="61" width="20.29"/>
    <col customWidth="1" min="62" max="62" width="24.57"/>
    <col customWidth="1" min="63" max="63" width="14.43"/>
    <col customWidth="1" min="64" max="64" width="15.86"/>
    <col customWidth="1" min="65" max="65" width="13.0"/>
    <col customWidth="1" min="66" max="66" width="8.57"/>
    <col customWidth="1" min="67" max="67" width="18.14"/>
    <col customWidth="1" min="68" max="68" width="14.71"/>
  </cols>
  <sheetData>
    <row r="1" ht="24.0" customHeight="1">
      <c r="A1" s="1147"/>
      <c r="B1" s="1147"/>
      <c r="C1" s="1147"/>
      <c r="D1" s="1147"/>
      <c r="E1" s="1148" t="s">
        <v>456</v>
      </c>
      <c r="F1" s="6"/>
      <c r="G1" s="7"/>
      <c r="H1" s="1147"/>
      <c r="I1" s="1147"/>
      <c r="J1" s="1147"/>
      <c r="K1" s="1147"/>
      <c r="L1" s="1147"/>
      <c r="M1" s="1147"/>
      <c r="N1" s="1147"/>
      <c r="O1" s="1147"/>
      <c r="P1" s="1147"/>
      <c r="Q1" s="1147"/>
      <c r="R1" s="1147"/>
      <c r="S1" s="1147"/>
      <c r="T1" s="1149"/>
      <c r="U1" s="1149"/>
      <c r="V1" s="1149"/>
      <c r="W1" s="1149"/>
      <c r="X1" s="1149"/>
      <c r="Y1" s="1149"/>
      <c r="Z1" s="1149"/>
      <c r="AA1" s="1149"/>
      <c r="AB1" s="1150"/>
      <c r="AC1" s="1149"/>
      <c r="AD1" s="1151"/>
      <c r="AE1" s="1152"/>
      <c r="AF1" s="1149"/>
      <c r="AG1" s="1149"/>
      <c r="AH1" s="1147"/>
      <c r="AI1" s="1147"/>
      <c r="AJ1" s="1147"/>
      <c r="AK1" s="1147"/>
      <c r="AL1" s="1149"/>
      <c r="AM1" s="1149"/>
      <c r="AN1" s="1147"/>
      <c r="AO1" s="1147"/>
      <c r="AP1" s="1147"/>
      <c r="AQ1" s="1147"/>
      <c r="AR1" s="1147"/>
      <c r="AS1" s="1147"/>
      <c r="AT1" s="1147"/>
      <c r="AU1" s="1147"/>
      <c r="AV1" s="1153"/>
      <c r="AW1" s="1147"/>
      <c r="AX1" s="1147"/>
      <c r="AY1" s="1147"/>
      <c r="AZ1" s="1147"/>
      <c r="BA1" s="1147"/>
      <c r="BB1" s="1147"/>
      <c r="BC1" s="1147"/>
      <c r="BD1" s="1147"/>
      <c r="BE1" s="1147"/>
      <c r="BF1" s="1147"/>
      <c r="BG1" s="1147"/>
      <c r="BH1" s="853"/>
      <c r="BI1" s="853"/>
      <c r="BJ1" s="853"/>
      <c r="BK1" s="853"/>
      <c r="BL1" s="853"/>
      <c r="BM1" s="853"/>
      <c r="BN1" s="853"/>
      <c r="BO1" s="853"/>
      <c r="BP1" s="853"/>
    </row>
    <row r="2" ht="18.0" customHeight="1">
      <c r="A2" s="1147"/>
      <c r="B2" s="1154"/>
      <c r="C2" s="1155"/>
      <c r="D2" s="1147"/>
      <c r="E2" s="1156" t="s">
        <v>457</v>
      </c>
      <c r="F2" s="1157" t="s">
        <v>458</v>
      </c>
      <c r="G2" s="853"/>
      <c r="H2" s="853"/>
      <c r="I2" s="853"/>
      <c r="J2" s="1147"/>
      <c r="K2" s="1147"/>
      <c r="L2" s="1147"/>
      <c r="M2" s="1147"/>
      <c r="N2" s="1147"/>
      <c r="O2" s="1147"/>
      <c r="P2" s="1147"/>
      <c r="Q2" s="1147"/>
      <c r="R2" s="1147"/>
      <c r="S2" s="1147"/>
      <c r="T2" s="1149"/>
      <c r="U2" s="1149"/>
      <c r="V2" s="1149"/>
      <c r="W2" s="1149"/>
      <c r="X2" s="1149"/>
      <c r="Y2" s="1149"/>
      <c r="Z2" s="1149"/>
      <c r="AA2" s="1149"/>
      <c r="AB2" s="1150"/>
      <c r="AC2" s="1149"/>
      <c r="AD2" s="1151"/>
      <c r="AE2" s="1152"/>
      <c r="AF2" s="1149"/>
      <c r="AG2" s="1149"/>
      <c r="AH2" s="1147"/>
      <c r="AI2" s="1147"/>
      <c r="AJ2" s="1147"/>
      <c r="AK2" s="1147"/>
      <c r="AL2" s="1149"/>
      <c r="AM2" s="1149"/>
      <c r="AN2" s="1147"/>
      <c r="AO2" s="1147"/>
      <c r="AP2" s="1147"/>
      <c r="AQ2" s="1147"/>
      <c r="AR2" s="1147"/>
      <c r="AS2" s="1147"/>
      <c r="AT2" s="1147"/>
      <c r="AU2" s="1147"/>
      <c r="AV2" s="1153"/>
      <c r="AW2" s="1147"/>
      <c r="AX2" s="1147"/>
      <c r="AY2" s="1147"/>
      <c r="AZ2" s="1147"/>
      <c r="BA2" s="1147"/>
      <c r="BB2" s="1147"/>
      <c r="BC2" s="1147"/>
      <c r="BD2" s="1147"/>
      <c r="BE2" s="1147"/>
      <c r="BF2" s="1147"/>
      <c r="BG2" s="1147"/>
      <c r="BH2" s="853"/>
      <c r="BI2" s="853"/>
      <c r="BJ2" s="853"/>
      <c r="BK2" s="853"/>
      <c r="BL2" s="853"/>
      <c r="BM2" s="853"/>
      <c r="BN2" s="853"/>
      <c r="BO2" s="853"/>
      <c r="BP2" s="853"/>
    </row>
    <row r="3" ht="11.25" customHeight="1">
      <c r="A3" s="1158" t="s">
        <v>194</v>
      </c>
      <c r="B3" s="1159"/>
      <c r="C3" s="7"/>
      <c r="D3" s="1147"/>
      <c r="E3" s="1147"/>
      <c r="F3" s="1147"/>
      <c r="G3" s="1147"/>
      <c r="H3" s="1147"/>
      <c r="I3" s="1147"/>
      <c r="J3" s="1147"/>
      <c r="K3" s="1147"/>
      <c r="L3" s="1147"/>
      <c r="M3" s="1147"/>
      <c r="N3" s="1147"/>
      <c r="O3" s="1147"/>
      <c r="P3" s="1147"/>
      <c r="Q3" s="1147"/>
      <c r="R3" s="1147"/>
      <c r="S3" s="1147"/>
      <c r="T3" s="1149"/>
      <c r="U3" s="1149"/>
      <c r="V3" s="1149"/>
      <c r="W3" s="1149"/>
      <c r="X3" s="1149"/>
      <c r="Y3" s="1149"/>
      <c r="Z3" s="1149"/>
      <c r="AA3" s="1149"/>
      <c r="AB3" s="1150"/>
      <c r="AC3" s="1149"/>
      <c r="AD3" s="1151"/>
      <c r="AE3" s="1152"/>
      <c r="AF3" s="1149"/>
      <c r="AG3" s="1149"/>
      <c r="AH3" s="1147"/>
      <c r="AI3" s="1147"/>
      <c r="AJ3" s="1147"/>
      <c r="AK3" s="1147"/>
      <c r="AL3" s="1149"/>
      <c r="AM3" s="1149"/>
      <c r="AN3" s="1147"/>
      <c r="AO3" s="1147"/>
      <c r="AP3" s="1147"/>
      <c r="AQ3" s="1147"/>
      <c r="AR3" s="1147"/>
      <c r="AS3" s="1147"/>
      <c r="AT3" s="1147"/>
      <c r="AU3" s="1147"/>
      <c r="AV3" s="1153"/>
      <c r="AW3" s="1147"/>
      <c r="AX3" s="1147"/>
      <c r="AY3" s="1147"/>
      <c r="AZ3" s="1147"/>
      <c r="BA3" s="1147"/>
      <c r="BB3" s="1147"/>
      <c r="BC3" s="1147"/>
      <c r="BD3" s="1147"/>
      <c r="BE3" s="1147"/>
      <c r="BF3" s="1147"/>
      <c r="BG3" s="1147"/>
      <c r="BH3" s="853"/>
      <c r="BI3" s="853"/>
      <c r="BJ3" s="853"/>
      <c r="BK3" s="853"/>
      <c r="BL3" s="853"/>
      <c r="BM3" s="853"/>
      <c r="BN3" s="853"/>
      <c r="BO3" s="853"/>
      <c r="BP3" s="853"/>
    </row>
    <row r="4" ht="11.25" customHeight="1">
      <c r="A4" s="1160" t="s">
        <v>459</v>
      </c>
      <c r="B4" s="1122" t="s">
        <v>460</v>
      </c>
      <c r="C4" s="1123"/>
      <c r="D4" s="1124"/>
      <c r="E4" s="1127" t="s">
        <v>418</v>
      </c>
      <c r="F4" s="1161">
        <v>43530.82075675926</v>
      </c>
      <c r="G4" s="853"/>
      <c r="H4" s="853"/>
      <c r="I4" s="853"/>
      <c r="J4" s="1147"/>
      <c r="K4" s="1147"/>
      <c r="L4" s="1147"/>
      <c r="M4" s="1147"/>
      <c r="N4" s="1147"/>
      <c r="O4" s="1147"/>
      <c r="P4" s="1147"/>
      <c r="Q4" s="1147"/>
      <c r="R4" s="1147"/>
      <c r="S4" s="1147"/>
      <c r="T4" s="1149"/>
      <c r="U4" s="1149"/>
      <c r="V4" s="1149"/>
      <c r="W4" s="1149"/>
      <c r="X4" s="1149"/>
      <c r="Y4" s="1149"/>
      <c r="Z4" s="1149"/>
      <c r="AA4" s="1149"/>
      <c r="AB4" s="1150"/>
      <c r="AC4" s="1149"/>
      <c r="AD4" s="1151"/>
      <c r="AE4" s="1152"/>
      <c r="AF4" s="1149"/>
      <c r="AG4" s="1149"/>
      <c r="AH4" s="1147"/>
      <c r="AI4" s="1147"/>
      <c r="AJ4" s="1147"/>
      <c r="AK4" s="1147"/>
      <c r="AL4" s="1149"/>
      <c r="AM4" s="1149"/>
      <c r="AN4" s="1147"/>
      <c r="AO4" s="1147"/>
      <c r="AP4" s="1147"/>
      <c r="AQ4" s="1147"/>
      <c r="AR4" s="1147"/>
      <c r="AS4" s="1147"/>
      <c r="AT4" s="1147"/>
      <c r="AU4" s="1147"/>
      <c r="AV4" s="1153"/>
      <c r="AW4" s="1147"/>
      <c r="AX4" s="1147"/>
      <c r="AY4" s="1147"/>
      <c r="AZ4" s="1147"/>
      <c r="BA4" s="1147"/>
      <c r="BB4" s="1147"/>
      <c r="BC4" s="1147"/>
      <c r="BD4" s="1147"/>
      <c r="BE4" s="1147"/>
      <c r="BF4" s="1147"/>
      <c r="BG4" s="1147"/>
      <c r="BH4" s="853"/>
      <c r="BI4" s="853"/>
      <c r="BJ4" s="853"/>
      <c r="BK4" s="853"/>
      <c r="BL4" s="853"/>
      <c r="BM4" s="853"/>
      <c r="BN4" s="853"/>
      <c r="BO4" s="853"/>
      <c r="BP4" s="853"/>
    </row>
    <row r="5" ht="11.25" customHeight="1">
      <c r="A5" s="1147"/>
      <c r="B5" s="1125"/>
      <c r="D5" s="1126"/>
      <c r="E5" s="1127" t="s">
        <v>420</v>
      </c>
      <c r="F5" s="1147" t="s">
        <v>421</v>
      </c>
      <c r="G5" s="853"/>
      <c r="H5" s="853"/>
      <c r="I5" s="853"/>
      <c r="J5" s="1147"/>
      <c r="K5" s="1147"/>
      <c r="L5" s="1147"/>
      <c r="M5" s="1147"/>
      <c r="N5" s="1147"/>
      <c r="O5" s="1147"/>
      <c r="P5" s="1147"/>
      <c r="Q5" s="1147"/>
      <c r="R5" s="1147"/>
      <c r="S5" s="1147"/>
      <c r="T5" s="1149"/>
      <c r="U5" s="1149"/>
      <c r="V5" s="1149"/>
      <c r="W5" s="1149"/>
      <c r="X5" s="1149"/>
      <c r="Y5" s="1149"/>
      <c r="Z5" s="1149"/>
      <c r="AA5" s="1149"/>
      <c r="AB5" s="1150"/>
      <c r="AC5" s="1149"/>
      <c r="AD5" s="1151"/>
      <c r="AE5" s="1152"/>
      <c r="AF5" s="1149"/>
      <c r="AG5" s="1149"/>
      <c r="AH5" s="1147"/>
      <c r="AI5" s="1147"/>
      <c r="AJ5" s="1147"/>
      <c r="AK5" s="1147"/>
      <c r="AL5" s="1149"/>
      <c r="AM5" s="1149"/>
      <c r="AN5" s="1147"/>
      <c r="AO5" s="1147"/>
      <c r="AP5" s="1147"/>
      <c r="AQ5" s="1147"/>
      <c r="AR5" s="1147"/>
      <c r="AS5" s="1147"/>
      <c r="AT5" s="1147"/>
      <c r="AU5" s="1147"/>
      <c r="AV5" s="1153"/>
      <c r="AW5" s="1147"/>
      <c r="AX5" s="1147"/>
      <c r="AY5" s="1147"/>
      <c r="AZ5" s="1147"/>
      <c r="BA5" s="1147"/>
      <c r="BB5" s="1147"/>
      <c r="BC5" s="1147"/>
      <c r="BD5" s="1147"/>
      <c r="BE5" s="1147"/>
      <c r="BF5" s="1147"/>
      <c r="BG5" s="1147"/>
      <c r="BH5" s="853"/>
      <c r="BI5" s="853"/>
      <c r="BJ5" s="853"/>
      <c r="BK5" s="853"/>
      <c r="BL5" s="853"/>
      <c r="BM5" s="853"/>
      <c r="BN5" s="853"/>
      <c r="BO5" s="853"/>
      <c r="BP5" s="853"/>
    </row>
    <row r="6" ht="11.25" customHeight="1">
      <c r="A6" s="1147"/>
      <c r="B6" s="1129"/>
      <c r="C6" s="1130"/>
      <c r="D6" s="1131"/>
      <c r="E6" s="1162"/>
      <c r="F6" s="1162"/>
      <c r="G6" s="1147"/>
      <c r="H6" s="1147"/>
      <c r="I6" s="1147"/>
      <c r="J6" s="1147"/>
      <c r="K6" s="1147"/>
      <c r="L6" s="1147"/>
      <c r="M6" s="1147"/>
      <c r="N6" s="1147"/>
      <c r="O6" s="1147"/>
      <c r="P6" s="1147"/>
      <c r="Q6" s="1147"/>
      <c r="R6" s="1147"/>
      <c r="S6" s="1147"/>
      <c r="T6" s="1149"/>
      <c r="U6" s="1149"/>
      <c r="V6" s="1149"/>
      <c r="W6" s="1149"/>
      <c r="X6" s="1149"/>
      <c r="Y6" s="1149"/>
      <c r="Z6" s="1149"/>
      <c r="AA6" s="1149"/>
      <c r="AB6" s="1150"/>
      <c r="AC6" s="1149"/>
      <c r="AD6" s="1151"/>
      <c r="AE6" s="1152"/>
      <c r="AF6" s="1149"/>
      <c r="AG6" s="1149"/>
      <c r="AH6" s="1147"/>
      <c r="AI6" s="1147"/>
      <c r="AJ6" s="1147"/>
      <c r="AK6" s="1147"/>
      <c r="AL6" s="1149"/>
      <c r="AM6" s="1149"/>
      <c r="AN6" s="1147"/>
      <c r="AO6" s="1147"/>
      <c r="AP6" s="1147"/>
      <c r="AQ6" s="1147"/>
      <c r="AR6" s="1147"/>
      <c r="AS6" s="1147"/>
      <c r="AT6" s="1147"/>
      <c r="AU6" s="1147"/>
      <c r="AV6" s="1153"/>
      <c r="AW6" s="1147"/>
      <c r="AX6" s="1147"/>
      <c r="AY6" s="1147"/>
      <c r="AZ6" s="1147"/>
      <c r="BA6" s="1147"/>
      <c r="BB6" s="1147"/>
      <c r="BC6" s="1147"/>
      <c r="BD6" s="1147"/>
      <c r="BE6" s="1147"/>
      <c r="BF6" s="1147"/>
      <c r="BG6" s="1147"/>
      <c r="BH6" s="853"/>
      <c r="BI6" s="853"/>
      <c r="BJ6" s="853"/>
      <c r="BK6" s="853"/>
      <c r="BL6" s="853"/>
      <c r="BM6" s="853"/>
      <c r="BN6" s="853"/>
      <c r="BO6" s="853"/>
      <c r="BP6" s="853"/>
    </row>
    <row r="7" ht="11.25" customHeight="1">
      <c r="A7" s="1147"/>
      <c r="B7" s="1147"/>
      <c r="C7" s="1147"/>
      <c r="D7" s="1147"/>
      <c r="E7" s="1147"/>
      <c r="F7" s="1147"/>
      <c r="G7" s="1147"/>
      <c r="H7" s="1147"/>
      <c r="I7" s="1147"/>
      <c r="J7" s="1147"/>
      <c r="K7" s="1147"/>
      <c r="L7" s="1147"/>
      <c r="M7" s="1147"/>
      <c r="N7" s="1163"/>
      <c r="O7" s="1147"/>
      <c r="P7" s="1147"/>
      <c r="Q7" s="1147"/>
      <c r="R7" s="1147"/>
      <c r="S7" s="1147"/>
      <c r="T7" s="1149"/>
      <c r="U7" s="1149"/>
      <c r="V7" s="1149"/>
      <c r="W7" s="1149"/>
      <c r="X7" s="1149"/>
      <c r="Y7" s="1149"/>
      <c r="Z7" s="1149"/>
      <c r="AA7" s="1149"/>
      <c r="AB7" s="1150"/>
      <c r="AC7" s="1149"/>
      <c r="AD7" s="1151"/>
      <c r="AE7" s="1152"/>
      <c r="AF7" s="1149"/>
      <c r="AG7" s="1149"/>
      <c r="AH7" s="1147"/>
      <c r="AI7" s="1147"/>
      <c r="AJ7" s="1147"/>
      <c r="AK7" s="1147"/>
      <c r="AL7" s="1149"/>
      <c r="AM7" s="1149"/>
      <c r="AN7" s="1147"/>
      <c r="AO7" s="1147"/>
      <c r="AP7" s="1147"/>
      <c r="AQ7" s="1147"/>
      <c r="AR7" s="1147"/>
      <c r="AS7" s="1147"/>
      <c r="AT7" s="1147"/>
      <c r="AU7" s="1147"/>
      <c r="AV7" s="1153"/>
      <c r="AW7" s="1147"/>
      <c r="AX7" s="1147"/>
      <c r="AY7" s="1147"/>
      <c r="AZ7" s="1147"/>
      <c r="BA7" s="1147"/>
      <c r="BB7" s="1147"/>
      <c r="BC7" s="1147"/>
      <c r="BD7" s="1147"/>
      <c r="BE7" s="1147"/>
      <c r="BF7" s="1147"/>
      <c r="BG7" s="1147"/>
      <c r="BH7" s="853"/>
      <c r="BI7" s="853"/>
      <c r="BJ7" s="853"/>
      <c r="BK7" s="853"/>
      <c r="BL7" s="853"/>
      <c r="BM7" s="853"/>
      <c r="BN7" s="853"/>
      <c r="BO7" s="853"/>
      <c r="BP7" s="853"/>
    </row>
    <row r="8" ht="34.5" customHeight="1">
      <c r="A8" s="1132" t="s">
        <v>461</v>
      </c>
      <c r="B8" s="1132" t="s">
        <v>422</v>
      </c>
      <c r="C8" s="1132" t="s">
        <v>462</v>
      </c>
      <c r="D8" s="1132" t="s">
        <v>463</v>
      </c>
      <c r="E8" s="1132" t="s">
        <v>464</v>
      </c>
      <c r="F8" s="1132" t="s">
        <v>425</v>
      </c>
      <c r="G8" s="1132" t="s">
        <v>465</v>
      </c>
      <c r="H8" s="1132" t="s">
        <v>466</v>
      </c>
      <c r="I8" s="1132" t="s">
        <v>467</v>
      </c>
      <c r="J8" s="1132" t="s">
        <v>468</v>
      </c>
      <c r="K8" s="1132" t="s">
        <v>469</v>
      </c>
      <c r="L8" s="1132" t="s">
        <v>470</v>
      </c>
      <c r="M8" s="1132" t="s">
        <v>471</v>
      </c>
      <c r="N8" s="1132" t="s">
        <v>472</v>
      </c>
      <c r="O8" s="1132" t="s">
        <v>473</v>
      </c>
      <c r="P8" s="1132" t="s">
        <v>474</v>
      </c>
      <c r="Q8" s="1132" t="s">
        <v>424</v>
      </c>
      <c r="R8" s="1132" t="s">
        <v>475</v>
      </c>
      <c r="S8" s="1132" t="s">
        <v>476</v>
      </c>
      <c r="T8" s="1132" t="s">
        <v>477</v>
      </c>
      <c r="U8" s="1132" t="s">
        <v>478</v>
      </c>
      <c r="V8" s="1132" t="s">
        <v>479</v>
      </c>
      <c r="W8" s="1132" t="s">
        <v>480</v>
      </c>
      <c r="X8" s="1132" t="s">
        <v>481</v>
      </c>
      <c r="Y8" s="1132" t="s">
        <v>482</v>
      </c>
      <c r="Z8" s="1132" t="s">
        <v>483</v>
      </c>
      <c r="AA8" s="1132" t="s">
        <v>484</v>
      </c>
      <c r="AB8" s="1132" t="s">
        <v>485</v>
      </c>
      <c r="AC8" s="1132" t="s">
        <v>486</v>
      </c>
      <c r="AD8" s="1132" t="s">
        <v>487</v>
      </c>
      <c r="AE8" s="1132" t="s">
        <v>488</v>
      </c>
      <c r="AF8" s="1132" t="s">
        <v>489</v>
      </c>
      <c r="AG8" s="1132" t="s">
        <v>490</v>
      </c>
      <c r="AH8" s="1132" t="s">
        <v>491</v>
      </c>
      <c r="AI8" s="1132" t="s">
        <v>492</v>
      </c>
      <c r="AJ8" s="1132" t="s">
        <v>493</v>
      </c>
      <c r="AK8" s="1132" t="s">
        <v>494</v>
      </c>
      <c r="AL8" s="1132" t="s">
        <v>495</v>
      </c>
      <c r="AM8" s="1132" t="s">
        <v>496</v>
      </c>
      <c r="AN8" s="1132" t="s">
        <v>497</v>
      </c>
      <c r="AO8" s="1132" t="s">
        <v>498</v>
      </c>
      <c r="AP8" s="1132" t="s">
        <v>499</v>
      </c>
      <c r="AQ8" s="1132" t="s">
        <v>500</v>
      </c>
      <c r="AR8" s="1132" t="s">
        <v>501</v>
      </c>
      <c r="AS8" s="1132" t="s">
        <v>502</v>
      </c>
      <c r="AT8" s="1132" t="s">
        <v>503</v>
      </c>
      <c r="AU8" s="1132" t="s">
        <v>504</v>
      </c>
      <c r="AV8" s="1132" t="s">
        <v>505</v>
      </c>
      <c r="AW8" s="1132" t="s">
        <v>506</v>
      </c>
      <c r="AX8" s="1132" t="s">
        <v>507</v>
      </c>
      <c r="AY8" s="1132" t="s">
        <v>508</v>
      </c>
      <c r="AZ8" s="1132" t="s">
        <v>509</v>
      </c>
      <c r="BA8" s="1132" t="s">
        <v>510</v>
      </c>
      <c r="BB8" s="1132" t="s">
        <v>511</v>
      </c>
      <c r="BC8" s="1132" t="s">
        <v>512</v>
      </c>
      <c r="BD8" s="1132" t="s">
        <v>513</v>
      </c>
      <c r="BE8" s="1132" t="s">
        <v>514</v>
      </c>
      <c r="BF8" s="1132" t="s">
        <v>515</v>
      </c>
      <c r="BG8" s="1132" t="s">
        <v>516</v>
      </c>
      <c r="BH8" s="1132" t="s">
        <v>517</v>
      </c>
      <c r="BI8" s="1132" t="s">
        <v>518</v>
      </c>
      <c r="BJ8" s="1132" t="s">
        <v>519</v>
      </c>
      <c r="BK8" s="1132" t="s">
        <v>520</v>
      </c>
      <c r="BL8" s="1132" t="s">
        <v>521</v>
      </c>
      <c r="BM8" s="1132" t="s">
        <v>522</v>
      </c>
      <c r="BN8" s="1132" t="s">
        <v>523</v>
      </c>
      <c r="BO8" s="1132" t="s">
        <v>524</v>
      </c>
      <c r="BP8" s="1133" t="s">
        <v>434</v>
      </c>
    </row>
    <row r="9" ht="11.25" hidden="1" customHeight="1">
      <c r="A9" s="1164" t="s">
        <v>403</v>
      </c>
      <c r="B9" s="1164" t="s">
        <v>525</v>
      </c>
      <c r="C9" s="1164" t="s">
        <v>460</v>
      </c>
      <c r="D9" s="1164" t="s">
        <v>526</v>
      </c>
      <c r="E9" s="1164" t="s">
        <v>527</v>
      </c>
      <c r="F9" s="1164" t="s">
        <v>528</v>
      </c>
      <c r="G9" s="1164" t="s">
        <v>529</v>
      </c>
      <c r="H9" s="1165">
        <v>1.0</v>
      </c>
      <c r="I9" s="1164" t="s">
        <v>530</v>
      </c>
      <c r="J9" s="1164" t="s">
        <v>531</v>
      </c>
      <c r="K9" s="1164" t="s">
        <v>532</v>
      </c>
      <c r="L9" s="1164" t="s">
        <v>533</v>
      </c>
      <c r="M9" s="1164" t="s">
        <v>534</v>
      </c>
      <c r="N9" s="1164" t="s">
        <v>535</v>
      </c>
      <c r="O9" s="1164" t="s">
        <v>536</v>
      </c>
      <c r="P9" s="1166" t="s">
        <v>194</v>
      </c>
      <c r="Q9" s="1135">
        <v>38292.0</v>
      </c>
      <c r="R9" s="1164" t="s">
        <v>537</v>
      </c>
      <c r="S9" s="1164" t="s">
        <v>194</v>
      </c>
      <c r="T9" s="1164" t="s">
        <v>194</v>
      </c>
      <c r="U9" s="1164" t="s">
        <v>538</v>
      </c>
      <c r="V9" s="1164" t="s">
        <v>194</v>
      </c>
      <c r="W9" s="1164" t="s">
        <v>194</v>
      </c>
      <c r="X9" s="1164" t="s">
        <v>194</v>
      </c>
      <c r="Y9" s="1167" t="s">
        <v>194</v>
      </c>
      <c r="Z9" s="1164" t="s">
        <v>194</v>
      </c>
      <c r="AA9" s="1135">
        <v>38292.0</v>
      </c>
      <c r="AB9" s="1164" t="s">
        <v>539</v>
      </c>
      <c r="AC9" s="1167" t="s">
        <v>194</v>
      </c>
      <c r="AD9" s="1164">
        <v>2.46</v>
      </c>
      <c r="AE9" s="1168" t="s">
        <v>194</v>
      </c>
      <c r="AF9" s="1167" t="s">
        <v>194</v>
      </c>
      <c r="AG9" s="1164" t="s">
        <v>194</v>
      </c>
      <c r="AH9" s="1164" t="s">
        <v>540</v>
      </c>
      <c r="AI9" s="1164" t="s">
        <v>194</v>
      </c>
      <c r="AJ9" s="1164" t="s">
        <v>194</v>
      </c>
      <c r="AK9" s="1165" t="s">
        <v>194</v>
      </c>
      <c r="AL9" s="1164" t="s">
        <v>194</v>
      </c>
      <c r="AM9" s="1167" t="s">
        <v>194</v>
      </c>
      <c r="AN9" s="1164" t="s">
        <v>194</v>
      </c>
      <c r="AO9" s="1169" t="s">
        <v>194</v>
      </c>
      <c r="AP9" s="1167" t="s">
        <v>194</v>
      </c>
      <c r="AQ9" s="1164" t="s">
        <v>194</v>
      </c>
      <c r="AR9" s="1167" t="s">
        <v>194</v>
      </c>
      <c r="AS9" s="1164" t="s">
        <v>194</v>
      </c>
      <c r="AT9" s="1167" t="s">
        <v>194</v>
      </c>
      <c r="AU9" s="1164" t="s">
        <v>194</v>
      </c>
      <c r="AV9" s="1170" t="s">
        <v>194</v>
      </c>
      <c r="AW9" s="1170" t="s">
        <v>194</v>
      </c>
      <c r="AX9" s="1170" t="s">
        <v>194</v>
      </c>
      <c r="AY9" s="1171" t="s">
        <v>194</v>
      </c>
      <c r="AZ9" s="1170" t="s">
        <v>194</v>
      </c>
      <c r="BA9" s="1170" t="s">
        <v>194</v>
      </c>
      <c r="BB9" s="1170" t="s">
        <v>194</v>
      </c>
      <c r="BC9" s="1170" t="s">
        <v>194</v>
      </c>
      <c r="BD9" s="1164" t="s">
        <v>541</v>
      </c>
      <c r="BE9" s="1164" t="s">
        <v>194</v>
      </c>
      <c r="BF9" s="1165" t="s">
        <v>194</v>
      </c>
      <c r="BG9" s="1164" t="s">
        <v>542</v>
      </c>
      <c r="BH9" s="1164" t="s">
        <v>543</v>
      </c>
      <c r="BI9" s="1164" t="s">
        <v>194</v>
      </c>
      <c r="BJ9" s="1164" t="s">
        <v>544</v>
      </c>
      <c r="BK9" s="1166">
        <v>5.0</v>
      </c>
      <c r="BL9" s="1164" t="s">
        <v>545</v>
      </c>
      <c r="BM9" s="1164" t="s">
        <v>194</v>
      </c>
      <c r="BN9" s="1165" t="s">
        <v>546</v>
      </c>
      <c r="BO9" s="1164" t="s">
        <v>547</v>
      </c>
      <c r="BP9" s="1139" t="str">
        <f t="shared" ref="BP9:BP25" si="1">HYPERLINK("https://my.pitchbook.com?i=41134-24", "View Investor Online")</f>
        <v>View Investor Online</v>
      </c>
    </row>
    <row r="10" ht="11.25" hidden="1" customHeight="1">
      <c r="A10" s="1172" t="s">
        <v>403</v>
      </c>
      <c r="B10" s="1172" t="s">
        <v>548</v>
      </c>
      <c r="C10" s="1172" t="s">
        <v>460</v>
      </c>
      <c r="D10" s="1172" t="s">
        <v>549</v>
      </c>
      <c r="E10" s="1172" t="s">
        <v>550</v>
      </c>
      <c r="F10" s="1172" t="s">
        <v>551</v>
      </c>
      <c r="G10" s="1172" t="s">
        <v>116</v>
      </c>
      <c r="H10" s="1173">
        <v>1.0</v>
      </c>
      <c r="I10" s="1172" t="s">
        <v>552</v>
      </c>
      <c r="J10" s="1172" t="s">
        <v>553</v>
      </c>
      <c r="K10" s="1172" t="s">
        <v>554</v>
      </c>
      <c r="L10" s="1172" t="s">
        <v>194</v>
      </c>
      <c r="M10" s="1172" t="s">
        <v>555</v>
      </c>
      <c r="N10" s="1172" t="s">
        <v>535</v>
      </c>
      <c r="O10" s="1172" t="s">
        <v>536</v>
      </c>
      <c r="P10" s="1174" t="s">
        <v>194</v>
      </c>
      <c r="Q10" s="1142">
        <v>43132.0</v>
      </c>
      <c r="R10" s="1172" t="s">
        <v>439</v>
      </c>
      <c r="S10" s="1172" t="s">
        <v>556</v>
      </c>
      <c r="T10" s="1172" t="s">
        <v>194</v>
      </c>
      <c r="U10" s="1172" t="s">
        <v>538</v>
      </c>
      <c r="V10" s="1172" t="s">
        <v>194</v>
      </c>
      <c r="W10" s="1172" t="s">
        <v>194</v>
      </c>
      <c r="X10" s="1172" t="s">
        <v>194</v>
      </c>
      <c r="Y10" s="1175">
        <v>8.0</v>
      </c>
      <c r="Z10" s="1172" t="s">
        <v>557</v>
      </c>
      <c r="AA10" s="1142" t="s">
        <v>194</v>
      </c>
      <c r="AB10" s="1172" t="s">
        <v>194</v>
      </c>
      <c r="AC10" s="1175" t="s">
        <v>194</v>
      </c>
      <c r="AD10" s="1172" t="s">
        <v>194</v>
      </c>
      <c r="AE10" s="1176" t="s">
        <v>194</v>
      </c>
      <c r="AF10" s="1175">
        <v>8.0</v>
      </c>
      <c r="AG10" s="1172" t="s">
        <v>558</v>
      </c>
      <c r="AH10" s="1172" t="s">
        <v>540</v>
      </c>
      <c r="AI10" s="1172" t="s">
        <v>194</v>
      </c>
      <c r="AJ10" s="1172" t="s">
        <v>194</v>
      </c>
      <c r="AK10" s="1173" t="s">
        <v>194</v>
      </c>
      <c r="AL10" s="1172" t="s">
        <v>194</v>
      </c>
      <c r="AM10" s="1175">
        <v>14393.0</v>
      </c>
      <c r="AN10" s="1172" t="s">
        <v>557</v>
      </c>
      <c r="AO10" s="1177" t="s">
        <v>194</v>
      </c>
      <c r="AP10" s="1175" t="s">
        <v>194</v>
      </c>
      <c r="AQ10" s="1172" t="s">
        <v>194</v>
      </c>
      <c r="AR10" s="1175" t="s">
        <v>194</v>
      </c>
      <c r="AS10" s="1172" t="s">
        <v>194</v>
      </c>
      <c r="AT10" s="1175" t="s">
        <v>194</v>
      </c>
      <c r="AU10" s="1172" t="s">
        <v>194</v>
      </c>
      <c r="AV10" s="1178" t="s">
        <v>194</v>
      </c>
      <c r="AW10" s="1178" t="s">
        <v>194</v>
      </c>
      <c r="AX10" s="1178" t="s">
        <v>194</v>
      </c>
      <c r="AY10" s="1179" t="s">
        <v>194</v>
      </c>
      <c r="AZ10" s="1178">
        <v>0.5558257486278052</v>
      </c>
      <c r="BA10" s="1178">
        <v>0.5558257486278052</v>
      </c>
      <c r="BB10" s="1178" t="s">
        <v>194</v>
      </c>
      <c r="BC10" s="1178" t="s">
        <v>194</v>
      </c>
      <c r="BD10" s="1172" t="s">
        <v>559</v>
      </c>
      <c r="BE10" s="1172" t="s">
        <v>560</v>
      </c>
      <c r="BF10" s="1173" t="s">
        <v>561</v>
      </c>
      <c r="BG10" s="1172" t="s">
        <v>562</v>
      </c>
      <c r="BH10" s="1172" t="s">
        <v>543</v>
      </c>
      <c r="BI10" s="1172" t="s">
        <v>194</v>
      </c>
      <c r="BJ10" s="1172" t="s">
        <v>544</v>
      </c>
      <c r="BK10" s="1174">
        <v>5.0</v>
      </c>
      <c r="BL10" s="1172" t="s">
        <v>545</v>
      </c>
      <c r="BM10" s="1172" t="s">
        <v>194</v>
      </c>
      <c r="BN10" s="1173" t="s">
        <v>546</v>
      </c>
      <c r="BO10" s="1172" t="s">
        <v>547</v>
      </c>
      <c r="BP10" s="1180" t="str">
        <f t="shared" si="1"/>
        <v>View Investor Online</v>
      </c>
    </row>
    <row r="11" ht="11.25" hidden="1" customHeight="1">
      <c r="A11" s="1164" t="s">
        <v>403</v>
      </c>
      <c r="B11" s="1164" t="s">
        <v>563</v>
      </c>
      <c r="C11" s="1164" t="s">
        <v>460</v>
      </c>
      <c r="D11" s="1164" t="s">
        <v>564</v>
      </c>
      <c r="E11" s="1164" t="s">
        <v>565</v>
      </c>
      <c r="F11" s="1164" t="s">
        <v>566</v>
      </c>
      <c r="G11" s="1164" t="s">
        <v>116</v>
      </c>
      <c r="H11" s="1165">
        <v>6.0</v>
      </c>
      <c r="I11" s="1164" t="s">
        <v>567</v>
      </c>
      <c r="J11" s="1164" t="s">
        <v>568</v>
      </c>
      <c r="K11" s="1164" t="s">
        <v>569</v>
      </c>
      <c r="L11" s="1164" t="s">
        <v>570</v>
      </c>
      <c r="M11" s="1164" t="s">
        <v>571</v>
      </c>
      <c r="N11" s="1164" t="s">
        <v>535</v>
      </c>
      <c r="O11" s="1164" t="s">
        <v>536</v>
      </c>
      <c r="P11" s="1166">
        <v>900.0</v>
      </c>
      <c r="Q11" s="1135">
        <v>42956.0</v>
      </c>
      <c r="R11" s="1164" t="s">
        <v>439</v>
      </c>
      <c r="S11" s="1164" t="s">
        <v>194</v>
      </c>
      <c r="T11" s="1164" t="s">
        <v>194</v>
      </c>
      <c r="U11" s="1164" t="s">
        <v>538</v>
      </c>
      <c r="V11" s="1164" t="s">
        <v>194</v>
      </c>
      <c r="W11" s="1164" t="s">
        <v>194</v>
      </c>
      <c r="X11" s="1164" t="s">
        <v>194</v>
      </c>
      <c r="Y11" s="1167">
        <v>2244.32</v>
      </c>
      <c r="Z11" s="1164" t="s">
        <v>557</v>
      </c>
      <c r="AA11" s="1135" t="s">
        <v>194</v>
      </c>
      <c r="AB11" s="1164" t="s">
        <v>194</v>
      </c>
      <c r="AC11" s="1167" t="s">
        <v>194</v>
      </c>
      <c r="AD11" s="1164" t="s">
        <v>194</v>
      </c>
      <c r="AE11" s="1168" t="s">
        <v>194</v>
      </c>
      <c r="AF11" s="1167">
        <v>2651.05</v>
      </c>
      <c r="AG11" s="1164" t="s">
        <v>557</v>
      </c>
      <c r="AH11" s="1164" t="s">
        <v>540</v>
      </c>
      <c r="AI11" s="1164" t="s">
        <v>572</v>
      </c>
      <c r="AJ11" s="1164" t="s">
        <v>194</v>
      </c>
      <c r="AK11" s="1165" t="s">
        <v>573</v>
      </c>
      <c r="AL11" s="1164" t="s">
        <v>194</v>
      </c>
      <c r="AM11" s="1167">
        <v>284585.0</v>
      </c>
      <c r="AN11" s="1164" t="s">
        <v>557</v>
      </c>
      <c r="AO11" s="1169">
        <v>5.081547726744029</v>
      </c>
      <c r="AP11" s="1167">
        <v>212791.0</v>
      </c>
      <c r="AQ11" s="1164" t="s">
        <v>557</v>
      </c>
      <c r="AR11" s="1167">
        <v>-69051.0</v>
      </c>
      <c r="AS11" s="1164" t="s">
        <v>557</v>
      </c>
      <c r="AT11" s="1167">
        <v>-27077.0</v>
      </c>
      <c r="AU11" s="1164" t="s">
        <v>557</v>
      </c>
      <c r="AV11" s="1170" t="s">
        <v>194</v>
      </c>
      <c r="AW11" s="1170" t="s">
        <v>194</v>
      </c>
      <c r="AX11" s="1170">
        <v>-82.88673864033953</v>
      </c>
      <c r="AY11" s="1171">
        <v>-82.88673864033953</v>
      </c>
      <c r="AZ11" s="1170">
        <v>7.886305399667845</v>
      </c>
      <c r="BA11" s="1170">
        <v>7.886305399667845</v>
      </c>
      <c r="BB11" s="1170">
        <v>-337.94973982298956</v>
      </c>
      <c r="BC11" s="1170">
        <v>-337.94973982298956</v>
      </c>
      <c r="BD11" s="1164" t="s">
        <v>574</v>
      </c>
      <c r="BE11" s="1164" t="s">
        <v>575</v>
      </c>
      <c r="BF11" s="1165" t="s">
        <v>576</v>
      </c>
      <c r="BG11" s="1164" t="s">
        <v>562</v>
      </c>
      <c r="BH11" s="1164" t="s">
        <v>543</v>
      </c>
      <c r="BI11" s="1164" t="s">
        <v>194</v>
      </c>
      <c r="BJ11" s="1164" t="s">
        <v>544</v>
      </c>
      <c r="BK11" s="1166">
        <v>5.0</v>
      </c>
      <c r="BL11" s="1164" t="s">
        <v>545</v>
      </c>
      <c r="BM11" s="1164" t="s">
        <v>194</v>
      </c>
      <c r="BN11" s="1165" t="s">
        <v>546</v>
      </c>
      <c r="BO11" s="1164" t="s">
        <v>547</v>
      </c>
      <c r="BP11" s="1139" t="str">
        <f t="shared" si="1"/>
        <v>View Investor Online</v>
      </c>
    </row>
    <row r="12" ht="11.25" hidden="1" customHeight="1">
      <c r="A12" s="1164" t="s">
        <v>403</v>
      </c>
      <c r="B12" s="1164" t="s">
        <v>577</v>
      </c>
      <c r="C12" s="1164" t="s">
        <v>460</v>
      </c>
      <c r="D12" s="1164" t="s">
        <v>578</v>
      </c>
      <c r="E12" s="1164" t="s">
        <v>579</v>
      </c>
      <c r="F12" s="1164" t="s">
        <v>580</v>
      </c>
      <c r="G12" s="1164" t="s">
        <v>116</v>
      </c>
      <c r="H12" s="1165">
        <v>1.0</v>
      </c>
      <c r="I12" s="1164" t="s">
        <v>567</v>
      </c>
      <c r="J12" s="1164" t="s">
        <v>581</v>
      </c>
      <c r="K12" s="1164" t="s">
        <v>581</v>
      </c>
      <c r="L12" s="1164" t="s">
        <v>533</v>
      </c>
      <c r="M12" s="1164" t="s">
        <v>582</v>
      </c>
      <c r="N12" s="1164" t="s">
        <v>535</v>
      </c>
      <c r="O12" s="1164" t="s">
        <v>536</v>
      </c>
      <c r="P12" s="1166">
        <v>86.0</v>
      </c>
      <c r="Q12" s="1135">
        <v>42934.0</v>
      </c>
      <c r="R12" s="1164" t="s">
        <v>439</v>
      </c>
      <c r="S12" s="1164" t="s">
        <v>194</v>
      </c>
      <c r="T12" s="1164" t="s">
        <v>194</v>
      </c>
      <c r="U12" s="1164" t="s">
        <v>538</v>
      </c>
      <c r="V12" s="1164" t="s">
        <v>194</v>
      </c>
      <c r="W12" s="1164" t="s">
        <v>194</v>
      </c>
      <c r="X12" s="1164" t="s">
        <v>194</v>
      </c>
      <c r="Y12" s="1167" t="s">
        <v>194</v>
      </c>
      <c r="Z12" s="1164" t="s">
        <v>194</v>
      </c>
      <c r="AA12" s="1135" t="s">
        <v>194</v>
      </c>
      <c r="AB12" s="1164" t="s">
        <v>194</v>
      </c>
      <c r="AC12" s="1167" t="s">
        <v>194</v>
      </c>
      <c r="AD12" s="1164" t="s">
        <v>194</v>
      </c>
      <c r="AE12" s="1168" t="s">
        <v>194</v>
      </c>
      <c r="AF12" s="1167" t="s">
        <v>194</v>
      </c>
      <c r="AG12" s="1164" t="s">
        <v>194</v>
      </c>
      <c r="AH12" s="1164" t="s">
        <v>540</v>
      </c>
      <c r="AI12" s="1164" t="s">
        <v>583</v>
      </c>
      <c r="AJ12" s="1164" t="s">
        <v>584</v>
      </c>
      <c r="AK12" s="1165" t="s">
        <v>573</v>
      </c>
      <c r="AL12" s="1164" t="s">
        <v>194</v>
      </c>
      <c r="AM12" s="1167" t="s">
        <v>194</v>
      </c>
      <c r="AN12" s="1164" t="s">
        <v>194</v>
      </c>
      <c r="AO12" s="1169" t="s">
        <v>194</v>
      </c>
      <c r="AP12" s="1167" t="s">
        <v>194</v>
      </c>
      <c r="AQ12" s="1164" t="s">
        <v>194</v>
      </c>
      <c r="AR12" s="1167" t="s">
        <v>194</v>
      </c>
      <c r="AS12" s="1164" t="s">
        <v>194</v>
      </c>
      <c r="AT12" s="1167" t="s">
        <v>194</v>
      </c>
      <c r="AU12" s="1164" t="s">
        <v>194</v>
      </c>
      <c r="AV12" s="1170" t="s">
        <v>194</v>
      </c>
      <c r="AW12" s="1170" t="s">
        <v>194</v>
      </c>
      <c r="AX12" s="1170" t="s">
        <v>194</v>
      </c>
      <c r="AY12" s="1171" t="s">
        <v>194</v>
      </c>
      <c r="AZ12" s="1170" t="s">
        <v>194</v>
      </c>
      <c r="BA12" s="1170" t="s">
        <v>194</v>
      </c>
      <c r="BB12" s="1170" t="s">
        <v>194</v>
      </c>
      <c r="BC12" s="1170" t="s">
        <v>194</v>
      </c>
      <c r="BD12" s="1164" t="s">
        <v>585</v>
      </c>
      <c r="BE12" s="1164" t="s">
        <v>194</v>
      </c>
      <c r="BF12" s="1165" t="s">
        <v>586</v>
      </c>
      <c r="BG12" s="1164" t="s">
        <v>587</v>
      </c>
      <c r="BH12" s="1164" t="s">
        <v>543</v>
      </c>
      <c r="BI12" s="1164" t="s">
        <v>194</v>
      </c>
      <c r="BJ12" s="1164" t="s">
        <v>544</v>
      </c>
      <c r="BK12" s="1166">
        <v>5.0</v>
      </c>
      <c r="BL12" s="1164" t="s">
        <v>545</v>
      </c>
      <c r="BM12" s="1164" t="s">
        <v>194</v>
      </c>
      <c r="BN12" s="1165" t="s">
        <v>546</v>
      </c>
      <c r="BO12" s="1164" t="s">
        <v>547</v>
      </c>
      <c r="BP12" s="1139" t="str">
        <f t="shared" si="1"/>
        <v>View Investor Online</v>
      </c>
    </row>
    <row r="13" ht="11.25" hidden="1" customHeight="1">
      <c r="A13" s="1164" t="s">
        <v>403</v>
      </c>
      <c r="B13" s="1164" t="s">
        <v>588</v>
      </c>
      <c r="C13" s="1164" t="s">
        <v>460</v>
      </c>
      <c r="D13" s="1164" t="s">
        <v>589</v>
      </c>
      <c r="E13" s="1164" t="s">
        <v>590</v>
      </c>
      <c r="F13" s="1164" t="s">
        <v>591</v>
      </c>
      <c r="G13" s="1164" t="s">
        <v>592</v>
      </c>
      <c r="H13" s="1165">
        <v>6.0</v>
      </c>
      <c r="I13" s="1164" t="s">
        <v>567</v>
      </c>
      <c r="J13" s="1164" t="s">
        <v>593</v>
      </c>
      <c r="K13" s="1164" t="s">
        <v>594</v>
      </c>
      <c r="L13" s="1164" t="s">
        <v>595</v>
      </c>
      <c r="M13" s="1164" t="s">
        <v>596</v>
      </c>
      <c r="N13" s="1164" t="s">
        <v>535</v>
      </c>
      <c r="O13" s="1164" t="s">
        <v>597</v>
      </c>
      <c r="P13" s="1166">
        <v>184.0</v>
      </c>
      <c r="Q13" s="1135">
        <v>43280.0</v>
      </c>
      <c r="R13" s="1164" t="s">
        <v>598</v>
      </c>
      <c r="S13" s="1164" t="s">
        <v>599</v>
      </c>
      <c r="T13" s="1164" t="s">
        <v>194</v>
      </c>
      <c r="U13" s="1164" t="s">
        <v>600</v>
      </c>
      <c r="V13" s="1164" t="s">
        <v>194</v>
      </c>
      <c r="W13" s="1164" t="s">
        <v>194</v>
      </c>
      <c r="X13" s="1164" t="s">
        <v>194</v>
      </c>
      <c r="Y13" s="1167">
        <v>290.61</v>
      </c>
      <c r="Z13" s="1164" t="s">
        <v>557</v>
      </c>
      <c r="AA13" s="1135" t="s">
        <v>194</v>
      </c>
      <c r="AB13" s="1164" t="s">
        <v>194</v>
      </c>
      <c r="AC13" s="1167" t="s">
        <v>194</v>
      </c>
      <c r="AD13" s="1164" t="s">
        <v>194</v>
      </c>
      <c r="AE13" s="1168">
        <v>681.19</v>
      </c>
      <c r="AF13" s="1167">
        <v>971.8</v>
      </c>
      <c r="AG13" s="1164" t="s">
        <v>557</v>
      </c>
      <c r="AH13" s="1164" t="s">
        <v>540</v>
      </c>
      <c r="AI13" s="1164" t="s">
        <v>601</v>
      </c>
      <c r="AJ13" s="1164" t="s">
        <v>602</v>
      </c>
      <c r="AK13" s="1165" t="s">
        <v>573</v>
      </c>
      <c r="AL13" s="1164" t="s">
        <v>194</v>
      </c>
      <c r="AM13" s="1167" t="s">
        <v>194</v>
      </c>
      <c r="AN13" s="1164" t="s">
        <v>194</v>
      </c>
      <c r="AO13" s="1169" t="s">
        <v>194</v>
      </c>
      <c r="AP13" s="1167" t="s">
        <v>194</v>
      </c>
      <c r="AQ13" s="1164" t="s">
        <v>194</v>
      </c>
      <c r="AR13" s="1167" t="s">
        <v>194</v>
      </c>
      <c r="AS13" s="1164" t="s">
        <v>194</v>
      </c>
      <c r="AT13" s="1167" t="s">
        <v>194</v>
      </c>
      <c r="AU13" s="1164" t="s">
        <v>194</v>
      </c>
      <c r="AV13" s="1170" t="s">
        <v>194</v>
      </c>
      <c r="AW13" s="1170" t="s">
        <v>194</v>
      </c>
      <c r="AX13" s="1170" t="s">
        <v>194</v>
      </c>
      <c r="AY13" s="1171" t="s">
        <v>194</v>
      </c>
      <c r="AZ13" s="1170" t="s">
        <v>194</v>
      </c>
      <c r="BA13" s="1170" t="s">
        <v>194</v>
      </c>
      <c r="BB13" s="1170" t="s">
        <v>194</v>
      </c>
      <c r="BC13" s="1170" t="s">
        <v>194</v>
      </c>
      <c r="BD13" s="1164" t="s">
        <v>603</v>
      </c>
      <c r="BE13" s="1164" t="s">
        <v>604</v>
      </c>
      <c r="BF13" s="1165" t="s">
        <v>605</v>
      </c>
      <c r="BG13" s="1164" t="s">
        <v>562</v>
      </c>
      <c r="BH13" s="1164" t="s">
        <v>543</v>
      </c>
      <c r="BI13" s="1164" t="s">
        <v>194</v>
      </c>
      <c r="BJ13" s="1164" t="s">
        <v>544</v>
      </c>
      <c r="BK13" s="1166">
        <v>5.0</v>
      </c>
      <c r="BL13" s="1164" t="s">
        <v>545</v>
      </c>
      <c r="BM13" s="1164" t="s">
        <v>194</v>
      </c>
      <c r="BN13" s="1165" t="s">
        <v>546</v>
      </c>
      <c r="BO13" s="1164" t="s">
        <v>547</v>
      </c>
      <c r="BP13" s="1139" t="str">
        <f t="shared" si="1"/>
        <v>View Investor Online</v>
      </c>
    </row>
    <row r="14" ht="11.25" hidden="1" customHeight="1">
      <c r="A14" s="1172" t="s">
        <v>403</v>
      </c>
      <c r="B14" s="1172" t="s">
        <v>606</v>
      </c>
      <c r="C14" s="1172" t="s">
        <v>460</v>
      </c>
      <c r="D14" s="1172" t="s">
        <v>607</v>
      </c>
      <c r="E14" s="1172" t="s">
        <v>608</v>
      </c>
      <c r="F14" s="1172" t="s">
        <v>609</v>
      </c>
      <c r="G14" s="1172" t="s">
        <v>116</v>
      </c>
      <c r="H14" s="1173">
        <v>1.0</v>
      </c>
      <c r="I14" s="1172" t="s">
        <v>567</v>
      </c>
      <c r="J14" s="1172" t="s">
        <v>610</v>
      </c>
      <c r="K14" s="1172" t="s">
        <v>611</v>
      </c>
      <c r="L14" s="1172" t="s">
        <v>612</v>
      </c>
      <c r="M14" s="1172" t="s">
        <v>613</v>
      </c>
      <c r="N14" s="1172" t="s">
        <v>535</v>
      </c>
      <c r="O14" s="1172" t="s">
        <v>536</v>
      </c>
      <c r="P14" s="1174" t="s">
        <v>194</v>
      </c>
      <c r="Q14" s="1142">
        <v>42920.0</v>
      </c>
      <c r="R14" s="1172" t="s">
        <v>439</v>
      </c>
      <c r="S14" s="1172" t="s">
        <v>194</v>
      </c>
      <c r="T14" s="1172" t="s">
        <v>194</v>
      </c>
      <c r="U14" s="1172" t="s">
        <v>538</v>
      </c>
      <c r="V14" s="1172" t="s">
        <v>194</v>
      </c>
      <c r="W14" s="1172" t="s">
        <v>194</v>
      </c>
      <c r="X14" s="1172" t="s">
        <v>194</v>
      </c>
      <c r="Y14" s="1175" t="s">
        <v>194</v>
      </c>
      <c r="Z14" s="1172" t="s">
        <v>194</v>
      </c>
      <c r="AA14" s="1142" t="s">
        <v>194</v>
      </c>
      <c r="AB14" s="1172" t="s">
        <v>194</v>
      </c>
      <c r="AC14" s="1175" t="s">
        <v>194</v>
      </c>
      <c r="AD14" s="1172" t="s">
        <v>194</v>
      </c>
      <c r="AE14" s="1176" t="s">
        <v>194</v>
      </c>
      <c r="AF14" s="1175" t="s">
        <v>194</v>
      </c>
      <c r="AG14" s="1172" t="s">
        <v>194</v>
      </c>
      <c r="AH14" s="1172" t="s">
        <v>540</v>
      </c>
      <c r="AI14" s="1172" t="s">
        <v>614</v>
      </c>
      <c r="AJ14" s="1172" t="s">
        <v>194</v>
      </c>
      <c r="AK14" s="1173" t="s">
        <v>573</v>
      </c>
      <c r="AL14" s="1172" t="s">
        <v>194</v>
      </c>
      <c r="AM14" s="1175" t="s">
        <v>194</v>
      </c>
      <c r="AN14" s="1172" t="s">
        <v>194</v>
      </c>
      <c r="AO14" s="1177" t="s">
        <v>194</v>
      </c>
      <c r="AP14" s="1175" t="s">
        <v>194</v>
      </c>
      <c r="AQ14" s="1172" t="s">
        <v>194</v>
      </c>
      <c r="AR14" s="1175" t="s">
        <v>194</v>
      </c>
      <c r="AS14" s="1172" t="s">
        <v>194</v>
      </c>
      <c r="AT14" s="1175" t="s">
        <v>194</v>
      </c>
      <c r="AU14" s="1172" t="s">
        <v>194</v>
      </c>
      <c r="AV14" s="1178" t="s">
        <v>194</v>
      </c>
      <c r="AW14" s="1178" t="s">
        <v>194</v>
      </c>
      <c r="AX14" s="1178" t="s">
        <v>194</v>
      </c>
      <c r="AY14" s="1179" t="s">
        <v>194</v>
      </c>
      <c r="AZ14" s="1178" t="s">
        <v>194</v>
      </c>
      <c r="BA14" s="1178" t="s">
        <v>194</v>
      </c>
      <c r="BB14" s="1178" t="s">
        <v>194</v>
      </c>
      <c r="BC14" s="1178" t="s">
        <v>194</v>
      </c>
      <c r="BD14" s="1172" t="s">
        <v>615</v>
      </c>
      <c r="BE14" s="1172" t="s">
        <v>616</v>
      </c>
      <c r="BF14" s="1173" t="s">
        <v>617</v>
      </c>
      <c r="BG14" s="1172" t="s">
        <v>618</v>
      </c>
      <c r="BH14" s="1172" t="s">
        <v>543</v>
      </c>
      <c r="BI14" s="1172" t="s">
        <v>194</v>
      </c>
      <c r="BJ14" s="1172" t="s">
        <v>544</v>
      </c>
      <c r="BK14" s="1174">
        <v>5.0</v>
      </c>
      <c r="BL14" s="1172" t="s">
        <v>545</v>
      </c>
      <c r="BM14" s="1172" t="s">
        <v>194</v>
      </c>
      <c r="BN14" s="1173" t="s">
        <v>546</v>
      </c>
      <c r="BO14" s="1172" t="s">
        <v>547</v>
      </c>
      <c r="BP14" s="1180" t="str">
        <f t="shared" si="1"/>
        <v>View Investor Online</v>
      </c>
    </row>
    <row r="15" ht="11.25" hidden="1" customHeight="1">
      <c r="A15" s="1164" t="s">
        <v>403</v>
      </c>
      <c r="B15" s="1164" t="s">
        <v>619</v>
      </c>
      <c r="C15" s="1164" t="s">
        <v>460</v>
      </c>
      <c r="D15" s="1164" t="s">
        <v>620</v>
      </c>
      <c r="E15" s="1164" t="s">
        <v>621</v>
      </c>
      <c r="F15" s="1164" t="s">
        <v>622</v>
      </c>
      <c r="G15" s="1164" t="s">
        <v>116</v>
      </c>
      <c r="H15" s="1165">
        <v>2.0</v>
      </c>
      <c r="I15" s="1164" t="s">
        <v>530</v>
      </c>
      <c r="J15" s="1164" t="s">
        <v>531</v>
      </c>
      <c r="K15" s="1164" t="s">
        <v>623</v>
      </c>
      <c r="L15" s="1164" t="s">
        <v>624</v>
      </c>
      <c r="M15" s="1164" t="s">
        <v>625</v>
      </c>
      <c r="N15" s="1164" t="s">
        <v>535</v>
      </c>
      <c r="O15" s="1164" t="s">
        <v>626</v>
      </c>
      <c r="P15" s="1166" t="s">
        <v>194</v>
      </c>
      <c r="Q15" s="1135">
        <v>43063.0</v>
      </c>
      <c r="R15" s="1164" t="s">
        <v>439</v>
      </c>
      <c r="S15" s="1164" t="s">
        <v>194</v>
      </c>
      <c r="T15" s="1164" t="s">
        <v>194</v>
      </c>
      <c r="U15" s="1164" t="s">
        <v>538</v>
      </c>
      <c r="V15" s="1164" t="s">
        <v>194</v>
      </c>
      <c r="W15" s="1164" t="s">
        <v>194</v>
      </c>
      <c r="X15" s="1164" t="s">
        <v>194</v>
      </c>
      <c r="Y15" s="1167" t="s">
        <v>194</v>
      </c>
      <c r="Z15" s="1164" t="s">
        <v>194</v>
      </c>
      <c r="AA15" s="1135" t="s">
        <v>194</v>
      </c>
      <c r="AB15" s="1164" t="s">
        <v>194</v>
      </c>
      <c r="AC15" s="1167" t="s">
        <v>194</v>
      </c>
      <c r="AD15" s="1164" t="s">
        <v>194</v>
      </c>
      <c r="AE15" s="1168" t="s">
        <v>194</v>
      </c>
      <c r="AF15" s="1167" t="s">
        <v>194</v>
      </c>
      <c r="AG15" s="1164" t="s">
        <v>194</v>
      </c>
      <c r="AH15" s="1164" t="s">
        <v>540</v>
      </c>
      <c r="AI15" s="1164" t="s">
        <v>194</v>
      </c>
      <c r="AJ15" s="1164" t="s">
        <v>194</v>
      </c>
      <c r="AK15" s="1165" t="s">
        <v>194</v>
      </c>
      <c r="AL15" s="1164" t="s">
        <v>194</v>
      </c>
      <c r="AM15" s="1167" t="s">
        <v>194</v>
      </c>
      <c r="AN15" s="1164" t="s">
        <v>194</v>
      </c>
      <c r="AO15" s="1169" t="s">
        <v>194</v>
      </c>
      <c r="AP15" s="1167" t="s">
        <v>194</v>
      </c>
      <c r="AQ15" s="1164" t="s">
        <v>194</v>
      </c>
      <c r="AR15" s="1167" t="s">
        <v>194</v>
      </c>
      <c r="AS15" s="1164" t="s">
        <v>194</v>
      </c>
      <c r="AT15" s="1167" t="s">
        <v>194</v>
      </c>
      <c r="AU15" s="1164" t="s">
        <v>194</v>
      </c>
      <c r="AV15" s="1170" t="s">
        <v>194</v>
      </c>
      <c r="AW15" s="1170" t="s">
        <v>194</v>
      </c>
      <c r="AX15" s="1170" t="s">
        <v>194</v>
      </c>
      <c r="AY15" s="1171" t="s">
        <v>194</v>
      </c>
      <c r="AZ15" s="1170" t="s">
        <v>194</v>
      </c>
      <c r="BA15" s="1170" t="s">
        <v>194</v>
      </c>
      <c r="BB15" s="1170" t="s">
        <v>194</v>
      </c>
      <c r="BC15" s="1170" t="s">
        <v>194</v>
      </c>
      <c r="BD15" s="1164" t="s">
        <v>627</v>
      </c>
      <c r="BE15" s="1164" t="s">
        <v>628</v>
      </c>
      <c r="BF15" s="1165" t="s">
        <v>629</v>
      </c>
      <c r="BG15" s="1164" t="s">
        <v>562</v>
      </c>
      <c r="BH15" s="1164" t="s">
        <v>543</v>
      </c>
      <c r="BI15" s="1164" t="s">
        <v>194</v>
      </c>
      <c r="BJ15" s="1164" t="s">
        <v>544</v>
      </c>
      <c r="BK15" s="1166">
        <v>5.0</v>
      </c>
      <c r="BL15" s="1164" t="s">
        <v>545</v>
      </c>
      <c r="BM15" s="1164" t="s">
        <v>194</v>
      </c>
      <c r="BN15" s="1165" t="s">
        <v>546</v>
      </c>
      <c r="BO15" s="1164" t="s">
        <v>547</v>
      </c>
      <c r="BP15" s="1139" t="str">
        <f t="shared" si="1"/>
        <v>View Investor Online</v>
      </c>
    </row>
    <row r="16" ht="11.25" hidden="1" customHeight="1">
      <c r="A16" s="1172" t="s">
        <v>403</v>
      </c>
      <c r="B16" s="1172" t="s">
        <v>630</v>
      </c>
      <c r="C16" s="1172" t="s">
        <v>460</v>
      </c>
      <c r="D16" s="1172" t="s">
        <v>631</v>
      </c>
      <c r="E16" s="1172" t="s">
        <v>632</v>
      </c>
      <c r="F16" s="1172" t="s">
        <v>633</v>
      </c>
      <c r="G16" s="1172" t="s">
        <v>529</v>
      </c>
      <c r="H16" s="1173">
        <v>1.0</v>
      </c>
      <c r="I16" s="1172" t="s">
        <v>530</v>
      </c>
      <c r="J16" s="1172" t="s">
        <v>634</v>
      </c>
      <c r="K16" s="1172" t="s">
        <v>635</v>
      </c>
      <c r="L16" s="1172" t="s">
        <v>636</v>
      </c>
      <c r="M16" s="1172" t="s">
        <v>637</v>
      </c>
      <c r="N16" s="1172" t="s">
        <v>638</v>
      </c>
      <c r="O16" s="1172" t="s">
        <v>536</v>
      </c>
      <c r="P16" s="1174">
        <v>23247.0</v>
      </c>
      <c r="Q16" s="1142">
        <v>30682.0</v>
      </c>
      <c r="R16" s="1172" t="s">
        <v>639</v>
      </c>
      <c r="S16" s="1172" t="s">
        <v>194</v>
      </c>
      <c r="T16" s="1172" t="s">
        <v>194</v>
      </c>
      <c r="U16" s="1172" t="s">
        <v>640</v>
      </c>
      <c r="V16" s="1172" t="s">
        <v>194</v>
      </c>
      <c r="W16" s="1172" t="s">
        <v>194</v>
      </c>
      <c r="X16" s="1172" t="s">
        <v>194</v>
      </c>
      <c r="Y16" s="1175" t="s">
        <v>194</v>
      </c>
      <c r="Z16" s="1172" t="s">
        <v>194</v>
      </c>
      <c r="AA16" s="1142">
        <v>30682.0</v>
      </c>
      <c r="AB16" s="1172" t="s">
        <v>641</v>
      </c>
      <c r="AC16" s="1175" t="s">
        <v>194</v>
      </c>
      <c r="AD16" s="1172">
        <v>16.01</v>
      </c>
      <c r="AE16" s="1176" t="s">
        <v>194</v>
      </c>
      <c r="AF16" s="1175" t="s">
        <v>194</v>
      </c>
      <c r="AG16" s="1172" t="s">
        <v>194</v>
      </c>
      <c r="AH16" s="1172" t="s">
        <v>540</v>
      </c>
      <c r="AI16" s="1172" t="s">
        <v>194</v>
      </c>
      <c r="AJ16" s="1172" t="s">
        <v>194</v>
      </c>
      <c r="AK16" s="1173" t="s">
        <v>194</v>
      </c>
      <c r="AL16" s="1172" t="s">
        <v>194</v>
      </c>
      <c r="AM16" s="1175" t="s">
        <v>194</v>
      </c>
      <c r="AN16" s="1172" t="s">
        <v>194</v>
      </c>
      <c r="AO16" s="1177" t="s">
        <v>194</v>
      </c>
      <c r="AP16" s="1175" t="s">
        <v>194</v>
      </c>
      <c r="AQ16" s="1172" t="s">
        <v>194</v>
      </c>
      <c r="AR16" s="1175" t="s">
        <v>194</v>
      </c>
      <c r="AS16" s="1172" t="s">
        <v>194</v>
      </c>
      <c r="AT16" s="1175" t="s">
        <v>194</v>
      </c>
      <c r="AU16" s="1172" t="s">
        <v>194</v>
      </c>
      <c r="AV16" s="1178" t="s">
        <v>194</v>
      </c>
      <c r="AW16" s="1178" t="s">
        <v>194</v>
      </c>
      <c r="AX16" s="1178" t="s">
        <v>194</v>
      </c>
      <c r="AY16" s="1179" t="s">
        <v>194</v>
      </c>
      <c r="AZ16" s="1178" t="s">
        <v>194</v>
      </c>
      <c r="BA16" s="1178" t="s">
        <v>194</v>
      </c>
      <c r="BB16" s="1178" t="s">
        <v>194</v>
      </c>
      <c r="BC16" s="1178" t="s">
        <v>194</v>
      </c>
      <c r="BD16" s="1172" t="s">
        <v>642</v>
      </c>
      <c r="BE16" s="1172" t="s">
        <v>194</v>
      </c>
      <c r="BF16" s="1173" t="s">
        <v>643</v>
      </c>
      <c r="BG16" s="1172" t="s">
        <v>547</v>
      </c>
      <c r="BH16" s="1172" t="s">
        <v>543</v>
      </c>
      <c r="BI16" s="1172" t="s">
        <v>194</v>
      </c>
      <c r="BJ16" s="1172" t="s">
        <v>544</v>
      </c>
      <c r="BK16" s="1174">
        <v>5.0</v>
      </c>
      <c r="BL16" s="1172" t="s">
        <v>545</v>
      </c>
      <c r="BM16" s="1172" t="s">
        <v>194</v>
      </c>
      <c r="BN16" s="1173" t="s">
        <v>546</v>
      </c>
      <c r="BO16" s="1172" t="s">
        <v>547</v>
      </c>
      <c r="BP16" s="1180" t="str">
        <f t="shared" si="1"/>
        <v>View Investor Online</v>
      </c>
    </row>
    <row r="17" ht="11.25" hidden="1" customHeight="1">
      <c r="A17" s="1172" t="s">
        <v>403</v>
      </c>
      <c r="B17" s="1172" t="s">
        <v>644</v>
      </c>
      <c r="C17" s="1172" t="s">
        <v>460</v>
      </c>
      <c r="D17" s="1172" t="s">
        <v>645</v>
      </c>
      <c r="E17" s="1172" t="s">
        <v>646</v>
      </c>
      <c r="F17" s="1172" t="s">
        <v>647</v>
      </c>
      <c r="G17" s="1172" t="s">
        <v>116</v>
      </c>
      <c r="H17" s="1173">
        <v>1.0</v>
      </c>
      <c r="I17" s="1172" t="s">
        <v>567</v>
      </c>
      <c r="J17" s="1172" t="s">
        <v>581</v>
      </c>
      <c r="K17" s="1172" t="s">
        <v>581</v>
      </c>
      <c r="L17" s="1172" t="s">
        <v>194</v>
      </c>
      <c r="M17" s="1172" t="s">
        <v>648</v>
      </c>
      <c r="N17" s="1172" t="s">
        <v>535</v>
      </c>
      <c r="O17" s="1172" t="s">
        <v>536</v>
      </c>
      <c r="P17" s="1174" t="s">
        <v>194</v>
      </c>
      <c r="Q17" s="1142">
        <v>42916.0</v>
      </c>
      <c r="R17" s="1172" t="s">
        <v>439</v>
      </c>
      <c r="S17" s="1172" t="s">
        <v>194</v>
      </c>
      <c r="T17" s="1172" t="s">
        <v>194</v>
      </c>
      <c r="U17" s="1172" t="s">
        <v>538</v>
      </c>
      <c r="V17" s="1172" t="s">
        <v>194</v>
      </c>
      <c r="W17" s="1172" t="s">
        <v>194</v>
      </c>
      <c r="X17" s="1172" t="s">
        <v>194</v>
      </c>
      <c r="Y17" s="1175" t="s">
        <v>194</v>
      </c>
      <c r="Z17" s="1172" t="s">
        <v>194</v>
      </c>
      <c r="AA17" s="1142" t="s">
        <v>194</v>
      </c>
      <c r="AB17" s="1172" t="s">
        <v>194</v>
      </c>
      <c r="AC17" s="1175" t="s">
        <v>194</v>
      </c>
      <c r="AD17" s="1172" t="s">
        <v>194</v>
      </c>
      <c r="AE17" s="1176" t="s">
        <v>194</v>
      </c>
      <c r="AF17" s="1175" t="s">
        <v>194</v>
      </c>
      <c r="AG17" s="1172" t="s">
        <v>194</v>
      </c>
      <c r="AH17" s="1172" t="s">
        <v>540</v>
      </c>
      <c r="AI17" s="1172" t="s">
        <v>649</v>
      </c>
      <c r="AJ17" s="1172" t="s">
        <v>194</v>
      </c>
      <c r="AK17" s="1173" t="s">
        <v>194</v>
      </c>
      <c r="AL17" s="1172" t="s">
        <v>194</v>
      </c>
      <c r="AM17" s="1175" t="s">
        <v>194</v>
      </c>
      <c r="AN17" s="1172" t="s">
        <v>194</v>
      </c>
      <c r="AO17" s="1177" t="s">
        <v>194</v>
      </c>
      <c r="AP17" s="1175" t="s">
        <v>194</v>
      </c>
      <c r="AQ17" s="1172" t="s">
        <v>194</v>
      </c>
      <c r="AR17" s="1175" t="s">
        <v>194</v>
      </c>
      <c r="AS17" s="1172" t="s">
        <v>194</v>
      </c>
      <c r="AT17" s="1175" t="s">
        <v>194</v>
      </c>
      <c r="AU17" s="1172" t="s">
        <v>194</v>
      </c>
      <c r="AV17" s="1178" t="s">
        <v>194</v>
      </c>
      <c r="AW17" s="1178" t="s">
        <v>194</v>
      </c>
      <c r="AX17" s="1178" t="s">
        <v>194</v>
      </c>
      <c r="AY17" s="1179" t="s">
        <v>194</v>
      </c>
      <c r="AZ17" s="1178" t="s">
        <v>194</v>
      </c>
      <c r="BA17" s="1178" t="s">
        <v>194</v>
      </c>
      <c r="BB17" s="1178" t="s">
        <v>194</v>
      </c>
      <c r="BC17" s="1178" t="s">
        <v>194</v>
      </c>
      <c r="BD17" s="1172" t="s">
        <v>650</v>
      </c>
      <c r="BE17" s="1172" t="s">
        <v>651</v>
      </c>
      <c r="BF17" s="1173" t="s">
        <v>194</v>
      </c>
      <c r="BG17" s="1172" t="s">
        <v>652</v>
      </c>
      <c r="BH17" s="1172" t="s">
        <v>543</v>
      </c>
      <c r="BI17" s="1172" t="s">
        <v>194</v>
      </c>
      <c r="BJ17" s="1172" t="s">
        <v>544</v>
      </c>
      <c r="BK17" s="1174">
        <v>5.0</v>
      </c>
      <c r="BL17" s="1172" t="s">
        <v>545</v>
      </c>
      <c r="BM17" s="1172" t="s">
        <v>194</v>
      </c>
      <c r="BN17" s="1173" t="s">
        <v>546</v>
      </c>
      <c r="BO17" s="1172" t="s">
        <v>547</v>
      </c>
      <c r="BP17" s="1180" t="str">
        <f t="shared" si="1"/>
        <v>View Investor Online</v>
      </c>
    </row>
    <row r="18" ht="11.25" hidden="1" customHeight="1">
      <c r="A18" s="1164" t="s">
        <v>403</v>
      </c>
      <c r="B18" s="1164" t="s">
        <v>653</v>
      </c>
      <c r="C18" s="1164" t="s">
        <v>460</v>
      </c>
      <c r="D18" s="1164" t="s">
        <v>654</v>
      </c>
      <c r="E18" s="1164" t="s">
        <v>655</v>
      </c>
      <c r="F18" s="1164" t="s">
        <v>656</v>
      </c>
      <c r="G18" s="1164" t="s">
        <v>116</v>
      </c>
      <c r="H18" s="1165">
        <v>1.0</v>
      </c>
      <c r="I18" s="1164" t="s">
        <v>567</v>
      </c>
      <c r="J18" s="1164" t="s">
        <v>568</v>
      </c>
      <c r="K18" s="1164" t="s">
        <v>657</v>
      </c>
      <c r="L18" s="1164" t="s">
        <v>570</v>
      </c>
      <c r="M18" s="1164" t="s">
        <v>658</v>
      </c>
      <c r="N18" s="1164" t="s">
        <v>535</v>
      </c>
      <c r="O18" s="1164" t="s">
        <v>536</v>
      </c>
      <c r="P18" s="1166" t="s">
        <v>194</v>
      </c>
      <c r="Q18" s="1135">
        <v>42915.0</v>
      </c>
      <c r="R18" s="1164" t="s">
        <v>439</v>
      </c>
      <c r="S18" s="1164" t="s">
        <v>194</v>
      </c>
      <c r="T18" s="1164" t="s">
        <v>194</v>
      </c>
      <c r="U18" s="1164" t="s">
        <v>538</v>
      </c>
      <c r="V18" s="1164" t="s">
        <v>194</v>
      </c>
      <c r="W18" s="1164" t="s">
        <v>194</v>
      </c>
      <c r="X18" s="1164" t="s">
        <v>194</v>
      </c>
      <c r="Y18" s="1167" t="s">
        <v>194</v>
      </c>
      <c r="Z18" s="1164" t="s">
        <v>194</v>
      </c>
      <c r="AA18" s="1135" t="s">
        <v>194</v>
      </c>
      <c r="AB18" s="1164" t="s">
        <v>194</v>
      </c>
      <c r="AC18" s="1167" t="s">
        <v>194</v>
      </c>
      <c r="AD18" s="1164" t="s">
        <v>194</v>
      </c>
      <c r="AE18" s="1168" t="s">
        <v>194</v>
      </c>
      <c r="AF18" s="1167" t="s">
        <v>194</v>
      </c>
      <c r="AG18" s="1164" t="s">
        <v>194</v>
      </c>
      <c r="AH18" s="1164" t="s">
        <v>540</v>
      </c>
      <c r="AI18" s="1164" t="s">
        <v>659</v>
      </c>
      <c r="AJ18" s="1164" t="s">
        <v>194</v>
      </c>
      <c r="AK18" s="1165" t="s">
        <v>573</v>
      </c>
      <c r="AL18" s="1164" t="s">
        <v>194</v>
      </c>
      <c r="AM18" s="1167" t="s">
        <v>194</v>
      </c>
      <c r="AN18" s="1164" t="s">
        <v>194</v>
      </c>
      <c r="AO18" s="1169" t="s">
        <v>194</v>
      </c>
      <c r="AP18" s="1167" t="s">
        <v>194</v>
      </c>
      <c r="AQ18" s="1164" t="s">
        <v>194</v>
      </c>
      <c r="AR18" s="1167" t="s">
        <v>194</v>
      </c>
      <c r="AS18" s="1164" t="s">
        <v>194</v>
      </c>
      <c r="AT18" s="1167" t="s">
        <v>194</v>
      </c>
      <c r="AU18" s="1164" t="s">
        <v>194</v>
      </c>
      <c r="AV18" s="1170" t="s">
        <v>194</v>
      </c>
      <c r="AW18" s="1170" t="s">
        <v>194</v>
      </c>
      <c r="AX18" s="1170" t="s">
        <v>194</v>
      </c>
      <c r="AY18" s="1171" t="s">
        <v>194</v>
      </c>
      <c r="AZ18" s="1170" t="s">
        <v>194</v>
      </c>
      <c r="BA18" s="1170" t="s">
        <v>194</v>
      </c>
      <c r="BB18" s="1170" t="s">
        <v>194</v>
      </c>
      <c r="BC18" s="1170" t="s">
        <v>194</v>
      </c>
      <c r="BD18" s="1164" t="s">
        <v>660</v>
      </c>
      <c r="BE18" s="1164" t="s">
        <v>661</v>
      </c>
      <c r="BF18" s="1165" t="s">
        <v>662</v>
      </c>
      <c r="BG18" s="1164" t="s">
        <v>562</v>
      </c>
      <c r="BH18" s="1164" t="s">
        <v>543</v>
      </c>
      <c r="BI18" s="1164" t="s">
        <v>194</v>
      </c>
      <c r="BJ18" s="1164" t="s">
        <v>544</v>
      </c>
      <c r="BK18" s="1166">
        <v>5.0</v>
      </c>
      <c r="BL18" s="1164" t="s">
        <v>545</v>
      </c>
      <c r="BM18" s="1164" t="s">
        <v>194</v>
      </c>
      <c r="BN18" s="1165" t="s">
        <v>546</v>
      </c>
      <c r="BO18" s="1164" t="s">
        <v>547</v>
      </c>
      <c r="BP18" s="1139" t="str">
        <f t="shared" si="1"/>
        <v>View Investor Online</v>
      </c>
    </row>
    <row r="19" ht="11.25" hidden="1" customHeight="1">
      <c r="A19" s="1164" t="s">
        <v>403</v>
      </c>
      <c r="B19" s="1164" t="s">
        <v>663</v>
      </c>
      <c r="C19" s="1164" t="s">
        <v>460</v>
      </c>
      <c r="D19" s="1164" t="s">
        <v>664</v>
      </c>
      <c r="E19" s="1164" t="s">
        <v>665</v>
      </c>
      <c r="F19" s="1164" t="s">
        <v>666</v>
      </c>
      <c r="G19" s="1164" t="s">
        <v>116</v>
      </c>
      <c r="H19" s="1165">
        <v>4.0</v>
      </c>
      <c r="I19" s="1164" t="s">
        <v>667</v>
      </c>
      <c r="J19" s="1164" t="s">
        <v>668</v>
      </c>
      <c r="K19" s="1164" t="s">
        <v>669</v>
      </c>
      <c r="L19" s="1164" t="s">
        <v>636</v>
      </c>
      <c r="M19" s="1164" t="s">
        <v>670</v>
      </c>
      <c r="N19" s="1164" t="s">
        <v>638</v>
      </c>
      <c r="O19" s="1164" t="s">
        <v>671</v>
      </c>
      <c r="P19" s="1166">
        <v>785.0</v>
      </c>
      <c r="Q19" s="1135">
        <v>38964.0</v>
      </c>
      <c r="R19" s="1164" t="s">
        <v>439</v>
      </c>
      <c r="S19" s="1164" t="s">
        <v>194</v>
      </c>
      <c r="T19" s="1164" t="s">
        <v>194</v>
      </c>
      <c r="U19" s="1164" t="s">
        <v>538</v>
      </c>
      <c r="V19" s="1164" t="s">
        <v>194</v>
      </c>
      <c r="W19" s="1164" t="s">
        <v>194</v>
      </c>
      <c r="X19" s="1164" t="s">
        <v>194</v>
      </c>
      <c r="Y19" s="1167">
        <v>868.16</v>
      </c>
      <c r="Z19" s="1164" t="s">
        <v>557</v>
      </c>
      <c r="AA19" s="1135" t="s">
        <v>194</v>
      </c>
      <c r="AB19" s="1164" t="s">
        <v>194</v>
      </c>
      <c r="AC19" s="1167" t="s">
        <v>194</v>
      </c>
      <c r="AD19" s="1164" t="s">
        <v>194</v>
      </c>
      <c r="AE19" s="1168" t="s">
        <v>194</v>
      </c>
      <c r="AF19" s="1167">
        <v>1638.49</v>
      </c>
      <c r="AG19" s="1164" t="s">
        <v>557</v>
      </c>
      <c r="AH19" s="1164" t="s">
        <v>540</v>
      </c>
      <c r="AI19" s="1164" t="s">
        <v>194</v>
      </c>
      <c r="AJ19" s="1164" t="s">
        <v>194</v>
      </c>
      <c r="AK19" s="1165" t="s">
        <v>194</v>
      </c>
      <c r="AL19" s="1164" t="s">
        <v>194</v>
      </c>
      <c r="AM19" s="1167" t="s">
        <v>194</v>
      </c>
      <c r="AN19" s="1164" t="s">
        <v>194</v>
      </c>
      <c r="AO19" s="1169" t="s">
        <v>194</v>
      </c>
      <c r="AP19" s="1167" t="s">
        <v>194</v>
      </c>
      <c r="AQ19" s="1164" t="s">
        <v>194</v>
      </c>
      <c r="AR19" s="1167" t="s">
        <v>194</v>
      </c>
      <c r="AS19" s="1164" t="s">
        <v>194</v>
      </c>
      <c r="AT19" s="1167" t="s">
        <v>194</v>
      </c>
      <c r="AU19" s="1164" t="s">
        <v>194</v>
      </c>
      <c r="AV19" s="1170" t="s">
        <v>194</v>
      </c>
      <c r="AW19" s="1170" t="s">
        <v>194</v>
      </c>
      <c r="AX19" s="1170" t="s">
        <v>194</v>
      </c>
      <c r="AY19" s="1171" t="s">
        <v>194</v>
      </c>
      <c r="AZ19" s="1170" t="s">
        <v>194</v>
      </c>
      <c r="BA19" s="1170" t="s">
        <v>194</v>
      </c>
      <c r="BB19" s="1170" t="s">
        <v>194</v>
      </c>
      <c r="BC19" s="1170" t="s">
        <v>194</v>
      </c>
      <c r="BD19" s="1164" t="s">
        <v>672</v>
      </c>
      <c r="BE19" s="1164" t="s">
        <v>616</v>
      </c>
      <c r="BF19" s="1165" t="s">
        <v>673</v>
      </c>
      <c r="BG19" s="1164" t="s">
        <v>618</v>
      </c>
      <c r="BH19" s="1164" t="s">
        <v>543</v>
      </c>
      <c r="BI19" s="1164" t="s">
        <v>194</v>
      </c>
      <c r="BJ19" s="1164" t="s">
        <v>544</v>
      </c>
      <c r="BK19" s="1166">
        <v>5.0</v>
      </c>
      <c r="BL19" s="1164" t="s">
        <v>545</v>
      </c>
      <c r="BM19" s="1164" t="s">
        <v>194</v>
      </c>
      <c r="BN19" s="1165" t="s">
        <v>546</v>
      </c>
      <c r="BO19" s="1164" t="s">
        <v>547</v>
      </c>
      <c r="BP19" s="1139" t="str">
        <f t="shared" si="1"/>
        <v>View Investor Online</v>
      </c>
    </row>
    <row r="20" ht="11.25" hidden="1" customHeight="1">
      <c r="A20" s="1172" t="s">
        <v>403</v>
      </c>
      <c r="B20" s="1172" t="s">
        <v>674</v>
      </c>
      <c r="C20" s="1172" t="s">
        <v>460</v>
      </c>
      <c r="D20" s="1172" t="s">
        <v>675</v>
      </c>
      <c r="E20" s="1172" t="s">
        <v>676</v>
      </c>
      <c r="F20" s="1172" t="s">
        <v>677</v>
      </c>
      <c r="G20" s="1172" t="s">
        <v>116</v>
      </c>
      <c r="H20" s="1173">
        <v>9.0</v>
      </c>
      <c r="I20" s="1172" t="s">
        <v>530</v>
      </c>
      <c r="J20" s="1172" t="s">
        <v>531</v>
      </c>
      <c r="K20" s="1172" t="s">
        <v>678</v>
      </c>
      <c r="L20" s="1172" t="s">
        <v>570</v>
      </c>
      <c r="M20" s="1172" t="s">
        <v>679</v>
      </c>
      <c r="N20" s="1172" t="s">
        <v>535</v>
      </c>
      <c r="O20" s="1172" t="s">
        <v>671</v>
      </c>
      <c r="P20" s="1174">
        <v>75.0</v>
      </c>
      <c r="Q20" s="1142">
        <v>42828.0</v>
      </c>
      <c r="R20" s="1172" t="s">
        <v>439</v>
      </c>
      <c r="S20" s="1172" t="s">
        <v>194</v>
      </c>
      <c r="T20" s="1172" t="s">
        <v>194</v>
      </c>
      <c r="U20" s="1172" t="s">
        <v>538</v>
      </c>
      <c r="V20" s="1172" t="s">
        <v>194</v>
      </c>
      <c r="W20" s="1172" t="s">
        <v>194</v>
      </c>
      <c r="X20" s="1172" t="s">
        <v>194</v>
      </c>
      <c r="Y20" s="1175" t="s">
        <v>194</v>
      </c>
      <c r="Z20" s="1172" t="s">
        <v>194</v>
      </c>
      <c r="AA20" s="1142" t="s">
        <v>194</v>
      </c>
      <c r="AB20" s="1172" t="s">
        <v>194</v>
      </c>
      <c r="AC20" s="1175" t="s">
        <v>194</v>
      </c>
      <c r="AD20" s="1172" t="s">
        <v>194</v>
      </c>
      <c r="AE20" s="1176" t="s">
        <v>194</v>
      </c>
      <c r="AF20" s="1175" t="s">
        <v>194</v>
      </c>
      <c r="AG20" s="1172" t="s">
        <v>194</v>
      </c>
      <c r="AH20" s="1172" t="s">
        <v>540</v>
      </c>
      <c r="AI20" s="1172" t="s">
        <v>194</v>
      </c>
      <c r="AJ20" s="1172" t="s">
        <v>194</v>
      </c>
      <c r="AK20" s="1173" t="s">
        <v>194</v>
      </c>
      <c r="AL20" s="1172" t="s">
        <v>194</v>
      </c>
      <c r="AM20" s="1175" t="s">
        <v>194</v>
      </c>
      <c r="AN20" s="1172" t="s">
        <v>194</v>
      </c>
      <c r="AO20" s="1177" t="s">
        <v>194</v>
      </c>
      <c r="AP20" s="1175" t="s">
        <v>194</v>
      </c>
      <c r="AQ20" s="1172" t="s">
        <v>194</v>
      </c>
      <c r="AR20" s="1175" t="s">
        <v>194</v>
      </c>
      <c r="AS20" s="1172" t="s">
        <v>194</v>
      </c>
      <c r="AT20" s="1175" t="s">
        <v>194</v>
      </c>
      <c r="AU20" s="1172" t="s">
        <v>194</v>
      </c>
      <c r="AV20" s="1178" t="s">
        <v>194</v>
      </c>
      <c r="AW20" s="1178" t="s">
        <v>194</v>
      </c>
      <c r="AX20" s="1178" t="s">
        <v>194</v>
      </c>
      <c r="AY20" s="1179" t="s">
        <v>194</v>
      </c>
      <c r="AZ20" s="1178" t="s">
        <v>194</v>
      </c>
      <c r="BA20" s="1178" t="s">
        <v>194</v>
      </c>
      <c r="BB20" s="1178" t="s">
        <v>194</v>
      </c>
      <c r="BC20" s="1178" t="s">
        <v>194</v>
      </c>
      <c r="BD20" s="1172" t="s">
        <v>680</v>
      </c>
      <c r="BE20" s="1172" t="s">
        <v>575</v>
      </c>
      <c r="BF20" s="1173" t="s">
        <v>681</v>
      </c>
      <c r="BG20" s="1172" t="s">
        <v>562</v>
      </c>
      <c r="BH20" s="1172" t="s">
        <v>543</v>
      </c>
      <c r="BI20" s="1172" t="s">
        <v>194</v>
      </c>
      <c r="BJ20" s="1172" t="s">
        <v>544</v>
      </c>
      <c r="BK20" s="1174">
        <v>5.0</v>
      </c>
      <c r="BL20" s="1172" t="s">
        <v>545</v>
      </c>
      <c r="BM20" s="1172" t="s">
        <v>194</v>
      </c>
      <c r="BN20" s="1173" t="s">
        <v>546</v>
      </c>
      <c r="BO20" s="1172" t="s">
        <v>547</v>
      </c>
      <c r="BP20" s="1180" t="str">
        <f t="shared" si="1"/>
        <v>View Investor Online</v>
      </c>
    </row>
    <row r="21" ht="11.25" hidden="1" customHeight="1">
      <c r="A21" s="1164" t="s">
        <v>403</v>
      </c>
      <c r="B21" s="1164" t="s">
        <v>682</v>
      </c>
      <c r="C21" s="1164" t="s">
        <v>460</v>
      </c>
      <c r="D21" s="1164" t="s">
        <v>683</v>
      </c>
      <c r="E21" s="1164" t="s">
        <v>684</v>
      </c>
      <c r="F21" s="1164" t="s">
        <v>685</v>
      </c>
      <c r="G21" s="1164" t="s">
        <v>592</v>
      </c>
      <c r="H21" s="1165">
        <v>7.0</v>
      </c>
      <c r="I21" s="1164" t="s">
        <v>530</v>
      </c>
      <c r="J21" s="1164" t="s">
        <v>531</v>
      </c>
      <c r="K21" s="1164" t="s">
        <v>623</v>
      </c>
      <c r="L21" s="1164" t="s">
        <v>686</v>
      </c>
      <c r="M21" s="1164" t="s">
        <v>687</v>
      </c>
      <c r="N21" s="1164" t="s">
        <v>535</v>
      </c>
      <c r="O21" s="1164" t="s">
        <v>597</v>
      </c>
      <c r="P21" s="1166">
        <v>30.0</v>
      </c>
      <c r="Q21" s="1135">
        <v>43472.0</v>
      </c>
      <c r="R21" s="1164" t="s">
        <v>598</v>
      </c>
      <c r="S21" s="1164" t="s">
        <v>688</v>
      </c>
      <c r="T21" s="1164" t="s">
        <v>194</v>
      </c>
      <c r="U21" s="1164" t="s">
        <v>600</v>
      </c>
      <c r="V21" s="1164" t="s">
        <v>194</v>
      </c>
      <c r="W21" s="1164" t="s">
        <v>194</v>
      </c>
      <c r="X21" s="1164" t="s">
        <v>194</v>
      </c>
      <c r="Y21" s="1167">
        <v>6.0</v>
      </c>
      <c r="Z21" s="1164" t="s">
        <v>557</v>
      </c>
      <c r="AA21" s="1135" t="s">
        <v>194</v>
      </c>
      <c r="AB21" s="1164" t="s">
        <v>194</v>
      </c>
      <c r="AC21" s="1167" t="s">
        <v>194</v>
      </c>
      <c r="AD21" s="1164" t="s">
        <v>194</v>
      </c>
      <c r="AE21" s="1168">
        <v>17.5</v>
      </c>
      <c r="AF21" s="1167">
        <v>23.5</v>
      </c>
      <c r="AG21" s="1164" t="s">
        <v>557</v>
      </c>
      <c r="AH21" s="1164" t="s">
        <v>540</v>
      </c>
      <c r="AI21" s="1164" t="s">
        <v>689</v>
      </c>
      <c r="AJ21" s="1164" t="s">
        <v>194</v>
      </c>
      <c r="AK21" s="1165" t="s">
        <v>573</v>
      </c>
      <c r="AL21" s="1164" t="s">
        <v>194</v>
      </c>
      <c r="AM21" s="1167" t="s">
        <v>194</v>
      </c>
      <c r="AN21" s="1164" t="s">
        <v>194</v>
      </c>
      <c r="AO21" s="1169" t="s">
        <v>194</v>
      </c>
      <c r="AP21" s="1167" t="s">
        <v>194</v>
      </c>
      <c r="AQ21" s="1164" t="s">
        <v>194</v>
      </c>
      <c r="AR21" s="1167" t="s">
        <v>194</v>
      </c>
      <c r="AS21" s="1164" t="s">
        <v>194</v>
      </c>
      <c r="AT21" s="1167" t="s">
        <v>194</v>
      </c>
      <c r="AU21" s="1164" t="s">
        <v>194</v>
      </c>
      <c r="AV21" s="1170" t="s">
        <v>194</v>
      </c>
      <c r="AW21" s="1170" t="s">
        <v>194</v>
      </c>
      <c r="AX21" s="1170" t="s">
        <v>194</v>
      </c>
      <c r="AY21" s="1171" t="s">
        <v>194</v>
      </c>
      <c r="AZ21" s="1170" t="s">
        <v>194</v>
      </c>
      <c r="BA21" s="1170" t="s">
        <v>194</v>
      </c>
      <c r="BB21" s="1170" t="s">
        <v>194</v>
      </c>
      <c r="BC21" s="1170" t="s">
        <v>194</v>
      </c>
      <c r="BD21" s="1164" t="s">
        <v>690</v>
      </c>
      <c r="BE21" s="1164" t="s">
        <v>691</v>
      </c>
      <c r="BF21" s="1165" t="s">
        <v>692</v>
      </c>
      <c r="BG21" s="1164" t="s">
        <v>562</v>
      </c>
      <c r="BH21" s="1164" t="s">
        <v>543</v>
      </c>
      <c r="BI21" s="1164" t="s">
        <v>194</v>
      </c>
      <c r="BJ21" s="1164" t="s">
        <v>544</v>
      </c>
      <c r="BK21" s="1166">
        <v>5.0</v>
      </c>
      <c r="BL21" s="1164" t="s">
        <v>545</v>
      </c>
      <c r="BM21" s="1164" t="s">
        <v>194</v>
      </c>
      <c r="BN21" s="1165" t="s">
        <v>546</v>
      </c>
      <c r="BO21" s="1164" t="s">
        <v>547</v>
      </c>
      <c r="BP21" s="1139" t="str">
        <f t="shared" si="1"/>
        <v>View Investor Online</v>
      </c>
    </row>
    <row r="22" ht="11.25" hidden="1" customHeight="1">
      <c r="A22" s="1164" t="s">
        <v>403</v>
      </c>
      <c r="B22" s="1164" t="s">
        <v>693</v>
      </c>
      <c r="C22" s="1164" t="s">
        <v>460</v>
      </c>
      <c r="D22" s="1164" t="s">
        <v>694</v>
      </c>
      <c r="E22" s="1164" t="s">
        <v>695</v>
      </c>
      <c r="F22" s="1164" t="s">
        <v>696</v>
      </c>
      <c r="G22" s="1164" t="s">
        <v>116</v>
      </c>
      <c r="H22" s="1165">
        <v>1.0</v>
      </c>
      <c r="I22" s="1164" t="s">
        <v>567</v>
      </c>
      <c r="J22" s="1164" t="s">
        <v>568</v>
      </c>
      <c r="K22" s="1164" t="s">
        <v>657</v>
      </c>
      <c r="L22" s="1164" t="s">
        <v>697</v>
      </c>
      <c r="M22" s="1164" t="s">
        <v>698</v>
      </c>
      <c r="N22" s="1164" t="s">
        <v>535</v>
      </c>
      <c r="O22" s="1164" t="s">
        <v>536</v>
      </c>
      <c r="P22" s="1166">
        <v>100.0</v>
      </c>
      <c r="Q22" s="1135">
        <v>42899.0</v>
      </c>
      <c r="R22" s="1164" t="s">
        <v>439</v>
      </c>
      <c r="S22" s="1164" t="s">
        <v>194</v>
      </c>
      <c r="T22" s="1164" t="s">
        <v>194</v>
      </c>
      <c r="U22" s="1164" t="s">
        <v>538</v>
      </c>
      <c r="V22" s="1164" t="s">
        <v>194</v>
      </c>
      <c r="W22" s="1164" t="s">
        <v>194</v>
      </c>
      <c r="X22" s="1164" t="s">
        <v>194</v>
      </c>
      <c r="Y22" s="1167" t="s">
        <v>194</v>
      </c>
      <c r="Z22" s="1164" t="s">
        <v>194</v>
      </c>
      <c r="AA22" s="1135" t="s">
        <v>194</v>
      </c>
      <c r="AB22" s="1164" t="s">
        <v>194</v>
      </c>
      <c r="AC22" s="1167" t="s">
        <v>194</v>
      </c>
      <c r="AD22" s="1164" t="s">
        <v>194</v>
      </c>
      <c r="AE22" s="1168" t="s">
        <v>194</v>
      </c>
      <c r="AF22" s="1167" t="s">
        <v>194</v>
      </c>
      <c r="AG22" s="1164" t="s">
        <v>194</v>
      </c>
      <c r="AH22" s="1164" t="s">
        <v>540</v>
      </c>
      <c r="AI22" s="1164" t="s">
        <v>699</v>
      </c>
      <c r="AJ22" s="1164" t="s">
        <v>700</v>
      </c>
      <c r="AK22" s="1165" t="s">
        <v>573</v>
      </c>
      <c r="AL22" s="1164" t="s">
        <v>194</v>
      </c>
      <c r="AM22" s="1167">
        <v>21669.22</v>
      </c>
      <c r="AN22" s="1164" t="s">
        <v>557</v>
      </c>
      <c r="AO22" s="1169" t="s">
        <v>194</v>
      </c>
      <c r="AP22" s="1167">
        <v>14466.81</v>
      </c>
      <c r="AQ22" s="1164" t="s">
        <v>557</v>
      </c>
      <c r="AR22" s="1167" t="s">
        <v>194</v>
      </c>
      <c r="AS22" s="1164" t="s">
        <v>194</v>
      </c>
      <c r="AT22" s="1167">
        <v>4358.38</v>
      </c>
      <c r="AU22" s="1164" t="s">
        <v>557</v>
      </c>
      <c r="AV22" s="1170" t="s">
        <v>194</v>
      </c>
      <c r="AW22" s="1170" t="s">
        <v>194</v>
      </c>
      <c r="AX22" s="1170" t="s">
        <v>194</v>
      </c>
      <c r="AY22" s="1171" t="s">
        <v>194</v>
      </c>
      <c r="AZ22" s="1170" t="s">
        <v>194</v>
      </c>
      <c r="BA22" s="1170" t="s">
        <v>194</v>
      </c>
      <c r="BB22" s="1170" t="s">
        <v>194</v>
      </c>
      <c r="BC22" s="1170" t="s">
        <v>194</v>
      </c>
      <c r="BD22" s="1164" t="s">
        <v>701</v>
      </c>
      <c r="BE22" s="1164" t="s">
        <v>616</v>
      </c>
      <c r="BF22" s="1165" t="s">
        <v>702</v>
      </c>
      <c r="BG22" s="1164" t="s">
        <v>618</v>
      </c>
      <c r="BH22" s="1164" t="s">
        <v>543</v>
      </c>
      <c r="BI22" s="1164" t="s">
        <v>194</v>
      </c>
      <c r="BJ22" s="1164" t="s">
        <v>544</v>
      </c>
      <c r="BK22" s="1166">
        <v>5.0</v>
      </c>
      <c r="BL22" s="1164" t="s">
        <v>545</v>
      </c>
      <c r="BM22" s="1164" t="s">
        <v>194</v>
      </c>
      <c r="BN22" s="1165" t="s">
        <v>546</v>
      </c>
      <c r="BO22" s="1164" t="s">
        <v>547</v>
      </c>
      <c r="BP22" s="1139" t="str">
        <f t="shared" si="1"/>
        <v>View Investor Online</v>
      </c>
    </row>
    <row r="23" ht="11.25" hidden="1" customHeight="1">
      <c r="A23" s="1164" t="s">
        <v>403</v>
      </c>
      <c r="B23" s="1164" t="s">
        <v>703</v>
      </c>
      <c r="C23" s="1164" t="s">
        <v>460</v>
      </c>
      <c r="D23" s="1164" t="s">
        <v>704</v>
      </c>
      <c r="E23" s="1164" t="s">
        <v>705</v>
      </c>
      <c r="F23" s="1164" t="s">
        <v>706</v>
      </c>
      <c r="G23" s="1164" t="s">
        <v>116</v>
      </c>
      <c r="H23" s="1165">
        <v>2.0</v>
      </c>
      <c r="I23" s="1164" t="s">
        <v>567</v>
      </c>
      <c r="J23" s="1164" t="s">
        <v>568</v>
      </c>
      <c r="K23" s="1164" t="s">
        <v>707</v>
      </c>
      <c r="L23" s="1164" t="s">
        <v>708</v>
      </c>
      <c r="M23" s="1164" t="s">
        <v>709</v>
      </c>
      <c r="N23" s="1164" t="s">
        <v>535</v>
      </c>
      <c r="O23" s="1164" t="s">
        <v>671</v>
      </c>
      <c r="P23" s="1166" t="s">
        <v>194</v>
      </c>
      <c r="Q23" s="1135">
        <v>43325.0</v>
      </c>
      <c r="R23" s="1164" t="s">
        <v>439</v>
      </c>
      <c r="S23" s="1164" t="s">
        <v>194</v>
      </c>
      <c r="T23" s="1164" t="s">
        <v>194</v>
      </c>
      <c r="U23" s="1164" t="s">
        <v>538</v>
      </c>
      <c r="V23" s="1164" t="s">
        <v>194</v>
      </c>
      <c r="W23" s="1164" t="s">
        <v>194</v>
      </c>
      <c r="X23" s="1164" t="s">
        <v>194</v>
      </c>
      <c r="Y23" s="1167" t="s">
        <v>194</v>
      </c>
      <c r="Z23" s="1164" t="s">
        <v>194</v>
      </c>
      <c r="AA23" s="1135" t="s">
        <v>194</v>
      </c>
      <c r="AB23" s="1164" t="s">
        <v>194</v>
      </c>
      <c r="AC23" s="1167" t="s">
        <v>194</v>
      </c>
      <c r="AD23" s="1164" t="s">
        <v>194</v>
      </c>
      <c r="AE23" s="1168" t="s">
        <v>194</v>
      </c>
      <c r="AF23" s="1167" t="s">
        <v>194</v>
      </c>
      <c r="AG23" s="1164" t="s">
        <v>194</v>
      </c>
      <c r="AH23" s="1164" t="s">
        <v>540</v>
      </c>
      <c r="AI23" s="1164" t="s">
        <v>194</v>
      </c>
      <c r="AJ23" s="1164" t="s">
        <v>194</v>
      </c>
      <c r="AK23" s="1165" t="s">
        <v>194</v>
      </c>
      <c r="AL23" s="1164" t="s">
        <v>194</v>
      </c>
      <c r="AM23" s="1167" t="s">
        <v>194</v>
      </c>
      <c r="AN23" s="1164" t="s">
        <v>194</v>
      </c>
      <c r="AO23" s="1169" t="s">
        <v>194</v>
      </c>
      <c r="AP23" s="1167" t="s">
        <v>194</v>
      </c>
      <c r="AQ23" s="1164" t="s">
        <v>194</v>
      </c>
      <c r="AR23" s="1167" t="s">
        <v>194</v>
      </c>
      <c r="AS23" s="1164" t="s">
        <v>194</v>
      </c>
      <c r="AT23" s="1167" t="s">
        <v>194</v>
      </c>
      <c r="AU23" s="1164" t="s">
        <v>194</v>
      </c>
      <c r="AV23" s="1170" t="s">
        <v>194</v>
      </c>
      <c r="AW23" s="1170" t="s">
        <v>194</v>
      </c>
      <c r="AX23" s="1170" t="s">
        <v>194</v>
      </c>
      <c r="AY23" s="1171" t="s">
        <v>194</v>
      </c>
      <c r="AZ23" s="1170" t="s">
        <v>194</v>
      </c>
      <c r="BA23" s="1170" t="s">
        <v>194</v>
      </c>
      <c r="BB23" s="1170" t="s">
        <v>194</v>
      </c>
      <c r="BC23" s="1170" t="s">
        <v>194</v>
      </c>
      <c r="BD23" s="1164" t="s">
        <v>710</v>
      </c>
      <c r="BE23" s="1164" t="s">
        <v>661</v>
      </c>
      <c r="BF23" s="1165" t="s">
        <v>711</v>
      </c>
      <c r="BG23" s="1164" t="s">
        <v>562</v>
      </c>
      <c r="BH23" s="1164" t="s">
        <v>543</v>
      </c>
      <c r="BI23" s="1164" t="s">
        <v>194</v>
      </c>
      <c r="BJ23" s="1164" t="s">
        <v>544</v>
      </c>
      <c r="BK23" s="1166">
        <v>5.0</v>
      </c>
      <c r="BL23" s="1164" t="s">
        <v>545</v>
      </c>
      <c r="BM23" s="1164" t="s">
        <v>194</v>
      </c>
      <c r="BN23" s="1165" t="s">
        <v>546</v>
      </c>
      <c r="BO23" s="1164" t="s">
        <v>547</v>
      </c>
      <c r="BP23" s="1139" t="str">
        <f t="shared" si="1"/>
        <v>View Investor Online</v>
      </c>
    </row>
    <row r="24" ht="11.25" hidden="1" customHeight="1">
      <c r="A24" s="1172" t="s">
        <v>403</v>
      </c>
      <c r="B24" s="1172" t="s">
        <v>712</v>
      </c>
      <c r="C24" s="1172" t="s">
        <v>460</v>
      </c>
      <c r="D24" s="1172" t="s">
        <v>713</v>
      </c>
      <c r="E24" s="1172" t="s">
        <v>714</v>
      </c>
      <c r="F24" s="1172" t="s">
        <v>715</v>
      </c>
      <c r="G24" s="1172" t="s">
        <v>116</v>
      </c>
      <c r="H24" s="1173">
        <v>1.0</v>
      </c>
      <c r="I24" s="1172" t="s">
        <v>552</v>
      </c>
      <c r="J24" s="1172" t="s">
        <v>553</v>
      </c>
      <c r="K24" s="1172" t="s">
        <v>716</v>
      </c>
      <c r="L24" s="1172" t="s">
        <v>717</v>
      </c>
      <c r="M24" s="1172" t="s">
        <v>718</v>
      </c>
      <c r="N24" s="1172" t="s">
        <v>535</v>
      </c>
      <c r="O24" s="1172" t="s">
        <v>536</v>
      </c>
      <c r="P24" s="1174">
        <v>35.0</v>
      </c>
      <c r="Q24" s="1142">
        <v>42283.0</v>
      </c>
      <c r="R24" s="1172" t="s">
        <v>439</v>
      </c>
      <c r="S24" s="1172" t="s">
        <v>194</v>
      </c>
      <c r="T24" s="1172" t="s">
        <v>194</v>
      </c>
      <c r="U24" s="1172" t="s">
        <v>538</v>
      </c>
      <c r="V24" s="1172" t="s">
        <v>194</v>
      </c>
      <c r="W24" s="1172" t="s">
        <v>194</v>
      </c>
      <c r="X24" s="1172" t="s">
        <v>194</v>
      </c>
      <c r="Y24" s="1175" t="s">
        <v>194</v>
      </c>
      <c r="Z24" s="1172" t="s">
        <v>194</v>
      </c>
      <c r="AA24" s="1142" t="s">
        <v>194</v>
      </c>
      <c r="AB24" s="1172" t="s">
        <v>194</v>
      </c>
      <c r="AC24" s="1175" t="s">
        <v>194</v>
      </c>
      <c r="AD24" s="1172" t="s">
        <v>194</v>
      </c>
      <c r="AE24" s="1176" t="s">
        <v>194</v>
      </c>
      <c r="AF24" s="1175" t="s">
        <v>194</v>
      </c>
      <c r="AG24" s="1172" t="s">
        <v>194</v>
      </c>
      <c r="AH24" s="1172" t="s">
        <v>540</v>
      </c>
      <c r="AI24" s="1172" t="s">
        <v>719</v>
      </c>
      <c r="AJ24" s="1172" t="s">
        <v>720</v>
      </c>
      <c r="AK24" s="1173" t="s">
        <v>573</v>
      </c>
      <c r="AL24" s="1172" t="s">
        <v>194</v>
      </c>
      <c r="AM24" s="1175" t="s">
        <v>194</v>
      </c>
      <c r="AN24" s="1172" t="s">
        <v>194</v>
      </c>
      <c r="AO24" s="1177" t="s">
        <v>194</v>
      </c>
      <c r="AP24" s="1175" t="s">
        <v>194</v>
      </c>
      <c r="AQ24" s="1172" t="s">
        <v>194</v>
      </c>
      <c r="AR24" s="1175" t="s">
        <v>194</v>
      </c>
      <c r="AS24" s="1172" t="s">
        <v>194</v>
      </c>
      <c r="AT24" s="1175" t="s">
        <v>194</v>
      </c>
      <c r="AU24" s="1172" t="s">
        <v>194</v>
      </c>
      <c r="AV24" s="1178" t="s">
        <v>194</v>
      </c>
      <c r="AW24" s="1178" t="s">
        <v>194</v>
      </c>
      <c r="AX24" s="1178" t="s">
        <v>194</v>
      </c>
      <c r="AY24" s="1179" t="s">
        <v>194</v>
      </c>
      <c r="AZ24" s="1178" t="s">
        <v>194</v>
      </c>
      <c r="BA24" s="1178" t="s">
        <v>194</v>
      </c>
      <c r="BB24" s="1178" t="s">
        <v>194</v>
      </c>
      <c r="BC24" s="1178" t="s">
        <v>194</v>
      </c>
      <c r="BD24" s="1172" t="s">
        <v>721</v>
      </c>
      <c r="BE24" s="1172" t="s">
        <v>722</v>
      </c>
      <c r="BF24" s="1173" t="s">
        <v>723</v>
      </c>
      <c r="BG24" s="1172" t="s">
        <v>562</v>
      </c>
      <c r="BH24" s="1172" t="s">
        <v>543</v>
      </c>
      <c r="BI24" s="1172" t="s">
        <v>194</v>
      </c>
      <c r="BJ24" s="1172" t="s">
        <v>544</v>
      </c>
      <c r="BK24" s="1174">
        <v>5.0</v>
      </c>
      <c r="BL24" s="1172" t="s">
        <v>545</v>
      </c>
      <c r="BM24" s="1172" t="s">
        <v>194</v>
      </c>
      <c r="BN24" s="1173" t="s">
        <v>546</v>
      </c>
      <c r="BO24" s="1172" t="s">
        <v>547</v>
      </c>
      <c r="BP24" s="1180" t="str">
        <f t="shared" si="1"/>
        <v>View Investor Online</v>
      </c>
    </row>
    <row r="25" ht="11.25" hidden="1" customHeight="1">
      <c r="A25" s="1164" t="s">
        <v>403</v>
      </c>
      <c r="B25" s="1164" t="s">
        <v>724</v>
      </c>
      <c r="C25" s="1164" t="s">
        <v>460</v>
      </c>
      <c r="D25" s="1164" t="s">
        <v>725</v>
      </c>
      <c r="E25" s="1164" t="s">
        <v>726</v>
      </c>
      <c r="F25" s="1164" t="s">
        <v>727</v>
      </c>
      <c r="G25" s="1164" t="s">
        <v>116</v>
      </c>
      <c r="H25" s="1165">
        <v>2.0</v>
      </c>
      <c r="I25" s="1164" t="s">
        <v>567</v>
      </c>
      <c r="J25" s="1164" t="s">
        <v>568</v>
      </c>
      <c r="K25" s="1164" t="s">
        <v>442</v>
      </c>
      <c r="L25" s="1164" t="s">
        <v>728</v>
      </c>
      <c r="M25" s="1164" t="s">
        <v>729</v>
      </c>
      <c r="N25" s="1164" t="s">
        <v>535</v>
      </c>
      <c r="O25" s="1164" t="s">
        <v>536</v>
      </c>
      <c r="P25" s="1166">
        <v>11.0</v>
      </c>
      <c r="Q25" s="1135">
        <v>42248.0</v>
      </c>
      <c r="R25" s="1164" t="s">
        <v>439</v>
      </c>
      <c r="S25" s="1164" t="s">
        <v>556</v>
      </c>
      <c r="T25" s="1164" t="s">
        <v>194</v>
      </c>
      <c r="U25" s="1164" t="s">
        <v>538</v>
      </c>
      <c r="V25" s="1164" t="s">
        <v>194</v>
      </c>
      <c r="W25" s="1164" t="s">
        <v>194</v>
      </c>
      <c r="X25" s="1164" t="s">
        <v>194</v>
      </c>
      <c r="Y25" s="1167" t="s">
        <v>194</v>
      </c>
      <c r="Z25" s="1164" t="s">
        <v>194</v>
      </c>
      <c r="AA25" s="1135" t="s">
        <v>194</v>
      </c>
      <c r="AB25" s="1164" t="s">
        <v>194</v>
      </c>
      <c r="AC25" s="1167" t="s">
        <v>194</v>
      </c>
      <c r="AD25" s="1164" t="s">
        <v>194</v>
      </c>
      <c r="AE25" s="1168" t="s">
        <v>194</v>
      </c>
      <c r="AF25" s="1167" t="s">
        <v>194</v>
      </c>
      <c r="AG25" s="1164" t="s">
        <v>194</v>
      </c>
      <c r="AH25" s="1164" t="s">
        <v>540</v>
      </c>
      <c r="AI25" s="1164" t="s">
        <v>194</v>
      </c>
      <c r="AJ25" s="1164" t="s">
        <v>194</v>
      </c>
      <c r="AK25" s="1165" t="s">
        <v>194</v>
      </c>
      <c r="AL25" s="1164" t="s">
        <v>194</v>
      </c>
      <c r="AM25" s="1167" t="s">
        <v>194</v>
      </c>
      <c r="AN25" s="1164" t="s">
        <v>194</v>
      </c>
      <c r="AO25" s="1169" t="s">
        <v>194</v>
      </c>
      <c r="AP25" s="1167" t="s">
        <v>194</v>
      </c>
      <c r="AQ25" s="1164" t="s">
        <v>194</v>
      </c>
      <c r="AR25" s="1167" t="s">
        <v>194</v>
      </c>
      <c r="AS25" s="1164" t="s">
        <v>194</v>
      </c>
      <c r="AT25" s="1167" t="s">
        <v>194</v>
      </c>
      <c r="AU25" s="1164" t="s">
        <v>194</v>
      </c>
      <c r="AV25" s="1170" t="s">
        <v>194</v>
      </c>
      <c r="AW25" s="1170" t="s">
        <v>194</v>
      </c>
      <c r="AX25" s="1170" t="s">
        <v>194</v>
      </c>
      <c r="AY25" s="1171" t="s">
        <v>194</v>
      </c>
      <c r="AZ25" s="1170" t="s">
        <v>194</v>
      </c>
      <c r="BA25" s="1170" t="s">
        <v>194</v>
      </c>
      <c r="BB25" s="1170" t="s">
        <v>194</v>
      </c>
      <c r="BC25" s="1170" t="s">
        <v>194</v>
      </c>
      <c r="BD25" s="1164" t="s">
        <v>730</v>
      </c>
      <c r="BE25" s="1164" t="s">
        <v>731</v>
      </c>
      <c r="BF25" s="1165" t="s">
        <v>732</v>
      </c>
      <c r="BG25" s="1164" t="s">
        <v>733</v>
      </c>
      <c r="BH25" s="1164" t="s">
        <v>543</v>
      </c>
      <c r="BI25" s="1164" t="s">
        <v>194</v>
      </c>
      <c r="BJ25" s="1164" t="s">
        <v>544</v>
      </c>
      <c r="BK25" s="1166">
        <v>5.0</v>
      </c>
      <c r="BL25" s="1164" t="s">
        <v>545</v>
      </c>
      <c r="BM25" s="1164" t="s">
        <v>194</v>
      </c>
      <c r="BN25" s="1165" t="s">
        <v>546</v>
      </c>
      <c r="BO25" s="1164" t="s">
        <v>547</v>
      </c>
      <c r="BP25" s="1139" t="str">
        <f t="shared" si="1"/>
        <v>View Investor Online</v>
      </c>
    </row>
    <row r="26" ht="11.25" hidden="1" customHeight="1">
      <c r="A26" s="1164"/>
      <c r="B26" s="1164"/>
      <c r="C26" s="1164"/>
      <c r="D26" s="1164"/>
      <c r="E26" s="1164"/>
      <c r="F26" s="1164"/>
      <c r="G26" s="1164"/>
      <c r="H26" s="1165"/>
      <c r="I26" s="1164"/>
      <c r="J26" s="1164"/>
      <c r="K26" s="1164"/>
      <c r="L26" s="1164"/>
      <c r="M26" s="1164"/>
      <c r="N26" s="1164"/>
      <c r="O26" s="1164"/>
      <c r="P26" s="1166"/>
      <c r="Q26" s="1135"/>
      <c r="R26" s="1164"/>
      <c r="S26" s="1164"/>
      <c r="T26" s="1164"/>
      <c r="U26" s="1164"/>
      <c r="V26" s="1164"/>
      <c r="W26" s="1164"/>
      <c r="X26" s="1164"/>
      <c r="Y26" s="1167"/>
      <c r="Z26" s="1164"/>
      <c r="AA26" s="1135"/>
      <c r="AB26" s="1164"/>
      <c r="AC26" s="1167"/>
      <c r="AD26" s="1164"/>
      <c r="AE26" s="1168"/>
      <c r="AF26" s="1167"/>
      <c r="AG26" s="1164"/>
      <c r="AH26" s="1164"/>
      <c r="AI26" s="1164"/>
      <c r="AJ26" s="1164"/>
      <c r="AK26" s="1165"/>
      <c r="AL26" s="1164"/>
      <c r="AM26" s="1167"/>
      <c r="AN26" s="1164"/>
      <c r="AO26" s="1169"/>
      <c r="AP26" s="1167"/>
      <c r="AQ26" s="1164"/>
      <c r="AR26" s="1167"/>
      <c r="AS26" s="1164"/>
      <c r="AT26" s="1167"/>
      <c r="AU26" s="1164"/>
      <c r="AV26" s="1170"/>
      <c r="AW26" s="1170"/>
      <c r="AX26" s="1170"/>
      <c r="AY26" s="1171"/>
      <c r="AZ26" s="1170"/>
      <c r="BA26" s="1170"/>
      <c r="BB26" s="1170"/>
      <c r="BC26" s="1170"/>
      <c r="BD26" s="1164"/>
      <c r="BE26" s="1164"/>
      <c r="BF26" s="1165"/>
      <c r="BG26" s="1164"/>
      <c r="BH26" s="1164"/>
      <c r="BI26" s="1164"/>
      <c r="BJ26" s="1164"/>
      <c r="BK26" s="1166"/>
      <c r="BL26" s="1164"/>
      <c r="BM26" s="1164"/>
      <c r="BN26" s="1165"/>
      <c r="BO26" s="1164"/>
      <c r="BP26" s="1140"/>
    </row>
    <row r="27" ht="11.25" hidden="1" customHeight="1">
      <c r="A27" s="1164" t="s">
        <v>403</v>
      </c>
      <c r="B27" s="1164" t="s">
        <v>734</v>
      </c>
      <c r="C27" s="1164" t="s">
        <v>460</v>
      </c>
      <c r="D27" s="1164" t="s">
        <v>735</v>
      </c>
      <c r="E27" s="1164" t="s">
        <v>736</v>
      </c>
      <c r="F27" s="1164" t="s">
        <v>737</v>
      </c>
      <c r="G27" s="1164" t="s">
        <v>592</v>
      </c>
      <c r="H27" s="1165">
        <v>2.0</v>
      </c>
      <c r="I27" s="1164" t="s">
        <v>530</v>
      </c>
      <c r="J27" s="1164" t="s">
        <v>531</v>
      </c>
      <c r="K27" s="1164" t="s">
        <v>738</v>
      </c>
      <c r="L27" s="1164" t="s">
        <v>194</v>
      </c>
      <c r="M27" s="1164" t="s">
        <v>739</v>
      </c>
      <c r="N27" s="1164" t="s">
        <v>535</v>
      </c>
      <c r="O27" s="1164" t="s">
        <v>740</v>
      </c>
      <c r="P27" s="1166" t="s">
        <v>194</v>
      </c>
      <c r="Q27" s="1135">
        <v>43227.0</v>
      </c>
      <c r="R27" s="1164" t="s">
        <v>741</v>
      </c>
      <c r="S27" s="1164" t="s">
        <v>194</v>
      </c>
      <c r="T27" s="1164" t="s">
        <v>194</v>
      </c>
      <c r="U27" s="1164" t="s">
        <v>640</v>
      </c>
      <c r="V27" s="1164" t="s">
        <v>194</v>
      </c>
      <c r="W27" s="1164" t="s">
        <v>194</v>
      </c>
      <c r="X27" s="1164" t="s">
        <v>194</v>
      </c>
      <c r="Y27" s="1167">
        <v>0.06</v>
      </c>
      <c r="Z27" s="1164" t="s">
        <v>557</v>
      </c>
      <c r="AA27" s="1135" t="s">
        <v>194</v>
      </c>
      <c r="AB27" s="1164" t="s">
        <v>194</v>
      </c>
      <c r="AC27" s="1167" t="s">
        <v>194</v>
      </c>
      <c r="AD27" s="1164" t="s">
        <v>194</v>
      </c>
      <c r="AE27" s="1168" t="s">
        <v>194</v>
      </c>
      <c r="AF27" s="1167" t="s">
        <v>194</v>
      </c>
      <c r="AG27" s="1164" t="s">
        <v>194</v>
      </c>
      <c r="AH27" s="1164" t="s">
        <v>540</v>
      </c>
      <c r="AI27" s="1164" t="s">
        <v>572</v>
      </c>
      <c r="AJ27" s="1164" t="s">
        <v>194</v>
      </c>
      <c r="AK27" s="1165" t="s">
        <v>573</v>
      </c>
      <c r="AL27" s="1164" t="s">
        <v>194</v>
      </c>
      <c r="AM27" s="1167" t="s">
        <v>194</v>
      </c>
      <c r="AN27" s="1164" t="s">
        <v>194</v>
      </c>
      <c r="AO27" s="1169" t="s">
        <v>194</v>
      </c>
      <c r="AP27" s="1167" t="s">
        <v>194</v>
      </c>
      <c r="AQ27" s="1164" t="s">
        <v>194</v>
      </c>
      <c r="AR27" s="1167" t="s">
        <v>194</v>
      </c>
      <c r="AS27" s="1164" t="s">
        <v>194</v>
      </c>
      <c r="AT27" s="1167" t="s">
        <v>194</v>
      </c>
      <c r="AU27" s="1164" t="s">
        <v>194</v>
      </c>
      <c r="AV27" s="1170" t="s">
        <v>194</v>
      </c>
      <c r="AW27" s="1170" t="s">
        <v>194</v>
      </c>
      <c r="AX27" s="1170" t="s">
        <v>194</v>
      </c>
      <c r="AY27" s="1171" t="s">
        <v>194</v>
      </c>
      <c r="AZ27" s="1170" t="s">
        <v>194</v>
      </c>
      <c r="BA27" s="1170" t="s">
        <v>194</v>
      </c>
      <c r="BB27" s="1170" t="s">
        <v>194</v>
      </c>
      <c r="BC27" s="1170" t="s">
        <v>194</v>
      </c>
      <c r="BD27" s="1164" t="s">
        <v>742</v>
      </c>
      <c r="BE27" s="1164" t="s">
        <v>194</v>
      </c>
      <c r="BF27" s="1165" t="s">
        <v>743</v>
      </c>
      <c r="BG27" s="1164" t="s">
        <v>547</v>
      </c>
      <c r="BH27" s="1164" t="s">
        <v>543</v>
      </c>
      <c r="BI27" s="1164" t="s">
        <v>194</v>
      </c>
      <c r="BJ27" s="1164" t="s">
        <v>544</v>
      </c>
      <c r="BK27" s="1166">
        <v>5.0</v>
      </c>
      <c r="BL27" s="1164" t="s">
        <v>545</v>
      </c>
      <c r="BM27" s="1164" t="s">
        <v>194</v>
      </c>
      <c r="BN27" s="1165" t="s">
        <v>546</v>
      </c>
      <c r="BO27" s="1164" t="s">
        <v>547</v>
      </c>
      <c r="BP27" s="1139" t="str">
        <f t="shared" ref="BP27:BP34" si="2">HYPERLINK("https://my.pitchbook.com?i=41134-24", "View Investor Online")</f>
        <v>View Investor Online</v>
      </c>
    </row>
    <row r="28" ht="11.25" hidden="1" customHeight="1">
      <c r="A28" s="1172" t="s">
        <v>403</v>
      </c>
      <c r="B28" s="1172" t="s">
        <v>744</v>
      </c>
      <c r="C28" s="1172" t="s">
        <v>460</v>
      </c>
      <c r="D28" s="1172" t="s">
        <v>745</v>
      </c>
      <c r="E28" s="1172" t="s">
        <v>746</v>
      </c>
      <c r="F28" s="1172" t="s">
        <v>747</v>
      </c>
      <c r="G28" s="1172" t="s">
        <v>116</v>
      </c>
      <c r="H28" s="1173">
        <v>7.0</v>
      </c>
      <c r="I28" s="1172" t="s">
        <v>552</v>
      </c>
      <c r="J28" s="1172" t="s">
        <v>748</v>
      </c>
      <c r="K28" s="1172" t="s">
        <v>749</v>
      </c>
      <c r="L28" s="1172" t="s">
        <v>750</v>
      </c>
      <c r="M28" s="1172" t="s">
        <v>751</v>
      </c>
      <c r="N28" s="1172" t="s">
        <v>535</v>
      </c>
      <c r="O28" s="1172" t="s">
        <v>671</v>
      </c>
      <c r="P28" s="1174">
        <v>137.0</v>
      </c>
      <c r="Q28" s="1142">
        <v>39326.0</v>
      </c>
      <c r="R28" s="1172" t="s">
        <v>439</v>
      </c>
      <c r="S28" s="1172" t="s">
        <v>194</v>
      </c>
      <c r="T28" s="1172" t="s">
        <v>194</v>
      </c>
      <c r="U28" s="1172" t="s">
        <v>538</v>
      </c>
      <c r="V28" s="1172" t="s">
        <v>194</v>
      </c>
      <c r="W28" s="1172" t="s">
        <v>194</v>
      </c>
      <c r="X28" s="1172" t="s">
        <v>194</v>
      </c>
      <c r="Y28" s="1175">
        <v>791.0</v>
      </c>
      <c r="Z28" s="1172" t="s">
        <v>557</v>
      </c>
      <c r="AA28" s="1142" t="s">
        <v>194</v>
      </c>
      <c r="AB28" s="1172" t="s">
        <v>194</v>
      </c>
      <c r="AC28" s="1175" t="s">
        <v>194</v>
      </c>
      <c r="AD28" s="1172" t="s">
        <v>194</v>
      </c>
      <c r="AE28" s="1176" t="s">
        <v>194</v>
      </c>
      <c r="AF28" s="1175">
        <v>791.0</v>
      </c>
      <c r="AG28" s="1172" t="s">
        <v>557</v>
      </c>
      <c r="AH28" s="1172" t="s">
        <v>540</v>
      </c>
      <c r="AI28" s="1172" t="s">
        <v>194</v>
      </c>
      <c r="AJ28" s="1172" t="s">
        <v>194</v>
      </c>
      <c r="AK28" s="1173" t="s">
        <v>194</v>
      </c>
      <c r="AL28" s="1172" t="s">
        <v>194</v>
      </c>
      <c r="AM28" s="1175">
        <v>75051.0</v>
      </c>
      <c r="AN28" s="1172" t="s">
        <v>557</v>
      </c>
      <c r="AO28" s="1177">
        <v>142.21720187187347</v>
      </c>
      <c r="AP28" s="1175">
        <v>41692.0</v>
      </c>
      <c r="AQ28" s="1172" t="s">
        <v>557</v>
      </c>
      <c r="AR28" s="1175">
        <v>4679.0</v>
      </c>
      <c r="AS28" s="1172" t="s">
        <v>557</v>
      </c>
      <c r="AT28" s="1175" t="s">
        <v>194</v>
      </c>
      <c r="AU28" s="1172" t="s">
        <v>194</v>
      </c>
      <c r="AV28" s="1178" t="s">
        <v>194</v>
      </c>
      <c r="AW28" s="1178" t="s">
        <v>194</v>
      </c>
      <c r="AX28" s="1178" t="s">
        <v>194</v>
      </c>
      <c r="AY28" s="1179" t="s">
        <v>194</v>
      </c>
      <c r="AZ28" s="1178">
        <v>10.539499806798045</v>
      </c>
      <c r="BA28" s="1178" t="s">
        <v>194</v>
      </c>
      <c r="BB28" s="1178">
        <v>131.2209688122097</v>
      </c>
      <c r="BC28" s="1178" t="s">
        <v>194</v>
      </c>
      <c r="BD28" s="1172" t="s">
        <v>603</v>
      </c>
      <c r="BE28" s="1172" t="s">
        <v>604</v>
      </c>
      <c r="BF28" s="1173" t="s">
        <v>752</v>
      </c>
      <c r="BG28" s="1172" t="s">
        <v>562</v>
      </c>
      <c r="BH28" s="1172" t="s">
        <v>543</v>
      </c>
      <c r="BI28" s="1172" t="s">
        <v>194</v>
      </c>
      <c r="BJ28" s="1172" t="s">
        <v>544</v>
      </c>
      <c r="BK28" s="1174">
        <v>5.0</v>
      </c>
      <c r="BL28" s="1172" t="s">
        <v>545</v>
      </c>
      <c r="BM28" s="1172" t="s">
        <v>194</v>
      </c>
      <c r="BN28" s="1173" t="s">
        <v>546</v>
      </c>
      <c r="BO28" s="1172" t="s">
        <v>547</v>
      </c>
      <c r="BP28" s="1180" t="str">
        <f t="shared" si="2"/>
        <v>View Investor Online</v>
      </c>
    </row>
    <row r="29" ht="11.25" hidden="1" customHeight="1">
      <c r="A29" s="1164" t="s">
        <v>403</v>
      </c>
      <c r="B29" s="1164" t="s">
        <v>753</v>
      </c>
      <c r="C29" s="1164" t="s">
        <v>460</v>
      </c>
      <c r="D29" s="1164" t="s">
        <v>754</v>
      </c>
      <c r="E29" s="1164" t="s">
        <v>755</v>
      </c>
      <c r="F29" s="1164" t="s">
        <v>756</v>
      </c>
      <c r="G29" s="1164" t="s">
        <v>592</v>
      </c>
      <c r="H29" s="1165">
        <v>3.0</v>
      </c>
      <c r="I29" s="1164" t="s">
        <v>567</v>
      </c>
      <c r="J29" s="1164" t="s">
        <v>568</v>
      </c>
      <c r="K29" s="1164" t="s">
        <v>707</v>
      </c>
      <c r="L29" s="1164" t="s">
        <v>612</v>
      </c>
      <c r="M29" s="1164" t="s">
        <v>757</v>
      </c>
      <c r="N29" s="1164" t="s">
        <v>535</v>
      </c>
      <c r="O29" s="1164" t="s">
        <v>597</v>
      </c>
      <c r="P29" s="1166">
        <v>15.0</v>
      </c>
      <c r="Q29" s="1135">
        <v>43188.0</v>
      </c>
      <c r="R29" s="1164" t="s">
        <v>598</v>
      </c>
      <c r="S29" s="1164" t="s">
        <v>758</v>
      </c>
      <c r="T29" s="1164" t="s">
        <v>194</v>
      </c>
      <c r="U29" s="1164" t="s">
        <v>600</v>
      </c>
      <c r="V29" s="1164" t="s">
        <v>194</v>
      </c>
      <c r="W29" s="1164" t="s">
        <v>194</v>
      </c>
      <c r="X29" s="1164" t="s">
        <v>194</v>
      </c>
      <c r="Y29" s="1167">
        <v>6.63</v>
      </c>
      <c r="Z29" s="1164" t="s">
        <v>557</v>
      </c>
      <c r="AA29" s="1135" t="s">
        <v>194</v>
      </c>
      <c r="AB29" s="1164" t="s">
        <v>194</v>
      </c>
      <c r="AC29" s="1167" t="s">
        <v>194</v>
      </c>
      <c r="AD29" s="1164" t="s">
        <v>194</v>
      </c>
      <c r="AE29" s="1168">
        <v>35.0</v>
      </c>
      <c r="AF29" s="1167">
        <v>41.63</v>
      </c>
      <c r="AG29" s="1164" t="s">
        <v>557</v>
      </c>
      <c r="AH29" s="1164" t="s">
        <v>540</v>
      </c>
      <c r="AI29" s="1164" t="s">
        <v>194</v>
      </c>
      <c r="AJ29" s="1164" t="s">
        <v>194</v>
      </c>
      <c r="AK29" s="1165" t="s">
        <v>194</v>
      </c>
      <c r="AL29" s="1164" t="s">
        <v>194</v>
      </c>
      <c r="AM29" s="1167" t="s">
        <v>194</v>
      </c>
      <c r="AN29" s="1164" t="s">
        <v>194</v>
      </c>
      <c r="AO29" s="1169" t="s">
        <v>194</v>
      </c>
      <c r="AP29" s="1167" t="s">
        <v>194</v>
      </c>
      <c r="AQ29" s="1164" t="s">
        <v>194</v>
      </c>
      <c r="AR29" s="1167" t="s">
        <v>194</v>
      </c>
      <c r="AS29" s="1164" t="s">
        <v>194</v>
      </c>
      <c r="AT29" s="1167" t="s">
        <v>194</v>
      </c>
      <c r="AU29" s="1164" t="s">
        <v>194</v>
      </c>
      <c r="AV29" s="1170" t="s">
        <v>194</v>
      </c>
      <c r="AW29" s="1170" t="s">
        <v>194</v>
      </c>
      <c r="AX29" s="1170" t="s">
        <v>194</v>
      </c>
      <c r="AY29" s="1171" t="s">
        <v>194</v>
      </c>
      <c r="AZ29" s="1170" t="s">
        <v>194</v>
      </c>
      <c r="BA29" s="1170" t="s">
        <v>194</v>
      </c>
      <c r="BB29" s="1170" t="s">
        <v>194</v>
      </c>
      <c r="BC29" s="1170" t="s">
        <v>194</v>
      </c>
      <c r="BD29" s="1164" t="s">
        <v>759</v>
      </c>
      <c r="BE29" s="1164" t="s">
        <v>604</v>
      </c>
      <c r="BF29" s="1165" t="s">
        <v>760</v>
      </c>
      <c r="BG29" s="1164" t="s">
        <v>562</v>
      </c>
      <c r="BH29" s="1164" t="s">
        <v>543</v>
      </c>
      <c r="BI29" s="1164" t="s">
        <v>194</v>
      </c>
      <c r="BJ29" s="1164" t="s">
        <v>544</v>
      </c>
      <c r="BK29" s="1166">
        <v>5.0</v>
      </c>
      <c r="BL29" s="1164" t="s">
        <v>545</v>
      </c>
      <c r="BM29" s="1164" t="s">
        <v>194</v>
      </c>
      <c r="BN29" s="1165" t="s">
        <v>546</v>
      </c>
      <c r="BO29" s="1164" t="s">
        <v>547</v>
      </c>
      <c r="BP29" s="1139" t="str">
        <f t="shared" si="2"/>
        <v>View Investor Online</v>
      </c>
    </row>
    <row r="30" ht="11.25" hidden="1" customHeight="1">
      <c r="A30" s="1172" t="s">
        <v>403</v>
      </c>
      <c r="B30" s="1172" t="s">
        <v>761</v>
      </c>
      <c r="C30" s="1172" t="s">
        <v>460</v>
      </c>
      <c r="D30" s="1172" t="s">
        <v>762</v>
      </c>
      <c r="E30" s="1172" t="s">
        <v>763</v>
      </c>
      <c r="F30" s="1172" t="s">
        <v>764</v>
      </c>
      <c r="G30" s="1172" t="s">
        <v>529</v>
      </c>
      <c r="H30" s="1173">
        <v>4.0</v>
      </c>
      <c r="I30" s="1172" t="s">
        <v>567</v>
      </c>
      <c r="J30" s="1172" t="s">
        <v>568</v>
      </c>
      <c r="K30" s="1172" t="s">
        <v>569</v>
      </c>
      <c r="L30" s="1172" t="s">
        <v>765</v>
      </c>
      <c r="M30" s="1172" t="s">
        <v>571</v>
      </c>
      <c r="N30" s="1172" t="s">
        <v>638</v>
      </c>
      <c r="O30" s="1172" t="s">
        <v>671</v>
      </c>
      <c r="P30" s="1174">
        <v>106.0</v>
      </c>
      <c r="Q30" s="1142">
        <v>40655.0</v>
      </c>
      <c r="R30" s="1172" t="s">
        <v>538</v>
      </c>
      <c r="S30" s="1172" t="s">
        <v>766</v>
      </c>
      <c r="T30" s="1172" t="s">
        <v>194</v>
      </c>
      <c r="U30" s="1172" t="s">
        <v>538</v>
      </c>
      <c r="V30" s="1172" t="s">
        <v>194</v>
      </c>
      <c r="W30" s="1172" t="s">
        <v>194</v>
      </c>
      <c r="X30" s="1172" t="s">
        <v>194</v>
      </c>
      <c r="Y30" s="1175">
        <v>12.0</v>
      </c>
      <c r="Z30" s="1172" t="s">
        <v>557</v>
      </c>
      <c r="AA30" s="1142">
        <v>40655.0</v>
      </c>
      <c r="AB30" s="1172" t="s">
        <v>767</v>
      </c>
      <c r="AC30" s="1175">
        <v>12.0</v>
      </c>
      <c r="AD30" s="1172">
        <v>0.74</v>
      </c>
      <c r="AE30" s="1176">
        <v>27.6</v>
      </c>
      <c r="AF30" s="1175">
        <v>39.6</v>
      </c>
      <c r="AG30" s="1172" t="s">
        <v>557</v>
      </c>
      <c r="AH30" s="1172" t="s">
        <v>540</v>
      </c>
      <c r="AI30" s="1172" t="s">
        <v>194</v>
      </c>
      <c r="AJ30" s="1172" t="s">
        <v>194</v>
      </c>
      <c r="AK30" s="1173" t="s">
        <v>194</v>
      </c>
      <c r="AL30" s="1172" t="s">
        <v>194</v>
      </c>
      <c r="AM30" s="1175" t="s">
        <v>194</v>
      </c>
      <c r="AN30" s="1172" t="s">
        <v>194</v>
      </c>
      <c r="AO30" s="1177" t="s">
        <v>194</v>
      </c>
      <c r="AP30" s="1175" t="s">
        <v>194</v>
      </c>
      <c r="AQ30" s="1172" t="s">
        <v>194</v>
      </c>
      <c r="AR30" s="1175" t="s">
        <v>194</v>
      </c>
      <c r="AS30" s="1172" t="s">
        <v>194</v>
      </c>
      <c r="AT30" s="1175" t="s">
        <v>194</v>
      </c>
      <c r="AU30" s="1172" t="s">
        <v>194</v>
      </c>
      <c r="AV30" s="1178" t="s">
        <v>194</v>
      </c>
      <c r="AW30" s="1178" t="s">
        <v>194</v>
      </c>
      <c r="AX30" s="1178" t="s">
        <v>194</v>
      </c>
      <c r="AY30" s="1179" t="s">
        <v>194</v>
      </c>
      <c r="AZ30" s="1178" t="s">
        <v>194</v>
      </c>
      <c r="BA30" s="1178" t="s">
        <v>194</v>
      </c>
      <c r="BB30" s="1178" t="s">
        <v>194</v>
      </c>
      <c r="BC30" s="1178" t="s">
        <v>194</v>
      </c>
      <c r="BD30" s="1172" t="s">
        <v>768</v>
      </c>
      <c r="BE30" s="1172" t="s">
        <v>604</v>
      </c>
      <c r="BF30" s="1173" t="s">
        <v>769</v>
      </c>
      <c r="BG30" s="1172" t="s">
        <v>562</v>
      </c>
      <c r="BH30" s="1172" t="s">
        <v>543</v>
      </c>
      <c r="BI30" s="1172" t="s">
        <v>194</v>
      </c>
      <c r="BJ30" s="1172" t="s">
        <v>544</v>
      </c>
      <c r="BK30" s="1174">
        <v>5.0</v>
      </c>
      <c r="BL30" s="1172" t="s">
        <v>545</v>
      </c>
      <c r="BM30" s="1172" t="s">
        <v>194</v>
      </c>
      <c r="BN30" s="1173" t="s">
        <v>546</v>
      </c>
      <c r="BO30" s="1172" t="s">
        <v>547</v>
      </c>
      <c r="BP30" s="1180" t="str">
        <f t="shared" si="2"/>
        <v>View Investor Online</v>
      </c>
    </row>
    <row r="31" ht="11.25" hidden="1" customHeight="1">
      <c r="A31" s="1172" t="s">
        <v>403</v>
      </c>
      <c r="B31" s="1172" t="s">
        <v>770</v>
      </c>
      <c r="C31" s="1172" t="s">
        <v>460</v>
      </c>
      <c r="D31" s="1172" t="s">
        <v>771</v>
      </c>
      <c r="E31" s="1172" t="s">
        <v>772</v>
      </c>
      <c r="F31" s="1172" t="s">
        <v>773</v>
      </c>
      <c r="G31" s="1172" t="s">
        <v>116</v>
      </c>
      <c r="H31" s="1173">
        <v>1.0</v>
      </c>
      <c r="I31" s="1172" t="s">
        <v>567</v>
      </c>
      <c r="J31" s="1172" t="s">
        <v>568</v>
      </c>
      <c r="K31" s="1172" t="s">
        <v>774</v>
      </c>
      <c r="L31" s="1172" t="s">
        <v>775</v>
      </c>
      <c r="M31" s="1172" t="s">
        <v>776</v>
      </c>
      <c r="N31" s="1172" t="s">
        <v>535</v>
      </c>
      <c r="O31" s="1172" t="s">
        <v>536</v>
      </c>
      <c r="P31" s="1174">
        <v>42.0</v>
      </c>
      <c r="Q31" s="1142">
        <v>42010.0</v>
      </c>
      <c r="R31" s="1172" t="s">
        <v>439</v>
      </c>
      <c r="S31" s="1172" t="s">
        <v>194</v>
      </c>
      <c r="T31" s="1172" t="s">
        <v>194</v>
      </c>
      <c r="U31" s="1172" t="s">
        <v>538</v>
      </c>
      <c r="V31" s="1172" t="s">
        <v>194</v>
      </c>
      <c r="W31" s="1172" t="s">
        <v>194</v>
      </c>
      <c r="X31" s="1172" t="s">
        <v>194</v>
      </c>
      <c r="Y31" s="1175" t="s">
        <v>194</v>
      </c>
      <c r="Z31" s="1172" t="s">
        <v>194</v>
      </c>
      <c r="AA31" s="1142" t="s">
        <v>194</v>
      </c>
      <c r="AB31" s="1172" t="s">
        <v>194</v>
      </c>
      <c r="AC31" s="1175" t="s">
        <v>194</v>
      </c>
      <c r="AD31" s="1172" t="s">
        <v>194</v>
      </c>
      <c r="AE31" s="1176" t="s">
        <v>194</v>
      </c>
      <c r="AF31" s="1175" t="s">
        <v>194</v>
      </c>
      <c r="AG31" s="1172" t="s">
        <v>194</v>
      </c>
      <c r="AH31" s="1172" t="s">
        <v>540</v>
      </c>
      <c r="AI31" s="1172" t="s">
        <v>777</v>
      </c>
      <c r="AJ31" s="1172" t="s">
        <v>194</v>
      </c>
      <c r="AK31" s="1173" t="s">
        <v>194</v>
      </c>
      <c r="AL31" s="1172" t="s">
        <v>194</v>
      </c>
      <c r="AM31" s="1175">
        <v>4452.1</v>
      </c>
      <c r="AN31" s="1172" t="s">
        <v>557</v>
      </c>
      <c r="AO31" s="1177" t="s">
        <v>194</v>
      </c>
      <c r="AP31" s="1175" t="s">
        <v>194</v>
      </c>
      <c r="AQ31" s="1172" t="s">
        <v>194</v>
      </c>
      <c r="AR31" s="1175" t="s">
        <v>194</v>
      </c>
      <c r="AS31" s="1172" t="s">
        <v>194</v>
      </c>
      <c r="AT31" s="1175" t="s">
        <v>194</v>
      </c>
      <c r="AU31" s="1172" t="s">
        <v>194</v>
      </c>
      <c r="AV31" s="1178" t="s">
        <v>194</v>
      </c>
      <c r="AW31" s="1178" t="s">
        <v>194</v>
      </c>
      <c r="AX31" s="1178" t="s">
        <v>194</v>
      </c>
      <c r="AY31" s="1179" t="s">
        <v>194</v>
      </c>
      <c r="AZ31" s="1178" t="s">
        <v>194</v>
      </c>
      <c r="BA31" s="1178" t="s">
        <v>194</v>
      </c>
      <c r="BB31" s="1178" t="s">
        <v>194</v>
      </c>
      <c r="BC31" s="1178" t="s">
        <v>194</v>
      </c>
      <c r="BD31" s="1172" t="s">
        <v>778</v>
      </c>
      <c r="BE31" s="1172" t="s">
        <v>194</v>
      </c>
      <c r="BF31" s="1173" t="s">
        <v>779</v>
      </c>
      <c r="BG31" s="1172" t="s">
        <v>780</v>
      </c>
      <c r="BH31" s="1172" t="s">
        <v>543</v>
      </c>
      <c r="BI31" s="1172" t="s">
        <v>194</v>
      </c>
      <c r="BJ31" s="1172" t="s">
        <v>544</v>
      </c>
      <c r="BK31" s="1174">
        <v>5.0</v>
      </c>
      <c r="BL31" s="1172" t="s">
        <v>545</v>
      </c>
      <c r="BM31" s="1172" t="s">
        <v>194</v>
      </c>
      <c r="BN31" s="1173" t="s">
        <v>546</v>
      </c>
      <c r="BO31" s="1172" t="s">
        <v>547</v>
      </c>
      <c r="BP31" s="1180" t="str">
        <f t="shared" si="2"/>
        <v>View Investor Online</v>
      </c>
    </row>
    <row r="32" ht="11.25" hidden="1" customHeight="1">
      <c r="A32" s="1172" t="s">
        <v>403</v>
      </c>
      <c r="B32" s="1172" t="s">
        <v>781</v>
      </c>
      <c r="C32" s="1172" t="s">
        <v>460</v>
      </c>
      <c r="D32" s="1172" t="s">
        <v>782</v>
      </c>
      <c r="E32" s="1172" t="s">
        <v>783</v>
      </c>
      <c r="F32" s="1172" t="s">
        <v>784</v>
      </c>
      <c r="G32" s="1172" t="s">
        <v>116</v>
      </c>
      <c r="H32" s="1173">
        <v>1.0</v>
      </c>
      <c r="I32" s="1172" t="s">
        <v>567</v>
      </c>
      <c r="J32" s="1172" t="s">
        <v>785</v>
      </c>
      <c r="K32" s="1172" t="s">
        <v>786</v>
      </c>
      <c r="L32" s="1172" t="s">
        <v>775</v>
      </c>
      <c r="M32" s="1172" t="s">
        <v>787</v>
      </c>
      <c r="N32" s="1172" t="s">
        <v>535</v>
      </c>
      <c r="O32" s="1172" t="s">
        <v>536</v>
      </c>
      <c r="P32" s="1174" t="s">
        <v>194</v>
      </c>
      <c r="Q32" s="1142">
        <v>41646.0</v>
      </c>
      <c r="R32" s="1172" t="s">
        <v>439</v>
      </c>
      <c r="S32" s="1172" t="s">
        <v>556</v>
      </c>
      <c r="T32" s="1172" t="s">
        <v>194</v>
      </c>
      <c r="U32" s="1172" t="s">
        <v>538</v>
      </c>
      <c r="V32" s="1172" t="s">
        <v>194</v>
      </c>
      <c r="W32" s="1172" t="s">
        <v>194</v>
      </c>
      <c r="X32" s="1172" t="s">
        <v>194</v>
      </c>
      <c r="Y32" s="1175" t="s">
        <v>194</v>
      </c>
      <c r="Z32" s="1172" t="s">
        <v>194</v>
      </c>
      <c r="AA32" s="1142" t="s">
        <v>194</v>
      </c>
      <c r="AB32" s="1172" t="s">
        <v>194</v>
      </c>
      <c r="AC32" s="1175" t="s">
        <v>194</v>
      </c>
      <c r="AD32" s="1172" t="s">
        <v>194</v>
      </c>
      <c r="AE32" s="1176" t="s">
        <v>194</v>
      </c>
      <c r="AF32" s="1175" t="s">
        <v>194</v>
      </c>
      <c r="AG32" s="1172" t="s">
        <v>194</v>
      </c>
      <c r="AH32" s="1172" t="s">
        <v>540</v>
      </c>
      <c r="AI32" s="1172" t="s">
        <v>788</v>
      </c>
      <c r="AJ32" s="1172" t="s">
        <v>194</v>
      </c>
      <c r="AK32" s="1173" t="s">
        <v>194</v>
      </c>
      <c r="AL32" s="1172" t="s">
        <v>194</v>
      </c>
      <c r="AM32" s="1175" t="s">
        <v>194</v>
      </c>
      <c r="AN32" s="1172" t="s">
        <v>194</v>
      </c>
      <c r="AO32" s="1177" t="s">
        <v>194</v>
      </c>
      <c r="AP32" s="1175" t="s">
        <v>194</v>
      </c>
      <c r="AQ32" s="1172" t="s">
        <v>194</v>
      </c>
      <c r="AR32" s="1175" t="s">
        <v>194</v>
      </c>
      <c r="AS32" s="1172" t="s">
        <v>194</v>
      </c>
      <c r="AT32" s="1175" t="s">
        <v>194</v>
      </c>
      <c r="AU32" s="1172" t="s">
        <v>194</v>
      </c>
      <c r="AV32" s="1178" t="s">
        <v>194</v>
      </c>
      <c r="AW32" s="1178" t="s">
        <v>194</v>
      </c>
      <c r="AX32" s="1178" t="s">
        <v>194</v>
      </c>
      <c r="AY32" s="1179" t="s">
        <v>194</v>
      </c>
      <c r="AZ32" s="1178" t="s">
        <v>194</v>
      </c>
      <c r="BA32" s="1178" t="s">
        <v>194</v>
      </c>
      <c r="BB32" s="1178" t="s">
        <v>194</v>
      </c>
      <c r="BC32" s="1178" t="s">
        <v>194</v>
      </c>
      <c r="BD32" s="1172" t="s">
        <v>789</v>
      </c>
      <c r="BE32" s="1172" t="s">
        <v>194</v>
      </c>
      <c r="BF32" s="1173" t="s">
        <v>194</v>
      </c>
      <c r="BG32" s="1172" t="s">
        <v>790</v>
      </c>
      <c r="BH32" s="1172" t="s">
        <v>543</v>
      </c>
      <c r="BI32" s="1172" t="s">
        <v>194</v>
      </c>
      <c r="BJ32" s="1172" t="s">
        <v>544</v>
      </c>
      <c r="BK32" s="1174">
        <v>5.0</v>
      </c>
      <c r="BL32" s="1172" t="s">
        <v>545</v>
      </c>
      <c r="BM32" s="1172" t="s">
        <v>194</v>
      </c>
      <c r="BN32" s="1173" t="s">
        <v>546</v>
      </c>
      <c r="BO32" s="1172" t="s">
        <v>547</v>
      </c>
      <c r="BP32" s="1180" t="str">
        <f t="shared" si="2"/>
        <v>View Investor Online</v>
      </c>
    </row>
    <row r="33" ht="11.25" hidden="1" customHeight="1">
      <c r="A33" s="1172" t="s">
        <v>403</v>
      </c>
      <c r="B33" s="1172" t="s">
        <v>791</v>
      </c>
      <c r="C33" s="1172" t="s">
        <v>460</v>
      </c>
      <c r="D33" s="1172" t="s">
        <v>792</v>
      </c>
      <c r="E33" s="1172" t="s">
        <v>793</v>
      </c>
      <c r="F33" s="1172" t="s">
        <v>794</v>
      </c>
      <c r="G33" s="1172" t="s">
        <v>116</v>
      </c>
      <c r="H33" s="1173">
        <v>3.0</v>
      </c>
      <c r="I33" s="1172" t="s">
        <v>552</v>
      </c>
      <c r="J33" s="1172" t="s">
        <v>748</v>
      </c>
      <c r="K33" s="1172" t="s">
        <v>795</v>
      </c>
      <c r="L33" s="1172" t="s">
        <v>796</v>
      </c>
      <c r="M33" s="1172" t="s">
        <v>797</v>
      </c>
      <c r="N33" s="1172" t="s">
        <v>638</v>
      </c>
      <c r="O33" s="1172" t="s">
        <v>536</v>
      </c>
      <c r="P33" s="1174" t="s">
        <v>194</v>
      </c>
      <c r="Q33" s="1142">
        <v>40917.0</v>
      </c>
      <c r="R33" s="1172" t="s">
        <v>439</v>
      </c>
      <c r="S33" s="1172" t="s">
        <v>194</v>
      </c>
      <c r="T33" s="1172" t="s">
        <v>194</v>
      </c>
      <c r="U33" s="1172" t="s">
        <v>538</v>
      </c>
      <c r="V33" s="1172" t="s">
        <v>194</v>
      </c>
      <c r="W33" s="1172" t="s">
        <v>194</v>
      </c>
      <c r="X33" s="1172" t="s">
        <v>194</v>
      </c>
      <c r="Y33" s="1175">
        <v>270.76</v>
      </c>
      <c r="Z33" s="1172" t="s">
        <v>557</v>
      </c>
      <c r="AA33" s="1142" t="s">
        <v>194</v>
      </c>
      <c r="AB33" s="1172" t="s">
        <v>194</v>
      </c>
      <c r="AC33" s="1175" t="s">
        <v>194</v>
      </c>
      <c r="AD33" s="1172" t="s">
        <v>194</v>
      </c>
      <c r="AE33" s="1176" t="s">
        <v>194</v>
      </c>
      <c r="AF33" s="1175">
        <v>349.09</v>
      </c>
      <c r="AG33" s="1172" t="s">
        <v>557</v>
      </c>
      <c r="AH33" s="1172" t="s">
        <v>540</v>
      </c>
      <c r="AI33" s="1172" t="s">
        <v>194</v>
      </c>
      <c r="AJ33" s="1172" t="s">
        <v>194</v>
      </c>
      <c r="AK33" s="1173" t="s">
        <v>194</v>
      </c>
      <c r="AL33" s="1172" t="s">
        <v>194</v>
      </c>
      <c r="AM33" s="1175" t="s">
        <v>194</v>
      </c>
      <c r="AN33" s="1172" t="s">
        <v>194</v>
      </c>
      <c r="AO33" s="1177" t="s">
        <v>194</v>
      </c>
      <c r="AP33" s="1175" t="s">
        <v>194</v>
      </c>
      <c r="AQ33" s="1172" t="s">
        <v>194</v>
      </c>
      <c r="AR33" s="1175" t="s">
        <v>194</v>
      </c>
      <c r="AS33" s="1172" t="s">
        <v>194</v>
      </c>
      <c r="AT33" s="1175" t="s">
        <v>194</v>
      </c>
      <c r="AU33" s="1172" t="s">
        <v>194</v>
      </c>
      <c r="AV33" s="1178" t="s">
        <v>194</v>
      </c>
      <c r="AW33" s="1178" t="s">
        <v>194</v>
      </c>
      <c r="AX33" s="1178" t="s">
        <v>194</v>
      </c>
      <c r="AY33" s="1179" t="s">
        <v>194</v>
      </c>
      <c r="AZ33" s="1178" t="s">
        <v>194</v>
      </c>
      <c r="BA33" s="1178" t="s">
        <v>194</v>
      </c>
      <c r="BB33" s="1178" t="s">
        <v>194</v>
      </c>
      <c r="BC33" s="1178" t="s">
        <v>194</v>
      </c>
      <c r="BD33" s="1172" t="s">
        <v>798</v>
      </c>
      <c r="BE33" s="1172" t="s">
        <v>194</v>
      </c>
      <c r="BF33" s="1173" t="s">
        <v>799</v>
      </c>
      <c r="BG33" s="1172" t="s">
        <v>800</v>
      </c>
      <c r="BH33" s="1172" t="s">
        <v>543</v>
      </c>
      <c r="BI33" s="1172" t="s">
        <v>194</v>
      </c>
      <c r="BJ33" s="1172" t="s">
        <v>544</v>
      </c>
      <c r="BK33" s="1174">
        <v>5.0</v>
      </c>
      <c r="BL33" s="1172" t="s">
        <v>545</v>
      </c>
      <c r="BM33" s="1172" t="s">
        <v>194</v>
      </c>
      <c r="BN33" s="1173" t="s">
        <v>546</v>
      </c>
      <c r="BO33" s="1172" t="s">
        <v>547</v>
      </c>
      <c r="BP33" s="1180" t="str">
        <f t="shared" si="2"/>
        <v>View Investor Online</v>
      </c>
    </row>
    <row r="34" ht="11.25" hidden="1" customHeight="1">
      <c r="A34" s="1164" t="s">
        <v>403</v>
      </c>
      <c r="B34" s="1164" t="s">
        <v>801</v>
      </c>
      <c r="C34" s="1164" t="s">
        <v>460</v>
      </c>
      <c r="D34" s="1164" t="s">
        <v>802</v>
      </c>
      <c r="E34" s="1164" t="s">
        <v>803</v>
      </c>
      <c r="F34" s="1164" t="s">
        <v>804</v>
      </c>
      <c r="G34" s="1164" t="s">
        <v>116</v>
      </c>
      <c r="H34" s="1165">
        <v>1.0</v>
      </c>
      <c r="I34" s="1164" t="s">
        <v>667</v>
      </c>
      <c r="J34" s="1164" t="s">
        <v>805</v>
      </c>
      <c r="K34" s="1164" t="s">
        <v>806</v>
      </c>
      <c r="L34" s="1164" t="s">
        <v>775</v>
      </c>
      <c r="M34" s="1164" t="s">
        <v>807</v>
      </c>
      <c r="N34" s="1164" t="s">
        <v>638</v>
      </c>
      <c r="O34" s="1164" t="s">
        <v>536</v>
      </c>
      <c r="P34" s="1166">
        <v>1800.0</v>
      </c>
      <c r="Q34" s="1135">
        <v>40908.0</v>
      </c>
      <c r="R34" s="1164" t="s">
        <v>439</v>
      </c>
      <c r="S34" s="1164" t="s">
        <v>194</v>
      </c>
      <c r="T34" s="1164" t="s">
        <v>194</v>
      </c>
      <c r="U34" s="1164" t="s">
        <v>538</v>
      </c>
      <c r="V34" s="1164" t="s">
        <v>194</v>
      </c>
      <c r="W34" s="1164" t="s">
        <v>194</v>
      </c>
      <c r="X34" s="1164" t="s">
        <v>194</v>
      </c>
      <c r="Y34" s="1167">
        <v>392.99</v>
      </c>
      <c r="Z34" s="1164" t="s">
        <v>557</v>
      </c>
      <c r="AA34" s="1135" t="s">
        <v>194</v>
      </c>
      <c r="AB34" s="1164" t="s">
        <v>194</v>
      </c>
      <c r="AC34" s="1167" t="s">
        <v>194</v>
      </c>
      <c r="AD34" s="1164" t="s">
        <v>194</v>
      </c>
      <c r="AE34" s="1168" t="s">
        <v>194</v>
      </c>
      <c r="AF34" s="1167">
        <v>61.78</v>
      </c>
      <c r="AG34" s="1164" t="s">
        <v>557</v>
      </c>
      <c r="AH34" s="1164" t="s">
        <v>540</v>
      </c>
      <c r="AI34" s="1164" t="s">
        <v>808</v>
      </c>
      <c r="AJ34" s="1164" t="s">
        <v>194</v>
      </c>
      <c r="AK34" s="1165" t="s">
        <v>194</v>
      </c>
      <c r="AL34" s="1164" t="s">
        <v>194</v>
      </c>
      <c r="AM34" s="1167" t="s">
        <v>194</v>
      </c>
      <c r="AN34" s="1164" t="s">
        <v>194</v>
      </c>
      <c r="AO34" s="1169" t="s">
        <v>194</v>
      </c>
      <c r="AP34" s="1167" t="s">
        <v>194</v>
      </c>
      <c r="AQ34" s="1164" t="s">
        <v>194</v>
      </c>
      <c r="AR34" s="1167" t="s">
        <v>194</v>
      </c>
      <c r="AS34" s="1164" t="s">
        <v>194</v>
      </c>
      <c r="AT34" s="1167" t="s">
        <v>194</v>
      </c>
      <c r="AU34" s="1164" t="s">
        <v>194</v>
      </c>
      <c r="AV34" s="1170" t="s">
        <v>194</v>
      </c>
      <c r="AW34" s="1170" t="s">
        <v>194</v>
      </c>
      <c r="AX34" s="1170" t="s">
        <v>194</v>
      </c>
      <c r="AY34" s="1171" t="s">
        <v>194</v>
      </c>
      <c r="AZ34" s="1170" t="s">
        <v>194</v>
      </c>
      <c r="BA34" s="1170" t="s">
        <v>194</v>
      </c>
      <c r="BB34" s="1170" t="s">
        <v>194</v>
      </c>
      <c r="BC34" s="1170" t="s">
        <v>194</v>
      </c>
      <c r="BD34" s="1164" t="s">
        <v>809</v>
      </c>
      <c r="BE34" s="1164" t="s">
        <v>194</v>
      </c>
      <c r="BF34" s="1165" t="s">
        <v>810</v>
      </c>
      <c r="BG34" s="1164" t="s">
        <v>811</v>
      </c>
      <c r="BH34" s="1164" t="s">
        <v>543</v>
      </c>
      <c r="BI34" s="1164" t="s">
        <v>194</v>
      </c>
      <c r="BJ34" s="1164" t="s">
        <v>544</v>
      </c>
      <c r="BK34" s="1166">
        <v>5.0</v>
      </c>
      <c r="BL34" s="1164" t="s">
        <v>545</v>
      </c>
      <c r="BM34" s="1164" t="s">
        <v>194</v>
      </c>
      <c r="BN34" s="1165" t="s">
        <v>546</v>
      </c>
      <c r="BO34" s="1164" t="s">
        <v>547</v>
      </c>
      <c r="BP34" s="1139" t="str">
        <f t="shared" si="2"/>
        <v>View Investor Online</v>
      </c>
    </row>
    <row r="35" ht="11.25" hidden="1" customHeight="1">
      <c r="A35" s="1172"/>
      <c r="B35" s="1172"/>
      <c r="C35" s="1172"/>
      <c r="D35" s="1172"/>
      <c r="E35" s="1172"/>
      <c r="F35" s="1172"/>
      <c r="G35" s="1172"/>
      <c r="H35" s="1173"/>
      <c r="I35" s="1172"/>
      <c r="J35" s="1172"/>
      <c r="K35" s="1172"/>
      <c r="L35" s="1172"/>
      <c r="M35" s="1172"/>
      <c r="N35" s="1172"/>
      <c r="O35" s="1172"/>
      <c r="P35" s="1174"/>
      <c r="Q35" s="1142"/>
      <c r="R35" s="1172"/>
      <c r="S35" s="1172"/>
      <c r="T35" s="1172"/>
      <c r="U35" s="1172"/>
      <c r="V35" s="1172"/>
      <c r="W35" s="1172"/>
      <c r="X35" s="1172"/>
      <c r="Y35" s="1175"/>
      <c r="Z35" s="1172"/>
      <c r="AA35" s="1142"/>
      <c r="AB35" s="1172"/>
      <c r="AC35" s="1175"/>
      <c r="AD35" s="1172"/>
      <c r="AE35" s="1176"/>
      <c r="AF35" s="1175"/>
      <c r="AG35" s="1172"/>
      <c r="AH35" s="1172"/>
      <c r="AI35" s="1172"/>
      <c r="AJ35" s="1172"/>
      <c r="AK35" s="1173"/>
      <c r="AL35" s="1172"/>
      <c r="AM35" s="1175"/>
      <c r="AN35" s="1172"/>
      <c r="AO35" s="1177"/>
      <c r="AP35" s="1175"/>
      <c r="AQ35" s="1172"/>
      <c r="AR35" s="1175"/>
      <c r="AS35" s="1172"/>
      <c r="AT35" s="1175"/>
      <c r="AU35" s="1172"/>
      <c r="AV35" s="1178"/>
      <c r="AW35" s="1178"/>
      <c r="AX35" s="1178"/>
      <c r="AY35" s="1179"/>
      <c r="AZ35" s="1178"/>
      <c r="BA35" s="1178"/>
      <c r="BB35" s="1178"/>
      <c r="BC35" s="1178"/>
      <c r="BD35" s="1172"/>
      <c r="BE35" s="1172"/>
      <c r="BF35" s="1173"/>
      <c r="BG35" s="1172"/>
      <c r="BH35" s="1172"/>
      <c r="BI35" s="1172"/>
      <c r="BJ35" s="1172"/>
      <c r="BK35" s="1174"/>
      <c r="BL35" s="1172"/>
      <c r="BM35" s="1172"/>
      <c r="BN35" s="1173"/>
      <c r="BO35" s="1172"/>
      <c r="BP35" s="1146"/>
    </row>
    <row r="36" ht="11.25" hidden="1" customHeight="1">
      <c r="A36" s="1164" t="s">
        <v>403</v>
      </c>
      <c r="B36" s="1164" t="s">
        <v>812</v>
      </c>
      <c r="C36" s="1164" t="s">
        <v>460</v>
      </c>
      <c r="D36" s="1164" t="s">
        <v>813</v>
      </c>
      <c r="E36" s="1164" t="s">
        <v>814</v>
      </c>
      <c r="F36" s="1164" t="s">
        <v>815</v>
      </c>
      <c r="G36" s="1164" t="s">
        <v>116</v>
      </c>
      <c r="H36" s="1165">
        <v>1.0</v>
      </c>
      <c r="I36" s="1164" t="s">
        <v>567</v>
      </c>
      <c r="J36" s="1164" t="s">
        <v>568</v>
      </c>
      <c r="K36" s="1164" t="s">
        <v>442</v>
      </c>
      <c r="L36" s="1164" t="s">
        <v>775</v>
      </c>
      <c r="M36" s="1164" t="s">
        <v>816</v>
      </c>
      <c r="N36" s="1164" t="s">
        <v>535</v>
      </c>
      <c r="O36" s="1164" t="s">
        <v>536</v>
      </c>
      <c r="P36" s="1166">
        <v>30.0</v>
      </c>
      <c r="Q36" s="1135">
        <v>40714.0</v>
      </c>
      <c r="R36" s="1164" t="s">
        <v>439</v>
      </c>
      <c r="S36" s="1164" t="s">
        <v>194</v>
      </c>
      <c r="T36" s="1164" t="s">
        <v>194</v>
      </c>
      <c r="U36" s="1164" t="s">
        <v>538</v>
      </c>
      <c r="V36" s="1164" t="s">
        <v>194</v>
      </c>
      <c r="W36" s="1164" t="s">
        <v>194</v>
      </c>
      <c r="X36" s="1164" t="s">
        <v>194</v>
      </c>
      <c r="Y36" s="1167" t="s">
        <v>194</v>
      </c>
      <c r="Z36" s="1164" t="s">
        <v>194</v>
      </c>
      <c r="AA36" s="1135" t="s">
        <v>194</v>
      </c>
      <c r="AB36" s="1164" t="s">
        <v>194</v>
      </c>
      <c r="AC36" s="1167" t="s">
        <v>194</v>
      </c>
      <c r="AD36" s="1164" t="s">
        <v>194</v>
      </c>
      <c r="AE36" s="1168" t="s">
        <v>194</v>
      </c>
      <c r="AF36" s="1167" t="s">
        <v>194</v>
      </c>
      <c r="AG36" s="1164" t="s">
        <v>194</v>
      </c>
      <c r="AH36" s="1164" t="s">
        <v>540</v>
      </c>
      <c r="AI36" s="1164" t="s">
        <v>817</v>
      </c>
      <c r="AJ36" s="1164" t="s">
        <v>194</v>
      </c>
      <c r="AK36" s="1165" t="s">
        <v>194</v>
      </c>
      <c r="AL36" s="1164" t="s">
        <v>194</v>
      </c>
      <c r="AM36" s="1167" t="s">
        <v>194</v>
      </c>
      <c r="AN36" s="1164" t="s">
        <v>194</v>
      </c>
      <c r="AO36" s="1169" t="s">
        <v>194</v>
      </c>
      <c r="AP36" s="1167" t="s">
        <v>194</v>
      </c>
      <c r="AQ36" s="1164" t="s">
        <v>194</v>
      </c>
      <c r="AR36" s="1167" t="s">
        <v>194</v>
      </c>
      <c r="AS36" s="1164" t="s">
        <v>194</v>
      </c>
      <c r="AT36" s="1167" t="s">
        <v>194</v>
      </c>
      <c r="AU36" s="1164" t="s">
        <v>194</v>
      </c>
      <c r="AV36" s="1170" t="s">
        <v>194</v>
      </c>
      <c r="AW36" s="1170" t="s">
        <v>194</v>
      </c>
      <c r="AX36" s="1170" t="s">
        <v>194</v>
      </c>
      <c r="AY36" s="1171" t="s">
        <v>194</v>
      </c>
      <c r="AZ36" s="1170" t="s">
        <v>194</v>
      </c>
      <c r="BA36" s="1170" t="s">
        <v>194</v>
      </c>
      <c r="BB36" s="1170" t="s">
        <v>194</v>
      </c>
      <c r="BC36" s="1170" t="s">
        <v>194</v>
      </c>
      <c r="BD36" s="1164" t="s">
        <v>818</v>
      </c>
      <c r="BE36" s="1164" t="s">
        <v>819</v>
      </c>
      <c r="BF36" s="1165" t="s">
        <v>820</v>
      </c>
      <c r="BG36" s="1164" t="s">
        <v>562</v>
      </c>
      <c r="BH36" s="1164" t="s">
        <v>543</v>
      </c>
      <c r="BI36" s="1164" t="s">
        <v>194</v>
      </c>
      <c r="BJ36" s="1164" t="s">
        <v>544</v>
      </c>
      <c r="BK36" s="1166">
        <v>5.0</v>
      </c>
      <c r="BL36" s="1164" t="s">
        <v>545</v>
      </c>
      <c r="BM36" s="1164" t="s">
        <v>194</v>
      </c>
      <c r="BN36" s="1165" t="s">
        <v>546</v>
      </c>
      <c r="BO36" s="1164" t="s">
        <v>547</v>
      </c>
      <c r="BP36" s="1139" t="str">
        <f t="shared" ref="BP36:BP88" si="3">HYPERLINK("https://my.pitchbook.com?i=41134-24", "View Investor Online")</f>
        <v>View Investor Online</v>
      </c>
    </row>
    <row r="37" ht="11.25" hidden="1" customHeight="1">
      <c r="A37" s="1164" t="s">
        <v>403</v>
      </c>
      <c r="B37" s="1164" t="s">
        <v>821</v>
      </c>
      <c r="C37" s="1164" t="s">
        <v>460</v>
      </c>
      <c r="D37" s="1164" t="s">
        <v>822</v>
      </c>
      <c r="E37" s="1164" t="s">
        <v>823</v>
      </c>
      <c r="F37" s="1164" t="s">
        <v>824</v>
      </c>
      <c r="G37" s="1164" t="s">
        <v>116</v>
      </c>
      <c r="H37" s="1165">
        <v>4.0</v>
      </c>
      <c r="I37" s="1164" t="s">
        <v>567</v>
      </c>
      <c r="J37" s="1164" t="s">
        <v>568</v>
      </c>
      <c r="K37" s="1164" t="s">
        <v>707</v>
      </c>
      <c r="L37" s="1164" t="s">
        <v>194</v>
      </c>
      <c r="M37" s="1164" t="s">
        <v>825</v>
      </c>
      <c r="N37" s="1164" t="s">
        <v>638</v>
      </c>
      <c r="O37" s="1164" t="s">
        <v>826</v>
      </c>
      <c r="P37" s="1166">
        <v>51.0</v>
      </c>
      <c r="Q37" s="1135">
        <v>42936.0</v>
      </c>
      <c r="R37" s="1164" t="s">
        <v>439</v>
      </c>
      <c r="S37" s="1164" t="s">
        <v>194</v>
      </c>
      <c r="T37" s="1164" t="s">
        <v>194</v>
      </c>
      <c r="U37" s="1164" t="s">
        <v>538</v>
      </c>
      <c r="V37" s="1164" t="s">
        <v>194</v>
      </c>
      <c r="W37" s="1164" t="s">
        <v>194</v>
      </c>
      <c r="X37" s="1164" t="s">
        <v>194</v>
      </c>
      <c r="Y37" s="1167">
        <v>37.7</v>
      </c>
      <c r="Z37" s="1164" t="s">
        <v>557</v>
      </c>
      <c r="AA37" s="1135" t="s">
        <v>194</v>
      </c>
      <c r="AB37" s="1164" t="s">
        <v>194</v>
      </c>
      <c r="AC37" s="1167" t="s">
        <v>194</v>
      </c>
      <c r="AD37" s="1164" t="s">
        <v>194</v>
      </c>
      <c r="AE37" s="1168" t="s">
        <v>194</v>
      </c>
      <c r="AF37" s="1167">
        <v>49.02</v>
      </c>
      <c r="AG37" s="1164" t="s">
        <v>557</v>
      </c>
      <c r="AH37" s="1164" t="s">
        <v>540</v>
      </c>
      <c r="AI37" s="1164" t="s">
        <v>827</v>
      </c>
      <c r="AJ37" s="1164" t="s">
        <v>194</v>
      </c>
      <c r="AK37" s="1165" t="s">
        <v>194</v>
      </c>
      <c r="AL37" s="1164" t="s">
        <v>194</v>
      </c>
      <c r="AM37" s="1167" t="s">
        <v>194</v>
      </c>
      <c r="AN37" s="1164" t="s">
        <v>194</v>
      </c>
      <c r="AO37" s="1169" t="s">
        <v>194</v>
      </c>
      <c r="AP37" s="1167" t="s">
        <v>194</v>
      </c>
      <c r="AQ37" s="1164" t="s">
        <v>194</v>
      </c>
      <c r="AR37" s="1167" t="s">
        <v>194</v>
      </c>
      <c r="AS37" s="1164" t="s">
        <v>194</v>
      </c>
      <c r="AT37" s="1167" t="s">
        <v>194</v>
      </c>
      <c r="AU37" s="1164" t="s">
        <v>194</v>
      </c>
      <c r="AV37" s="1170" t="s">
        <v>194</v>
      </c>
      <c r="AW37" s="1170" t="s">
        <v>194</v>
      </c>
      <c r="AX37" s="1170" t="s">
        <v>194</v>
      </c>
      <c r="AY37" s="1171" t="s">
        <v>194</v>
      </c>
      <c r="AZ37" s="1170" t="s">
        <v>194</v>
      </c>
      <c r="BA37" s="1170" t="s">
        <v>194</v>
      </c>
      <c r="BB37" s="1170" t="s">
        <v>194</v>
      </c>
      <c r="BC37" s="1170" t="s">
        <v>194</v>
      </c>
      <c r="BD37" s="1164" t="s">
        <v>828</v>
      </c>
      <c r="BE37" s="1164" t="s">
        <v>829</v>
      </c>
      <c r="BF37" s="1165" t="s">
        <v>830</v>
      </c>
      <c r="BG37" s="1164" t="s">
        <v>562</v>
      </c>
      <c r="BH37" s="1164" t="s">
        <v>543</v>
      </c>
      <c r="BI37" s="1164" t="s">
        <v>194</v>
      </c>
      <c r="BJ37" s="1164" t="s">
        <v>544</v>
      </c>
      <c r="BK37" s="1166">
        <v>5.0</v>
      </c>
      <c r="BL37" s="1164" t="s">
        <v>545</v>
      </c>
      <c r="BM37" s="1164" t="s">
        <v>194</v>
      </c>
      <c r="BN37" s="1165" t="s">
        <v>546</v>
      </c>
      <c r="BO37" s="1164" t="s">
        <v>547</v>
      </c>
      <c r="BP37" s="1139" t="str">
        <f t="shared" si="3"/>
        <v>View Investor Online</v>
      </c>
    </row>
    <row r="38" ht="11.25" hidden="1" customHeight="1">
      <c r="A38" s="1172" t="s">
        <v>403</v>
      </c>
      <c r="B38" s="1172" t="s">
        <v>831</v>
      </c>
      <c r="C38" s="1172" t="s">
        <v>460</v>
      </c>
      <c r="D38" s="1172" t="s">
        <v>832</v>
      </c>
      <c r="E38" s="1172" t="s">
        <v>833</v>
      </c>
      <c r="F38" s="1172" t="s">
        <v>834</v>
      </c>
      <c r="G38" s="1172" t="s">
        <v>592</v>
      </c>
      <c r="H38" s="1173">
        <v>2.0</v>
      </c>
      <c r="I38" s="1172" t="s">
        <v>567</v>
      </c>
      <c r="J38" s="1172" t="s">
        <v>568</v>
      </c>
      <c r="K38" s="1172" t="s">
        <v>442</v>
      </c>
      <c r="L38" s="1172" t="s">
        <v>194</v>
      </c>
      <c r="M38" s="1172" t="s">
        <v>729</v>
      </c>
      <c r="N38" s="1172" t="s">
        <v>535</v>
      </c>
      <c r="O38" s="1172" t="s">
        <v>740</v>
      </c>
      <c r="P38" s="1174">
        <v>30.0</v>
      </c>
      <c r="Q38" s="1142">
        <v>43256.0</v>
      </c>
      <c r="R38" s="1172" t="s">
        <v>439</v>
      </c>
      <c r="S38" s="1172" t="s">
        <v>194</v>
      </c>
      <c r="T38" s="1172" t="s">
        <v>194</v>
      </c>
      <c r="U38" s="1172" t="s">
        <v>538</v>
      </c>
      <c r="V38" s="1172" t="s">
        <v>194</v>
      </c>
      <c r="W38" s="1172" t="s">
        <v>194</v>
      </c>
      <c r="X38" s="1172" t="s">
        <v>194</v>
      </c>
      <c r="Y38" s="1175">
        <v>530.1</v>
      </c>
      <c r="Z38" s="1172" t="s">
        <v>557</v>
      </c>
      <c r="AA38" s="1142" t="s">
        <v>194</v>
      </c>
      <c r="AB38" s="1172" t="s">
        <v>194</v>
      </c>
      <c r="AC38" s="1175" t="s">
        <v>194</v>
      </c>
      <c r="AD38" s="1172" t="s">
        <v>194</v>
      </c>
      <c r="AE38" s="1176" t="s">
        <v>194</v>
      </c>
      <c r="AF38" s="1175">
        <v>530.1</v>
      </c>
      <c r="AG38" s="1172" t="s">
        <v>557</v>
      </c>
      <c r="AH38" s="1172" t="s">
        <v>540</v>
      </c>
      <c r="AI38" s="1172" t="s">
        <v>194</v>
      </c>
      <c r="AJ38" s="1172" t="s">
        <v>194</v>
      </c>
      <c r="AK38" s="1173" t="s">
        <v>194</v>
      </c>
      <c r="AL38" s="1172" t="s">
        <v>194</v>
      </c>
      <c r="AM38" s="1175" t="s">
        <v>194</v>
      </c>
      <c r="AN38" s="1172" t="s">
        <v>194</v>
      </c>
      <c r="AO38" s="1177" t="s">
        <v>194</v>
      </c>
      <c r="AP38" s="1175" t="s">
        <v>194</v>
      </c>
      <c r="AQ38" s="1172" t="s">
        <v>194</v>
      </c>
      <c r="AR38" s="1175" t="s">
        <v>194</v>
      </c>
      <c r="AS38" s="1172" t="s">
        <v>194</v>
      </c>
      <c r="AT38" s="1175" t="s">
        <v>194</v>
      </c>
      <c r="AU38" s="1172" t="s">
        <v>194</v>
      </c>
      <c r="AV38" s="1178" t="s">
        <v>194</v>
      </c>
      <c r="AW38" s="1178" t="s">
        <v>194</v>
      </c>
      <c r="AX38" s="1178" t="s">
        <v>194</v>
      </c>
      <c r="AY38" s="1179" t="s">
        <v>194</v>
      </c>
      <c r="AZ38" s="1178" t="s">
        <v>194</v>
      </c>
      <c r="BA38" s="1178" t="s">
        <v>194</v>
      </c>
      <c r="BB38" s="1178" t="s">
        <v>194</v>
      </c>
      <c r="BC38" s="1178" t="s">
        <v>194</v>
      </c>
      <c r="BD38" s="1172" t="s">
        <v>835</v>
      </c>
      <c r="BE38" s="1172" t="s">
        <v>194</v>
      </c>
      <c r="BF38" s="1173" t="s">
        <v>194</v>
      </c>
      <c r="BG38" s="1172" t="s">
        <v>836</v>
      </c>
      <c r="BH38" s="1172" t="s">
        <v>543</v>
      </c>
      <c r="BI38" s="1172" t="s">
        <v>194</v>
      </c>
      <c r="BJ38" s="1172" t="s">
        <v>544</v>
      </c>
      <c r="BK38" s="1174">
        <v>5.0</v>
      </c>
      <c r="BL38" s="1172" t="s">
        <v>545</v>
      </c>
      <c r="BM38" s="1172" t="s">
        <v>194</v>
      </c>
      <c r="BN38" s="1173" t="s">
        <v>546</v>
      </c>
      <c r="BO38" s="1172" t="s">
        <v>547</v>
      </c>
      <c r="BP38" s="1180" t="str">
        <f t="shared" si="3"/>
        <v>View Investor Online</v>
      </c>
    </row>
    <row r="39" ht="11.25" hidden="1" customHeight="1">
      <c r="A39" s="1164" t="s">
        <v>403</v>
      </c>
      <c r="B39" s="1164" t="s">
        <v>837</v>
      </c>
      <c r="C39" s="1164" t="s">
        <v>460</v>
      </c>
      <c r="D39" s="1164" t="s">
        <v>838</v>
      </c>
      <c r="E39" s="1164" t="s">
        <v>839</v>
      </c>
      <c r="F39" s="1164" t="s">
        <v>840</v>
      </c>
      <c r="G39" s="1164" t="s">
        <v>529</v>
      </c>
      <c r="H39" s="1165">
        <v>2.0</v>
      </c>
      <c r="I39" s="1164" t="s">
        <v>530</v>
      </c>
      <c r="J39" s="1164" t="s">
        <v>841</v>
      </c>
      <c r="K39" s="1164" t="s">
        <v>842</v>
      </c>
      <c r="L39" s="1164" t="s">
        <v>843</v>
      </c>
      <c r="M39" s="1164" t="s">
        <v>844</v>
      </c>
      <c r="N39" s="1164" t="s">
        <v>845</v>
      </c>
      <c r="O39" s="1164" t="s">
        <v>671</v>
      </c>
      <c r="P39" s="1166" t="s">
        <v>194</v>
      </c>
      <c r="Q39" s="1135">
        <v>36725.0</v>
      </c>
      <c r="R39" s="1164" t="s">
        <v>446</v>
      </c>
      <c r="S39" s="1164" t="s">
        <v>194</v>
      </c>
      <c r="T39" s="1164" t="s">
        <v>194</v>
      </c>
      <c r="U39" s="1164" t="s">
        <v>600</v>
      </c>
      <c r="V39" s="1164" t="s">
        <v>194</v>
      </c>
      <c r="W39" s="1164" t="s">
        <v>194</v>
      </c>
      <c r="X39" s="1164" t="s">
        <v>194</v>
      </c>
      <c r="Y39" s="1167" t="s">
        <v>194</v>
      </c>
      <c r="Z39" s="1164" t="s">
        <v>194</v>
      </c>
      <c r="AA39" s="1135">
        <v>36725.0</v>
      </c>
      <c r="AB39" s="1164" t="s">
        <v>846</v>
      </c>
      <c r="AC39" s="1167" t="s">
        <v>194</v>
      </c>
      <c r="AD39" s="1164" t="s">
        <v>194</v>
      </c>
      <c r="AE39" s="1168" t="s">
        <v>194</v>
      </c>
      <c r="AF39" s="1167" t="s">
        <v>194</v>
      </c>
      <c r="AG39" s="1164" t="s">
        <v>194</v>
      </c>
      <c r="AH39" s="1164" t="s">
        <v>540</v>
      </c>
      <c r="AI39" s="1164" t="s">
        <v>194</v>
      </c>
      <c r="AJ39" s="1164" t="s">
        <v>194</v>
      </c>
      <c r="AK39" s="1165" t="s">
        <v>194</v>
      </c>
      <c r="AL39" s="1164" t="s">
        <v>194</v>
      </c>
      <c r="AM39" s="1167" t="s">
        <v>194</v>
      </c>
      <c r="AN39" s="1164" t="s">
        <v>194</v>
      </c>
      <c r="AO39" s="1169" t="s">
        <v>194</v>
      </c>
      <c r="AP39" s="1167" t="s">
        <v>194</v>
      </c>
      <c r="AQ39" s="1164" t="s">
        <v>194</v>
      </c>
      <c r="AR39" s="1167" t="s">
        <v>194</v>
      </c>
      <c r="AS39" s="1164" t="s">
        <v>194</v>
      </c>
      <c r="AT39" s="1167" t="s">
        <v>194</v>
      </c>
      <c r="AU39" s="1164" t="s">
        <v>194</v>
      </c>
      <c r="AV39" s="1170" t="s">
        <v>194</v>
      </c>
      <c r="AW39" s="1170" t="s">
        <v>194</v>
      </c>
      <c r="AX39" s="1170" t="s">
        <v>194</v>
      </c>
      <c r="AY39" s="1171" t="s">
        <v>194</v>
      </c>
      <c r="AZ39" s="1170" t="s">
        <v>194</v>
      </c>
      <c r="BA39" s="1170" t="s">
        <v>194</v>
      </c>
      <c r="BB39" s="1170" t="s">
        <v>194</v>
      </c>
      <c r="BC39" s="1170" t="s">
        <v>194</v>
      </c>
      <c r="BD39" s="1164" t="s">
        <v>847</v>
      </c>
      <c r="BE39" s="1164" t="s">
        <v>661</v>
      </c>
      <c r="BF39" s="1165" t="s">
        <v>194</v>
      </c>
      <c r="BG39" s="1164" t="s">
        <v>562</v>
      </c>
      <c r="BH39" s="1164" t="s">
        <v>543</v>
      </c>
      <c r="BI39" s="1164" t="s">
        <v>194</v>
      </c>
      <c r="BJ39" s="1164" t="s">
        <v>544</v>
      </c>
      <c r="BK39" s="1166">
        <v>5.0</v>
      </c>
      <c r="BL39" s="1164" t="s">
        <v>545</v>
      </c>
      <c r="BM39" s="1164" t="s">
        <v>194</v>
      </c>
      <c r="BN39" s="1165" t="s">
        <v>546</v>
      </c>
      <c r="BO39" s="1164" t="s">
        <v>547</v>
      </c>
      <c r="BP39" s="1139" t="str">
        <f t="shared" si="3"/>
        <v>View Investor Online</v>
      </c>
    </row>
    <row r="40" ht="11.25" hidden="1" customHeight="1">
      <c r="A40" s="1172" t="s">
        <v>403</v>
      </c>
      <c r="B40" s="1172" t="s">
        <v>848</v>
      </c>
      <c r="C40" s="1172" t="s">
        <v>460</v>
      </c>
      <c r="D40" s="1172" t="s">
        <v>849</v>
      </c>
      <c r="E40" s="1172" t="s">
        <v>850</v>
      </c>
      <c r="F40" s="1172" t="s">
        <v>851</v>
      </c>
      <c r="G40" s="1172" t="s">
        <v>529</v>
      </c>
      <c r="H40" s="1173">
        <v>3.0</v>
      </c>
      <c r="I40" s="1172" t="s">
        <v>530</v>
      </c>
      <c r="J40" s="1172" t="s">
        <v>852</v>
      </c>
      <c r="K40" s="1172" t="s">
        <v>853</v>
      </c>
      <c r="L40" s="1172" t="s">
        <v>854</v>
      </c>
      <c r="M40" s="1172" t="s">
        <v>855</v>
      </c>
      <c r="N40" s="1172" t="s">
        <v>638</v>
      </c>
      <c r="O40" s="1172" t="s">
        <v>671</v>
      </c>
      <c r="P40" s="1174">
        <v>3000.0</v>
      </c>
      <c r="Q40" s="1142">
        <v>35309.0</v>
      </c>
      <c r="R40" s="1172" t="s">
        <v>439</v>
      </c>
      <c r="S40" s="1172" t="s">
        <v>194</v>
      </c>
      <c r="T40" s="1172" t="s">
        <v>194</v>
      </c>
      <c r="U40" s="1172" t="s">
        <v>538</v>
      </c>
      <c r="V40" s="1172" t="s">
        <v>194</v>
      </c>
      <c r="W40" s="1172" t="s">
        <v>194</v>
      </c>
      <c r="X40" s="1172" t="s">
        <v>194</v>
      </c>
      <c r="Y40" s="1175" t="s">
        <v>194</v>
      </c>
      <c r="Z40" s="1172" t="s">
        <v>194</v>
      </c>
      <c r="AA40" s="1142">
        <v>35309.0</v>
      </c>
      <c r="AB40" s="1172" t="s">
        <v>856</v>
      </c>
      <c r="AC40" s="1175" t="s">
        <v>194</v>
      </c>
      <c r="AD40" s="1172">
        <v>20.06</v>
      </c>
      <c r="AE40" s="1176" t="s">
        <v>194</v>
      </c>
      <c r="AF40" s="1175" t="s">
        <v>194</v>
      </c>
      <c r="AG40" s="1172" t="s">
        <v>194</v>
      </c>
      <c r="AH40" s="1172" t="s">
        <v>540</v>
      </c>
      <c r="AI40" s="1172" t="s">
        <v>194</v>
      </c>
      <c r="AJ40" s="1172" t="s">
        <v>194</v>
      </c>
      <c r="AK40" s="1173" t="s">
        <v>194</v>
      </c>
      <c r="AL40" s="1172" t="s">
        <v>194</v>
      </c>
      <c r="AM40" s="1175">
        <v>114700.0</v>
      </c>
      <c r="AN40" s="1172" t="s">
        <v>557</v>
      </c>
      <c r="AO40" s="1177">
        <v>323.2472324723247</v>
      </c>
      <c r="AP40" s="1175">
        <v>39800.0</v>
      </c>
      <c r="AQ40" s="1172" t="s">
        <v>557</v>
      </c>
      <c r="AR40" s="1175">
        <v>6100.0</v>
      </c>
      <c r="AS40" s="1172" t="s">
        <v>557</v>
      </c>
      <c r="AT40" s="1175">
        <v>11300.0</v>
      </c>
      <c r="AU40" s="1172" t="s">
        <v>557</v>
      </c>
      <c r="AV40" s="1178" t="s">
        <v>194</v>
      </c>
      <c r="AW40" s="1178" t="s">
        <v>194</v>
      </c>
      <c r="AX40" s="1178" t="s">
        <v>194</v>
      </c>
      <c r="AY40" s="1179" t="s">
        <v>194</v>
      </c>
      <c r="AZ40" s="1178" t="s">
        <v>194</v>
      </c>
      <c r="BA40" s="1178" t="s">
        <v>194</v>
      </c>
      <c r="BB40" s="1178" t="s">
        <v>194</v>
      </c>
      <c r="BC40" s="1178" t="s">
        <v>194</v>
      </c>
      <c r="BD40" s="1172" t="s">
        <v>857</v>
      </c>
      <c r="BE40" s="1172" t="s">
        <v>829</v>
      </c>
      <c r="BF40" s="1173" t="s">
        <v>858</v>
      </c>
      <c r="BG40" s="1172" t="s">
        <v>562</v>
      </c>
      <c r="BH40" s="1172" t="s">
        <v>543</v>
      </c>
      <c r="BI40" s="1172" t="s">
        <v>194</v>
      </c>
      <c r="BJ40" s="1172" t="s">
        <v>544</v>
      </c>
      <c r="BK40" s="1174">
        <v>5.0</v>
      </c>
      <c r="BL40" s="1172" t="s">
        <v>545</v>
      </c>
      <c r="BM40" s="1172" t="s">
        <v>194</v>
      </c>
      <c r="BN40" s="1173" t="s">
        <v>546</v>
      </c>
      <c r="BO40" s="1172" t="s">
        <v>547</v>
      </c>
      <c r="BP40" s="1180" t="str">
        <f t="shared" si="3"/>
        <v>View Investor Online</v>
      </c>
    </row>
    <row r="41" ht="11.25" hidden="1" customHeight="1">
      <c r="A41" s="1164" t="s">
        <v>403</v>
      </c>
      <c r="B41" s="1164" t="s">
        <v>859</v>
      </c>
      <c r="C41" s="1164" t="s">
        <v>460</v>
      </c>
      <c r="D41" s="1164" t="s">
        <v>860</v>
      </c>
      <c r="E41" s="1164" t="s">
        <v>861</v>
      </c>
      <c r="F41" s="1164" t="s">
        <v>862</v>
      </c>
      <c r="G41" s="1164" t="s">
        <v>116</v>
      </c>
      <c r="H41" s="1165">
        <v>2.0</v>
      </c>
      <c r="I41" s="1164" t="s">
        <v>567</v>
      </c>
      <c r="J41" s="1164" t="s">
        <v>593</v>
      </c>
      <c r="K41" s="1164" t="s">
        <v>863</v>
      </c>
      <c r="L41" s="1164" t="s">
        <v>595</v>
      </c>
      <c r="M41" s="1164" t="s">
        <v>864</v>
      </c>
      <c r="N41" s="1164" t="s">
        <v>535</v>
      </c>
      <c r="O41" s="1164" t="s">
        <v>671</v>
      </c>
      <c r="P41" s="1166">
        <v>70.0</v>
      </c>
      <c r="Q41" s="1135">
        <v>43074.0</v>
      </c>
      <c r="R41" s="1164" t="s">
        <v>439</v>
      </c>
      <c r="S41" s="1164" t="s">
        <v>194</v>
      </c>
      <c r="T41" s="1164" t="s">
        <v>194</v>
      </c>
      <c r="U41" s="1164" t="s">
        <v>538</v>
      </c>
      <c r="V41" s="1164" t="s">
        <v>194</v>
      </c>
      <c r="W41" s="1164" t="s">
        <v>194</v>
      </c>
      <c r="X41" s="1164" t="s">
        <v>194</v>
      </c>
      <c r="Y41" s="1167" t="s">
        <v>194</v>
      </c>
      <c r="Z41" s="1164" t="s">
        <v>194</v>
      </c>
      <c r="AA41" s="1135" t="s">
        <v>194</v>
      </c>
      <c r="AB41" s="1164" t="s">
        <v>194</v>
      </c>
      <c r="AC41" s="1167" t="s">
        <v>194</v>
      </c>
      <c r="AD41" s="1164" t="s">
        <v>194</v>
      </c>
      <c r="AE41" s="1168" t="s">
        <v>194</v>
      </c>
      <c r="AF41" s="1167" t="s">
        <v>194</v>
      </c>
      <c r="AG41" s="1164" t="s">
        <v>194</v>
      </c>
      <c r="AH41" s="1164" t="s">
        <v>540</v>
      </c>
      <c r="AI41" s="1164" t="s">
        <v>865</v>
      </c>
      <c r="AJ41" s="1164" t="s">
        <v>866</v>
      </c>
      <c r="AK41" s="1165" t="s">
        <v>573</v>
      </c>
      <c r="AL41" s="1164" t="s">
        <v>194</v>
      </c>
      <c r="AM41" s="1167" t="s">
        <v>194</v>
      </c>
      <c r="AN41" s="1164" t="s">
        <v>194</v>
      </c>
      <c r="AO41" s="1169" t="s">
        <v>194</v>
      </c>
      <c r="AP41" s="1167" t="s">
        <v>194</v>
      </c>
      <c r="AQ41" s="1164" t="s">
        <v>194</v>
      </c>
      <c r="AR41" s="1167" t="s">
        <v>194</v>
      </c>
      <c r="AS41" s="1164" t="s">
        <v>194</v>
      </c>
      <c r="AT41" s="1167" t="s">
        <v>194</v>
      </c>
      <c r="AU41" s="1164" t="s">
        <v>194</v>
      </c>
      <c r="AV41" s="1170" t="s">
        <v>194</v>
      </c>
      <c r="AW41" s="1170" t="s">
        <v>194</v>
      </c>
      <c r="AX41" s="1170" t="s">
        <v>194</v>
      </c>
      <c r="AY41" s="1171" t="s">
        <v>194</v>
      </c>
      <c r="AZ41" s="1170" t="s">
        <v>194</v>
      </c>
      <c r="BA41" s="1170" t="s">
        <v>194</v>
      </c>
      <c r="BB41" s="1170" t="s">
        <v>194</v>
      </c>
      <c r="BC41" s="1170" t="s">
        <v>194</v>
      </c>
      <c r="BD41" s="1164" t="s">
        <v>867</v>
      </c>
      <c r="BE41" s="1164" t="s">
        <v>194</v>
      </c>
      <c r="BF41" s="1165" t="s">
        <v>868</v>
      </c>
      <c r="BG41" s="1164" t="s">
        <v>547</v>
      </c>
      <c r="BH41" s="1164" t="s">
        <v>543</v>
      </c>
      <c r="BI41" s="1164" t="s">
        <v>194</v>
      </c>
      <c r="BJ41" s="1164" t="s">
        <v>544</v>
      </c>
      <c r="BK41" s="1166">
        <v>5.0</v>
      </c>
      <c r="BL41" s="1164" t="s">
        <v>545</v>
      </c>
      <c r="BM41" s="1164" t="s">
        <v>194</v>
      </c>
      <c r="BN41" s="1165" t="s">
        <v>546</v>
      </c>
      <c r="BO41" s="1164" t="s">
        <v>547</v>
      </c>
      <c r="BP41" s="1139" t="str">
        <f t="shared" si="3"/>
        <v>View Investor Online</v>
      </c>
    </row>
    <row r="42" ht="11.25" hidden="1" customHeight="1">
      <c r="A42" s="1164" t="s">
        <v>403</v>
      </c>
      <c r="B42" s="1164" t="s">
        <v>869</v>
      </c>
      <c r="C42" s="1164" t="s">
        <v>460</v>
      </c>
      <c r="D42" s="1164" t="s">
        <v>870</v>
      </c>
      <c r="E42" s="1164" t="s">
        <v>871</v>
      </c>
      <c r="F42" s="1164" t="s">
        <v>872</v>
      </c>
      <c r="G42" s="1164" t="s">
        <v>116</v>
      </c>
      <c r="H42" s="1165">
        <v>1.0</v>
      </c>
      <c r="I42" s="1164" t="s">
        <v>567</v>
      </c>
      <c r="J42" s="1164" t="s">
        <v>568</v>
      </c>
      <c r="K42" s="1164" t="s">
        <v>707</v>
      </c>
      <c r="L42" s="1164" t="s">
        <v>775</v>
      </c>
      <c r="M42" s="1164" t="s">
        <v>873</v>
      </c>
      <c r="N42" s="1164" t="s">
        <v>535</v>
      </c>
      <c r="O42" s="1164" t="s">
        <v>536</v>
      </c>
      <c r="P42" s="1166">
        <v>70.0</v>
      </c>
      <c r="Q42" s="1135">
        <v>40611.0</v>
      </c>
      <c r="R42" s="1164" t="s">
        <v>439</v>
      </c>
      <c r="S42" s="1164" t="s">
        <v>194</v>
      </c>
      <c r="T42" s="1164" t="s">
        <v>194</v>
      </c>
      <c r="U42" s="1164" t="s">
        <v>538</v>
      </c>
      <c r="V42" s="1164" t="s">
        <v>194</v>
      </c>
      <c r="W42" s="1164" t="s">
        <v>194</v>
      </c>
      <c r="X42" s="1164" t="s">
        <v>194</v>
      </c>
      <c r="Y42" s="1167" t="s">
        <v>194</v>
      </c>
      <c r="Z42" s="1164" t="s">
        <v>194</v>
      </c>
      <c r="AA42" s="1135" t="s">
        <v>194</v>
      </c>
      <c r="AB42" s="1164" t="s">
        <v>194</v>
      </c>
      <c r="AC42" s="1167" t="s">
        <v>194</v>
      </c>
      <c r="AD42" s="1164" t="s">
        <v>194</v>
      </c>
      <c r="AE42" s="1168" t="s">
        <v>194</v>
      </c>
      <c r="AF42" s="1167" t="s">
        <v>194</v>
      </c>
      <c r="AG42" s="1164" t="s">
        <v>194</v>
      </c>
      <c r="AH42" s="1164" t="s">
        <v>540</v>
      </c>
      <c r="AI42" s="1164" t="s">
        <v>194</v>
      </c>
      <c r="AJ42" s="1164" t="s">
        <v>194</v>
      </c>
      <c r="AK42" s="1165" t="s">
        <v>194</v>
      </c>
      <c r="AL42" s="1164" t="s">
        <v>194</v>
      </c>
      <c r="AM42" s="1167" t="s">
        <v>194</v>
      </c>
      <c r="AN42" s="1164" t="s">
        <v>194</v>
      </c>
      <c r="AO42" s="1169" t="s">
        <v>194</v>
      </c>
      <c r="AP42" s="1167">
        <v>6296.4</v>
      </c>
      <c r="AQ42" s="1164" t="s">
        <v>557</v>
      </c>
      <c r="AR42" s="1167" t="s">
        <v>194</v>
      </c>
      <c r="AS42" s="1164" t="s">
        <v>194</v>
      </c>
      <c r="AT42" s="1167">
        <v>2722.9</v>
      </c>
      <c r="AU42" s="1164" t="s">
        <v>557</v>
      </c>
      <c r="AV42" s="1170" t="s">
        <v>194</v>
      </c>
      <c r="AW42" s="1170" t="s">
        <v>194</v>
      </c>
      <c r="AX42" s="1170" t="s">
        <v>194</v>
      </c>
      <c r="AY42" s="1171" t="s">
        <v>194</v>
      </c>
      <c r="AZ42" s="1170" t="s">
        <v>194</v>
      </c>
      <c r="BA42" s="1170" t="s">
        <v>194</v>
      </c>
      <c r="BB42" s="1170" t="s">
        <v>194</v>
      </c>
      <c r="BC42" s="1170" t="s">
        <v>194</v>
      </c>
      <c r="BD42" s="1164" t="s">
        <v>874</v>
      </c>
      <c r="BE42" s="1164" t="s">
        <v>194</v>
      </c>
      <c r="BF42" s="1165" t="s">
        <v>875</v>
      </c>
      <c r="BG42" s="1164" t="s">
        <v>780</v>
      </c>
      <c r="BH42" s="1164" t="s">
        <v>543</v>
      </c>
      <c r="BI42" s="1164" t="s">
        <v>194</v>
      </c>
      <c r="BJ42" s="1164" t="s">
        <v>544</v>
      </c>
      <c r="BK42" s="1166">
        <v>5.0</v>
      </c>
      <c r="BL42" s="1164" t="s">
        <v>545</v>
      </c>
      <c r="BM42" s="1164" t="s">
        <v>194</v>
      </c>
      <c r="BN42" s="1165" t="s">
        <v>546</v>
      </c>
      <c r="BO42" s="1164" t="s">
        <v>547</v>
      </c>
      <c r="BP42" s="1139" t="str">
        <f t="shared" si="3"/>
        <v>View Investor Online</v>
      </c>
    </row>
    <row r="43" ht="11.25" hidden="1" customHeight="1">
      <c r="A43" s="1164" t="s">
        <v>403</v>
      </c>
      <c r="B43" s="1164" t="s">
        <v>876</v>
      </c>
      <c r="C43" s="1164" t="s">
        <v>460</v>
      </c>
      <c r="D43" s="1164" t="s">
        <v>877</v>
      </c>
      <c r="E43" s="1164" t="s">
        <v>878</v>
      </c>
      <c r="F43" s="1164" t="s">
        <v>879</v>
      </c>
      <c r="G43" s="1164" t="s">
        <v>529</v>
      </c>
      <c r="H43" s="1165">
        <v>1.0</v>
      </c>
      <c r="I43" s="1164" t="s">
        <v>880</v>
      </c>
      <c r="J43" s="1164" t="s">
        <v>881</v>
      </c>
      <c r="K43" s="1164" t="s">
        <v>882</v>
      </c>
      <c r="L43" s="1164" t="s">
        <v>883</v>
      </c>
      <c r="M43" s="1164" t="s">
        <v>884</v>
      </c>
      <c r="N43" s="1164" t="s">
        <v>535</v>
      </c>
      <c r="O43" s="1164" t="s">
        <v>885</v>
      </c>
      <c r="P43" s="1166" t="s">
        <v>194</v>
      </c>
      <c r="Q43" s="1135">
        <v>22282.0</v>
      </c>
      <c r="R43" s="1164" t="s">
        <v>439</v>
      </c>
      <c r="S43" s="1164" t="s">
        <v>194</v>
      </c>
      <c r="T43" s="1164" t="s">
        <v>194</v>
      </c>
      <c r="U43" s="1164" t="s">
        <v>538</v>
      </c>
      <c r="V43" s="1164" t="s">
        <v>194</v>
      </c>
      <c r="W43" s="1164" t="s">
        <v>194</v>
      </c>
      <c r="X43" s="1164" t="s">
        <v>194</v>
      </c>
      <c r="Y43" s="1167" t="s">
        <v>194</v>
      </c>
      <c r="Z43" s="1164" t="s">
        <v>194</v>
      </c>
      <c r="AA43" s="1135">
        <v>22282.0</v>
      </c>
      <c r="AB43" s="1164" t="s">
        <v>856</v>
      </c>
      <c r="AC43" s="1167" t="s">
        <v>194</v>
      </c>
      <c r="AD43" s="1164">
        <v>20.01</v>
      </c>
      <c r="AE43" s="1168" t="s">
        <v>194</v>
      </c>
      <c r="AF43" s="1167" t="s">
        <v>194</v>
      </c>
      <c r="AG43" s="1164" t="s">
        <v>194</v>
      </c>
      <c r="AH43" s="1164" t="s">
        <v>540</v>
      </c>
      <c r="AI43" s="1164" t="s">
        <v>194</v>
      </c>
      <c r="AJ43" s="1164" t="s">
        <v>194</v>
      </c>
      <c r="AK43" s="1165" t="s">
        <v>194</v>
      </c>
      <c r="AL43" s="1164" t="s">
        <v>194</v>
      </c>
      <c r="AM43" s="1167" t="s">
        <v>194</v>
      </c>
      <c r="AN43" s="1164" t="s">
        <v>194</v>
      </c>
      <c r="AO43" s="1169" t="s">
        <v>194</v>
      </c>
      <c r="AP43" s="1167" t="s">
        <v>194</v>
      </c>
      <c r="AQ43" s="1164" t="s">
        <v>194</v>
      </c>
      <c r="AR43" s="1167" t="s">
        <v>194</v>
      </c>
      <c r="AS43" s="1164" t="s">
        <v>194</v>
      </c>
      <c r="AT43" s="1167" t="s">
        <v>194</v>
      </c>
      <c r="AU43" s="1164" t="s">
        <v>194</v>
      </c>
      <c r="AV43" s="1170" t="s">
        <v>194</v>
      </c>
      <c r="AW43" s="1170" t="s">
        <v>194</v>
      </c>
      <c r="AX43" s="1170" t="s">
        <v>194</v>
      </c>
      <c r="AY43" s="1171" t="s">
        <v>194</v>
      </c>
      <c r="AZ43" s="1170" t="s">
        <v>194</v>
      </c>
      <c r="BA43" s="1170" t="s">
        <v>194</v>
      </c>
      <c r="BB43" s="1170" t="s">
        <v>194</v>
      </c>
      <c r="BC43" s="1170" t="s">
        <v>194</v>
      </c>
      <c r="BD43" s="1164" t="s">
        <v>886</v>
      </c>
      <c r="BE43" s="1164" t="s">
        <v>887</v>
      </c>
      <c r="BF43" s="1165" t="s">
        <v>888</v>
      </c>
      <c r="BG43" s="1164" t="s">
        <v>562</v>
      </c>
      <c r="BH43" s="1164" t="s">
        <v>543</v>
      </c>
      <c r="BI43" s="1164" t="s">
        <v>194</v>
      </c>
      <c r="BJ43" s="1164" t="s">
        <v>544</v>
      </c>
      <c r="BK43" s="1166">
        <v>5.0</v>
      </c>
      <c r="BL43" s="1164" t="s">
        <v>545</v>
      </c>
      <c r="BM43" s="1164" t="s">
        <v>194</v>
      </c>
      <c r="BN43" s="1165" t="s">
        <v>546</v>
      </c>
      <c r="BO43" s="1164" t="s">
        <v>547</v>
      </c>
      <c r="BP43" s="1139" t="str">
        <f t="shared" si="3"/>
        <v>View Investor Online</v>
      </c>
    </row>
    <row r="44" ht="11.25" hidden="1" customHeight="1">
      <c r="A44" s="1164" t="s">
        <v>403</v>
      </c>
      <c r="B44" s="1164" t="s">
        <v>889</v>
      </c>
      <c r="C44" s="1164" t="s">
        <v>460</v>
      </c>
      <c r="D44" s="1164" t="s">
        <v>890</v>
      </c>
      <c r="E44" s="1164" t="s">
        <v>891</v>
      </c>
      <c r="F44" s="1164" t="s">
        <v>892</v>
      </c>
      <c r="G44" s="1164" t="s">
        <v>116</v>
      </c>
      <c r="H44" s="1165">
        <v>1.0</v>
      </c>
      <c r="I44" s="1164" t="s">
        <v>667</v>
      </c>
      <c r="J44" s="1164" t="s">
        <v>668</v>
      </c>
      <c r="K44" s="1164" t="s">
        <v>893</v>
      </c>
      <c r="L44" s="1164" t="s">
        <v>775</v>
      </c>
      <c r="M44" s="1164" t="s">
        <v>894</v>
      </c>
      <c r="N44" s="1164" t="s">
        <v>638</v>
      </c>
      <c r="O44" s="1164" t="s">
        <v>536</v>
      </c>
      <c r="P44" s="1166">
        <v>1001.0</v>
      </c>
      <c r="Q44" s="1135">
        <v>40567.0</v>
      </c>
      <c r="R44" s="1164" t="s">
        <v>439</v>
      </c>
      <c r="S44" s="1164" t="s">
        <v>194</v>
      </c>
      <c r="T44" s="1164" t="s">
        <v>194</v>
      </c>
      <c r="U44" s="1164" t="s">
        <v>538</v>
      </c>
      <c r="V44" s="1164" t="s">
        <v>194</v>
      </c>
      <c r="W44" s="1164" t="s">
        <v>194</v>
      </c>
      <c r="X44" s="1164" t="s">
        <v>194</v>
      </c>
      <c r="Y44" s="1167">
        <v>76.32</v>
      </c>
      <c r="Z44" s="1164" t="s">
        <v>557</v>
      </c>
      <c r="AA44" s="1135" t="s">
        <v>194</v>
      </c>
      <c r="AB44" s="1164" t="s">
        <v>194</v>
      </c>
      <c r="AC44" s="1167" t="s">
        <v>194</v>
      </c>
      <c r="AD44" s="1164" t="s">
        <v>194</v>
      </c>
      <c r="AE44" s="1168" t="s">
        <v>194</v>
      </c>
      <c r="AF44" s="1167">
        <v>1.66</v>
      </c>
      <c r="AG44" s="1164" t="s">
        <v>557</v>
      </c>
      <c r="AH44" s="1164" t="s">
        <v>540</v>
      </c>
      <c r="AI44" s="1164" t="s">
        <v>194</v>
      </c>
      <c r="AJ44" s="1164" t="s">
        <v>194</v>
      </c>
      <c r="AK44" s="1165" t="s">
        <v>194</v>
      </c>
      <c r="AL44" s="1164" t="s">
        <v>194</v>
      </c>
      <c r="AM44" s="1167">
        <v>65678.57</v>
      </c>
      <c r="AN44" s="1164" t="s">
        <v>557</v>
      </c>
      <c r="AO44" s="1169" t="s">
        <v>194</v>
      </c>
      <c r="AP44" s="1167" t="s">
        <v>194</v>
      </c>
      <c r="AQ44" s="1164" t="s">
        <v>194</v>
      </c>
      <c r="AR44" s="1167" t="s">
        <v>194</v>
      </c>
      <c r="AS44" s="1164" t="s">
        <v>194</v>
      </c>
      <c r="AT44" s="1167" t="s">
        <v>194</v>
      </c>
      <c r="AU44" s="1164" t="s">
        <v>194</v>
      </c>
      <c r="AV44" s="1170" t="s">
        <v>194</v>
      </c>
      <c r="AW44" s="1170" t="s">
        <v>194</v>
      </c>
      <c r="AX44" s="1170" t="s">
        <v>194</v>
      </c>
      <c r="AY44" s="1171" t="s">
        <v>194</v>
      </c>
      <c r="AZ44" s="1170">
        <v>1.162030830946954</v>
      </c>
      <c r="BA44" s="1170">
        <v>1.162030830946954</v>
      </c>
      <c r="BB44" s="1170" t="s">
        <v>194</v>
      </c>
      <c r="BC44" s="1170" t="s">
        <v>194</v>
      </c>
      <c r="BD44" s="1164" t="s">
        <v>895</v>
      </c>
      <c r="BE44" s="1164" t="s">
        <v>194</v>
      </c>
      <c r="BF44" s="1165" t="s">
        <v>896</v>
      </c>
      <c r="BG44" s="1164" t="s">
        <v>897</v>
      </c>
      <c r="BH44" s="1164" t="s">
        <v>543</v>
      </c>
      <c r="BI44" s="1164" t="s">
        <v>194</v>
      </c>
      <c r="BJ44" s="1164" t="s">
        <v>544</v>
      </c>
      <c r="BK44" s="1166">
        <v>5.0</v>
      </c>
      <c r="BL44" s="1164" t="s">
        <v>545</v>
      </c>
      <c r="BM44" s="1164" t="s">
        <v>194</v>
      </c>
      <c r="BN44" s="1165" t="s">
        <v>546</v>
      </c>
      <c r="BO44" s="1164" t="s">
        <v>547</v>
      </c>
      <c r="BP44" s="1139" t="str">
        <f t="shared" si="3"/>
        <v>View Investor Online</v>
      </c>
    </row>
    <row r="45" ht="11.25" hidden="1" customHeight="1">
      <c r="A45" s="1164" t="s">
        <v>403</v>
      </c>
      <c r="B45" s="1164" t="s">
        <v>898</v>
      </c>
      <c r="C45" s="1164" t="s">
        <v>460</v>
      </c>
      <c r="D45" s="1164" t="s">
        <v>899</v>
      </c>
      <c r="E45" s="1164" t="s">
        <v>900</v>
      </c>
      <c r="F45" s="1164" t="s">
        <v>901</v>
      </c>
      <c r="G45" s="1164" t="s">
        <v>116</v>
      </c>
      <c r="H45" s="1165">
        <v>2.0</v>
      </c>
      <c r="I45" s="1164" t="s">
        <v>567</v>
      </c>
      <c r="J45" s="1164" t="s">
        <v>568</v>
      </c>
      <c r="K45" s="1164" t="s">
        <v>774</v>
      </c>
      <c r="L45" s="1164" t="s">
        <v>194</v>
      </c>
      <c r="M45" s="1164" t="s">
        <v>902</v>
      </c>
      <c r="N45" s="1164" t="s">
        <v>638</v>
      </c>
      <c r="O45" s="1164" t="s">
        <v>826</v>
      </c>
      <c r="P45" s="1166" t="s">
        <v>194</v>
      </c>
      <c r="Q45" s="1135">
        <v>39206.0</v>
      </c>
      <c r="R45" s="1164" t="s">
        <v>439</v>
      </c>
      <c r="S45" s="1164" t="s">
        <v>194</v>
      </c>
      <c r="T45" s="1164" t="s">
        <v>194</v>
      </c>
      <c r="U45" s="1164" t="s">
        <v>538</v>
      </c>
      <c r="V45" s="1164" t="s">
        <v>194</v>
      </c>
      <c r="W45" s="1164" t="s">
        <v>194</v>
      </c>
      <c r="X45" s="1164" t="s">
        <v>194</v>
      </c>
      <c r="Y45" s="1167">
        <v>130.0</v>
      </c>
      <c r="Z45" s="1164" t="s">
        <v>557</v>
      </c>
      <c r="AA45" s="1135" t="s">
        <v>194</v>
      </c>
      <c r="AB45" s="1164" t="s">
        <v>194</v>
      </c>
      <c r="AC45" s="1167" t="s">
        <v>194</v>
      </c>
      <c r="AD45" s="1164" t="s">
        <v>194</v>
      </c>
      <c r="AE45" s="1168" t="s">
        <v>194</v>
      </c>
      <c r="AF45" s="1167">
        <v>130.0</v>
      </c>
      <c r="AG45" s="1164" t="s">
        <v>557</v>
      </c>
      <c r="AH45" s="1164" t="s">
        <v>540</v>
      </c>
      <c r="AI45" s="1164" t="s">
        <v>194</v>
      </c>
      <c r="AJ45" s="1164" t="s">
        <v>194</v>
      </c>
      <c r="AK45" s="1165" t="s">
        <v>194</v>
      </c>
      <c r="AL45" s="1164" t="s">
        <v>194</v>
      </c>
      <c r="AM45" s="1167">
        <v>30000.0</v>
      </c>
      <c r="AN45" s="1164" t="s">
        <v>558</v>
      </c>
      <c r="AO45" s="1169" t="s">
        <v>194</v>
      </c>
      <c r="AP45" s="1167" t="s">
        <v>194</v>
      </c>
      <c r="AQ45" s="1164" t="s">
        <v>194</v>
      </c>
      <c r="AR45" s="1167" t="s">
        <v>194</v>
      </c>
      <c r="AS45" s="1164" t="s">
        <v>194</v>
      </c>
      <c r="AT45" s="1167" t="s">
        <v>194</v>
      </c>
      <c r="AU45" s="1164" t="s">
        <v>194</v>
      </c>
      <c r="AV45" s="1170" t="s">
        <v>194</v>
      </c>
      <c r="AW45" s="1170" t="s">
        <v>194</v>
      </c>
      <c r="AX45" s="1170" t="s">
        <v>194</v>
      </c>
      <c r="AY45" s="1171" t="s">
        <v>194</v>
      </c>
      <c r="AZ45" s="1170">
        <v>4.333333333333333</v>
      </c>
      <c r="BA45" s="1170">
        <v>4.333333333333333</v>
      </c>
      <c r="BB45" s="1170" t="s">
        <v>194</v>
      </c>
      <c r="BC45" s="1170" t="s">
        <v>194</v>
      </c>
      <c r="BD45" s="1164" t="s">
        <v>903</v>
      </c>
      <c r="BE45" s="1164" t="s">
        <v>722</v>
      </c>
      <c r="BF45" s="1165" t="s">
        <v>904</v>
      </c>
      <c r="BG45" s="1164" t="s">
        <v>562</v>
      </c>
      <c r="BH45" s="1164" t="s">
        <v>543</v>
      </c>
      <c r="BI45" s="1164" t="s">
        <v>194</v>
      </c>
      <c r="BJ45" s="1164" t="s">
        <v>544</v>
      </c>
      <c r="BK45" s="1166">
        <v>5.0</v>
      </c>
      <c r="BL45" s="1164" t="s">
        <v>545</v>
      </c>
      <c r="BM45" s="1164" t="s">
        <v>194</v>
      </c>
      <c r="BN45" s="1165" t="s">
        <v>546</v>
      </c>
      <c r="BO45" s="1164" t="s">
        <v>547</v>
      </c>
      <c r="BP45" s="1139" t="str">
        <f t="shared" si="3"/>
        <v>View Investor Online</v>
      </c>
    </row>
    <row r="46" ht="11.25" hidden="1" customHeight="1">
      <c r="A46" s="1172" t="s">
        <v>403</v>
      </c>
      <c r="B46" s="1172" t="s">
        <v>905</v>
      </c>
      <c r="C46" s="1172" t="s">
        <v>460</v>
      </c>
      <c r="D46" s="1172" t="s">
        <v>906</v>
      </c>
      <c r="E46" s="1172" t="s">
        <v>907</v>
      </c>
      <c r="F46" s="1172" t="s">
        <v>908</v>
      </c>
      <c r="G46" s="1172" t="s">
        <v>529</v>
      </c>
      <c r="H46" s="1173">
        <v>1.0</v>
      </c>
      <c r="I46" s="1172" t="s">
        <v>567</v>
      </c>
      <c r="J46" s="1172" t="s">
        <v>610</v>
      </c>
      <c r="K46" s="1172" t="s">
        <v>611</v>
      </c>
      <c r="L46" s="1172" t="s">
        <v>717</v>
      </c>
      <c r="M46" s="1172" t="s">
        <v>909</v>
      </c>
      <c r="N46" s="1172" t="s">
        <v>535</v>
      </c>
      <c r="O46" s="1172" t="s">
        <v>536</v>
      </c>
      <c r="P46" s="1174">
        <v>29.0</v>
      </c>
      <c r="Q46" s="1142">
        <v>23377.0</v>
      </c>
      <c r="R46" s="1172" t="s">
        <v>639</v>
      </c>
      <c r="S46" s="1172" t="s">
        <v>194</v>
      </c>
      <c r="T46" s="1172" t="s">
        <v>194</v>
      </c>
      <c r="U46" s="1172" t="s">
        <v>640</v>
      </c>
      <c r="V46" s="1172" t="s">
        <v>194</v>
      </c>
      <c r="W46" s="1172" t="s">
        <v>194</v>
      </c>
      <c r="X46" s="1172" t="s">
        <v>194</v>
      </c>
      <c r="Y46" s="1175" t="s">
        <v>194</v>
      </c>
      <c r="Z46" s="1172" t="s">
        <v>194</v>
      </c>
      <c r="AA46" s="1142">
        <v>23377.0</v>
      </c>
      <c r="AB46" s="1172" t="s">
        <v>641</v>
      </c>
      <c r="AC46" s="1175" t="s">
        <v>194</v>
      </c>
      <c r="AD46" s="1172">
        <v>30.02</v>
      </c>
      <c r="AE46" s="1176" t="s">
        <v>194</v>
      </c>
      <c r="AF46" s="1175" t="s">
        <v>194</v>
      </c>
      <c r="AG46" s="1172" t="s">
        <v>194</v>
      </c>
      <c r="AH46" s="1172" t="s">
        <v>540</v>
      </c>
      <c r="AI46" s="1172" t="s">
        <v>194</v>
      </c>
      <c r="AJ46" s="1172" t="s">
        <v>194</v>
      </c>
      <c r="AK46" s="1173" t="s">
        <v>194</v>
      </c>
      <c r="AL46" s="1172" t="s">
        <v>194</v>
      </c>
      <c r="AM46" s="1175" t="s">
        <v>194</v>
      </c>
      <c r="AN46" s="1172" t="s">
        <v>194</v>
      </c>
      <c r="AO46" s="1177" t="s">
        <v>194</v>
      </c>
      <c r="AP46" s="1175" t="s">
        <v>194</v>
      </c>
      <c r="AQ46" s="1172" t="s">
        <v>194</v>
      </c>
      <c r="AR46" s="1175" t="s">
        <v>194</v>
      </c>
      <c r="AS46" s="1172" t="s">
        <v>194</v>
      </c>
      <c r="AT46" s="1175" t="s">
        <v>194</v>
      </c>
      <c r="AU46" s="1172" t="s">
        <v>194</v>
      </c>
      <c r="AV46" s="1178" t="s">
        <v>194</v>
      </c>
      <c r="AW46" s="1178" t="s">
        <v>194</v>
      </c>
      <c r="AX46" s="1178" t="s">
        <v>194</v>
      </c>
      <c r="AY46" s="1179" t="s">
        <v>194</v>
      </c>
      <c r="AZ46" s="1178" t="s">
        <v>194</v>
      </c>
      <c r="BA46" s="1178" t="s">
        <v>194</v>
      </c>
      <c r="BB46" s="1178" t="s">
        <v>194</v>
      </c>
      <c r="BC46" s="1178" t="s">
        <v>194</v>
      </c>
      <c r="BD46" s="1172" t="s">
        <v>910</v>
      </c>
      <c r="BE46" s="1172" t="s">
        <v>194</v>
      </c>
      <c r="BF46" s="1173" t="s">
        <v>911</v>
      </c>
      <c r="BG46" s="1172" t="s">
        <v>587</v>
      </c>
      <c r="BH46" s="1172" t="s">
        <v>543</v>
      </c>
      <c r="BI46" s="1172" t="s">
        <v>194</v>
      </c>
      <c r="BJ46" s="1172" t="s">
        <v>544</v>
      </c>
      <c r="BK46" s="1174">
        <v>5.0</v>
      </c>
      <c r="BL46" s="1172" t="s">
        <v>545</v>
      </c>
      <c r="BM46" s="1172" t="s">
        <v>194</v>
      </c>
      <c r="BN46" s="1173" t="s">
        <v>546</v>
      </c>
      <c r="BO46" s="1172" t="s">
        <v>547</v>
      </c>
      <c r="BP46" s="1180" t="str">
        <f t="shared" si="3"/>
        <v>View Investor Online</v>
      </c>
    </row>
    <row r="47" ht="11.25" hidden="1" customHeight="1">
      <c r="A47" s="1164" t="s">
        <v>403</v>
      </c>
      <c r="B47" s="1164" t="s">
        <v>912</v>
      </c>
      <c r="C47" s="1164" t="s">
        <v>460</v>
      </c>
      <c r="D47" s="1164" t="s">
        <v>913</v>
      </c>
      <c r="E47" s="1164" t="s">
        <v>914</v>
      </c>
      <c r="F47" s="1164" t="s">
        <v>915</v>
      </c>
      <c r="G47" s="1164" t="s">
        <v>529</v>
      </c>
      <c r="H47" s="1165">
        <v>5.0</v>
      </c>
      <c r="I47" s="1164" t="s">
        <v>567</v>
      </c>
      <c r="J47" s="1164" t="s">
        <v>593</v>
      </c>
      <c r="K47" s="1164" t="s">
        <v>916</v>
      </c>
      <c r="L47" s="1164" t="s">
        <v>533</v>
      </c>
      <c r="M47" s="1164" t="s">
        <v>917</v>
      </c>
      <c r="N47" s="1164" t="s">
        <v>535</v>
      </c>
      <c r="O47" s="1164" t="s">
        <v>536</v>
      </c>
      <c r="P47" s="1166">
        <v>98.0</v>
      </c>
      <c r="Q47" s="1135">
        <v>41982.0</v>
      </c>
      <c r="R47" s="1164" t="s">
        <v>598</v>
      </c>
      <c r="S47" s="1164" t="s">
        <v>918</v>
      </c>
      <c r="T47" s="1164" t="s">
        <v>194</v>
      </c>
      <c r="U47" s="1164" t="s">
        <v>600</v>
      </c>
      <c r="V47" s="1164" t="s">
        <v>194</v>
      </c>
      <c r="W47" s="1164" t="s">
        <v>194</v>
      </c>
      <c r="X47" s="1164" t="s">
        <v>194</v>
      </c>
      <c r="Y47" s="1167">
        <v>8.0</v>
      </c>
      <c r="Z47" s="1164" t="s">
        <v>557</v>
      </c>
      <c r="AA47" s="1135">
        <v>41982.0</v>
      </c>
      <c r="AB47" s="1164" t="s">
        <v>919</v>
      </c>
      <c r="AC47" s="1167">
        <v>8.0</v>
      </c>
      <c r="AD47" s="1164">
        <v>2.48</v>
      </c>
      <c r="AE47" s="1168">
        <v>66.22</v>
      </c>
      <c r="AF47" s="1167">
        <v>74.22</v>
      </c>
      <c r="AG47" s="1164" t="s">
        <v>557</v>
      </c>
      <c r="AH47" s="1164" t="s">
        <v>540</v>
      </c>
      <c r="AI47" s="1164" t="s">
        <v>659</v>
      </c>
      <c r="AJ47" s="1164" t="s">
        <v>194</v>
      </c>
      <c r="AK47" s="1165" t="s">
        <v>573</v>
      </c>
      <c r="AL47" s="1164" t="s">
        <v>194</v>
      </c>
      <c r="AM47" s="1167" t="s">
        <v>194</v>
      </c>
      <c r="AN47" s="1164" t="s">
        <v>194</v>
      </c>
      <c r="AO47" s="1169" t="s">
        <v>194</v>
      </c>
      <c r="AP47" s="1167" t="s">
        <v>194</v>
      </c>
      <c r="AQ47" s="1164" t="s">
        <v>194</v>
      </c>
      <c r="AR47" s="1167" t="s">
        <v>194</v>
      </c>
      <c r="AS47" s="1164" t="s">
        <v>194</v>
      </c>
      <c r="AT47" s="1167" t="s">
        <v>194</v>
      </c>
      <c r="AU47" s="1164" t="s">
        <v>194</v>
      </c>
      <c r="AV47" s="1170" t="s">
        <v>194</v>
      </c>
      <c r="AW47" s="1170" t="s">
        <v>194</v>
      </c>
      <c r="AX47" s="1170" t="s">
        <v>194</v>
      </c>
      <c r="AY47" s="1171" t="s">
        <v>194</v>
      </c>
      <c r="AZ47" s="1170" t="s">
        <v>194</v>
      </c>
      <c r="BA47" s="1170" t="s">
        <v>194</v>
      </c>
      <c r="BB47" s="1170" t="s">
        <v>194</v>
      </c>
      <c r="BC47" s="1170" t="s">
        <v>194</v>
      </c>
      <c r="BD47" s="1164" t="s">
        <v>920</v>
      </c>
      <c r="BE47" s="1164" t="s">
        <v>604</v>
      </c>
      <c r="BF47" s="1165" t="s">
        <v>921</v>
      </c>
      <c r="BG47" s="1164" t="s">
        <v>562</v>
      </c>
      <c r="BH47" s="1164" t="s">
        <v>543</v>
      </c>
      <c r="BI47" s="1164" t="s">
        <v>194</v>
      </c>
      <c r="BJ47" s="1164" t="s">
        <v>544</v>
      </c>
      <c r="BK47" s="1166">
        <v>5.0</v>
      </c>
      <c r="BL47" s="1164" t="s">
        <v>545</v>
      </c>
      <c r="BM47" s="1164" t="s">
        <v>194</v>
      </c>
      <c r="BN47" s="1165" t="s">
        <v>546</v>
      </c>
      <c r="BO47" s="1164" t="s">
        <v>547</v>
      </c>
      <c r="BP47" s="1139" t="str">
        <f t="shared" si="3"/>
        <v>View Investor Online</v>
      </c>
    </row>
    <row r="48" ht="11.25" hidden="1" customHeight="1">
      <c r="A48" s="1164" t="s">
        <v>403</v>
      </c>
      <c r="B48" s="1164" t="s">
        <v>922</v>
      </c>
      <c r="C48" s="1164" t="s">
        <v>460</v>
      </c>
      <c r="D48" s="1164" t="s">
        <v>923</v>
      </c>
      <c r="E48" s="1164" t="s">
        <v>924</v>
      </c>
      <c r="F48" s="1164" t="s">
        <v>925</v>
      </c>
      <c r="G48" s="1164" t="s">
        <v>116</v>
      </c>
      <c r="H48" s="1165">
        <v>1.0</v>
      </c>
      <c r="I48" s="1164" t="s">
        <v>552</v>
      </c>
      <c r="J48" s="1164" t="s">
        <v>748</v>
      </c>
      <c r="K48" s="1164" t="s">
        <v>795</v>
      </c>
      <c r="L48" s="1164" t="s">
        <v>796</v>
      </c>
      <c r="M48" s="1164" t="s">
        <v>797</v>
      </c>
      <c r="N48" s="1164" t="s">
        <v>535</v>
      </c>
      <c r="O48" s="1164" t="s">
        <v>536</v>
      </c>
      <c r="P48" s="1166">
        <v>70.0</v>
      </c>
      <c r="Q48" s="1135">
        <v>40548.0</v>
      </c>
      <c r="R48" s="1164" t="s">
        <v>439</v>
      </c>
      <c r="S48" s="1164" t="s">
        <v>194</v>
      </c>
      <c r="T48" s="1164" t="s">
        <v>194</v>
      </c>
      <c r="U48" s="1164" t="s">
        <v>538</v>
      </c>
      <c r="V48" s="1164" t="s">
        <v>194</v>
      </c>
      <c r="W48" s="1164" t="s">
        <v>194</v>
      </c>
      <c r="X48" s="1164" t="s">
        <v>194</v>
      </c>
      <c r="Y48" s="1167" t="s">
        <v>194</v>
      </c>
      <c r="Z48" s="1164" t="s">
        <v>194</v>
      </c>
      <c r="AA48" s="1135" t="s">
        <v>194</v>
      </c>
      <c r="AB48" s="1164" t="s">
        <v>194</v>
      </c>
      <c r="AC48" s="1167" t="s">
        <v>194</v>
      </c>
      <c r="AD48" s="1164" t="s">
        <v>194</v>
      </c>
      <c r="AE48" s="1168" t="s">
        <v>194</v>
      </c>
      <c r="AF48" s="1167" t="s">
        <v>194</v>
      </c>
      <c r="AG48" s="1164" t="s">
        <v>194</v>
      </c>
      <c r="AH48" s="1164" t="s">
        <v>540</v>
      </c>
      <c r="AI48" s="1164" t="s">
        <v>194</v>
      </c>
      <c r="AJ48" s="1164" t="s">
        <v>194</v>
      </c>
      <c r="AK48" s="1165" t="s">
        <v>194</v>
      </c>
      <c r="AL48" s="1164" t="s">
        <v>194</v>
      </c>
      <c r="AM48" s="1167" t="s">
        <v>194</v>
      </c>
      <c r="AN48" s="1164" t="s">
        <v>194</v>
      </c>
      <c r="AO48" s="1169" t="s">
        <v>194</v>
      </c>
      <c r="AP48" s="1167" t="s">
        <v>194</v>
      </c>
      <c r="AQ48" s="1164" t="s">
        <v>194</v>
      </c>
      <c r="AR48" s="1167" t="s">
        <v>194</v>
      </c>
      <c r="AS48" s="1164" t="s">
        <v>194</v>
      </c>
      <c r="AT48" s="1167" t="s">
        <v>194</v>
      </c>
      <c r="AU48" s="1164" t="s">
        <v>194</v>
      </c>
      <c r="AV48" s="1170" t="s">
        <v>194</v>
      </c>
      <c r="AW48" s="1170" t="s">
        <v>194</v>
      </c>
      <c r="AX48" s="1170" t="s">
        <v>194</v>
      </c>
      <c r="AY48" s="1171" t="s">
        <v>194</v>
      </c>
      <c r="AZ48" s="1170" t="s">
        <v>194</v>
      </c>
      <c r="BA48" s="1170" t="s">
        <v>194</v>
      </c>
      <c r="BB48" s="1170" t="s">
        <v>194</v>
      </c>
      <c r="BC48" s="1170" t="s">
        <v>194</v>
      </c>
      <c r="BD48" s="1164" t="s">
        <v>926</v>
      </c>
      <c r="BE48" s="1164" t="s">
        <v>927</v>
      </c>
      <c r="BF48" s="1165" t="s">
        <v>928</v>
      </c>
      <c r="BG48" s="1164" t="s">
        <v>562</v>
      </c>
      <c r="BH48" s="1164" t="s">
        <v>543</v>
      </c>
      <c r="BI48" s="1164" t="s">
        <v>194</v>
      </c>
      <c r="BJ48" s="1164" t="s">
        <v>544</v>
      </c>
      <c r="BK48" s="1166">
        <v>5.0</v>
      </c>
      <c r="BL48" s="1164" t="s">
        <v>545</v>
      </c>
      <c r="BM48" s="1164" t="s">
        <v>194</v>
      </c>
      <c r="BN48" s="1165" t="s">
        <v>546</v>
      </c>
      <c r="BO48" s="1164" t="s">
        <v>547</v>
      </c>
      <c r="BP48" s="1139" t="str">
        <f t="shared" si="3"/>
        <v>View Investor Online</v>
      </c>
    </row>
    <row r="49" ht="11.25" hidden="1" customHeight="1">
      <c r="A49" s="1164" t="s">
        <v>403</v>
      </c>
      <c r="B49" s="1164" t="s">
        <v>929</v>
      </c>
      <c r="C49" s="1164" t="s">
        <v>460</v>
      </c>
      <c r="D49" s="1164" t="s">
        <v>930</v>
      </c>
      <c r="E49" s="1164" t="s">
        <v>931</v>
      </c>
      <c r="F49" s="1164" t="s">
        <v>932</v>
      </c>
      <c r="G49" s="1164" t="s">
        <v>529</v>
      </c>
      <c r="H49" s="1165">
        <v>1.0</v>
      </c>
      <c r="I49" s="1164" t="s">
        <v>933</v>
      </c>
      <c r="J49" s="1164" t="s">
        <v>934</v>
      </c>
      <c r="K49" s="1164" t="s">
        <v>934</v>
      </c>
      <c r="L49" s="1164" t="s">
        <v>194</v>
      </c>
      <c r="M49" s="1164" t="s">
        <v>935</v>
      </c>
      <c r="N49" s="1164" t="s">
        <v>936</v>
      </c>
      <c r="O49" s="1164" t="s">
        <v>536</v>
      </c>
      <c r="P49" s="1166" t="s">
        <v>194</v>
      </c>
      <c r="Q49" s="1135">
        <v>40890.0</v>
      </c>
      <c r="R49" s="1164" t="s">
        <v>937</v>
      </c>
      <c r="S49" s="1164" t="s">
        <v>194</v>
      </c>
      <c r="T49" s="1164" t="s">
        <v>194</v>
      </c>
      <c r="U49" s="1164" t="s">
        <v>538</v>
      </c>
      <c r="V49" s="1164" t="s">
        <v>194</v>
      </c>
      <c r="W49" s="1164" t="s">
        <v>194</v>
      </c>
      <c r="X49" s="1164" t="s">
        <v>194</v>
      </c>
      <c r="Y49" s="1167">
        <v>10.0</v>
      </c>
      <c r="Z49" s="1164" t="s">
        <v>557</v>
      </c>
      <c r="AA49" s="1135">
        <v>40890.0</v>
      </c>
      <c r="AB49" s="1164" t="s">
        <v>938</v>
      </c>
      <c r="AC49" s="1167">
        <v>10.0</v>
      </c>
      <c r="AD49" s="1164">
        <v>3.28</v>
      </c>
      <c r="AE49" s="1168" t="s">
        <v>194</v>
      </c>
      <c r="AF49" s="1167">
        <v>10.0</v>
      </c>
      <c r="AG49" s="1164" t="s">
        <v>557</v>
      </c>
      <c r="AH49" s="1164" t="s">
        <v>540</v>
      </c>
      <c r="AI49" s="1164" t="s">
        <v>194</v>
      </c>
      <c r="AJ49" s="1164" t="s">
        <v>194</v>
      </c>
      <c r="AK49" s="1165" t="s">
        <v>194</v>
      </c>
      <c r="AL49" s="1164" t="s">
        <v>194</v>
      </c>
      <c r="AM49" s="1167" t="s">
        <v>194</v>
      </c>
      <c r="AN49" s="1164" t="s">
        <v>194</v>
      </c>
      <c r="AO49" s="1169" t="s">
        <v>194</v>
      </c>
      <c r="AP49" s="1167" t="s">
        <v>194</v>
      </c>
      <c r="AQ49" s="1164" t="s">
        <v>194</v>
      </c>
      <c r="AR49" s="1167" t="s">
        <v>194</v>
      </c>
      <c r="AS49" s="1164" t="s">
        <v>194</v>
      </c>
      <c r="AT49" s="1167" t="s">
        <v>194</v>
      </c>
      <c r="AU49" s="1164" t="s">
        <v>194</v>
      </c>
      <c r="AV49" s="1170" t="s">
        <v>194</v>
      </c>
      <c r="AW49" s="1170" t="s">
        <v>194</v>
      </c>
      <c r="AX49" s="1170" t="s">
        <v>194</v>
      </c>
      <c r="AY49" s="1171" t="s">
        <v>194</v>
      </c>
      <c r="AZ49" s="1170" t="s">
        <v>194</v>
      </c>
      <c r="BA49" s="1170" t="s">
        <v>194</v>
      </c>
      <c r="BB49" s="1170" t="s">
        <v>194</v>
      </c>
      <c r="BC49" s="1170" t="s">
        <v>194</v>
      </c>
      <c r="BD49" s="1164" t="s">
        <v>939</v>
      </c>
      <c r="BE49" s="1164" t="s">
        <v>940</v>
      </c>
      <c r="BF49" s="1165" t="s">
        <v>941</v>
      </c>
      <c r="BG49" s="1164" t="s">
        <v>562</v>
      </c>
      <c r="BH49" s="1164" t="s">
        <v>543</v>
      </c>
      <c r="BI49" s="1164" t="s">
        <v>194</v>
      </c>
      <c r="BJ49" s="1164" t="s">
        <v>544</v>
      </c>
      <c r="BK49" s="1166">
        <v>5.0</v>
      </c>
      <c r="BL49" s="1164" t="s">
        <v>545</v>
      </c>
      <c r="BM49" s="1164" t="s">
        <v>194</v>
      </c>
      <c r="BN49" s="1165" t="s">
        <v>546</v>
      </c>
      <c r="BO49" s="1164" t="s">
        <v>547</v>
      </c>
      <c r="BP49" s="1139" t="str">
        <f t="shared" si="3"/>
        <v>View Investor Online</v>
      </c>
    </row>
    <row r="50" ht="11.25" hidden="1" customHeight="1">
      <c r="A50" s="1172" t="s">
        <v>403</v>
      </c>
      <c r="B50" s="1172" t="s">
        <v>942</v>
      </c>
      <c r="C50" s="1172" t="s">
        <v>460</v>
      </c>
      <c r="D50" s="1172" t="s">
        <v>943</v>
      </c>
      <c r="E50" s="1172" t="s">
        <v>944</v>
      </c>
      <c r="F50" s="1172" t="s">
        <v>945</v>
      </c>
      <c r="G50" s="1172" t="s">
        <v>529</v>
      </c>
      <c r="H50" s="1173">
        <v>5.0</v>
      </c>
      <c r="I50" s="1172" t="s">
        <v>530</v>
      </c>
      <c r="J50" s="1172" t="s">
        <v>531</v>
      </c>
      <c r="K50" s="1172" t="s">
        <v>946</v>
      </c>
      <c r="L50" s="1172" t="s">
        <v>533</v>
      </c>
      <c r="M50" s="1172" t="s">
        <v>947</v>
      </c>
      <c r="N50" s="1172" t="s">
        <v>638</v>
      </c>
      <c r="O50" s="1172" t="s">
        <v>597</v>
      </c>
      <c r="P50" s="1174">
        <v>96.0</v>
      </c>
      <c r="Q50" s="1142">
        <v>36368.0</v>
      </c>
      <c r="R50" s="1172" t="s">
        <v>598</v>
      </c>
      <c r="S50" s="1172" t="s">
        <v>948</v>
      </c>
      <c r="T50" s="1172" t="s">
        <v>194</v>
      </c>
      <c r="U50" s="1172" t="s">
        <v>600</v>
      </c>
      <c r="V50" s="1172" t="s">
        <v>194</v>
      </c>
      <c r="W50" s="1172" t="s">
        <v>194</v>
      </c>
      <c r="X50" s="1172" t="s">
        <v>194</v>
      </c>
      <c r="Y50" s="1175">
        <v>15.72</v>
      </c>
      <c r="Z50" s="1172" t="s">
        <v>557</v>
      </c>
      <c r="AA50" s="1142">
        <v>36368.0</v>
      </c>
      <c r="AB50" s="1172" t="s">
        <v>949</v>
      </c>
      <c r="AC50" s="1175">
        <v>15.72</v>
      </c>
      <c r="AD50" s="1172">
        <v>0.25</v>
      </c>
      <c r="AE50" s="1176">
        <v>366.08</v>
      </c>
      <c r="AF50" s="1175">
        <v>381.8</v>
      </c>
      <c r="AG50" s="1172" t="s">
        <v>557</v>
      </c>
      <c r="AH50" s="1172" t="s">
        <v>540</v>
      </c>
      <c r="AI50" s="1172" t="s">
        <v>194</v>
      </c>
      <c r="AJ50" s="1172" t="s">
        <v>194</v>
      </c>
      <c r="AK50" s="1173" t="s">
        <v>194</v>
      </c>
      <c r="AL50" s="1172" t="s">
        <v>194</v>
      </c>
      <c r="AM50" s="1175" t="s">
        <v>194</v>
      </c>
      <c r="AN50" s="1172" t="s">
        <v>194</v>
      </c>
      <c r="AO50" s="1177" t="s">
        <v>194</v>
      </c>
      <c r="AP50" s="1175" t="s">
        <v>194</v>
      </c>
      <c r="AQ50" s="1172" t="s">
        <v>194</v>
      </c>
      <c r="AR50" s="1175" t="s">
        <v>194</v>
      </c>
      <c r="AS50" s="1172" t="s">
        <v>194</v>
      </c>
      <c r="AT50" s="1175" t="s">
        <v>194</v>
      </c>
      <c r="AU50" s="1172" t="s">
        <v>194</v>
      </c>
      <c r="AV50" s="1178" t="s">
        <v>194</v>
      </c>
      <c r="AW50" s="1178" t="s">
        <v>194</v>
      </c>
      <c r="AX50" s="1178" t="s">
        <v>194</v>
      </c>
      <c r="AY50" s="1179" t="s">
        <v>194</v>
      </c>
      <c r="AZ50" s="1178" t="s">
        <v>194</v>
      </c>
      <c r="BA50" s="1178" t="s">
        <v>194</v>
      </c>
      <c r="BB50" s="1178" t="s">
        <v>194</v>
      </c>
      <c r="BC50" s="1178" t="s">
        <v>194</v>
      </c>
      <c r="BD50" s="1172" t="s">
        <v>950</v>
      </c>
      <c r="BE50" s="1172" t="s">
        <v>661</v>
      </c>
      <c r="BF50" s="1173" t="s">
        <v>951</v>
      </c>
      <c r="BG50" s="1172" t="s">
        <v>562</v>
      </c>
      <c r="BH50" s="1172" t="s">
        <v>543</v>
      </c>
      <c r="BI50" s="1172" t="s">
        <v>194</v>
      </c>
      <c r="BJ50" s="1172" t="s">
        <v>544</v>
      </c>
      <c r="BK50" s="1174">
        <v>5.0</v>
      </c>
      <c r="BL50" s="1172" t="s">
        <v>545</v>
      </c>
      <c r="BM50" s="1172" t="s">
        <v>194</v>
      </c>
      <c r="BN50" s="1173" t="s">
        <v>546</v>
      </c>
      <c r="BO50" s="1172" t="s">
        <v>547</v>
      </c>
      <c r="BP50" s="1180" t="str">
        <f t="shared" si="3"/>
        <v>View Investor Online</v>
      </c>
    </row>
    <row r="51" ht="11.25" hidden="1" customHeight="1">
      <c r="A51" s="1164" t="s">
        <v>403</v>
      </c>
      <c r="B51" s="1164" t="s">
        <v>952</v>
      </c>
      <c r="C51" s="1164" t="s">
        <v>460</v>
      </c>
      <c r="D51" s="1164" t="s">
        <v>953</v>
      </c>
      <c r="E51" s="1164" t="s">
        <v>954</v>
      </c>
      <c r="F51" s="1164" t="s">
        <v>955</v>
      </c>
      <c r="G51" s="1164" t="s">
        <v>529</v>
      </c>
      <c r="H51" s="1165">
        <v>2.0</v>
      </c>
      <c r="I51" s="1164" t="s">
        <v>552</v>
      </c>
      <c r="J51" s="1164" t="s">
        <v>748</v>
      </c>
      <c r="K51" s="1164" t="s">
        <v>795</v>
      </c>
      <c r="L51" s="1164" t="s">
        <v>796</v>
      </c>
      <c r="M51" s="1164" t="s">
        <v>797</v>
      </c>
      <c r="N51" s="1164" t="s">
        <v>535</v>
      </c>
      <c r="O51" s="1164" t="s">
        <v>956</v>
      </c>
      <c r="P51" s="1166">
        <v>220.0</v>
      </c>
      <c r="Q51" s="1135">
        <v>39506.0</v>
      </c>
      <c r="R51" s="1164" t="s">
        <v>439</v>
      </c>
      <c r="S51" s="1164" t="s">
        <v>194</v>
      </c>
      <c r="T51" s="1164" t="s">
        <v>194</v>
      </c>
      <c r="U51" s="1164" t="s">
        <v>538</v>
      </c>
      <c r="V51" s="1164" t="s">
        <v>194</v>
      </c>
      <c r="W51" s="1164" t="s">
        <v>194</v>
      </c>
      <c r="X51" s="1164" t="s">
        <v>194</v>
      </c>
      <c r="Y51" s="1167" t="s">
        <v>194</v>
      </c>
      <c r="Z51" s="1164" t="s">
        <v>194</v>
      </c>
      <c r="AA51" s="1135">
        <v>39506.0</v>
      </c>
      <c r="AB51" s="1164" t="s">
        <v>856</v>
      </c>
      <c r="AC51" s="1167" t="s">
        <v>194</v>
      </c>
      <c r="AD51" s="1164">
        <v>8.69</v>
      </c>
      <c r="AE51" s="1168" t="s">
        <v>194</v>
      </c>
      <c r="AF51" s="1167" t="s">
        <v>194</v>
      </c>
      <c r="AG51" s="1164" t="s">
        <v>194</v>
      </c>
      <c r="AH51" s="1164" t="s">
        <v>540</v>
      </c>
      <c r="AI51" s="1164" t="s">
        <v>194</v>
      </c>
      <c r="AJ51" s="1164" t="s">
        <v>194</v>
      </c>
      <c r="AK51" s="1165" t="s">
        <v>194</v>
      </c>
      <c r="AL51" s="1164" t="s">
        <v>194</v>
      </c>
      <c r="AM51" s="1167" t="s">
        <v>194</v>
      </c>
      <c r="AN51" s="1164" t="s">
        <v>194</v>
      </c>
      <c r="AO51" s="1169" t="s">
        <v>194</v>
      </c>
      <c r="AP51" s="1167" t="s">
        <v>194</v>
      </c>
      <c r="AQ51" s="1164" t="s">
        <v>194</v>
      </c>
      <c r="AR51" s="1167" t="s">
        <v>194</v>
      </c>
      <c r="AS51" s="1164" t="s">
        <v>194</v>
      </c>
      <c r="AT51" s="1167" t="s">
        <v>194</v>
      </c>
      <c r="AU51" s="1164" t="s">
        <v>194</v>
      </c>
      <c r="AV51" s="1170" t="s">
        <v>194</v>
      </c>
      <c r="AW51" s="1170" t="s">
        <v>194</v>
      </c>
      <c r="AX51" s="1170" t="s">
        <v>194</v>
      </c>
      <c r="AY51" s="1171" t="s">
        <v>194</v>
      </c>
      <c r="AZ51" s="1170" t="s">
        <v>194</v>
      </c>
      <c r="BA51" s="1170" t="s">
        <v>194</v>
      </c>
      <c r="BB51" s="1170" t="s">
        <v>194</v>
      </c>
      <c r="BC51" s="1170" t="s">
        <v>194</v>
      </c>
      <c r="BD51" s="1164" t="s">
        <v>957</v>
      </c>
      <c r="BE51" s="1164" t="s">
        <v>661</v>
      </c>
      <c r="BF51" s="1165" t="s">
        <v>958</v>
      </c>
      <c r="BG51" s="1164" t="s">
        <v>562</v>
      </c>
      <c r="BH51" s="1164" t="s">
        <v>543</v>
      </c>
      <c r="BI51" s="1164" t="s">
        <v>194</v>
      </c>
      <c r="BJ51" s="1164" t="s">
        <v>544</v>
      </c>
      <c r="BK51" s="1166">
        <v>5.0</v>
      </c>
      <c r="BL51" s="1164" t="s">
        <v>545</v>
      </c>
      <c r="BM51" s="1164" t="s">
        <v>194</v>
      </c>
      <c r="BN51" s="1165" t="s">
        <v>546</v>
      </c>
      <c r="BO51" s="1164" t="s">
        <v>547</v>
      </c>
      <c r="BP51" s="1139" t="str">
        <f t="shared" si="3"/>
        <v>View Investor Online</v>
      </c>
    </row>
    <row r="52" ht="11.25" hidden="1" customHeight="1">
      <c r="A52" s="1164" t="s">
        <v>403</v>
      </c>
      <c r="B52" s="1164" t="s">
        <v>959</v>
      </c>
      <c r="C52" s="1164" t="s">
        <v>460</v>
      </c>
      <c r="D52" s="1164" t="s">
        <v>960</v>
      </c>
      <c r="E52" s="1164" t="s">
        <v>961</v>
      </c>
      <c r="F52" s="1164" t="s">
        <v>962</v>
      </c>
      <c r="G52" s="1164" t="s">
        <v>116</v>
      </c>
      <c r="H52" s="1165">
        <v>1.0</v>
      </c>
      <c r="I52" s="1164" t="s">
        <v>667</v>
      </c>
      <c r="J52" s="1164" t="s">
        <v>805</v>
      </c>
      <c r="K52" s="1164" t="s">
        <v>963</v>
      </c>
      <c r="L52" s="1164" t="s">
        <v>775</v>
      </c>
      <c r="M52" s="1164" t="s">
        <v>964</v>
      </c>
      <c r="N52" s="1164" t="s">
        <v>535</v>
      </c>
      <c r="O52" s="1164" t="s">
        <v>536</v>
      </c>
      <c r="P52" s="1166">
        <v>400.0</v>
      </c>
      <c r="Q52" s="1135">
        <v>40529.0</v>
      </c>
      <c r="R52" s="1164" t="s">
        <v>439</v>
      </c>
      <c r="S52" s="1164" t="s">
        <v>194</v>
      </c>
      <c r="T52" s="1164" t="s">
        <v>194</v>
      </c>
      <c r="U52" s="1164" t="s">
        <v>538</v>
      </c>
      <c r="V52" s="1164" t="s">
        <v>194</v>
      </c>
      <c r="W52" s="1164" t="s">
        <v>194</v>
      </c>
      <c r="X52" s="1164" t="s">
        <v>194</v>
      </c>
      <c r="Y52" s="1167" t="s">
        <v>194</v>
      </c>
      <c r="Z52" s="1164" t="s">
        <v>194</v>
      </c>
      <c r="AA52" s="1135" t="s">
        <v>194</v>
      </c>
      <c r="AB52" s="1164" t="s">
        <v>194</v>
      </c>
      <c r="AC52" s="1167" t="s">
        <v>194</v>
      </c>
      <c r="AD52" s="1164" t="s">
        <v>194</v>
      </c>
      <c r="AE52" s="1168" t="s">
        <v>194</v>
      </c>
      <c r="AF52" s="1167" t="s">
        <v>194</v>
      </c>
      <c r="AG52" s="1164" t="s">
        <v>194</v>
      </c>
      <c r="AH52" s="1164" t="s">
        <v>540</v>
      </c>
      <c r="AI52" s="1164" t="s">
        <v>194</v>
      </c>
      <c r="AJ52" s="1164" t="s">
        <v>194</v>
      </c>
      <c r="AK52" s="1165" t="s">
        <v>194</v>
      </c>
      <c r="AL52" s="1164" t="s">
        <v>194</v>
      </c>
      <c r="AM52" s="1167" t="s">
        <v>194</v>
      </c>
      <c r="AN52" s="1164" t="s">
        <v>194</v>
      </c>
      <c r="AO52" s="1169" t="s">
        <v>194</v>
      </c>
      <c r="AP52" s="1167" t="s">
        <v>194</v>
      </c>
      <c r="AQ52" s="1164" t="s">
        <v>194</v>
      </c>
      <c r="AR52" s="1167" t="s">
        <v>194</v>
      </c>
      <c r="AS52" s="1164" t="s">
        <v>194</v>
      </c>
      <c r="AT52" s="1167" t="s">
        <v>194</v>
      </c>
      <c r="AU52" s="1164" t="s">
        <v>194</v>
      </c>
      <c r="AV52" s="1170" t="s">
        <v>194</v>
      </c>
      <c r="AW52" s="1170" t="s">
        <v>194</v>
      </c>
      <c r="AX52" s="1170" t="s">
        <v>194</v>
      </c>
      <c r="AY52" s="1171" t="s">
        <v>194</v>
      </c>
      <c r="AZ52" s="1170" t="s">
        <v>194</v>
      </c>
      <c r="BA52" s="1170" t="s">
        <v>194</v>
      </c>
      <c r="BB52" s="1170" t="s">
        <v>194</v>
      </c>
      <c r="BC52" s="1170" t="s">
        <v>194</v>
      </c>
      <c r="BD52" s="1164" t="s">
        <v>965</v>
      </c>
      <c r="BE52" s="1164" t="s">
        <v>661</v>
      </c>
      <c r="BF52" s="1165" t="s">
        <v>966</v>
      </c>
      <c r="BG52" s="1164" t="s">
        <v>562</v>
      </c>
      <c r="BH52" s="1164" t="s">
        <v>543</v>
      </c>
      <c r="BI52" s="1164" t="s">
        <v>194</v>
      </c>
      <c r="BJ52" s="1164" t="s">
        <v>544</v>
      </c>
      <c r="BK52" s="1166">
        <v>5.0</v>
      </c>
      <c r="BL52" s="1164" t="s">
        <v>545</v>
      </c>
      <c r="BM52" s="1164" t="s">
        <v>194</v>
      </c>
      <c r="BN52" s="1165" t="s">
        <v>546</v>
      </c>
      <c r="BO52" s="1164" t="s">
        <v>547</v>
      </c>
      <c r="BP52" s="1139" t="str">
        <f t="shared" si="3"/>
        <v>View Investor Online</v>
      </c>
    </row>
    <row r="53" ht="11.25" hidden="1" customHeight="1">
      <c r="A53" s="1164" t="s">
        <v>403</v>
      </c>
      <c r="B53" s="1164" t="s">
        <v>967</v>
      </c>
      <c r="C53" s="1164" t="s">
        <v>460</v>
      </c>
      <c r="D53" s="1164" t="s">
        <v>968</v>
      </c>
      <c r="E53" s="1164" t="s">
        <v>969</v>
      </c>
      <c r="F53" s="1164" t="s">
        <v>970</v>
      </c>
      <c r="G53" s="1164" t="s">
        <v>592</v>
      </c>
      <c r="H53" s="1165">
        <v>2.0</v>
      </c>
      <c r="I53" s="1164" t="s">
        <v>530</v>
      </c>
      <c r="J53" s="1164" t="s">
        <v>971</v>
      </c>
      <c r="K53" s="1164" t="s">
        <v>972</v>
      </c>
      <c r="L53" s="1164" t="s">
        <v>973</v>
      </c>
      <c r="M53" s="1164" t="s">
        <v>974</v>
      </c>
      <c r="N53" s="1164" t="s">
        <v>638</v>
      </c>
      <c r="O53" s="1164" t="s">
        <v>956</v>
      </c>
      <c r="P53" s="1166">
        <v>9000.0</v>
      </c>
      <c r="Q53" s="1135">
        <v>38685.0</v>
      </c>
      <c r="R53" s="1164" t="s">
        <v>937</v>
      </c>
      <c r="S53" s="1164" t="s">
        <v>194</v>
      </c>
      <c r="T53" s="1164" t="s">
        <v>194</v>
      </c>
      <c r="U53" s="1164" t="s">
        <v>538</v>
      </c>
      <c r="V53" s="1164" t="s">
        <v>194</v>
      </c>
      <c r="W53" s="1164" t="s">
        <v>194</v>
      </c>
      <c r="X53" s="1164" t="s">
        <v>194</v>
      </c>
      <c r="Y53" s="1167" t="s">
        <v>194</v>
      </c>
      <c r="Z53" s="1164" t="s">
        <v>194</v>
      </c>
      <c r="AA53" s="1135">
        <v>36161.0</v>
      </c>
      <c r="AB53" s="1164" t="s">
        <v>641</v>
      </c>
      <c r="AC53" s="1167" t="s">
        <v>194</v>
      </c>
      <c r="AD53" s="1164">
        <v>18.52</v>
      </c>
      <c r="AE53" s="1168" t="s">
        <v>194</v>
      </c>
      <c r="AF53" s="1167" t="s">
        <v>194</v>
      </c>
      <c r="AG53" s="1164" t="s">
        <v>194</v>
      </c>
      <c r="AH53" s="1164" t="s">
        <v>540</v>
      </c>
      <c r="AI53" s="1164" t="s">
        <v>194</v>
      </c>
      <c r="AJ53" s="1164" t="s">
        <v>194</v>
      </c>
      <c r="AK53" s="1165" t="s">
        <v>194</v>
      </c>
      <c r="AL53" s="1164" t="s">
        <v>194</v>
      </c>
      <c r="AM53" s="1167" t="s">
        <v>194</v>
      </c>
      <c r="AN53" s="1164" t="s">
        <v>194</v>
      </c>
      <c r="AO53" s="1169" t="s">
        <v>194</v>
      </c>
      <c r="AP53" s="1167" t="s">
        <v>194</v>
      </c>
      <c r="AQ53" s="1164" t="s">
        <v>194</v>
      </c>
      <c r="AR53" s="1167" t="s">
        <v>194</v>
      </c>
      <c r="AS53" s="1164" t="s">
        <v>194</v>
      </c>
      <c r="AT53" s="1167" t="s">
        <v>194</v>
      </c>
      <c r="AU53" s="1164" t="s">
        <v>194</v>
      </c>
      <c r="AV53" s="1170" t="s">
        <v>194</v>
      </c>
      <c r="AW53" s="1170" t="s">
        <v>194</v>
      </c>
      <c r="AX53" s="1170" t="s">
        <v>194</v>
      </c>
      <c r="AY53" s="1171" t="s">
        <v>194</v>
      </c>
      <c r="AZ53" s="1170" t="s">
        <v>194</v>
      </c>
      <c r="BA53" s="1170" t="s">
        <v>194</v>
      </c>
      <c r="BB53" s="1170" t="s">
        <v>194</v>
      </c>
      <c r="BC53" s="1170" t="s">
        <v>194</v>
      </c>
      <c r="BD53" s="1164" t="s">
        <v>975</v>
      </c>
      <c r="BE53" s="1164" t="s">
        <v>194</v>
      </c>
      <c r="BF53" s="1165" t="s">
        <v>976</v>
      </c>
      <c r="BG53" s="1164" t="s">
        <v>547</v>
      </c>
      <c r="BH53" s="1164" t="s">
        <v>543</v>
      </c>
      <c r="BI53" s="1164" t="s">
        <v>194</v>
      </c>
      <c r="BJ53" s="1164" t="s">
        <v>544</v>
      </c>
      <c r="BK53" s="1166">
        <v>5.0</v>
      </c>
      <c r="BL53" s="1164" t="s">
        <v>545</v>
      </c>
      <c r="BM53" s="1164" t="s">
        <v>194</v>
      </c>
      <c r="BN53" s="1165" t="s">
        <v>546</v>
      </c>
      <c r="BO53" s="1164" t="s">
        <v>547</v>
      </c>
      <c r="BP53" s="1139" t="str">
        <f t="shared" si="3"/>
        <v>View Investor Online</v>
      </c>
    </row>
    <row r="54" ht="11.25" hidden="1" customHeight="1">
      <c r="A54" s="1172" t="s">
        <v>403</v>
      </c>
      <c r="B54" s="1172" t="s">
        <v>977</v>
      </c>
      <c r="C54" s="1172" t="s">
        <v>460</v>
      </c>
      <c r="D54" s="1172" t="s">
        <v>968</v>
      </c>
      <c r="E54" s="1172" t="s">
        <v>969</v>
      </c>
      <c r="F54" s="1172" t="s">
        <v>970</v>
      </c>
      <c r="G54" s="1172" t="s">
        <v>592</v>
      </c>
      <c r="H54" s="1173">
        <v>1.0</v>
      </c>
      <c r="I54" s="1172" t="s">
        <v>530</v>
      </c>
      <c r="J54" s="1172" t="s">
        <v>971</v>
      </c>
      <c r="K54" s="1172" t="s">
        <v>972</v>
      </c>
      <c r="L54" s="1172" t="s">
        <v>973</v>
      </c>
      <c r="M54" s="1172" t="s">
        <v>974</v>
      </c>
      <c r="N54" s="1172" t="s">
        <v>638</v>
      </c>
      <c r="O54" s="1172" t="s">
        <v>956</v>
      </c>
      <c r="P54" s="1174">
        <v>9000.0</v>
      </c>
      <c r="Q54" s="1142">
        <v>36161.0</v>
      </c>
      <c r="R54" s="1172" t="s">
        <v>639</v>
      </c>
      <c r="S54" s="1172" t="s">
        <v>194</v>
      </c>
      <c r="T54" s="1172" t="s">
        <v>194</v>
      </c>
      <c r="U54" s="1172" t="s">
        <v>640</v>
      </c>
      <c r="V54" s="1172" t="s">
        <v>194</v>
      </c>
      <c r="W54" s="1172" t="s">
        <v>194</v>
      </c>
      <c r="X54" s="1172" t="s">
        <v>194</v>
      </c>
      <c r="Y54" s="1175" t="s">
        <v>194</v>
      </c>
      <c r="Z54" s="1172" t="s">
        <v>194</v>
      </c>
      <c r="AA54" s="1142">
        <v>36161.0</v>
      </c>
      <c r="AB54" s="1172" t="s">
        <v>641</v>
      </c>
      <c r="AC54" s="1175" t="s">
        <v>194</v>
      </c>
      <c r="AD54" s="1172">
        <v>18.52</v>
      </c>
      <c r="AE54" s="1176" t="s">
        <v>194</v>
      </c>
      <c r="AF54" s="1175" t="s">
        <v>194</v>
      </c>
      <c r="AG54" s="1172" t="s">
        <v>194</v>
      </c>
      <c r="AH54" s="1172" t="s">
        <v>540</v>
      </c>
      <c r="AI54" s="1172" t="s">
        <v>194</v>
      </c>
      <c r="AJ54" s="1172" t="s">
        <v>194</v>
      </c>
      <c r="AK54" s="1173" t="s">
        <v>194</v>
      </c>
      <c r="AL54" s="1172" t="s">
        <v>194</v>
      </c>
      <c r="AM54" s="1175" t="s">
        <v>194</v>
      </c>
      <c r="AN54" s="1172" t="s">
        <v>194</v>
      </c>
      <c r="AO54" s="1177" t="s">
        <v>194</v>
      </c>
      <c r="AP54" s="1175" t="s">
        <v>194</v>
      </c>
      <c r="AQ54" s="1172" t="s">
        <v>194</v>
      </c>
      <c r="AR54" s="1175" t="s">
        <v>194</v>
      </c>
      <c r="AS54" s="1172" t="s">
        <v>194</v>
      </c>
      <c r="AT54" s="1175" t="s">
        <v>194</v>
      </c>
      <c r="AU54" s="1172" t="s">
        <v>194</v>
      </c>
      <c r="AV54" s="1178" t="s">
        <v>194</v>
      </c>
      <c r="AW54" s="1178" t="s">
        <v>194</v>
      </c>
      <c r="AX54" s="1178" t="s">
        <v>194</v>
      </c>
      <c r="AY54" s="1179" t="s">
        <v>194</v>
      </c>
      <c r="AZ54" s="1178" t="s">
        <v>194</v>
      </c>
      <c r="BA54" s="1178" t="s">
        <v>194</v>
      </c>
      <c r="BB54" s="1178" t="s">
        <v>194</v>
      </c>
      <c r="BC54" s="1178" t="s">
        <v>194</v>
      </c>
      <c r="BD54" s="1172" t="s">
        <v>975</v>
      </c>
      <c r="BE54" s="1172" t="s">
        <v>194</v>
      </c>
      <c r="BF54" s="1173" t="s">
        <v>976</v>
      </c>
      <c r="BG54" s="1172" t="s">
        <v>547</v>
      </c>
      <c r="BH54" s="1172" t="s">
        <v>543</v>
      </c>
      <c r="BI54" s="1172" t="s">
        <v>194</v>
      </c>
      <c r="BJ54" s="1172" t="s">
        <v>544</v>
      </c>
      <c r="BK54" s="1174">
        <v>5.0</v>
      </c>
      <c r="BL54" s="1172" t="s">
        <v>545</v>
      </c>
      <c r="BM54" s="1172" t="s">
        <v>194</v>
      </c>
      <c r="BN54" s="1173" t="s">
        <v>546</v>
      </c>
      <c r="BO54" s="1172" t="s">
        <v>547</v>
      </c>
      <c r="BP54" s="1180" t="str">
        <f t="shared" si="3"/>
        <v>View Investor Online</v>
      </c>
    </row>
    <row r="55" ht="11.25" hidden="1" customHeight="1">
      <c r="A55" s="1172" t="s">
        <v>403</v>
      </c>
      <c r="B55" s="1172" t="s">
        <v>978</v>
      </c>
      <c r="C55" s="1172" t="s">
        <v>460</v>
      </c>
      <c r="D55" s="1172" t="s">
        <v>979</v>
      </c>
      <c r="E55" s="1172" t="s">
        <v>980</v>
      </c>
      <c r="F55" s="1172" t="s">
        <v>981</v>
      </c>
      <c r="G55" s="1172" t="s">
        <v>116</v>
      </c>
      <c r="H55" s="1173">
        <v>1.0</v>
      </c>
      <c r="I55" s="1172" t="s">
        <v>552</v>
      </c>
      <c r="J55" s="1172" t="s">
        <v>748</v>
      </c>
      <c r="K55" s="1172" t="s">
        <v>982</v>
      </c>
      <c r="L55" s="1172" t="s">
        <v>796</v>
      </c>
      <c r="M55" s="1172" t="s">
        <v>983</v>
      </c>
      <c r="N55" s="1172" t="s">
        <v>535</v>
      </c>
      <c r="O55" s="1172" t="s">
        <v>536</v>
      </c>
      <c r="P55" s="1174">
        <v>450.0</v>
      </c>
      <c r="Q55" s="1142">
        <v>40518.0</v>
      </c>
      <c r="R55" s="1172" t="s">
        <v>439</v>
      </c>
      <c r="S55" s="1172" t="s">
        <v>194</v>
      </c>
      <c r="T55" s="1172" t="s">
        <v>194</v>
      </c>
      <c r="U55" s="1172" t="s">
        <v>538</v>
      </c>
      <c r="V55" s="1172" t="s">
        <v>194</v>
      </c>
      <c r="W55" s="1172" t="s">
        <v>194</v>
      </c>
      <c r="X55" s="1172" t="s">
        <v>194</v>
      </c>
      <c r="Y55" s="1175" t="s">
        <v>194</v>
      </c>
      <c r="Z55" s="1172" t="s">
        <v>194</v>
      </c>
      <c r="AA55" s="1142" t="s">
        <v>194</v>
      </c>
      <c r="AB55" s="1172" t="s">
        <v>194</v>
      </c>
      <c r="AC55" s="1175" t="s">
        <v>194</v>
      </c>
      <c r="AD55" s="1172" t="s">
        <v>194</v>
      </c>
      <c r="AE55" s="1176" t="s">
        <v>194</v>
      </c>
      <c r="AF55" s="1175" t="s">
        <v>194</v>
      </c>
      <c r="AG55" s="1172" t="s">
        <v>194</v>
      </c>
      <c r="AH55" s="1172" t="s">
        <v>540</v>
      </c>
      <c r="AI55" s="1172" t="s">
        <v>194</v>
      </c>
      <c r="AJ55" s="1172" t="s">
        <v>194</v>
      </c>
      <c r="AK55" s="1173" t="s">
        <v>194</v>
      </c>
      <c r="AL55" s="1172" t="s">
        <v>194</v>
      </c>
      <c r="AM55" s="1175" t="s">
        <v>194</v>
      </c>
      <c r="AN55" s="1172" t="s">
        <v>194</v>
      </c>
      <c r="AO55" s="1177" t="s">
        <v>194</v>
      </c>
      <c r="AP55" s="1175" t="s">
        <v>194</v>
      </c>
      <c r="AQ55" s="1172" t="s">
        <v>194</v>
      </c>
      <c r="AR55" s="1175" t="s">
        <v>194</v>
      </c>
      <c r="AS55" s="1172" t="s">
        <v>194</v>
      </c>
      <c r="AT55" s="1175" t="s">
        <v>194</v>
      </c>
      <c r="AU55" s="1172" t="s">
        <v>194</v>
      </c>
      <c r="AV55" s="1178" t="s">
        <v>194</v>
      </c>
      <c r="AW55" s="1178" t="s">
        <v>194</v>
      </c>
      <c r="AX55" s="1178" t="s">
        <v>194</v>
      </c>
      <c r="AY55" s="1179" t="s">
        <v>194</v>
      </c>
      <c r="AZ55" s="1178" t="s">
        <v>194</v>
      </c>
      <c r="BA55" s="1178" t="s">
        <v>194</v>
      </c>
      <c r="BB55" s="1178" t="s">
        <v>194</v>
      </c>
      <c r="BC55" s="1178" t="s">
        <v>194</v>
      </c>
      <c r="BD55" s="1172" t="s">
        <v>984</v>
      </c>
      <c r="BE55" s="1172" t="s">
        <v>194</v>
      </c>
      <c r="BF55" s="1173" t="s">
        <v>194</v>
      </c>
      <c r="BG55" s="1172" t="s">
        <v>984</v>
      </c>
      <c r="BH55" s="1172" t="s">
        <v>543</v>
      </c>
      <c r="BI55" s="1172" t="s">
        <v>194</v>
      </c>
      <c r="BJ55" s="1172" t="s">
        <v>544</v>
      </c>
      <c r="BK55" s="1174">
        <v>5.0</v>
      </c>
      <c r="BL55" s="1172" t="s">
        <v>545</v>
      </c>
      <c r="BM55" s="1172" t="s">
        <v>194</v>
      </c>
      <c r="BN55" s="1173" t="s">
        <v>546</v>
      </c>
      <c r="BO55" s="1172" t="s">
        <v>547</v>
      </c>
      <c r="BP55" s="1180" t="str">
        <f t="shared" si="3"/>
        <v>View Investor Online</v>
      </c>
    </row>
    <row r="56" ht="11.25" hidden="1" customHeight="1">
      <c r="A56" s="1172" t="s">
        <v>403</v>
      </c>
      <c r="B56" s="1172" t="s">
        <v>985</v>
      </c>
      <c r="C56" s="1172" t="s">
        <v>460</v>
      </c>
      <c r="D56" s="1172" t="s">
        <v>986</v>
      </c>
      <c r="E56" s="1172" t="s">
        <v>987</v>
      </c>
      <c r="F56" s="1172" t="s">
        <v>988</v>
      </c>
      <c r="G56" s="1172" t="s">
        <v>529</v>
      </c>
      <c r="H56" s="1173">
        <v>1.0</v>
      </c>
      <c r="I56" s="1172" t="s">
        <v>530</v>
      </c>
      <c r="J56" s="1172" t="s">
        <v>971</v>
      </c>
      <c r="K56" s="1172" t="s">
        <v>989</v>
      </c>
      <c r="L56" s="1172" t="s">
        <v>990</v>
      </c>
      <c r="M56" s="1172" t="s">
        <v>991</v>
      </c>
      <c r="N56" s="1172" t="s">
        <v>638</v>
      </c>
      <c r="O56" s="1172" t="s">
        <v>826</v>
      </c>
      <c r="P56" s="1174">
        <v>3700.0</v>
      </c>
      <c r="Q56" s="1142">
        <v>27030.0</v>
      </c>
      <c r="R56" s="1172" t="s">
        <v>439</v>
      </c>
      <c r="S56" s="1172" t="s">
        <v>194</v>
      </c>
      <c r="T56" s="1172" t="s">
        <v>194</v>
      </c>
      <c r="U56" s="1172" t="s">
        <v>538</v>
      </c>
      <c r="V56" s="1172" t="s">
        <v>194</v>
      </c>
      <c r="W56" s="1172" t="s">
        <v>194</v>
      </c>
      <c r="X56" s="1172" t="s">
        <v>194</v>
      </c>
      <c r="Y56" s="1175" t="s">
        <v>194</v>
      </c>
      <c r="Z56" s="1172" t="s">
        <v>194</v>
      </c>
      <c r="AA56" s="1142">
        <v>27030.0</v>
      </c>
      <c r="AB56" s="1172" t="s">
        <v>856</v>
      </c>
      <c r="AC56" s="1175" t="s">
        <v>194</v>
      </c>
      <c r="AD56" s="1172">
        <v>19.82</v>
      </c>
      <c r="AE56" s="1176" t="s">
        <v>194</v>
      </c>
      <c r="AF56" s="1175" t="s">
        <v>194</v>
      </c>
      <c r="AG56" s="1172" t="s">
        <v>194</v>
      </c>
      <c r="AH56" s="1172" t="s">
        <v>540</v>
      </c>
      <c r="AI56" s="1172" t="s">
        <v>194</v>
      </c>
      <c r="AJ56" s="1172" t="s">
        <v>194</v>
      </c>
      <c r="AK56" s="1173" t="s">
        <v>194</v>
      </c>
      <c r="AL56" s="1172" t="s">
        <v>194</v>
      </c>
      <c r="AM56" s="1175" t="s">
        <v>194</v>
      </c>
      <c r="AN56" s="1172" t="s">
        <v>194</v>
      </c>
      <c r="AO56" s="1177" t="s">
        <v>194</v>
      </c>
      <c r="AP56" s="1175" t="s">
        <v>194</v>
      </c>
      <c r="AQ56" s="1172" t="s">
        <v>194</v>
      </c>
      <c r="AR56" s="1175" t="s">
        <v>194</v>
      </c>
      <c r="AS56" s="1172" t="s">
        <v>194</v>
      </c>
      <c r="AT56" s="1175" t="s">
        <v>194</v>
      </c>
      <c r="AU56" s="1172" t="s">
        <v>194</v>
      </c>
      <c r="AV56" s="1178" t="s">
        <v>194</v>
      </c>
      <c r="AW56" s="1178" t="s">
        <v>194</v>
      </c>
      <c r="AX56" s="1178" t="s">
        <v>194</v>
      </c>
      <c r="AY56" s="1179" t="s">
        <v>194</v>
      </c>
      <c r="AZ56" s="1178" t="s">
        <v>194</v>
      </c>
      <c r="BA56" s="1178" t="s">
        <v>194</v>
      </c>
      <c r="BB56" s="1178" t="s">
        <v>194</v>
      </c>
      <c r="BC56" s="1178" t="s">
        <v>194</v>
      </c>
      <c r="BD56" s="1172" t="s">
        <v>992</v>
      </c>
      <c r="BE56" s="1172" t="s">
        <v>993</v>
      </c>
      <c r="BF56" s="1173" t="s">
        <v>194</v>
      </c>
      <c r="BG56" s="1172" t="s">
        <v>562</v>
      </c>
      <c r="BH56" s="1172" t="s">
        <v>543</v>
      </c>
      <c r="BI56" s="1172" t="s">
        <v>194</v>
      </c>
      <c r="BJ56" s="1172" t="s">
        <v>544</v>
      </c>
      <c r="BK56" s="1174">
        <v>5.0</v>
      </c>
      <c r="BL56" s="1172" t="s">
        <v>545</v>
      </c>
      <c r="BM56" s="1172" t="s">
        <v>194</v>
      </c>
      <c r="BN56" s="1173" t="s">
        <v>546</v>
      </c>
      <c r="BO56" s="1172" t="s">
        <v>547</v>
      </c>
      <c r="BP56" s="1180" t="str">
        <f t="shared" si="3"/>
        <v>View Investor Online</v>
      </c>
    </row>
    <row r="57" ht="11.25" hidden="1" customHeight="1">
      <c r="A57" s="1164" t="s">
        <v>403</v>
      </c>
      <c r="B57" s="1164" t="s">
        <v>994</v>
      </c>
      <c r="C57" s="1164" t="s">
        <v>460</v>
      </c>
      <c r="D57" s="1164" t="s">
        <v>995</v>
      </c>
      <c r="E57" s="1164" t="s">
        <v>996</v>
      </c>
      <c r="F57" s="1164" t="s">
        <v>997</v>
      </c>
      <c r="G57" s="1164" t="s">
        <v>116</v>
      </c>
      <c r="H57" s="1165">
        <v>1.0</v>
      </c>
      <c r="I57" s="1164" t="s">
        <v>530</v>
      </c>
      <c r="J57" s="1164" t="s">
        <v>531</v>
      </c>
      <c r="K57" s="1164" t="s">
        <v>946</v>
      </c>
      <c r="L57" s="1164" t="s">
        <v>533</v>
      </c>
      <c r="M57" s="1164" t="s">
        <v>998</v>
      </c>
      <c r="N57" s="1164" t="s">
        <v>535</v>
      </c>
      <c r="O57" s="1164" t="s">
        <v>536</v>
      </c>
      <c r="P57" s="1166">
        <v>190.0</v>
      </c>
      <c r="Q57" s="1135">
        <v>40434.0</v>
      </c>
      <c r="R57" s="1164" t="s">
        <v>439</v>
      </c>
      <c r="S57" s="1164" t="s">
        <v>194</v>
      </c>
      <c r="T57" s="1164" t="s">
        <v>194</v>
      </c>
      <c r="U57" s="1164" t="s">
        <v>538</v>
      </c>
      <c r="V57" s="1164" t="s">
        <v>194</v>
      </c>
      <c r="W57" s="1164" t="s">
        <v>194</v>
      </c>
      <c r="X57" s="1164" t="s">
        <v>194</v>
      </c>
      <c r="Y57" s="1167" t="s">
        <v>194</v>
      </c>
      <c r="Z57" s="1164" t="s">
        <v>194</v>
      </c>
      <c r="AA57" s="1135" t="s">
        <v>194</v>
      </c>
      <c r="AB57" s="1164" t="s">
        <v>194</v>
      </c>
      <c r="AC57" s="1167" t="s">
        <v>194</v>
      </c>
      <c r="AD57" s="1164" t="s">
        <v>194</v>
      </c>
      <c r="AE57" s="1168" t="s">
        <v>194</v>
      </c>
      <c r="AF57" s="1167" t="s">
        <v>194</v>
      </c>
      <c r="AG57" s="1164" t="s">
        <v>194</v>
      </c>
      <c r="AH57" s="1164" t="s">
        <v>540</v>
      </c>
      <c r="AI57" s="1164" t="s">
        <v>194</v>
      </c>
      <c r="AJ57" s="1164" t="s">
        <v>194</v>
      </c>
      <c r="AK57" s="1165" t="s">
        <v>194</v>
      </c>
      <c r="AL57" s="1164" t="s">
        <v>194</v>
      </c>
      <c r="AM57" s="1167" t="s">
        <v>194</v>
      </c>
      <c r="AN57" s="1164" t="s">
        <v>194</v>
      </c>
      <c r="AO57" s="1169" t="s">
        <v>194</v>
      </c>
      <c r="AP57" s="1167" t="s">
        <v>194</v>
      </c>
      <c r="AQ57" s="1164" t="s">
        <v>194</v>
      </c>
      <c r="AR57" s="1167" t="s">
        <v>194</v>
      </c>
      <c r="AS57" s="1164" t="s">
        <v>194</v>
      </c>
      <c r="AT57" s="1167" t="s">
        <v>194</v>
      </c>
      <c r="AU57" s="1164" t="s">
        <v>194</v>
      </c>
      <c r="AV57" s="1170" t="s">
        <v>194</v>
      </c>
      <c r="AW57" s="1170" t="s">
        <v>194</v>
      </c>
      <c r="AX57" s="1170" t="s">
        <v>194</v>
      </c>
      <c r="AY57" s="1171" t="s">
        <v>194</v>
      </c>
      <c r="AZ57" s="1170" t="s">
        <v>194</v>
      </c>
      <c r="BA57" s="1170" t="s">
        <v>194</v>
      </c>
      <c r="BB57" s="1170" t="s">
        <v>194</v>
      </c>
      <c r="BC57" s="1170" t="s">
        <v>194</v>
      </c>
      <c r="BD57" s="1164" t="s">
        <v>999</v>
      </c>
      <c r="BE57" s="1164" t="s">
        <v>194</v>
      </c>
      <c r="BF57" s="1165" t="s">
        <v>1000</v>
      </c>
      <c r="BG57" s="1164" t="s">
        <v>1001</v>
      </c>
      <c r="BH57" s="1164" t="s">
        <v>543</v>
      </c>
      <c r="BI57" s="1164" t="s">
        <v>194</v>
      </c>
      <c r="BJ57" s="1164" t="s">
        <v>544</v>
      </c>
      <c r="BK57" s="1166">
        <v>5.0</v>
      </c>
      <c r="BL57" s="1164" t="s">
        <v>545</v>
      </c>
      <c r="BM57" s="1164" t="s">
        <v>194</v>
      </c>
      <c r="BN57" s="1165" t="s">
        <v>546</v>
      </c>
      <c r="BO57" s="1164" t="s">
        <v>547</v>
      </c>
      <c r="BP57" s="1139" t="str">
        <f t="shared" si="3"/>
        <v>View Investor Online</v>
      </c>
    </row>
    <row r="58" ht="11.25" hidden="1" customHeight="1">
      <c r="A58" s="1172" t="s">
        <v>403</v>
      </c>
      <c r="B58" s="1172" t="s">
        <v>1002</v>
      </c>
      <c r="C58" s="1172" t="s">
        <v>460</v>
      </c>
      <c r="D58" s="1172" t="s">
        <v>1003</v>
      </c>
      <c r="E58" s="1172" t="s">
        <v>1004</v>
      </c>
      <c r="F58" s="1172" t="s">
        <v>1005</v>
      </c>
      <c r="G58" s="1172" t="s">
        <v>116</v>
      </c>
      <c r="H58" s="1173">
        <v>1.0</v>
      </c>
      <c r="I58" s="1172" t="s">
        <v>567</v>
      </c>
      <c r="J58" s="1172" t="s">
        <v>568</v>
      </c>
      <c r="K58" s="1172" t="s">
        <v>774</v>
      </c>
      <c r="L58" s="1172" t="s">
        <v>796</v>
      </c>
      <c r="M58" s="1172" t="s">
        <v>1006</v>
      </c>
      <c r="N58" s="1172" t="s">
        <v>535</v>
      </c>
      <c r="O58" s="1172" t="s">
        <v>536</v>
      </c>
      <c r="P58" s="1174">
        <v>51.0</v>
      </c>
      <c r="Q58" s="1142">
        <v>40410.0</v>
      </c>
      <c r="R58" s="1172" t="s">
        <v>439</v>
      </c>
      <c r="S58" s="1172" t="s">
        <v>556</v>
      </c>
      <c r="T58" s="1172" t="s">
        <v>194</v>
      </c>
      <c r="U58" s="1172" t="s">
        <v>538</v>
      </c>
      <c r="V58" s="1172" t="s">
        <v>194</v>
      </c>
      <c r="W58" s="1172" t="s">
        <v>194</v>
      </c>
      <c r="X58" s="1172" t="s">
        <v>194</v>
      </c>
      <c r="Y58" s="1175" t="s">
        <v>194</v>
      </c>
      <c r="Z58" s="1172" t="s">
        <v>194</v>
      </c>
      <c r="AA58" s="1142" t="s">
        <v>194</v>
      </c>
      <c r="AB58" s="1172" t="s">
        <v>194</v>
      </c>
      <c r="AC58" s="1175" t="s">
        <v>194</v>
      </c>
      <c r="AD58" s="1172" t="s">
        <v>194</v>
      </c>
      <c r="AE58" s="1176" t="s">
        <v>194</v>
      </c>
      <c r="AF58" s="1175" t="s">
        <v>194</v>
      </c>
      <c r="AG58" s="1172" t="s">
        <v>194</v>
      </c>
      <c r="AH58" s="1172" t="s">
        <v>540</v>
      </c>
      <c r="AI58" s="1172" t="s">
        <v>194</v>
      </c>
      <c r="AJ58" s="1172" t="s">
        <v>194</v>
      </c>
      <c r="AK58" s="1173" t="s">
        <v>194</v>
      </c>
      <c r="AL58" s="1172" t="s">
        <v>194</v>
      </c>
      <c r="AM58" s="1175" t="s">
        <v>194</v>
      </c>
      <c r="AN58" s="1172" t="s">
        <v>194</v>
      </c>
      <c r="AO58" s="1177" t="s">
        <v>194</v>
      </c>
      <c r="AP58" s="1175" t="s">
        <v>194</v>
      </c>
      <c r="AQ58" s="1172" t="s">
        <v>194</v>
      </c>
      <c r="AR58" s="1175" t="s">
        <v>194</v>
      </c>
      <c r="AS58" s="1172" t="s">
        <v>194</v>
      </c>
      <c r="AT58" s="1175" t="s">
        <v>194</v>
      </c>
      <c r="AU58" s="1172" t="s">
        <v>194</v>
      </c>
      <c r="AV58" s="1178" t="s">
        <v>194</v>
      </c>
      <c r="AW58" s="1178" t="s">
        <v>194</v>
      </c>
      <c r="AX58" s="1178" t="s">
        <v>194</v>
      </c>
      <c r="AY58" s="1179" t="s">
        <v>194</v>
      </c>
      <c r="AZ58" s="1178" t="s">
        <v>194</v>
      </c>
      <c r="BA58" s="1178" t="s">
        <v>194</v>
      </c>
      <c r="BB58" s="1178" t="s">
        <v>194</v>
      </c>
      <c r="BC58" s="1178" t="s">
        <v>194</v>
      </c>
      <c r="BD58" s="1172" t="s">
        <v>1007</v>
      </c>
      <c r="BE58" s="1172" t="s">
        <v>661</v>
      </c>
      <c r="BF58" s="1173" t="s">
        <v>1008</v>
      </c>
      <c r="BG58" s="1172" t="s">
        <v>562</v>
      </c>
      <c r="BH58" s="1172" t="s">
        <v>543</v>
      </c>
      <c r="BI58" s="1172" t="s">
        <v>194</v>
      </c>
      <c r="BJ58" s="1172" t="s">
        <v>544</v>
      </c>
      <c r="BK58" s="1174">
        <v>5.0</v>
      </c>
      <c r="BL58" s="1172" t="s">
        <v>545</v>
      </c>
      <c r="BM58" s="1172" t="s">
        <v>194</v>
      </c>
      <c r="BN58" s="1173" t="s">
        <v>546</v>
      </c>
      <c r="BO58" s="1172" t="s">
        <v>547</v>
      </c>
      <c r="BP58" s="1180" t="str">
        <f t="shared" si="3"/>
        <v>View Investor Online</v>
      </c>
    </row>
    <row r="59" ht="11.25" hidden="1" customHeight="1">
      <c r="A59" s="1164" t="s">
        <v>403</v>
      </c>
      <c r="B59" s="1164" t="s">
        <v>1009</v>
      </c>
      <c r="C59" s="1164" t="s">
        <v>460</v>
      </c>
      <c r="D59" s="1164" t="s">
        <v>1010</v>
      </c>
      <c r="E59" s="1164" t="s">
        <v>1011</v>
      </c>
      <c r="F59" s="1164" t="s">
        <v>1012</v>
      </c>
      <c r="G59" s="1164" t="s">
        <v>529</v>
      </c>
      <c r="H59" s="1165">
        <v>3.0</v>
      </c>
      <c r="I59" s="1164" t="s">
        <v>567</v>
      </c>
      <c r="J59" s="1164" t="s">
        <v>593</v>
      </c>
      <c r="K59" s="1164" t="s">
        <v>1013</v>
      </c>
      <c r="L59" s="1164" t="s">
        <v>1014</v>
      </c>
      <c r="M59" s="1164" t="s">
        <v>1015</v>
      </c>
      <c r="N59" s="1164" t="s">
        <v>638</v>
      </c>
      <c r="O59" s="1164" t="s">
        <v>536</v>
      </c>
      <c r="P59" s="1166">
        <v>6500.0</v>
      </c>
      <c r="Q59" s="1135" t="s">
        <v>194</v>
      </c>
      <c r="R59" s="1164" t="s">
        <v>1016</v>
      </c>
      <c r="S59" s="1164" t="s">
        <v>194</v>
      </c>
      <c r="T59" s="1164" t="s">
        <v>194</v>
      </c>
      <c r="U59" s="1164" t="s">
        <v>194</v>
      </c>
      <c r="V59" s="1164" t="s">
        <v>194</v>
      </c>
      <c r="W59" s="1164" t="s">
        <v>194</v>
      </c>
      <c r="X59" s="1164" t="s">
        <v>194</v>
      </c>
      <c r="Y59" s="1167" t="s">
        <v>194</v>
      </c>
      <c r="Z59" s="1164" t="s">
        <v>194</v>
      </c>
      <c r="AA59" s="1135">
        <v>36526.0</v>
      </c>
      <c r="AB59" s="1164" t="s">
        <v>856</v>
      </c>
      <c r="AC59" s="1167">
        <v>1200.0</v>
      </c>
      <c r="AD59" s="1164">
        <v>8.61</v>
      </c>
      <c r="AE59" s="1168" t="s">
        <v>194</v>
      </c>
      <c r="AF59" s="1167" t="s">
        <v>194</v>
      </c>
      <c r="AG59" s="1164" t="s">
        <v>194</v>
      </c>
      <c r="AH59" s="1164" t="s">
        <v>540</v>
      </c>
      <c r="AI59" s="1164" t="s">
        <v>194</v>
      </c>
      <c r="AJ59" s="1164" t="s">
        <v>194</v>
      </c>
      <c r="AK59" s="1165" t="s">
        <v>194</v>
      </c>
      <c r="AL59" s="1164" t="s">
        <v>194</v>
      </c>
      <c r="AM59" s="1167" t="s">
        <v>194</v>
      </c>
      <c r="AN59" s="1164" t="s">
        <v>194</v>
      </c>
      <c r="AO59" s="1169" t="s">
        <v>194</v>
      </c>
      <c r="AP59" s="1167" t="s">
        <v>194</v>
      </c>
      <c r="AQ59" s="1164" t="s">
        <v>194</v>
      </c>
      <c r="AR59" s="1167" t="s">
        <v>194</v>
      </c>
      <c r="AS59" s="1164" t="s">
        <v>194</v>
      </c>
      <c r="AT59" s="1167" t="s">
        <v>194</v>
      </c>
      <c r="AU59" s="1164" t="s">
        <v>194</v>
      </c>
      <c r="AV59" s="1170" t="s">
        <v>194</v>
      </c>
      <c r="AW59" s="1170" t="s">
        <v>194</v>
      </c>
      <c r="AX59" s="1170" t="s">
        <v>194</v>
      </c>
      <c r="AY59" s="1171" t="s">
        <v>194</v>
      </c>
      <c r="AZ59" s="1170" t="s">
        <v>194</v>
      </c>
      <c r="BA59" s="1170" t="s">
        <v>194</v>
      </c>
      <c r="BB59" s="1170" t="s">
        <v>194</v>
      </c>
      <c r="BC59" s="1170" t="s">
        <v>194</v>
      </c>
      <c r="BD59" s="1164" t="s">
        <v>1017</v>
      </c>
      <c r="BE59" s="1164" t="s">
        <v>1018</v>
      </c>
      <c r="BF59" s="1165" t="s">
        <v>1019</v>
      </c>
      <c r="BG59" s="1164" t="s">
        <v>562</v>
      </c>
      <c r="BH59" s="1164" t="s">
        <v>543</v>
      </c>
      <c r="BI59" s="1164" t="s">
        <v>194</v>
      </c>
      <c r="BJ59" s="1164" t="s">
        <v>544</v>
      </c>
      <c r="BK59" s="1166">
        <v>5.0</v>
      </c>
      <c r="BL59" s="1164" t="s">
        <v>545</v>
      </c>
      <c r="BM59" s="1164" t="s">
        <v>194</v>
      </c>
      <c r="BN59" s="1165" t="s">
        <v>546</v>
      </c>
      <c r="BO59" s="1164" t="s">
        <v>547</v>
      </c>
      <c r="BP59" s="1139" t="str">
        <f t="shared" si="3"/>
        <v>View Investor Online</v>
      </c>
    </row>
    <row r="60" ht="11.25" hidden="1" customHeight="1">
      <c r="A60" s="1172" t="s">
        <v>403</v>
      </c>
      <c r="B60" s="1172" t="s">
        <v>1020</v>
      </c>
      <c r="C60" s="1172" t="s">
        <v>460</v>
      </c>
      <c r="D60" s="1172" t="s">
        <v>1021</v>
      </c>
      <c r="E60" s="1172" t="s">
        <v>1022</v>
      </c>
      <c r="F60" s="1172" t="s">
        <v>1023</v>
      </c>
      <c r="G60" s="1172" t="s">
        <v>116</v>
      </c>
      <c r="H60" s="1173">
        <v>1.0</v>
      </c>
      <c r="I60" s="1172" t="s">
        <v>567</v>
      </c>
      <c r="J60" s="1172" t="s">
        <v>568</v>
      </c>
      <c r="K60" s="1172" t="s">
        <v>442</v>
      </c>
      <c r="L60" s="1172" t="s">
        <v>194</v>
      </c>
      <c r="M60" s="1172" t="s">
        <v>729</v>
      </c>
      <c r="N60" s="1172" t="s">
        <v>535</v>
      </c>
      <c r="O60" s="1172" t="s">
        <v>536</v>
      </c>
      <c r="P60" s="1174">
        <v>20.0</v>
      </c>
      <c r="Q60" s="1142">
        <v>40399.0</v>
      </c>
      <c r="R60" s="1172" t="s">
        <v>439</v>
      </c>
      <c r="S60" s="1172" t="s">
        <v>556</v>
      </c>
      <c r="T60" s="1172" t="s">
        <v>194</v>
      </c>
      <c r="U60" s="1172" t="s">
        <v>538</v>
      </c>
      <c r="V60" s="1172" t="s">
        <v>194</v>
      </c>
      <c r="W60" s="1172" t="s">
        <v>194</v>
      </c>
      <c r="X60" s="1172" t="s">
        <v>194</v>
      </c>
      <c r="Y60" s="1175" t="s">
        <v>194</v>
      </c>
      <c r="Z60" s="1172" t="s">
        <v>194</v>
      </c>
      <c r="AA60" s="1142" t="s">
        <v>194</v>
      </c>
      <c r="AB60" s="1172" t="s">
        <v>194</v>
      </c>
      <c r="AC60" s="1175" t="s">
        <v>194</v>
      </c>
      <c r="AD60" s="1172" t="s">
        <v>194</v>
      </c>
      <c r="AE60" s="1176" t="s">
        <v>194</v>
      </c>
      <c r="AF60" s="1175" t="s">
        <v>194</v>
      </c>
      <c r="AG60" s="1172" t="s">
        <v>194</v>
      </c>
      <c r="AH60" s="1172" t="s">
        <v>540</v>
      </c>
      <c r="AI60" s="1172" t="s">
        <v>1024</v>
      </c>
      <c r="AJ60" s="1172" t="s">
        <v>194</v>
      </c>
      <c r="AK60" s="1173" t="s">
        <v>194</v>
      </c>
      <c r="AL60" s="1172" t="s">
        <v>194</v>
      </c>
      <c r="AM60" s="1175" t="s">
        <v>194</v>
      </c>
      <c r="AN60" s="1172" t="s">
        <v>194</v>
      </c>
      <c r="AO60" s="1177" t="s">
        <v>194</v>
      </c>
      <c r="AP60" s="1175" t="s">
        <v>194</v>
      </c>
      <c r="AQ60" s="1172" t="s">
        <v>194</v>
      </c>
      <c r="AR60" s="1175" t="s">
        <v>194</v>
      </c>
      <c r="AS60" s="1172" t="s">
        <v>194</v>
      </c>
      <c r="AT60" s="1175" t="s">
        <v>194</v>
      </c>
      <c r="AU60" s="1172" t="s">
        <v>194</v>
      </c>
      <c r="AV60" s="1178" t="s">
        <v>194</v>
      </c>
      <c r="AW60" s="1178" t="s">
        <v>194</v>
      </c>
      <c r="AX60" s="1178" t="s">
        <v>194</v>
      </c>
      <c r="AY60" s="1179" t="s">
        <v>194</v>
      </c>
      <c r="AZ60" s="1178" t="s">
        <v>194</v>
      </c>
      <c r="BA60" s="1178" t="s">
        <v>194</v>
      </c>
      <c r="BB60" s="1178" t="s">
        <v>194</v>
      </c>
      <c r="BC60" s="1178" t="s">
        <v>194</v>
      </c>
      <c r="BD60" s="1172" t="s">
        <v>1025</v>
      </c>
      <c r="BE60" s="1172" t="s">
        <v>194</v>
      </c>
      <c r="BF60" s="1173" t="s">
        <v>1026</v>
      </c>
      <c r="BG60" s="1172" t="s">
        <v>542</v>
      </c>
      <c r="BH60" s="1172" t="s">
        <v>543</v>
      </c>
      <c r="BI60" s="1172" t="s">
        <v>194</v>
      </c>
      <c r="BJ60" s="1172" t="s">
        <v>544</v>
      </c>
      <c r="BK60" s="1174">
        <v>5.0</v>
      </c>
      <c r="BL60" s="1172" t="s">
        <v>545</v>
      </c>
      <c r="BM60" s="1172" t="s">
        <v>194</v>
      </c>
      <c r="BN60" s="1173" t="s">
        <v>546</v>
      </c>
      <c r="BO60" s="1172" t="s">
        <v>547</v>
      </c>
      <c r="BP60" s="1180" t="str">
        <f t="shared" si="3"/>
        <v>View Investor Online</v>
      </c>
    </row>
    <row r="61" ht="11.25" hidden="1" customHeight="1">
      <c r="A61" s="1164" t="s">
        <v>403</v>
      </c>
      <c r="B61" s="1164" t="s">
        <v>1027</v>
      </c>
      <c r="C61" s="1164" t="s">
        <v>460</v>
      </c>
      <c r="D61" s="1164" t="s">
        <v>1028</v>
      </c>
      <c r="E61" s="1164" t="s">
        <v>1029</v>
      </c>
      <c r="F61" s="1164" t="s">
        <v>1030</v>
      </c>
      <c r="G61" s="1164" t="s">
        <v>116</v>
      </c>
      <c r="H61" s="1165">
        <v>4.0</v>
      </c>
      <c r="I61" s="1164" t="s">
        <v>567</v>
      </c>
      <c r="J61" s="1164" t="s">
        <v>593</v>
      </c>
      <c r="K61" s="1164" t="s">
        <v>863</v>
      </c>
      <c r="L61" s="1164" t="s">
        <v>533</v>
      </c>
      <c r="M61" s="1164" t="s">
        <v>1031</v>
      </c>
      <c r="N61" s="1164" t="s">
        <v>1032</v>
      </c>
      <c r="O61" s="1164" t="s">
        <v>671</v>
      </c>
      <c r="P61" s="1166">
        <v>40.0</v>
      </c>
      <c r="Q61" s="1135">
        <v>40549.0</v>
      </c>
      <c r="R61" s="1164" t="s">
        <v>439</v>
      </c>
      <c r="S61" s="1164" t="s">
        <v>194</v>
      </c>
      <c r="T61" s="1164" t="s">
        <v>194</v>
      </c>
      <c r="U61" s="1164" t="s">
        <v>538</v>
      </c>
      <c r="V61" s="1164" t="s">
        <v>194</v>
      </c>
      <c r="W61" s="1164" t="s">
        <v>194</v>
      </c>
      <c r="X61" s="1164" t="s">
        <v>194</v>
      </c>
      <c r="Y61" s="1167" t="s">
        <v>194</v>
      </c>
      <c r="Z61" s="1164" t="s">
        <v>194</v>
      </c>
      <c r="AA61" s="1135" t="s">
        <v>194</v>
      </c>
      <c r="AB61" s="1164" t="s">
        <v>194</v>
      </c>
      <c r="AC61" s="1167" t="s">
        <v>194</v>
      </c>
      <c r="AD61" s="1164" t="s">
        <v>194</v>
      </c>
      <c r="AE61" s="1168" t="s">
        <v>194</v>
      </c>
      <c r="AF61" s="1167" t="s">
        <v>194</v>
      </c>
      <c r="AG61" s="1164" t="s">
        <v>194</v>
      </c>
      <c r="AH61" s="1164" t="s">
        <v>540</v>
      </c>
      <c r="AI61" s="1164" t="s">
        <v>194</v>
      </c>
      <c r="AJ61" s="1164" t="s">
        <v>194</v>
      </c>
      <c r="AK61" s="1165" t="s">
        <v>194</v>
      </c>
      <c r="AL61" s="1164" t="s">
        <v>194</v>
      </c>
      <c r="AM61" s="1167" t="s">
        <v>194</v>
      </c>
      <c r="AN61" s="1164" t="s">
        <v>194</v>
      </c>
      <c r="AO61" s="1169" t="s">
        <v>194</v>
      </c>
      <c r="AP61" s="1167" t="s">
        <v>194</v>
      </c>
      <c r="AQ61" s="1164" t="s">
        <v>194</v>
      </c>
      <c r="AR61" s="1167" t="s">
        <v>194</v>
      </c>
      <c r="AS61" s="1164" t="s">
        <v>194</v>
      </c>
      <c r="AT61" s="1167" t="s">
        <v>194</v>
      </c>
      <c r="AU61" s="1164" t="s">
        <v>194</v>
      </c>
      <c r="AV61" s="1170" t="s">
        <v>194</v>
      </c>
      <c r="AW61" s="1170" t="s">
        <v>194</v>
      </c>
      <c r="AX61" s="1170" t="s">
        <v>194</v>
      </c>
      <c r="AY61" s="1171" t="s">
        <v>194</v>
      </c>
      <c r="AZ61" s="1170" t="s">
        <v>194</v>
      </c>
      <c r="BA61" s="1170" t="s">
        <v>194</v>
      </c>
      <c r="BB61" s="1170" t="s">
        <v>194</v>
      </c>
      <c r="BC61" s="1170" t="s">
        <v>194</v>
      </c>
      <c r="BD61" s="1164" t="s">
        <v>1033</v>
      </c>
      <c r="BE61" s="1164" t="s">
        <v>1034</v>
      </c>
      <c r="BF61" s="1165" t="s">
        <v>1035</v>
      </c>
      <c r="BG61" s="1164" t="s">
        <v>562</v>
      </c>
      <c r="BH61" s="1164" t="s">
        <v>543</v>
      </c>
      <c r="BI61" s="1164" t="s">
        <v>194</v>
      </c>
      <c r="BJ61" s="1164" t="s">
        <v>544</v>
      </c>
      <c r="BK61" s="1166">
        <v>5.0</v>
      </c>
      <c r="BL61" s="1164" t="s">
        <v>545</v>
      </c>
      <c r="BM61" s="1164" t="s">
        <v>194</v>
      </c>
      <c r="BN61" s="1165" t="s">
        <v>546</v>
      </c>
      <c r="BO61" s="1164" t="s">
        <v>547</v>
      </c>
      <c r="BP61" s="1139" t="str">
        <f t="shared" si="3"/>
        <v>View Investor Online</v>
      </c>
    </row>
    <row r="62" ht="11.25" hidden="1" customHeight="1">
      <c r="A62" s="1172" t="s">
        <v>403</v>
      </c>
      <c r="B62" s="1172" t="s">
        <v>1036</v>
      </c>
      <c r="C62" s="1172" t="s">
        <v>460</v>
      </c>
      <c r="D62" s="1172" t="s">
        <v>1037</v>
      </c>
      <c r="E62" s="1172" t="s">
        <v>1038</v>
      </c>
      <c r="F62" s="1172" t="s">
        <v>1039</v>
      </c>
      <c r="G62" s="1172" t="s">
        <v>116</v>
      </c>
      <c r="H62" s="1173">
        <v>1.0</v>
      </c>
      <c r="I62" s="1172" t="s">
        <v>567</v>
      </c>
      <c r="J62" s="1172" t="s">
        <v>568</v>
      </c>
      <c r="K62" s="1172" t="s">
        <v>442</v>
      </c>
      <c r="L62" s="1172" t="s">
        <v>775</v>
      </c>
      <c r="M62" s="1172" t="s">
        <v>1040</v>
      </c>
      <c r="N62" s="1172" t="s">
        <v>535</v>
      </c>
      <c r="O62" s="1172" t="s">
        <v>536</v>
      </c>
      <c r="P62" s="1174">
        <v>130.0</v>
      </c>
      <c r="Q62" s="1142">
        <v>40387.0</v>
      </c>
      <c r="R62" s="1172" t="s">
        <v>439</v>
      </c>
      <c r="S62" s="1172" t="s">
        <v>194</v>
      </c>
      <c r="T62" s="1172" t="s">
        <v>194</v>
      </c>
      <c r="U62" s="1172" t="s">
        <v>538</v>
      </c>
      <c r="V62" s="1172" t="s">
        <v>194</v>
      </c>
      <c r="W62" s="1172" t="s">
        <v>194</v>
      </c>
      <c r="X62" s="1172" t="s">
        <v>194</v>
      </c>
      <c r="Y62" s="1175" t="s">
        <v>194</v>
      </c>
      <c r="Z62" s="1172" t="s">
        <v>194</v>
      </c>
      <c r="AA62" s="1142" t="s">
        <v>194</v>
      </c>
      <c r="AB62" s="1172" t="s">
        <v>194</v>
      </c>
      <c r="AC62" s="1175" t="s">
        <v>194</v>
      </c>
      <c r="AD62" s="1172" t="s">
        <v>194</v>
      </c>
      <c r="AE62" s="1176" t="s">
        <v>194</v>
      </c>
      <c r="AF62" s="1175" t="s">
        <v>194</v>
      </c>
      <c r="AG62" s="1172" t="s">
        <v>194</v>
      </c>
      <c r="AH62" s="1172" t="s">
        <v>540</v>
      </c>
      <c r="AI62" s="1172" t="s">
        <v>1024</v>
      </c>
      <c r="AJ62" s="1172" t="s">
        <v>194</v>
      </c>
      <c r="AK62" s="1173" t="s">
        <v>194</v>
      </c>
      <c r="AL62" s="1172" t="s">
        <v>194</v>
      </c>
      <c r="AM62" s="1175" t="s">
        <v>194</v>
      </c>
      <c r="AN62" s="1172" t="s">
        <v>194</v>
      </c>
      <c r="AO62" s="1177" t="s">
        <v>194</v>
      </c>
      <c r="AP62" s="1175" t="s">
        <v>194</v>
      </c>
      <c r="AQ62" s="1172" t="s">
        <v>194</v>
      </c>
      <c r="AR62" s="1175" t="s">
        <v>194</v>
      </c>
      <c r="AS62" s="1172" t="s">
        <v>194</v>
      </c>
      <c r="AT62" s="1175" t="s">
        <v>194</v>
      </c>
      <c r="AU62" s="1172" t="s">
        <v>194</v>
      </c>
      <c r="AV62" s="1178" t="s">
        <v>194</v>
      </c>
      <c r="AW62" s="1178" t="s">
        <v>194</v>
      </c>
      <c r="AX62" s="1178" t="s">
        <v>194</v>
      </c>
      <c r="AY62" s="1179" t="s">
        <v>194</v>
      </c>
      <c r="AZ62" s="1178" t="s">
        <v>194</v>
      </c>
      <c r="BA62" s="1178" t="s">
        <v>194</v>
      </c>
      <c r="BB62" s="1178" t="s">
        <v>194</v>
      </c>
      <c r="BC62" s="1178" t="s">
        <v>194</v>
      </c>
      <c r="BD62" s="1172" t="s">
        <v>809</v>
      </c>
      <c r="BE62" s="1172" t="s">
        <v>194</v>
      </c>
      <c r="BF62" s="1173" t="s">
        <v>1041</v>
      </c>
      <c r="BG62" s="1172" t="s">
        <v>811</v>
      </c>
      <c r="BH62" s="1172" t="s">
        <v>543</v>
      </c>
      <c r="BI62" s="1172" t="s">
        <v>194</v>
      </c>
      <c r="BJ62" s="1172" t="s">
        <v>544</v>
      </c>
      <c r="BK62" s="1174">
        <v>5.0</v>
      </c>
      <c r="BL62" s="1172" t="s">
        <v>545</v>
      </c>
      <c r="BM62" s="1172" t="s">
        <v>194</v>
      </c>
      <c r="BN62" s="1173" t="s">
        <v>546</v>
      </c>
      <c r="BO62" s="1172" t="s">
        <v>547</v>
      </c>
      <c r="BP62" s="1180" t="str">
        <f t="shared" si="3"/>
        <v>View Investor Online</v>
      </c>
    </row>
    <row r="63" ht="11.25" hidden="1" customHeight="1">
      <c r="A63" s="1164" t="s">
        <v>403</v>
      </c>
      <c r="B63" s="1164" t="s">
        <v>1042</v>
      </c>
      <c r="C63" s="1164" t="s">
        <v>460</v>
      </c>
      <c r="D63" s="1164" t="s">
        <v>1043</v>
      </c>
      <c r="E63" s="1164" t="s">
        <v>1044</v>
      </c>
      <c r="F63" s="1164" t="s">
        <v>1045</v>
      </c>
      <c r="G63" s="1164" t="s">
        <v>116</v>
      </c>
      <c r="H63" s="1165">
        <v>3.0</v>
      </c>
      <c r="I63" s="1164" t="s">
        <v>530</v>
      </c>
      <c r="J63" s="1164" t="s">
        <v>634</v>
      </c>
      <c r="K63" s="1164" t="s">
        <v>635</v>
      </c>
      <c r="L63" s="1164" t="s">
        <v>775</v>
      </c>
      <c r="M63" s="1164" t="s">
        <v>1046</v>
      </c>
      <c r="N63" s="1164" t="s">
        <v>194</v>
      </c>
      <c r="O63" s="1164" t="s">
        <v>536</v>
      </c>
      <c r="P63" s="1166">
        <v>1200.0</v>
      </c>
      <c r="Q63" s="1135">
        <v>36698.0</v>
      </c>
      <c r="R63" s="1164" t="s">
        <v>1047</v>
      </c>
      <c r="S63" s="1164" t="s">
        <v>1048</v>
      </c>
      <c r="T63" s="1164" t="s">
        <v>1049</v>
      </c>
      <c r="U63" s="1164" t="s">
        <v>538</v>
      </c>
      <c r="V63" s="1164" t="s">
        <v>194</v>
      </c>
      <c r="W63" s="1164" t="s">
        <v>194</v>
      </c>
      <c r="X63" s="1164" t="s">
        <v>194</v>
      </c>
      <c r="Y63" s="1167" t="s">
        <v>194</v>
      </c>
      <c r="Z63" s="1164" t="s">
        <v>194</v>
      </c>
      <c r="AA63" s="1135" t="s">
        <v>194</v>
      </c>
      <c r="AB63" s="1164" t="s">
        <v>194</v>
      </c>
      <c r="AC63" s="1167" t="s">
        <v>194</v>
      </c>
      <c r="AD63" s="1164" t="s">
        <v>194</v>
      </c>
      <c r="AE63" s="1168" t="s">
        <v>194</v>
      </c>
      <c r="AF63" s="1167" t="s">
        <v>194</v>
      </c>
      <c r="AG63" s="1164" t="s">
        <v>194</v>
      </c>
      <c r="AH63" s="1164" t="s">
        <v>540</v>
      </c>
      <c r="AI63" s="1164" t="s">
        <v>194</v>
      </c>
      <c r="AJ63" s="1164" t="s">
        <v>194</v>
      </c>
      <c r="AK63" s="1165" t="s">
        <v>194</v>
      </c>
      <c r="AL63" s="1164" t="s">
        <v>194</v>
      </c>
      <c r="AM63" s="1167" t="s">
        <v>194</v>
      </c>
      <c r="AN63" s="1164" t="s">
        <v>194</v>
      </c>
      <c r="AO63" s="1169" t="s">
        <v>194</v>
      </c>
      <c r="AP63" s="1167" t="s">
        <v>194</v>
      </c>
      <c r="AQ63" s="1164" t="s">
        <v>194</v>
      </c>
      <c r="AR63" s="1167" t="s">
        <v>194</v>
      </c>
      <c r="AS63" s="1164" t="s">
        <v>194</v>
      </c>
      <c r="AT63" s="1167" t="s">
        <v>194</v>
      </c>
      <c r="AU63" s="1164" t="s">
        <v>194</v>
      </c>
      <c r="AV63" s="1170" t="s">
        <v>194</v>
      </c>
      <c r="AW63" s="1170" t="s">
        <v>194</v>
      </c>
      <c r="AX63" s="1170" t="s">
        <v>194</v>
      </c>
      <c r="AY63" s="1171" t="s">
        <v>194</v>
      </c>
      <c r="AZ63" s="1170" t="s">
        <v>194</v>
      </c>
      <c r="BA63" s="1170" t="s">
        <v>194</v>
      </c>
      <c r="BB63" s="1170" t="s">
        <v>194</v>
      </c>
      <c r="BC63" s="1170" t="s">
        <v>194</v>
      </c>
      <c r="BD63" s="1164" t="s">
        <v>1050</v>
      </c>
      <c r="BE63" s="1164" t="s">
        <v>1051</v>
      </c>
      <c r="BF63" s="1165" t="s">
        <v>194</v>
      </c>
      <c r="BG63" s="1164" t="s">
        <v>562</v>
      </c>
      <c r="BH63" s="1164" t="s">
        <v>543</v>
      </c>
      <c r="BI63" s="1164" t="s">
        <v>194</v>
      </c>
      <c r="BJ63" s="1164" t="s">
        <v>544</v>
      </c>
      <c r="BK63" s="1166">
        <v>5.0</v>
      </c>
      <c r="BL63" s="1164" t="s">
        <v>545</v>
      </c>
      <c r="BM63" s="1164" t="s">
        <v>194</v>
      </c>
      <c r="BN63" s="1165" t="s">
        <v>546</v>
      </c>
      <c r="BO63" s="1164" t="s">
        <v>547</v>
      </c>
      <c r="BP63" s="1139" t="str">
        <f t="shared" si="3"/>
        <v>View Investor Online</v>
      </c>
    </row>
    <row r="64" ht="11.25" hidden="1" customHeight="1">
      <c r="A64" s="1172" t="s">
        <v>403</v>
      </c>
      <c r="B64" s="1172" t="s">
        <v>1052</v>
      </c>
      <c r="C64" s="1172" t="s">
        <v>460</v>
      </c>
      <c r="D64" s="1172" t="s">
        <v>1053</v>
      </c>
      <c r="E64" s="1172" t="s">
        <v>1054</v>
      </c>
      <c r="F64" s="1172" t="s">
        <v>1055</v>
      </c>
      <c r="G64" s="1172" t="s">
        <v>116</v>
      </c>
      <c r="H64" s="1173">
        <v>1.0</v>
      </c>
      <c r="I64" s="1172" t="s">
        <v>530</v>
      </c>
      <c r="J64" s="1172" t="s">
        <v>841</v>
      </c>
      <c r="K64" s="1172" t="s">
        <v>1056</v>
      </c>
      <c r="L64" s="1172" t="s">
        <v>533</v>
      </c>
      <c r="M64" s="1172" t="s">
        <v>1057</v>
      </c>
      <c r="N64" s="1172" t="s">
        <v>535</v>
      </c>
      <c r="O64" s="1172" t="s">
        <v>536</v>
      </c>
      <c r="P64" s="1174" t="s">
        <v>194</v>
      </c>
      <c r="Q64" s="1142">
        <v>40372.0</v>
      </c>
      <c r="R64" s="1172" t="s">
        <v>439</v>
      </c>
      <c r="S64" s="1172" t="s">
        <v>556</v>
      </c>
      <c r="T64" s="1172" t="s">
        <v>194</v>
      </c>
      <c r="U64" s="1172" t="s">
        <v>538</v>
      </c>
      <c r="V64" s="1172" t="s">
        <v>194</v>
      </c>
      <c r="W64" s="1172" t="s">
        <v>194</v>
      </c>
      <c r="X64" s="1172" t="s">
        <v>194</v>
      </c>
      <c r="Y64" s="1175" t="s">
        <v>194</v>
      </c>
      <c r="Z64" s="1172" t="s">
        <v>194</v>
      </c>
      <c r="AA64" s="1142" t="s">
        <v>194</v>
      </c>
      <c r="AB64" s="1172" t="s">
        <v>194</v>
      </c>
      <c r="AC64" s="1175" t="s">
        <v>194</v>
      </c>
      <c r="AD64" s="1172" t="s">
        <v>194</v>
      </c>
      <c r="AE64" s="1176" t="s">
        <v>194</v>
      </c>
      <c r="AF64" s="1175" t="s">
        <v>194</v>
      </c>
      <c r="AG64" s="1172" t="s">
        <v>194</v>
      </c>
      <c r="AH64" s="1172" t="s">
        <v>540</v>
      </c>
      <c r="AI64" s="1172" t="s">
        <v>194</v>
      </c>
      <c r="AJ64" s="1172" t="s">
        <v>194</v>
      </c>
      <c r="AK64" s="1173" t="s">
        <v>194</v>
      </c>
      <c r="AL64" s="1172" t="s">
        <v>194</v>
      </c>
      <c r="AM64" s="1175" t="s">
        <v>194</v>
      </c>
      <c r="AN64" s="1172" t="s">
        <v>194</v>
      </c>
      <c r="AO64" s="1177" t="s">
        <v>194</v>
      </c>
      <c r="AP64" s="1175" t="s">
        <v>194</v>
      </c>
      <c r="AQ64" s="1172" t="s">
        <v>194</v>
      </c>
      <c r="AR64" s="1175" t="s">
        <v>194</v>
      </c>
      <c r="AS64" s="1172" t="s">
        <v>194</v>
      </c>
      <c r="AT64" s="1175" t="s">
        <v>194</v>
      </c>
      <c r="AU64" s="1172" t="s">
        <v>194</v>
      </c>
      <c r="AV64" s="1178" t="s">
        <v>194</v>
      </c>
      <c r="AW64" s="1178" t="s">
        <v>194</v>
      </c>
      <c r="AX64" s="1178" t="s">
        <v>194</v>
      </c>
      <c r="AY64" s="1179" t="s">
        <v>194</v>
      </c>
      <c r="AZ64" s="1178" t="s">
        <v>194</v>
      </c>
      <c r="BA64" s="1178" t="s">
        <v>194</v>
      </c>
      <c r="BB64" s="1178" t="s">
        <v>194</v>
      </c>
      <c r="BC64" s="1178" t="s">
        <v>194</v>
      </c>
      <c r="BD64" s="1172" t="s">
        <v>1058</v>
      </c>
      <c r="BE64" s="1172" t="s">
        <v>194</v>
      </c>
      <c r="BF64" s="1173" t="s">
        <v>1059</v>
      </c>
      <c r="BG64" s="1172" t="s">
        <v>780</v>
      </c>
      <c r="BH64" s="1172" t="s">
        <v>543</v>
      </c>
      <c r="BI64" s="1172" t="s">
        <v>194</v>
      </c>
      <c r="BJ64" s="1172" t="s">
        <v>544</v>
      </c>
      <c r="BK64" s="1174">
        <v>5.0</v>
      </c>
      <c r="BL64" s="1172" t="s">
        <v>545</v>
      </c>
      <c r="BM64" s="1172" t="s">
        <v>194</v>
      </c>
      <c r="BN64" s="1173" t="s">
        <v>546</v>
      </c>
      <c r="BO64" s="1172" t="s">
        <v>547</v>
      </c>
      <c r="BP64" s="1180" t="str">
        <f t="shared" si="3"/>
        <v>View Investor Online</v>
      </c>
    </row>
    <row r="65" ht="11.25" hidden="1" customHeight="1">
      <c r="A65" s="1164" t="s">
        <v>403</v>
      </c>
      <c r="B65" s="1164" t="s">
        <v>1060</v>
      </c>
      <c r="C65" s="1164" t="s">
        <v>460</v>
      </c>
      <c r="D65" s="1164" t="s">
        <v>1061</v>
      </c>
      <c r="E65" s="1164" t="s">
        <v>1062</v>
      </c>
      <c r="F65" s="1164" t="s">
        <v>1063</v>
      </c>
      <c r="G65" s="1164" t="s">
        <v>116</v>
      </c>
      <c r="H65" s="1165">
        <v>4.0</v>
      </c>
      <c r="I65" s="1164" t="s">
        <v>567</v>
      </c>
      <c r="J65" s="1164" t="s">
        <v>568</v>
      </c>
      <c r="K65" s="1164" t="s">
        <v>442</v>
      </c>
      <c r="L65" s="1164" t="s">
        <v>1064</v>
      </c>
      <c r="M65" s="1164" t="s">
        <v>1065</v>
      </c>
      <c r="N65" s="1164" t="s">
        <v>535</v>
      </c>
      <c r="O65" s="1164" t="s">
        <v>671</v>
      </c>
      <c r="P65" s="1166">
        <v>14.0</v>
      </c>
      <c r="Q65" s="1135">
        <v>43228.0</v>
      </c>
      <c r="R65" s="1164" t="s">
        <v>439</v>
      </c>
      <c r="S65" s="1164" t="s">
        <v>194</v>
      </c>
      <c r="T65" s="1164" t="s">
        <v>194</v>
      </c>
      <c r="U65" s="1164" t="s">
        <v>538</v>
      </c>
      <c r="V65" s="1164" t="s">
        <v>194</v>
      </c>
      <c r="W65" s="1164" t="s">
        <v>194</v>
      </c>
      <c r="X65" s="1164" t="s">
        <v>194</v>
      </c>
      <c r="Y65" s="1167" t="s">
        <v>194</v>
      </c>
      <c r="Z65" s="1164" t="s">
        <v>194</v>
      </c>
      <c r="AA65" s="1135" t="s">
        <v>194</v>
      </c>
      <c r="AB65" s="1164" t="s">
        <v>194</v>
      </c>
      <c r="AC65" s="1167" t="s">
        <v>194</v>
      </c>
      <c r="AD65" s="1164" t="s">
        <v>194</v>
      </c>
      <c r="AE65" s="1168" t="s">
        <v>194</v>
      </c>
      <c r="AF65" s="1167" t="s">
        <v>194</v>
      </c>
      <c r="AG65" s="1164" t="s">
        <v>194</v>
      </c>
      <c r="AH65" s="1164" t="s">
        <v>540</v>
      </c>
      <c r="AI65" s="1164" t="s">
        <v>1066</v>
      </c>
      <c r="AJ65" s="1164" t="s">
        <v>1067</v>
      </c>
      <c r="AK65" s="1165" t="s">
        <v>573</v>
      </c>
      <c r="AL65" s="1164" t="s">
        <v>194</v>
      </c>
      <c r="AM65" s="1167" t="s">
        <v>194</v>
      </c>
      <c r="AN65" s="1164" t="s">
        <v>194</v>
      </c>
      <c r="AO65" s="1169" t="s">
        <v>194</v>
      </c>
      <c r="AP65" s="1167" t="s">
        <v>194</v>
      </c>
      <c r="AQ65" s="1164" t="s">
        <v>194</v>
      </c>
      <c r="AR65" s="1167" t="s">
        <v>194</v>
      </c>
      <c r="AS65" s="1164" t="s">
        <v>194</v>
      </c>
      <c r="AT65" s="1167" t="s">
        <v>194</v>
      </c>
      <c r="AU65" s="1164" t="s">
        <v>194</v>
      </c>
      <c r="AV65" s="1170" t="s">
        <v>194</v>
      </c>
      <c r="AW65" s="1170" t="s">
        <v>194</v>
      </c>
      <c r="AX65" s="1170" t="s">
        <v>194</v>
      </c>
      <c r="AY65" s="1171" t="s">
        <v>194</v>
      </c>
      <c r="AZ65" s="1170" t="s">
        <v>194</v>
      </c>
      <c r="BA65" s="1170" t="s">
        <v>194</v>
      </c>
      <c r="BB65" s="1170" t="s">
        <v>194</v>
      </c>
      <c r="BC65" s="1170" t="s">
        <v>194</v>
      </c>
      <c r="BD65" s="1164" t="s">
        <v>1068</v>
      </c>
      <c r="BE65" s="1164" t="s">
        <v>194</v>
      </c>
      <c r="BF65" s="1165" t="s">
        <v>1069</v>
      </c>
      <c r="BG65" s="1164" t="s">
        <v>547</v>
      </c>
      <c r="BH65" s="1164" t="s">
        <v>543</v>
      </c>
      <c r="BI65" s="1164" t="s">
        <v>194</v>
      </c>
      <c r="BJ65" s="1164" t="s">
        <v>544</v>
      </c>
      <c r="BK65" s="1166">
        <v>5.0</v>
      </c>
      <c r="BL65" s="1164" t="s">
        <v>545</v>
      </c>
      <c r="BM65" s="1164" t="s">
        <v>194</v>
      </c>
      <c r="BN65" s="1165" t="s">
        <v>546</v>
      </c>
      <c r="BO65" s="1164" t="s">
        <v>547</v>
      </c>
      <c r="BP65" s="1139" t="str">
        <f t="shared" si="3"/>
        <v>View Investor Online</v>
      </c>
    </row>
    <row r="66" ht="11.25" hidden="1" customHeight="1">
      <c r="A66" s="1172" t="s">
        <v>403</v>
      </c>
      <c r="B66" s="1172" t="s">
        <v>1070</v>
      </c>
      <c r="C66" s="1172" t="s">
        <v>460</v>
      </c>
      <c r="D66" s="1172" t="s">
        <v>1071</v>
      </c>
      <c r="E66" s="1172" t="s">
        <v>1072</v>
      </c>
      <c r="F66" s="1172" t="s">
        <v>1073</v>
      </c>
      <c r="G66" s="1172" t="s">
        <v>592</v>
      </c>
      <c r="H66" s="1173">
        <v>4.0</v>
      </c>
      <c r="I66" s="1172" t="s">
        <v>530</v>
      </c>
      <c r="J66" s="1172" t="s">
        <v>531</v>
      </c>
      <c r="K66" s="1172" t="s">
        <v>623</v>
      </c>
      <c r="L66" s="1172" t="s">
        <v>1074</v>
      </c>
      <c r="M66" s="1172" t="s">
        <v>1075</v>
      </c>
      <c r="N66" s="1172" t="s">
        <v>535</v>
      </c>
      <c r="O66" s="1172" t="s">
        <v>740</v>
      </c>
      <c r="P66" s="1174" t="s">
        <v>194</v>
      </c>
      <c r="Q66" s="1142">
        <v>42789.0</v>
      </c>
      <c r="R66" s="1172" t="s">
        <v>538</v>
      </c>
      <c r="S66" s="1172" t="s">
        <v>758</v>
      </c>
      <c r="T66" s="1172" t="s">
        <v>194</v>
      </c>
      <c r="U66" s="1172" t="s">
        <v>538</v>
      </c>
      <c r="V66" s="1172" t="s">
        <v>194</v>
      </c>
      <c r="W66" s="1172" t="s">
        <v>194</v>
      </c>
      <c r="X66" s="1172" t="s">
        <v>194</v>
      </c>
      <c r="Y66" s="1175" t="s">
        <v>194</v>
      </c>
      <c r="Z66" s="1172" t="s">
        <v>194</v>
      </c>
      <c r="AA66" s="1142" t="s">
        <v>194</v>
      </c>
      <c r="AB66" s="1172" t="s">
        <v>194</v>
      </c>
      <c r="AC66" s="1175" t="s">
        <v>194</v>
      </c>
      <c r="AD66" s="1172" t="s">
        <v>194</v>
      </c>
      <c r="AE66" s="1176" t="s">
        <v>194</v>
      </c>
      <c r="AF66" s="1175" t="s">
        <v>194</v>
      </c>
      <c r="AG66" s="1172" t="s">
        <v>194</v>
      </c>
      <c r="AH66" s="1172" t="s">
        <v>540</v>
      </c>
      <c r="AI66" s="1172" t="s">
        <v>614</v>
      </c>
      <c r="AJ66" s="1172" t="s">
        <v>194</v>
      </c>
      <c r="AK66" s="1173" t="s">
        <v>573</v>
      </c>
      <c r="AL66" s="1172" t="s">
        <v>194</v>
      </c>
      <c r="AM66" s="1175" t="s">
        <v>194</v>
      </c>
      <c r="AN66" s="1172" t="s">
        <v>194</v>
      </c>
      <c r="AO66" s="1177" t="s">
        <v>194</v>
      </c>
      <c r="AP66" s="1175" t="s">
        <v>194</v>
      </c>
      <c r="AQ66" s="1172" t="s">
        <v>194</v>
      </c>
      <c r="AR66" s="1175" t="s">
        <v>194</v>
      </c>
      <c r="AS66" s="1172" t="s">
        <v>194</v>
      </c>
      <c r="AT66" s="1175" t="s">
        <v>194</v>
      </c>
      <c r="AU66" s="1172" t="s">
        <v>194</v>
      </c>
      <c r="AV66" s="1178" t="s">
        <v>194</v>
      </c>
      <c r="AW66" s="1178" t="s">
        <v>194</v>
      </c>
      <c r="AX66" s="1178" t="s">
        <v>194</v>
      </c>
      <c r="AY66" s="1179" t="s">
        <v>194</v>
      </c>
      <c r="AZ66" s="1178" t="s">
        <v>194</v>
      </c>
      <c r="BA66" s="1178" t="s">
        <v>194</v>
      </c>
      <c r="BB66" s="1178" t="s">
        <v>194</v>
      </c>
      <c r="BC66" s="1178" t="s">
        <v>194</v>
      </c>
      <c r="BD66" s="1172" t="s">
        <v>1076</v>
      </c>
      <c r="BE66" s="1172" t="s">
        <v>194</v>
      </c>
      <c r="BF66" s="1173" t="s">
        <v>1077</v>
      </c>
      <c r="BG66" s="1172" t="s">
        <v>587</v>
      </c>
      <c r="BH66" s="1172" t="s">
        <v>543</v>
      </c>
      <c r="BI66" s="1172" t="s">
        <v>194</v>
      </c>
      <c r="BJ66" s="1172" t="s">
        <v>544</v>
      </c>
      <c r="BK66" s="1174">
        <v>5.0</v>
      </c>
      <c r="BL66" s="1172" t="s">
        <v>545</v>
      </c>
      <c r="BM66" s="1172" t="s">
        <v>194</v>
      </c>
      <c r="BN66" s="1173" t="s">
        <v>546</v>
      </c>
      <c r="BO66" s="1172" t="s">
        <v>547</v>
      </c>
      <c r="BP66" s="1180" t="str">
        <f t="shared" si="3"/>
        <v>View Investor Online</v>
      </c>
    </row>
    <row r="67" ht="11.25" hidden="1" customHeight="1">
      <c r="A67" s="1172" t="s">
        <v>403</v>
      </c>
      <c r="B67" s="1172" t="s">
        <v>1078</v>
      </c>
      <c r="C67" s="1172" t="s">
        <v>460</v>
      </c>
      <c r="D67" s="1172" t="s">
        <v>1079</v>
      </c>
      <c r="E67" s="1172" t="s">
        <v>1080</v>
      </c>
      <c r="F67" s="1172" t="s">
        <v>1081</v>
      </c>
      <c r="G67" s="1172" t="s">
        <v>116</v>
      </c>
      <c r="H67" s="1173">
        <v>1.0</v>
      </c>
      <c r="I67" s="1172" t="s">
        <v>552</v>
      </c>
      <c r="J67" s="1172" t="s">
        <v>748</v>
      </c>
      <c r="K67" s="1172" t="s">
        <v>982</v>
      </c>
      <c r="L67" s="1172" t="s">
        <v>796</v>
      </c>
      <c r="M67" s="1172" t="s">
        <v>1082</v>
      </c>
      <c r="N67" s="1172" t="s">
        <v>535</v>
      </c>
      <c r="O67" s="1172" t="s">
        <v>536</v>
      </c>
      <c r="P67" s="1174">
        <v>110.0</v>
      </c>
      <c r="Q67" s="1142">
        <v>40359.0</v>
      </c>
      <c r="R67" s="1172" t="s">
        <v>439</v>
      </c>
      <c r="S67" s="1172" t="s">
        <v>194</v>
      </c>
      <c r="T67" s="1172" t="s">
        <v>194</v>
      </c>
      <c r="U67" s="1172" t="s">
        <v>538</v>
      </c>
      <c r="V67" s="1172" t="s">
        <v>194</v>
      </c>
      <c r="W67" s="1172" t="s">
        <v>194</v>
      </c>
      <c r="X67" s="1172" t="s">
        <v>194</v>
      </c>
      <c r="Y67" s="1175" t="s">
        <v>194</v>
      </c>
      <c r="Z67" s="1172" t="s">
        <v>194</v>
      </c>
      <c r="AA67" s="1142" t="s">
        <v>194</v>
      </c>
      <c r="AB67" s="1172" t="s">
        <v>194</v>
      </c>
      <c r="AC67" s="1175" t="s">
        <v>194</v>
      </c>
      <c r="AD67" s="1172" t="s">
        <v>194</v>
      </c>
      <c r="AE67" s="1176" t="s">
        <v>194</v>
      </c>
      <c r="AF67" s="1175" t="s">
        <v>194</v>
      </c>
      <c r="AG67" s="1172" t="s">
        <v>194</v>
      </c>
      <c r="AH67" s="1172" t="s">
        <v>540</v>
      </c>
      <c r="AI67" s="1172" t="s">
        <v>194</v>
      </c>
      <c r="AJ67" s="1172" t="s">
        <v>194</v>
      </c>
      <c r="AK67" s="1173" t="s">
        <v>194</v>
      </c>
      <c r="AL67" s="1172" t="s">
        <v>194</v>
      </c>
      <c r="AM67" s="1175" t="s">
        <v>194</v>
      </c>
      <c r="AN67" s="1172" t="s">
        <v>194</v>
      </c>
      <c r="AO67" s="1177" t="s">
        <v>194</v>
      </c>
      <c r="AP67" s="1175" t="s">
        <v>194</v>
      </c>
      <c r="AQ67" s="1172" t="s">
        <v>194</v>
      </c>
      <c r="AR67" s="1175" t="s">
        <v>194</v>
      </c>
      <c r="AS67" s="1172" t="s">
        <v>194</v>
      </c>
      <c r="AT67" s="1175" t="s">
        <v>194</v>
      </c>
      <c r="AU67" s="1172" t="s">
        <v>194</v>
      </c>
      <c r="AV67" s="1178" t="s">
        <v>194</v>
      </c>
      <c r="AW67" s="1178" t="s">
        <v>194</v>
      </c>
      <c r="AX67" s="1178" t="s">
        <v>194</v>
      </c>
      <c r="AY67" s="1179" t="s">
        <v>194</v>
      </c>
      <c r="AZ67" s="1178" t="s">
        <v>194</v>
      </c>
      <c r="BA67" s="1178" t="s">
        <v>194</v>
      </c>
      <c r="BB67" s="1178" t="s">
        <v>194</v>
      </c>
      <c r="BC67" s="1178" t="s">
        <v>194</v>
      </c>
      <c r="BD67" s="1172" t="s">
        <v>1083</v>
      </c>
      <c r="BE67" s="1172" t="s">
        <v>194</v>
      </c>
      <c r="BF67" s="1173" t="s">
        <v>1084</v>
      </c>
      <c r="BG67" s="1172" t="s">
        <v>1085</v>
      </c>
      <c r="BH67" s="1172" t="s">
        <v>543</v>
      </c>
      <c r="BI67" s="1172" t="s">
        <v>194</v>
      </c>
      <c r="BJ67" s="1172" t="s">
        <v>544</v>
      </c>
      <c r="BK67" s="1174">
        <v>5.0</v>
      </c>
      <c r="BL67" s="1172" t="s">
        <v>545</v>
      </c>
      <c r="BM67" s="1172" t="s">
        <v>194</v>
      </c>
      <c r="BN67" s="1173" t="s">
        <v>546</v>
      </c>
      <c r="BO67" s="1172" t="s">
        <v>547</v>
      </c>
      <c r="BP67" s="1180" t="str">
        <f t="shared" si="3"/>
        <v>View Investor Online</v>
      </c>
    </row>
    <row r="68" ht="11.25" hidden="1" customHeight="1">
      <c r="A68" s="1172" t="s">
        <v>403</v>
      </c>
      <c r="B68" s="1172" t="s">
        <v>1086</v>
      </c>
      <c r="C68" s="1172" t="s">
        <v>460</v>
      </c>
      <c r="D68" s="1172" t="s">
        <v>1087</v>
      </c>
      <c r="E68" s="1172" t="s">
        <v>1088</v>
      </c>
      <c r="F68" s="1172" t="s">
        <v>1089</v>
      </c>
      <c r="G68" s="1172" t="s">
        <v>529</v>
      </c>
      <c r="H68" s="1173">
        <v>1.0</v>
      </c>
      <c r="I68" s="1172" t="s">
        <v>530</v>
      </c>
      <c r="J68" s="1172" t="s">
        <v>531</v>
      </c>
      <c r="K68" s="1172" t="s">
        <v>623</v>
      </c>
      <c r="L68" s="1172" t="s">
        <v>533</v>
      </c>
      <c r="M68" s="1172" t="s">
        <v>1090</v>
      </c>
      <c r="N68" s="1172" t="s">
        <v>535</v>
      </c>
      <c r="O68" s="1172" t="s">
        <v>536</v>
      </c>
      <c r="P68" s="1174">
        <v>37.0</v>
      </c>
      <c r="Q68" s="1142">
        <v>40010.0</v>
      </c>
      <c r="R68" s="1172" t="s">
        <v>439</v>
      </c>
      <c r="S68" s="1172" t="s">
        <v>194</v>
      </c>
      <c r="T68" s="1172" t="s">
        <v>194</v>
      </c>
      <c r="U68" s="1172" t="s">
        <v>538</v>
      </c>
      <c r="V68" s="1172" t="s">
        <v>194</v>
      </c>
      <c r="W68" s="1172" t="s">
        <v>194</v>
      </c>
      <c r="X68" s="1172" t="s">
        <v>194</v>
      </c>
      <c r="Y68" s="1175" t="s">
        <v>194</v>
      </c>
      <c r="Z68" s="1172" t="s">
        <v>194</v>
      </c>
      <c r="AA68" s="1142">
        <v>40010.0</v>
      </c>
      <c r="AB68" s="1172" t="s">
        <v>856</v>
      </c>
      <c r="AC68" s="1175" t="s">
        <v>194</v>
      </c>
      <c r="AD68" s="1172">
        <v>8.55</v>
      </c>
      <c r="AE68" s="1176" t="s">
        <v>194</v>
      </c>
      <c r="AF68" s="1175" t="s">
        <v>194</v>
      </c>
      <c r="AG68" s="1172" t="s">
        <v>194</v>
      </c>
      <c r="AH68" s="1172" t="s">
        <v>540</v>
      </c>
      <c r="AI68" s="1172" t="s">
        <v>194</v>
      </c>
      <c r="AJ68" s="1172" t="s">
        <v>194</v>
      </c>
      <c r="AK68" s="1173" t="s">
        <v>194</v>
      </c>
      <c r="AL68" s="1172" t="s">
        <v>194</v>
      </c>
      <c r="AM68" s="1175" t="s">
        <v>194</v>
      </c>
      <c r="AN68" s="1172" t="s">
        <v>194</v>
      </c>
      <c r="AO68" s="1177" t="s">
        <v>194</v>
      </c>
      <c r="AP68" s="1175" t="s">
        <v>194</v>
      </c>
      <c r="AQ68" s="1172" t="s">
        <v>194</v>
      </c>
      <c r="AR68" s="1175" t="s">
        <v>194</v>
      </c>
      <c r="AS68" s="1172" t="s">
        <v>194</v>
      </c>
      <c r="AT68" s="1175" t="s">
        <v>194</v>
      </c>
      <c r="AU68" s="1172" t="s">
        <v>194</v>
      </c>
      <c r="AV68" s="1178" t="s">
        <v>194</v>
      </c>
      <c r="AW68" s="1178" t="s">
        <v>194</v>
      </c>
      <c r="AX68" s="1178" t="s">
        <v>194</v>
      </c>
      <c r="AY68" s="1179" t="s">
        <v>194</v>
      </c>
      <c r="AZ68" s="1178" t="s">
        <v>194</v>
      </c>
      <c r="BA68" s="1178" t="s">
        <v>194</v>
      </c>
      <c r="BB68" s="1178" t="s">
        <v>194</v>
      </c>
      <c r="BC68" s="1178" t="s">
        <v>194</v>
      </c>
      <c r="BD68" s="1172" t="s">
        <v>1091</v>
      </c>
      <c r="BE68" s="1172" t="s">
        <v>1092</v>
      </c>
      <c r="BF68" s="1173" t="s">
        <v>1093</v>
      </c>
      <c r="BG68" s="1172" t="s">
        <v>562</v>
      </c>
      <c r="BH68" s="1172" t="s">
        <v>543</v>
      </c>
      <c r="BI68" s="1172" t="s">
        <v>194</v>
      </c>
      <c r="BJ68" s="1172" t="s">
        <v>544</v>
      </c>
      <c r="BK68" s="1174">
        <v>5.0</v>
      </c>
      <c r="BL68" s="1172" t="s">
        <v>545</v>
      </c>
      <c r="BM68" s="1172" t="s">
        <v>194</v>
      </c>
      <c r="BN68" s="1173" t="s">
        <v>546</v>
      </c>
      <c r="BO68" s="1172" t="s">
        <v>547</v>
      </c>
      <c r="BP68" s="1180" t="str">
        <f t="shared" si="3"/>
        <v>View Investor Online</v>
      </c>
    </row>
    <row r="69" ht="11.25" hidden="1" customHeight="1">
      <c r="A69" s="1164" t="s">
        <v>403</v>
      </c>
      <c r="B69" s="1164" t="s">
        <v>1094</v>
      </c>
      <c r="C69" s="1164" t="s">
        <v>460</v>
      </c>
      <c r="D69" s="1164" t="s">
        <v>1095</v>
      </c>
      <c r="E69" s="1164" t="s">
        <v>1096</v>
      </c>
      <c r="F69" s="1164" t="s">
        <v>1097</v>
      </c>
      <c r="G69" s="1164" t="s">
        <v>116</v>
      </c>
      <c r="H69" s="1165">
        <v>3.0</v>
      </c>
      <c r="I69" s="1164" t="s">
        <v>552</v>
      </c>
      <c r="J69" s="1164" t="s">
        <v>748</v>
      </c>
      <c r="K69" s="1164" t="s">
        <v>795</v>
      </c>
      <c r="L69" s="1164" t="s">
        <v>796</v>
      </c>
      <c r="M69" s="1164" t="s">
        <v>797</v>
      </c>
      <c r="N69" s="1164" t="s">
        <v>638</v>
      </c>
      <c r="O69" s="1164" t="s">
        <v>826</v>
      </c>
      <c r="P69" s="1166">
        <v>4700.0</v>
      </c>
      <c r="Q69" s="1135">
        <v>39119.0</v>
      </c>
      <c r="R69" s="1164" t="s">
        <v>439</v>
      </c>
      <c r="S69" s="1164" t="s">
        <v>556</v>
      </c>
      <c r="T69" s="1164" t="s">
        <v>194</v>
      </c>
      <c r="U69" s="1164" t="s">
        <v>538</v>
      </c>
      <c r="V69" s="1164" t="s">
        <v>194</v>
      </c>
      <c r="W69" s="1164" t="s">
        <v>194</v>
      </c>
      <c r="X69" s="1164" t="s">
        <v>194</v>
      </c>
      <c r="Y69" s="1167">
        <v>770.86</v>
      </c>
      <c r="Z69" s="1164" t="s">
        <v>557</v>
      </c>
      <c r="AA69" s="1135" t="s">
        <v>194</v>
      </c>
      <c r="AB69" s="1164" t="s">
        <v>194</v>
      </c>
      <c r="AC69" s="1167" t="s">
        <v>194</v>
      </c>
      <c r="AD69" s="1164" t="s">
        <v>194</v>
      </c>
      <c r="AE69" s="1168" t="s">
        <v>194</v>
      </c>
      <c r="AF69" s="1167">
        <v>1007.16</v>
      </c>
      <c r="AG69" s="1164" t="s">
        <v>557</v>
      </c>
      <c r="AH69" s="1164" t="s">
        <v>540</v>
      </c>
      <c r="AI69" s="1164" t="s">
        <v>194</v>
      </c>
      <c r="AJ69" s="1164" t="s">
        <v>194</v>
      </c>
      <c r="AK69" s="1165" t="s">
        <v>194</v>
      </c>
      <c r="AL69" s="1164" t="s">
        <v>194</v>
      </c>
      <c r="AM69" s="1167">
        <v>13232.89</v>
      </c>
      <c r="AN69" s="1164" t="s">
        <v>557</v>
      </c>
      <c r="AO69" s="1169">
        <v>67.51465655004527</v>
      </c>
      <c r="AP69" s="1167" t="s">
        <v>194</v>
      </c>
      <c r="AQ69" s="1164" t="s">
        <v>194</v>
      </c>
      <c r="AR69" s="1167" t="s">
        <v>194</v>
      </c>
      <c r="AS69" s="1164" t="s">
        <v>194</v>
      </c>
      <c r="AT69" s="1167" t="s">
        <v>194</v>
      </c>
      <c r="AU69" s="1164" t="s">
        <v>194</v>
      </c>
      <c r="AV69" s="1170" t="s">
        <v>194</v>
      </c>
      <c r="AW69" s="1170" t="s">
        <v>194</v>
      </c>
      <c r="AX69" s="1170" t="s">
        <v>194</v>
      </c>
      <c r="AY69" s="1171" t="s">
        <v>194</v>
      </c>
      <c r="AZ69" s="1170">
        <v>58.253238100824575</v>
      </c>
      <c r="BA69" s="1170">
        <v>58.253238100824575</v>
      </c>
      <c r="BB69" s="1170" t="s">
        <v>194</v>
      </c>
      <c r="BC69" s="1170" t="s">
        <v>194</v>
      </c>
      <c r="BD69" s="1164" t="s">
        <v>1098</v>
      </c>
      <c r="BE69" s="1164" t="s">
        <v>194</v>
      </c>
      <c r="BF69" s="1165" t="s">
        <v>1099</v>
      </c>
      <c r="BG69" s="1164" t="s">
        <v>1100</v>
      </c>
      <c r="BH69" s="1164" t="s">
        <v>543</v>
      </c>
      <c r="BI69" s="1164" t="s">
        <v>194</v>
      </c>
      <c r="BJ69" s="1164" t="s">
        <v>544</v>
      </c>
      <c r="BK69" s="1166">
        <v>5.0</v>
      </c>
      <c r="BL69" s="1164" t="s">
        <v>545</v>
      </c>
      <c r="BM69" s="1164" t="s">
        <v>194</v>
      </c>
      <c r="BN69" s="1165" t="s">
        <v>546</v>
      </c>
      <c r="BO69" s="1164" t="s">
        <v>547</v>
      </c>
      <c r="BP69" s="1139" t="str">
        <f t="shared" si="3"/>
        <v>View Investor Online</v>
      </c>
    </row>
    <row r="70" ht="11.25" hidden="1" customHeight="1">
      <c r="A70" s="1172" t="s">
        <v>403</v>
      </c>
      <c r="B70" s="1172" t="s">
        <v>1101</v>
      </c>
      <c r="C70" s="1172" t="s">
        <v>460</v>
      </c>
      <c r="D70" s="1172" t="s">
        <v>1102</v>
      </c>
      <c r="E70" s="1172" t="s">
        <v>1103</v>
      </c>
      <c r="F70" s="1172" t="s">
        <v>1104</v>
      </c>
      <c r="G70" s="1172" t="s">
        <v>116</v>
      </c>
      <c r="H70" s="1173">
        <v>7.0</v>
      </c>
      <c r="I70" s="1172" t="s">
        <v>530</v>
      </c>
      <c r="J70" s="1172" t="s">
        <v>531</v>
      </c>
      <c r="K70" s="1172" t="s">
        <v>623</v>
      </c>
      <c r="L70" s="1172" t="s">
        <v>1105</v>
      </c>
      <c r="M70" s="1172" t="s">
        <v>1106</v>
      </c>
      <c r="N70" s="1172" t="s">
        <v>535</v>
      </c>
      <c r="O70" s="1172" t="s">
        <v>671</v>
      </c>
      <c r="P70" s="1174">
        <v>30.0</v>
      </c>
      <c r="Q70" s="1142">
        <v>42542.0</v>
      </c>
      <c r="R70" s="1172" t="s">
        <v>439</v>
      </c>
      <c r="S70" s="1172" t="s">
        <v>194</v>
      </c>
      <c r="T70" s="1172" t="s">
        <v>194</v>
      </c>
      <c r="U70" s="1172" t="s">
        <v>538</v>
      </c>
      <c r="V70" s="1172" t="s">
        <v>194</v>
      </c>
      <c r="W70" s="1172" t="s">
        <v>194</v>
      </c>
      <c r="X70" s="1172" t="s">
        <v>194</v>
      </c>
      <c r="Y70" s="1175" t="s">
        <v>194</v>
      </c>
      <c r="Z70" s="1172" t="s">
        <v>194</v>
      </c>
      <c r="AA70" s="1142" t="s">
        <v>194</v>
      </c>
      <c r="AB70" s="1172" t="s">
        <v>194</v>
      </c>
      <c r="AC70" s="1175" t="s">
        <v>194</v>
      </c>
      <c r="AD70" s="1172" t="s">
        <v>194</v>
      </c>
      <c r="AE70" s="1176" t="s">
        <v>194</v>
      </c>
      <c r="AF70" s="1175" t="s">
        <v>194</v>
      </c>
      <c r="AG70" s="1172" t="s">
        <v>194</v>
      </c>
      <c r="AH70" s="1172" t="s">
        <v>540</v>
      </c>
      <c r="AI70" s="1172" t="s">
        <v>194</v>
      </c>
      <c r="AJ70" s="1172" t="s">
        <v>194</v>
      </c>
      <c r="AK70" s="1173" t="s">
        <v>194</v>
      </c>
      <c r="AL70" s="1172" t="s">
        <v>194</v>
      </c>
      <c r="AM70" s="1175" t="s">
        <v>194</v>
      </c>
      <c r="AN70" s="1172" t="s">
        <v>194</v>
      </c>
      <c r="AO70" s="1177" t="s">
        <v>194</v>
      </c>
      <c r="AP70" s="1175" t="s">
        <v>194</v>
      </c>
      <c r="AQ70" s="1172" t="s">
        <v>194</v>
      </c>
      <c r="AR70" s="1175" t="s">
        <v>194</v>
      </c>
      <c r="AS70" s="1172" t="s">
        <v>194</v>
      </c>
      <c r="AT70" s="1175" t="s">
        <v>194</v>
      </c>
      <c r="AU70" s="1172" t="s">
        <v>194</v>
      </c>
      <c r="AV70" s="1178" t="s">
        <v>194</v>
      </c>
      <c r="AW70" s="1178" t="s">
        <v>194</v>
      </c>
      <c r="AX70" s="1178" t="s">
        <v>194</v>
      </c>
      <c r="AY70" s="1179" t="s">
        <v>194</v>
      </c>
      <c r="AZ70" s="1178" t="s">
        <v>194</v>
      </c>
      <c r="BA70" s="1178" t="s">
        <v>194</v>
      </c>
      <c r="BB70" s="1178" t="s">
        <v>194</v>
      </c>
      <c r="BC70" s="1178" t="s">
        <v>194</v>
      </c>
      <c r="BD70" s="1172" t="s">
        <v>1107</v>
      </c>
      <c r="BE70" s="1172" t="s">
        <v>1108</v>
      </c>
      <c r="BF70" s="1173" t="s">
        <v>1109</v>
      </c>
      <c r="BG70" s="1172" t="s">
        <v>618</v>
      </c>
      <c r="BH70" s="1172" t="s">
        <v>543</v>
      </c>
      <c r="BI70" s="1172" t="s">
        <v>194</v>
      </c>
      <c r="BJ70" s="1172" t="s">
        <v>544</v>
      </c>
      <c r="BK70" s="1174">
        <v>5.0</v>
      </c>
      <c r="BL70" s="1172" t="s">
        <v>545</v>
      </c>
      <c r="BM70" s="1172" t="s">
        <v>194</v>
      </c>
      <c r="BN70" s="1173" t="s">
        <v>546</v>
      </c>
      <c r="BO70" s="1172" t="s">
        <v>547</v>
      </c>
      <c r="BP70" s="1180" t="str">
        <f t="shared" si="3"/>
        <v>View Investor Online</v>
      </c>
    </row>
    <row r="71" ht="11.25" hidden="1" customHeight="1">
      <c r="A71" s="1164" t="s">
        <v>403</v>
      </c>
      <c r="B71" s="1164" t="s">
        <v>1110</v>
      </c>
      <c r="C71" s="1164" t="s">
        <v>460</v>
      </c>
      <c r="D71" s="1164" t="s">
        <v>1111</v>
      </c>
      <c r="E71" s="1164" t="s">
        <v>1112</v>
      </c>
      <c r="F71" s="1164" t="s">
        <v>1113</v>
      </c>
      <c r="G71" s="1164" t="s">
        <v>116</v>
      </c>
      <c r="H71" s="1165">
        <v>1.0</v>
      </c>
      <c r="I71" s="1164" t="s">
        <v>530</v>
      </c>
      <c r="J71" s="1164" t="s">
        <v>971</v>
      </c>
      <c r="K71" s="1164" t="s">
        <v>972</v>
      </c>
      <c r="L71" s="1164" t="s">
        <v>973</v>
      </c>
      <c r="M71" s="1164" t="s">
        <v>974</v>
      </c>
      <c r="N71" s="1164" t="s">
        <v>535</v>
      </c>
      <c r="O71" s="1164" t="s">
        <v>536</v>
      </c>
      <c r="P71" s="1166" t="s">
        <v>194</v>
      </c>
      <c r="Q71" s="1135">
        <v>41010.0</v>
      </c>
      <c r="R71" s="1164" t="s">
        <v>639</v>
      </c>
      <c r="S71" s="1164" t="s">
        <v>194</v>
      </c>
      <c r="T71" s="1164" t="s">
        <v>194</v>
      </c>
      <c r="U71" s="1164" t="s">
        <v>640</v>
      </c>
      <c r="V71" s="1164" t="s">
        <v>194</v>
      </c>
      <c r="W71" s="1164" t="s">
        <v>194</v>
      </c>
      <c r="X71" s="1164" t="s">
        <v>194</v>
      </c>
      <c r="Y71" s="1167" t="s">
        <v>194</v>
      </c>
      <c r="Z71" s="1164" t="s">
        <v>194</v>
      </c>
      <c r="AA71" s="1135" t="s">
        <v>194</v>
      </c>
      <c r="AB71" s="1164" t="s">
        <v>194</v>
      </c>
      <c r="AC71" s="1167" t="s">
        <v>194</v>
      </c>
      <c r="AD71" s="1164" t="s">
        <v>194</v>
      </c>
      <c r="AE71" s="1168" t="s">
        <v>194</v>
      </c>
      <c r="AF71" s="1167" t="s">
        <v>194</v>
      </c>
      <c r="AG71" s="1164" t="s">
        <v>194</v>
      </c>
      <c r="AH71" s="1164" t="s">
        <v>540</v>
      </c>
      <c r="AI71" s="1164" t="s">
        <v>194</v>
      </c>
      <c r="AJ71" s="1164" t="s">
        <v>194</v>
      </c>
      <c r="AK71" s="1165" t="s">
        <v>194</v>
      </c>
      <c r="AL71" s="1164" t="s">
        <v>194</v>
      </c>
      <c r="AM71" s="1167" t="s">
        <v>194</v>
      </c>
      <c r="AN71" s="1164" t="s">
        <v>194</v>
      </c>
      <c r="AO71" s="1169" t="s">
        <v>194</v>
      </c>
      <c r="AP71" s="1167" t="s">
        <v>194</v>
      </c>
      <c r="AQ71" s="1164" t="s">
        <v>194</v>
      </c>
      <c r="AR71" s="1167" t="s">
        <v>194</v>
      </c>
      <c r="AS71" s="1164" t="s">
        <v>194</v>
      </c>
      <c r="AT71" s="1167" t="s">
        <v>194</v>
      </c>
      <c r="AU71" s="1164" t="s">
        <v>194</v>
      </c>
      <c r="AV71" s="1170" t="s">
        <v>194</v>
      </c>
      <c r="AW71" s="1170" t="s">
        <v>194</v>
      </c>
      <c r="AX71" s="1170" t="s">
        <v>194</v>
      </c>
      <c r="AY71" s="1171" t="s">
        <v>194</v>
      </c>
      <c r="AZ71" s="1170" t="s">
        <v>194</v>
      </c>
      <c r="BA71" s="1170" t="s">
        <v>194</v>
      </c>
      <c r="BB71" s="1170" t="s">
        <v>194</v>
      </c>
      <c r="BC71" s="1170" t="s">
        <v>194</v>
      </c>
      <c r="BD71" s="1164" t="s">
        <v>1114</v>
      </c>
      <c r="BE71" s="1164" t="s">
        <v>194</v>
      </c>
      <c r="BF71" s="1165" t="s">
        <v>1115</v>
      </c>
      <c r="BG71" s="1164" t="s">
        <v>1116</v>
      </c>
      <c r="BH71" s="1164" t="s">
        <v>543</v>
      </c>
      <c r="BI71" s="1164" t="s">
        <v>194</v>
      </c>
      <c r="BJ71" s="1164" t="s">
        <v>544</v>
      </c>
      <c r="BK71" s="1166">
        <v>5.0</v>
      </c>
      <c r="BL71" s="1164" t="s">
        <v>545</v>
      </c>
      <c r="BM71" s="1164" t="s">
        <v>194</v>
      </c>
      <c r="BN71" s="1165" t="s">
        <v>546</v>
      </c>
      <c r="BO71" s="1164" t="s">
        <v>547</v>
      </c>
      <c r="BP71" s="1139" t="str">
        <f t="shared" si="3"/>
        <v>View Investor Online</v>
      </c>
    </row>
    <row r="72" ht="11.25" hidden="1" customHeight="1">
      <c r="A72" s="1172" t="s">
        <v>403</v>
      </c>
      <c r="B72" s="1172" t="s">
        <v>1117</v>
      </c>
      <c r="C72" s="1172" t="s">
        <v>460</v>
      </c>
      <c r="D72" s="1172" t="s">
        <v>1111</v>
      </c>
      <c r="E72" s="1172" t="s">
        <v>1112</v>
      </c>
      <c r="F72" s="1172" t="s">
        <v>1113</v>
      </c>
      <c r="G72" s="1172" t="s">
        <v>116</v>
      </c>
      <c r="H72" s="1173">
        <v>2.0</v>
      </c>
      <c r="I72" s="1172" t="s">
        <v>530</v>
      </c>
      <c r="J72" s="1172" t="s">
        <v>971</v>
      </c>
      <c r="K72" s="1172" t="s">
        <v>972</v>
      </c>
      <c r="L72" s="1172" t="s">
        <v>973</v>
      </c>
      <c r="M72" s="1172" t="s">
        <v>974</v>
      </c>
      <c r="N72" s="1172" t="s">
        <v>535</v>
      </c>
      <c r="O72" s="1172" t="s">
        <v>536</v>
      </c>
      <c r="P72" s="1174" t="s">
        <v>194</v>
      </c>
      <c r="Q72" s="1142">
        <v>42256.0</v>
      </c>
      <c r="R72" s="1172" t="s">
        <v>937</v>
      </c>
      <c r="S72" s="1172" t="s">
        <v>194</v>
      </c>
      <c r="T72" s="1172" t="s">
        <v>194</v>
      </c>
      <c r="U72" s="1172" t="s">
        <v>538</v>
      </c>
      <c r="V72" s="1172" t="s">
        <v>194</v>
      </c>
      <c r="W72" s="1172" t="s">
        <v>194</v>
      </c>
      <c r="X72" s="1172" t="s">
        <v>194</v>
      </c>
      <c r="Y72" s="1175" t="s">
        <v>194</v>
      </c>
      <c r="Z72" s="1172" t="s">
        <v>194</v>
      </c>
      <c r="AA72" s="1142" t="s">
        <v>194</v>
      </c>
      <c r="AB72" s="1172" t="s">
        <v>194</v>
      </c>
      <c r="AC72" s="1175" t="s">
        <v>194</v>
      </c>
      <c r="AD72" s="1172" t="s">
        <v>194</v>
      </c>
      <c r="AE72" s="1176" t="s">
        <v>194</v>
      </c>
      <c r="AF72" s="1175" t="s">
        <v>194</v>
      </c>
      <c r="AG72" s="1172" t="s">
        <v>194</v>
      </c>
      <c r="AH72" s="1172" t="s">
        <v>540</v>
      </c>
      <c r="AI72" s="1172" t="s">
        <v>194</v>
      </c>
      <c r="AJ72" s="1172" t="s">
        <v>194</v>
      </c>
      <c r="AK72" s="1173" t="s">
        <v>194</v>
      </c>
      <c r="AL72" s="1172" t="s">
        <v>194</v>
      </c>
      <c r="AM72" s="1175" t="s">
        <v>194</v>
      </c>
      <c r="AN72" s="1172" t="s">
        <v>194</v>
      </c>
      <c r="AO72" s="1177" t="s">
        <v>194</v>
      </c>
      <c r="AP72" s="1175" t="s">
        <v>194</v>
      </c>
      <c r="AQ72" s="1172" t="s">
        <v>194</v>
      </c>
      <c r="AR72" s="1175" t="s">
        <v>194</v>
      </c>
      <c r="AS72" s="1172" t="s">
        <v>194</v>
      </c>
      <c r="AT72" s="1175" t="s">
        <v>194</v>
      </c>
      <c r="AU72" s="1172" t="s">
        <v>194</v>
      </c>
      <c r="AV72" s="1178" t="s">
        <v>194</v>
      </c>
      <c r="AW72" s="1178" t="s">
        <v>194</v>
      </c>
      <c r="AX72" s="1178" t="s">
        <v>194</v>
      </c>
      <c r="AY72" s="1179" t="s">
        <v>194</v>
      </c>
      <c r="AZ72" s="1178" t="s">
        <v>194</v>
      </c>
      <c r="BA72" s="1178" t="s">
        <v>194</v>
      </c>
      <c r="BB72" s="1178" t="s">
        <v>194</v>
      </c>
      <c r="BC72" s="1178" t="s">
        <v>194</v>
      </c>
      <c r="BD72" s="1172" t="s">
        <v>1114</v>
      </c>
      <c r="BE72" s="1172" t="s">
        <v>194</v>
      </c>
      <c r="BF72" s="1173" t="s">
        <v>1115</v>
      </c>
      <c r="BG72" s="1172" t="s">
        <v>1116</v>
      </c>
      <c r="BH72" s="1172" t="s">
        <v>543</v>
      </c>
      <c r="BI72" s="1172" t="s">
        <v>194</v>
      </c>
      <c r="BJ72" s="1172" t="s">
        <v>544</v>
      </c>
      <c r="BK72" s="1174">
        <v>5.0</v>
      </c>
      <c r="BL72" s="1172" t="s">
        <v>545</v>
      </c>
      <c r="BM72" s="1172" t="s">
        <v>194</v>
      </c>
      <c r="BN72" s="1173" t="s">
        <v>546</v>
      </c>
      <c r="BO72" s="1172" t="s">
        <v>547</v>
      </c>
      <c r="BP72" s="1180" t="str">
        <f t="shared" si="3"/>
        <v>View Investor Online</v>
      </c>
    </row>
    <row r="73" ht="11.25" hidden="1" customHeight="1">
      <c r="A73" s="1164" t="s">
        <v>403</v>
      </c>
      <c r="B73" s="1164" t="s">
        <v>1118</v>
      </c>
      <c r="C73" s="1164" t="s">
        <v>460</v>
      </c>
      <c r="D73" s="1164" t="s">
        <v>1119</v>
      </c>
      <c r="E73" s="1164" t="s">
        <v>1120</v>
      </c>
      <c r="F73" s="1164" t="s">
        <v>1121</v>
      </c>
      <c r="G73" s="1164" t="s">
        <v>116</v>
      </c>
      <c r="H73" s="1165">
        <v>3.0</v>
      </c>
      <c r="I73" s="1164" t="s">
        <v>552</v>
      </c>
      <c r="J73" s="1164" t="s">
        <v>748</v>
      </c>
      <c r="K73" s="1164" t="s">
        <v>795</v>
      </c>
      <c r="L73" s="1164" t="s">
        <v>796</v>
      </c>
      <c r="M73" s="1164" t="s">
        <v>797</v>
      </c>
      <c r="N73" s="1164" t="s">
        <v>638</v>
      </c>
      <c r="O73" s="1164" t="s">
        <v>956</v>
      </c>
      <c r="P73" s="1166" t="s">
        <v>194</v>
      </c>
      <c r="Q73" s="1135">
        <v>41946.0</v>
      </c>
      <c r="R73" s="1164" t="s">
        <v>439</v>
      </c>
      <c r="S73" s="1164" t="s">
        <v>194</v>
      </c>
      <c r="T73" s="1164" t="s">
        <v>194</v>
      </c>
      <c r="U73" s="1164" t="s">
        <v>538</v>
      </c>
      <c r="V73" s="1164" t="s">
        <v>194</v>
      </c>
      <c r="W73" s="1164" t="s">
        <v>194</v>
      </c>
      <c r="X73" s="1164" t="s">
        <v>194</v>
      </c>
      <c r="Y73" s="1167">
        <v>235.0</v>
      </c>
      <c r="Z73" s="1164" t="s">
        <v>557</v>
      </c>
      <c r="AA73" s="1135" t="s">
        <v>194</v>
      </c>
      <c r="AB73" s="1164" t="s">
        <v>194</v>
      </c>
      <c r="AC73" s="1167" t="s">
        <v>194</v>
      </c>
      <c r="AD73" s="1164" t="s">
        <v>194</v>
      </c>
      <c r="AE73" s="1168" t="s">
        <v>194</v>
      </c>
      <c r="AF73" s="1167">
        <v>460.78</v>
      </c>
      <c r="AG73" s="1164" t="s">
        <v>557</v>
      </c>
      <c r="AH73" s="1164" t="s">
        <v>540</v>
      </c>
      <c r="AI73" s="1164" t="s">
        <v>194</v>
      </c>
      <c r="AJ73" s="1164" t="s">
        <v>194</v>
      </c>
      <c r="AK73" s="1165" t="s">
        <v>194</v>
      </c>
      <c r="AL73" s="1164" t="s">
        <v>194</v>
      </c>
      <c r="AM73" s="1167" t="s">
        <v>194</v>
      </c>
      <c r="AN73" s="1164" t="s">
        <v>194</v>
      </c>
      <c r="AO73" s="1169" t="s">
        <v>194</v>
      </c>
      <c r="AP73" s="1167" t="s">
        <v>194</v>
      </c>
      <c r="AQ73" s="1164" t="s">
        <v>194</v>
      </c>
      <c r="AR73" s="1167" t="s">
        <v>194</v>
      </c>
      <c r="AS73" s="1164" t="s">
        <v>194</v>
      </c>
      <c r="AT73" s="1167" t="s">
        <v>194</v>
      </c>
      <c r="AU73" s="1164" t="s">
        <v>194</v>
      </c>
      <c r="AV73" s="1170" t="s">
        <v>194</v>
      </c>
      <c r="AW73" s="1170" t="s">
        <v>194</v>
      </c>
      <c r="AX73" s="1170" t="s">
        <v>194</v>
      </c>
      <c r="AY73" s="1171" t="s">
        <v>194</v>
      </c>
      <c r="AZ73" s="1170" t="s">
        <v>194</v>
      </c>
      <c r="BA73" s="1170" t="s">
        <v>194</v>
      </c>
      <c r="BB73" s="1170" t="s">
        <v>194</v>
      </c>
      <c r="BC73" s="1170" t="s">
        <v>194</v>
      </c>
      <c r="BD73" s="1164" t="s">
        <v>1122</v>
      </c>
      <c r="BE73" s="1164" t="s">
        <v>194</v>
      </c>
      <c r="BF73" s="1165" t="s">
        <v>1123</v>
      </c>
      <c r="BG73" s="1164" t="s">
        <v>1124</v>
      </c>
      <c r="BH73" s="1164" t="s">
        <v>543</v>
      </c>
      <c r="BI73" s="1164" t="s">
        <v>194</v>
      </c>
      <c r="BJ73" s="1164" t="s">
        <v>544</v>
      </c>
      <c r="BK73" s="1166">
        <v>5.0</v>
      </c>
      <c r="BL73" s="1164" t="s">
        <v>545</v>
      </c>
      <c r="BM73" s="1164" t="s">
        <v>194</v>
      </c>
      <c r="BN73" s="1165" t="s">
        <v>546</v>
      </c>
      <c r="BO73" s="1164" t="s">
        <v>547</v>
      </c>
      <c r="BP73" s="1139" t="str">
        <f t="shared" si="3"/>
        <v>View Investor Online</v>
      </c>
    </row>
    <row r="74" ht="11.25" hidden="1" customHeight="1">
      <c r="A74" s="1172" t="s">
        <v>403</v>
      </c>
      <c r="B74" s="1172" t="s">
        <v>1125</v>
      </c>
      <c r="C74" s="1172" t="s">
        <v>460</v>
      </c>
      <c r="D74" s="1172" t="s">
        <v>1126</v>
      </c>
      <c r="E74" s="1172" t="s">
        <v>1127</v>
      </c>
      <c r="F74" s="1172" t="s">
        <v>1128</v>
      </c>
      <c r="G74" s="1172" t="s">
        <v>116</v>
      </c>
      <c r="H74" s="1173">
        <v>1.0</v>
      </c>
      <c r="I74" s="1172" t="s">
        <v>567</v>
      </c>
      <c r="J74" s="1172" t="s">
        <v>568</v>
      </c>
      <c r="K74" s="1172" t="s">
        <v>454</v>
      </c>
      <c r="L74" s="1172" t="s">
        <v>775</v>
      </c>
      <c r="M74" s="1172" t="s">
        <v>1129</v>
      </c>
      <c r="N74" s="1172" t="s">
        <v>535</v>
      </c>
      <c r="O74" s="1172" t="s">
        <v>536</v>
      </c>
      <c r="P74" s="1174">
        <v>45.0</v>
      </c>
      <c r="Q74" s="1142">
        <v>39937.0</v>
      </c>
      <c r="R74" s="1172" t="s">
        <v>439</v>
      </c>
      <c r="S74" s="1172" t="s">
        <v>194</v>
      </c>
      <c r="T74" s="1172" t="s">
        <v>194</v>
      </c>
      <c r="U74" s="1172" t="s">
        <v>538</v>
      </c>
      <c r="V74" s="1172" t="s">
        <v>194</v>
      </c>
      <c r="W74" s="1172" t="s">
        <v>194</v>
      </c>
      <c r="X74" s="1172" t="s">
        <v>194</v>
      </c>
      <c r="Y74" s="1175" t="s">
        <v>194</v>
      </c>
      <c r="Z74" s="1172" t="s">
        <v>194</v>
      </c>
      <c r="AA74" s="1142" t="s">
        <v>194</v>
      </c>
      <c r="AB74" s="1172" t="s">
        <v>194</v>
      </c>
      <c r="AC74" s="1175" t="s">
        <v>194</v>
      </c>
      <c r="AD74" s="1172" t="s">
        <v>194</v>
      </c>
      <c r="AE74" s="1176" t="s">
        <v>194</v>
      </c>
      <c r="AF74" s="1175" t="s">
        <v>194</v>
      </c>
      <c r="AG74" s="1172" t="s">
        <v>194</v>
      </c>
      <c r="AH74" s="1172" t="s">
        <v>540</v>
      </c>
      <c r="AI74" s="1172" t="s">
        <v>194</v>
      </c>
      <c r="AJ74" s="1172" t="s">
        <v>194</v>
      </c>
      <c r="AK74" s="1173" t="s">
        <v>194</v>
      </c>
      <c r="AL74" s="1172" t="s">
        <v>194</v>
      </c>
      <c r="AM74" s="1175" t="s">
        <v>194</v>
      </c>
      <c r="AN74" s="1172" t="s">
        <v>194</v>
      </c>
      <c r="AO74" s="1177" t="s">
        <v>194</v>
      </c>
      <c r="AP74" s="1175" t="s">
        <v>194</v>
      </c>
      <c r="AQ74" s="1172" t="s">
        <v>194</v>
      </c>
      <c r="AR74" s="1175" t="s">
        <v>194</v>
      </c>
      <c r="AS74" s="1172" t="s">
        <v>194</v>
      </c>
      <c r="AT74" s="1175" t="s">
        <v>194</v>
      </c>
      <c r="AU74" s="1172" t="s">
        <v>194</v>
      </c>
      <c r="AV74" s="1178" t="s">
        <v>194</v>
      </c>
      <c r="AW74" s="1178" t="s">
        <v>194</v>
      </c>
      <c r="AX74" s="1178" t="s">
        <v>194</v>
      </c>
      <c r="AY74" s="1179" t="s">
        <v>194</v>
      </c>
      <c r="AZ74" s="1178" t="s">
        <v>194</v>
      </c>
      <c r="BA74" s="1178" t="s">
        <v>194</v>
      </c>
      <c r="BB74" s="1178" t="s">
        <v>194</v>
      </c>
      <c r="BC74" s="1178" t="s">
        <v>194</v>
      </c>
      <c r="BD74" s="1172" t="s">
        <v>730</v>
      </c>
      <c r="BE74" s="1172" t="s">
        <v>731</v>
      </c>
      <c r="BF74" s="1173" t="s">
        <v>1130</v>
      </c>
      <c r="BG74" s="1172" t="s">
        <v>733</v>
      </c>
      <c r="BH74" s="1172" t="s">
        <v>543</v>
      </c>
      <c r="BI74" s="1172" t="s">
        <v>194</v>
      </c>
      <c r="BJ74" s="1172" t="s">
        <v>544</v>
      </c>
      <c r="BK74" s="1174">
        <v>5.0</v>
      </c>
      <c r="BL74" s="1172" t="s">
        <v>545</v>
      </c>
      <c r="BM74" s="1172" t="s">
        <v>194</v>
      </c>
      <c r="BN74" s="1173" t="s">
        <v>546</v>
      </c>
      <c r="BO74" s="1172" t="s">
        <v>547</v>
      </c>
      <c r="BP74" s="1180" t="str">
        <f t="shared" si="3"/>
        <v>View Investor Online</v>
      </c>
    </row>
    <row r="75" ht="11.25" hidden="1" customHeight="1">
      <c r="A75" s="1164" t="s">
        <v>403</v>
      </c>
      <c r="B75" s="1164" t="s">
        <v>1131</v>
      </c>
      <c r="C75" s="1164" t="s">
        <v>460</v>
      </c>
      <c r="D75" s="1164" t="s">
        <v>1132</v>
      </c>
      <c r="E75" s="1164" t="s">
        <v>1133</v>
      </c>
      <c r="F75" s="1164" t="s">
        <v>1134</v>
      </c>
      <c r="G75" s="1164" t="s">
        <v>116</v>
      </c>
      <c r="H75" s="1165">
        <v>1.0</v>
      </c>
      <c r="I75" s="1164" t="s">
        <v>552</v>
      </c>
      <c r="J75" s="1164" t="s">
        <v>748</v>
      </c>
      <c r="K75" s="1164" t="s">
        <v>1135</v>
      </c>
      <c r="L75" s="1164" t="s">
        <v>796</v>
      </c>
      <c r="M75" s="1164" t="s">
        <v>1136</v>
      </c>
      <c r="N75" s="1164" t="s">
        <v>535</v>
      </c>
      <c r="O75" s="1164" t="s">
        <v>536</v>
      </c>
      <c r="P75" s="1166" t="s">
        <v>194</v>
      </c>
      <c r="Q75" s="1135">
        <v>39904.0</v>
      </c>
      <c r="R75" s="1164" t="s">
        <v>439</v>
      </c>
      <c r="S75" s="1164" t="s">
        <v>194</v>
      </c>
      <c r="T75" s="1164" t="s">
        <v>194</v>
      </c>
      <c r="U75" s="1164" t="s">
        <v>538</v>
      </c>
      <c r="V75" s="1164" t="s">
        <v>194</v>
      </c>
      <c r="W75" s="1164" t="s">
        <v>194</v>
      </c>
      <c r="X75" s="1164" t="s">
        <v>194</v>
      </c>
      <c r="Y75" s="1167" t="s">
        <v>194</v>
      </c>
      <c r="Z75" s="1164" t="s">
        <v>194</v>
      </c>
      <c r="AA75" s="1135" t="s">
        <v>194</v>
      </c>
      <c r="AB75" s="1164" t="s">
        <v>194</v>
      </c>
      <c r="AC75" s="1167" t="s">
        <v>194</v>
      </c>
      <c r="AD75" s="1164" t="s">
        <v>194</v>
      </c>
      <c r="AE75" s="1168" t="s">
        <v>194</v>
      </c>
      <c r="AF75" s="1167" t="s">
        <v>194</v>
      </c>
      <c r="AG75" s="1164" t="s">
        <v>194</v>
      </c>
      <c r="AH75" s="1164" t="s">
        <v>540</v>
      </c>
      <c r="AI75" s="1164" t="s">
        <v>194</v>
      </c>
      <c r="AJ75" s="1164" t="s">
        <v>194</v>
      </c>
      <c r="AK75" s="1165" t="s">
        <v>194</v>
      </c>
      <c r="AL75" s="1164" t="s">
        <v>194</v>
      </c>
      <c r="AM75" s="1167" t="s">
        <v>194</v>
      </c>
      <c r="AN75" s="1164" t="s">
        <v>194</v>
      </c>
      <c r="AO75" s="1169" t="s">
        <v>194</v>
      </c>
      <c r="AP75" s="1167" t="s">
        <v>194</v>
      </c>
      <c r="AQ75" s="1164" t="s">
        <v>194</v>
      </c>
      <c r="AR75" s="1167" t="s">
        <v>194</v>
      </c>
      <c r="AS75" s="1164" t="s">
        <v>194</v>
      </c>
      <c r="AT75" s="1167" t="s">
        <v>194</v>
      </c>
      <c r="AU75" s="1164" t="s">
        <v>194</v>
      </c>
      <c r="AV75" s="1170" t="s">
        <v>194</v>
      </c>
      <c r="AW75" s="1170" t="s">
        <v>194</v>
      </c>
      <c r="AX75" s="1170" t="s">
        <v>194</v>
      </c>
      <c r="AY75" s="1171" t="s">
        <v>194</v>
      </c>
      <c r="AZ75" s="1170" t="s">
        <v>194</v>
      </c>
      <c r="BA75" s="1170" t="s">
        <v>194</v>
      </c>
      <c r="BB75" s="1170" t="s">
        <v>194</v>
      </c>
      <c r="BC75" s="1170" t="s">
        <v>194</v>
      </c>
      <c r="BD75" s="1164" t="s">
        <v>1137</v>
      </c>
      <c r="BE75" s="1164" t="s">
        <v>194</v>
      </c>
      <c r="BF75" s="1165" t="s">
        <v>1138</v>
      </c>
      <c r="BG75" s="1164" t="s">
        <v>1139</v>
      </c>
      <c r="BH75" s="1164" t="s">
        <v>543</v>
      </c>
      <c r="BI75" s="1164" t="s">
        <v>194</v>
      </c>
      <c r="BJ75" s="1164" t="s">
        <v>544</v>
      </c>
      <c r="BK75" s="1166">
        <v>5.0</v>
      </c>
      <c r="BL75" s="1164" t="s">
        <v>545</v>
      </c>
      <c r="BM75" s="1164" t="s">
        <v>194</v>
      </c>
      <c r="BN75" s="1165" t="s">
        <v>546</v>
      </c>
      <c r="BO75" s="1164" t="s">
        <v>547</v>
      </c>
      <c r="BP75" s="1139" t="str">
        <f t="shared" si="3"/>
        <v>View Investor Online</v>
      </c>
    </row>
    <row r="76" ht="11.25" hidden="1" customHeight="1">
      <c r="A76" s="1172" t="s">
        <v>403</v>
      </c>
      <c r="B76" s="1172" t="s">
        <v>1140</v>
      </c>
      <c r="C76" s="1172" t="s">
        <v>460</v>
      </c>
      <c r="D76" s="1172" t="s">
        <v>1141</v>
      </c>
      <c r="E76" s="1172" t="s">
        <v>1142</v>
      </c>
      <c r="F76" s="1172" t="s">
        <v>1143</v>
      </c>
      <c r="G76" s="1172" t="s">
        <v>529</v>
      </c>
      <c r="H76" s="1173">
        <v>2.0</v>
      </c>
      <c r="I76" s="1172" t="s">
        <v>530</v>
      </c>
      <c r="J76" s="1172" t="s">
        <v>531</v>
      </c>
      <c r="K76" s="1172" t="s">
        <v>623</v>
      </c>
      <c r="L76" s="1172" t="s">
        <v>612</v>
      </c>
      <c r="M76" s="1172" t="s">
        <v>1144</v>
      </c>
      <c r="N76" s="1172" t="s">
        <v>845</v>
      </c>
      <c r="O76" s="1172" t="s">
        <v>671</v>
      </c>
      <c r="P76" s="1174">
        <v>11.0</v>
      </c>
      <c r="Q76" s="1142">
        <v>39052.0</v>
      </c>
      <c r="R76" s="1172" t="s">
        <v>446</v>
      </c>
      <c r="S76" s="1172" t="s">
        <v>918</v>
      </c>
      <c r="T76" s="1172" t="s">
        <v>194</v>
      </c>
      <c r="U76" s="1172" t="s">
        <v>600</v>
      </c>
      <c r="V76" s="1172" t="s">
        <v>194</v>
      </c>
      <c r="W76" s="1172" t="s">
        <v>194</v>
      </c>
      <c r="X76" s="1172" t="s">
        <v>194</v>
      </c>
      <c r="Y76" s="1175">
        <v>8.0</v>
      </c>
      <c r="Z76" s="1172" t="s">
        <v>557</v>
      </c>
      <c r="AA76" s="1142">
        <v>39052.0</v>
      </c>
      <c r="AB76" s="1172" t="s">
        <v>1145</v>
      </c>
      <c r="AC76" s="1175">
        <v>8.0</v>
      </c>
      <c r="AD76" s="1172">
        <v>6.58</v>
      </c>
      <c r="AE76" s="1176" t="s">
        <v>194</v>
      </c>
      <c r="AF76" s="1175" t="s">
        <v>194</v>
      </c>
      <c r="AG76" s="1172" t="s">
        <v>194</v>
      </c>
      <c r="AH76" s="1172" t="s">
        <v>540</v>
      </c>
      <c r="AI76" s="1172" t="s">
        <v>194</v>
      </c>
      <c r="AJ76" s="1172" t="s">
        <v>194</v>
      </c>
      <c r="AK76" s="1173" t="s">
        <v>194</v>
      </c>
      <c r="AL76" s="1172" t="s">
        <v>194</v>
      </c>
      <c r="AM76" s="1175" t="s">
        <v>194</v>
      </c>
      <c r="AN76" s="1172" t="s">
        <v>194</v>
      </c>
      <c r="AO76" s="1177" t="s">
        <v>194</v>
      </c>
      <c r="AP76" s="1175" t="s">
        <v>194</v>
      </c>
      <c r="AQ76" s="1172" t="s">
        <v>194</v>
      </c>
      <c r="AR76" s="1175" t="s">
        <v>194</v>
      </c>
      <c r="AS76" s="1172" t="s">
        <v>194</v>
      </c>
      <c r="AT76" s="1175" t="s">
        <v>194</v>
      </c>
      <c r="AU76" s="1172" t="s">
        <v>194</v>
      </c>
      <c r="AV76" s="1178" t="s">
        <v>194</v>
      </c>
      <c r="AW76" s="1178" t="s">
        <v>194</v>
      </c>
      <c r="AX76" s="1178" t="s">
        <v>194</v>
      </c>
      <c r="AY76" s="1179" t="s">
        <v>194</v>
      </c>
      <c r="AZ76" s="1178" t="s">
        <v>194</v>
      </c>
      <c r="BA76" s="1178" t="s">
        <v>194</v>
      </c>
      <c r="BB76" s="1178" t="s">
        <v>194</v>
      </c>
      <c r="BC76" s="1178" t="s">
        <v>194</v>
      </c>
      <c r="BD76" s="1172" t="s">
        <v>1146</v>
      </c>
      <c r="BE76" s="1172" t="s">
        <v>661</v>
      </c>
      <c r="BF76" s="1173" t="s">
        <v>1147</v>
      </c>
      <c r="BG76" s="1172" t="s">
        <v>562</v>
      </c>
      <c r="BH76" s="1172" t="s">
        <v>543</v>
      </c>
      <c r="BI76" s="1172" t="s">
        <v>194</v>
      </c>
      <c r="BJ76" s="1172" t="s">
        <v>544</v>
      </c>
      <c r="BK76" s="1174">
        <v>5.0</v>
      </c>
      <c r="BL76" s="1172" t="s">
        <v>545</v>
      </c>
      <c r="BM76" s="1172" t="s">
        <v>194</v>
      </c>
      <c r="BN76" s="1173" t="s">
        <v>546</v>
      </c>
      <c r="BO76" s="1172" t="s">
        <v>547</v>
      </c>
      <c r="BP76" s="1180" t="str">
        <f t="shared" si="3"/>
        <v>View Investor Online</v>
      </c>
    </row>
    <row r="77" ht="11.25" hidden="1" customHeight="1">
      <c r="A77" s="1172" t="s">
        <v>403</v>
      </c>
      <c r="B77" s="1172" t="s">
        <v>1148</v>
      </c>
      <c r="C77" s="1172" t="s">
        <v>460</v>
      </c>
      <c r="D77" s="1172" t="s">
        <v>1149</v>
      </c>
      <c r="E77" s="1172" t="s">
        <v>1150</v>
      </c>
      <c r="F77" s="1172" t="s">
        <v>1151</v>
      </c>
      <c r="G77" s="1172" t="s">
        <v>116</v>
      </c>
      <c r="H77" s="1173">
        <v>1.0</v>
      </c>
      <c r="I77" s="1172" t="s">
        <v>667</v>
      </c>
      <c r="J77" s="1172" t="s">
        <v>668</v>
      </c>
      <c r="K77" s="1172" t="s">
        <v>669</v>
      </c>
      <c r="L77" s="1172" t="s">
        <v>636</v>
      </c>
      <c r="M77" s="1172" t="s">
        <v>1152</v>
      </c>
      <c r="N77" s="1172" t="s">
        <v>535</v>
      </c>
      <c r="O77" s="1172" t="s">
        <v>536</v>
      </c>
      <c r="P77" s="1174">
        <v>130.0</v>
      </c>
      <c r="Q77" s="1142">
        <v>39897.0</v>
      </c>
      <c r="R77" s="1172" t="s">
        <v>439</v>
      </c>
      <c r="S77" s="1172" t="s">
        <v>194</v>
      </c>
      <c r="T77" s="1172" t="s">
        <v>194</v>
      </c>
      <c r="U77" s="1172" t="s">
        <v>538</v>
      </c>
      <c r="V77" s="1172" t="s">
        <v>194</v>
      </c>
      <c r="W77" s="1172" t="s">
        <v>194</v>
      </c>
      <c r="X77" s="1172" t="s">
        <v>194</v>
      </c>
      <c r="Y77" s="1175" t="s">
        <v>194</v>
      </c>
      <c r="Z77" s="1172" t="s">
        <v>194</v>
      </c>
      <c r="AA77" s="1142" t="s">
        <v>194</v>
      </c>
      <c r="AB77" s="1172" t="s">
        <v>194</v>
      </c>
      <c r="AC77" s="1175" t="s">
        <v>194</v>
      </c>
      <c r="AD77" s="1172" t="s">
        <v>194</v>
      </c>
      <c r="AE77" s="1176" t="s">
        <v>194</v>
      </c>
      <c r="AF77" s="1175" t="s">
        <v>194</v>
      </c>
      <c r="AG77" s="1172" t="s">
        <v>194</v>
      </c>
      <c r="AH77" s="1172" t="s">
        <v>540</v>
      </c>
      <c r="AI77" s="1172" t="s">
        <v>194</v>
      </c>
      <c r="AJ77" s="1172" t="s">
        <v>194</v>
      </c>
      <c r="AK77" s="1173" t="s">
        <v>194</v>
      </c>
      <c r="AL77" s="1172" t="s">
        <v>194</v>
      </c>
      <c r="AM77" s="1175" t="s">
        <v>194</v>
      </c>
      <c r="AN77" s="1172" t="s">
        <v>194</v>
      </c>
      <c r="AO77" s="1177" t="s">
        <v>194</v>
      </c>
      <c r="AP77" s="1175" t="s">
        <v>194</v>
      </c>
      <c r="AQ77" s="1172" t="s">
        <v>194</v>
      </c>
      <c r="AR77" s="1175" t="s">
        <v>194</v>
      </c>
      <c r="AS77" s="1172" t="s">
        <v>194</v>
      </c>
      <c r="AT77" s="1175" t="s">
        <v>194</v>
      </c>
      <c r="AU77" s="1172" t="s">
        <v>194</v>
      </c>
      <c r="AV77" s="1178" t="s">
        <v>194</v>
      </c>
      <c r="AW77" s="1178" t="s">
        <v>194</v>
      </c>
      <c r="AX77" s="1178" t="s">
        <v>194</v>
      </c>
      <c r="AY77" s="1179" t="s">
        <v>194</v>
      </c>
      <c r="AZ77" s="1178" t="s">
        <v>194</v>
      </c>
      <c r="BA77" s="1178" t="s">
        <v>194</v>
      </c>
      <c r="BB77" s="1178" t="s">
        <v>194</v>
      </c>
      <c r="BC77" s="1178" t="s">
        <v>194</v>
      </c>
      <c r="BD77" s="1172" t="s">
        <v>1153</v>
      </c>
      <c r="BE77" s="1172" t="s">
        <v>651</v>
      </c>
      <c r="BF77" s="1173" t="s">
        <v>1154</v>
      </c>
      <c r="BG77" s="1172" t="s">
        <v>652</v>
      </c>
      <c r="BH77" s="1172" t="s">
        <v>543</v>
      </c>
      <c r="BI77" s="1172" t="s">
        <v>194</v>
      </c>
      <c r="BJ77" s="1172" t="s">
        <v>544</v>
      </c>
      <c r="BK77" s="1174">
        <v>5.0</v>
      </c>
      <c r="BL77" s="1172" t="s">
        <v>545</v>
      </c>
      <c r="BM77" s="1172" t="s">
        <v>194</v>
      </c>
      <c r="BN77" s="1173" t="s">
        <v>546</v>
      </c>
      <c r="BO77" s="1172" t="s">
        <v>547</v>
      </c>
      <c r="BP77" s="1180" t="str">
        <f t="shared" si="3"/>
        <v>View Investor Online</v>
      </c>
    </row>
    <row r="78" ht="11.25" hidden="1" customHeight="1">
      <c r="A78" s="1172" t="s">
        <v>403</v>
      </c>
      <c r="B78" s="1172" t="s">
        <v>1155</v>
      </c>
      <c r="C78" s="1172" t="s">
        <v>460</v>
      </c>
      <c r="D78" s="1172" t="s">
        <v>1156</v>
      </c>
      <c r="E78" s="1172" t="s">
        <v>1157</v>
      </c>
      <c r="F78" s="1172" t="s">
        <v>1158</v>
      </c>
      <c r="G78" s="1172" t="s">
        <v>116</v>
      </c>
      <c r="H78" s="1173">
        <v>1.0</v>
      </c>
      <c r="I78" s="1172" t="s">
        <v>567</v>
      </c>
      <c r="J78" s="1172" t="s">
        <v>785</v>
      </c>
      <c r="K78" s="1172" t="s">
        <v>786</v>
      </c>
      <c r="L78" s="1172" t="s">
        <v>775</v>
      </c>
      <c r="M78" s="1172" t="s">
        <v>787</v>
      </c>
      <c r="N78" s="1172" t="s">
        <v>535</v>
      </c>
      <c r="O78" s="1172" t="s">
        <v>536</v>
      </c>
      <c r="P78" s="1174" t="s">
        <v>194</v>
      </c>
      <c r="Q78" s="1142">
        <v>39798.0</v>
      </c>
      <c r="R78" s="1172" t="s">
        <v>439</v>
      </c>
      <c r="S78" s="1172" t="s">
        <v>194</v>
      </c>
      <c r="T78" s="1172" t="s">
        <v>194</v>
      </c>
      <c r="U78" s="1172" t="s">
        <v>538</v>
      </c>
      <c r="V78" s="1172" t="s">
        <v>194</v>
      </c>
      <c r="W78" s="1172" t="s">
        <v>194</v>
      </c>
      <c r="X78" s="1172" t="s">
        <v>194</v>
      </c>
      <c r="Y78" s="1175" t="s">
        <v>194</v>
      </c>
      <c r="Z78" s="1172" t="s">
        <v>194</v>
      </c>
      <c r="AA78" s="1142" t="s">
        <v>194</v>
      </c>
      <c r="AB78" s="1172" t="s">
        <v>194</v>
      </c>
      <c r="AC78" s="1175" t="s">
        <v>194</v>
      </c>
      <c r="AD78" s="1172" t="s">
        <v>194</v>
      </c>
      <c r="AE78" s="1176" t="s">
        <v>194</v>
      </c>
      <c r="AF78" s="1175" t="s">
        <v>194</v>
      </c>
      <c r="AG78" s="1172" t="s">
        <v>194</v>
      </c>
      <c r="AH78" s="1172" t="s">
        <v>540</v>
      </c>
      <c r="AI78" s="1172" t="s">
        <v>1159</v>
      </c>
      <c r="AJ78" s="1172" t="s">
        <v>194</v>
      </c>
      <c r="AK78" s="1173" t="s">
        <v>194</v>
      </c>
      <c r="AL78" s="1172" t="s">
        <v>194</v>
      </c>
      <c r="AM78" s="1175" t="s">
        <v>194</v>
      </c>
      <c r="AN78" s="1172" t="s">
        <v>194</v>
      </c>
      <c r="AO78" s="1177" t="s">
        <v>194</v>
      </c>
      <c r="AP78" s="1175" t="s">
        <v>194</v>
      </c>
      <c r="AQ78" s="1172" t="s">
        <v>194</v>
      </c>
      <c r="AR78" s="1175" t="s">
        <v>194</v>
      </c>
      <c r="AS78" s="1172" t="s">
        <v>194</v>
      </c>
      <c r="AT78" s="1175" t="s">
        <v>194</v>
      </c>
      <c r="AU78" s="1172" t="s">
        <v>194</v>
      </c>
      <c r="AV78" s="1178" t="s">
        <v>194</v>
      </c>
      <c r="AW78" s="1178" t="s">
        <v>194</v>
      </c>
      <c r="AX78" s="1178" t="s">
        <v>194</v>
      </c>
      <c r="AY78" s="1179" t="s">
        <v>194</v>
      </c>
      <c r="AZ78" s="1178" t="s">
        <v>194</v>
      </c>
      <c r="BA78" s="1178" t="s">
        <v>194</v>
      </c>
      <c r="BB78" s="1178" t="s">
        <v>194</v>
      </c>
      <c r="BC78" s="1178" t="s">
        <v>194</v>
      </c>
      <c r="BD78" s="1172" t="s">
        <v>1160</v>
      </c>
      <c r="BE78" s="1172" t="s">
        <v>194</v>
      </c>
      <c r="BF78" s="1173" t="s">
        <v>194</v>
      </c>
      <c r="BG78" s="1172" t="s">
        <v>984</v>
      </c>
      <c r="BH78" s="1172" t="s">
        <v>543</v>
      </c>
      <c r="BI78" s="1172" t="s">
        <v>194</v>
      </c>
      <c r="BJ78" s="1172" t="s">
        <v>544</v>
      </c>
      <c r="BK78" s="1174">
        <v>5.0</v>
      </c>
      <c r="BL78" s="1172" t="s">
        <v>545</v>
      </c>
      <c r="BM78" s="1172" t="s">
        <v>194</v>
      </c>
      <c r="BN78" s="1173" t="s">
        <v>546</v>
      </c>
      <c r="BO78" s="1172" t="s">
        <v>547</v>
      </c>
      <c r="BP78" s="1180" t="str">
        <f t="shared" si="3"/>
        <v>View Investor Online</v>
      </c>
    </row>
    <row r="79" ht="11.25" hidden="1" customHeight="1">
      <c r="A79" s="1164" t="s">
        <v>403</v>
      </c>
      <c r="B79" s="1164" t="s">
        <v>1161</v>
      </c>
      <c r="C79" s="1164" t="s">
        <v>460</v>
      </c>
      <c r="D79" s="1164" t="s">
        <v>1162</v>
      </c>
      <c r="E79" s="1164" t="s">
        <v>1163</v>
      </c>
      <c r="F79" s="1164" t="s">
        <v>1164</v>
      </c>
      <c r="G79" s="1164" t="s">
        <v>116</v>
      </c>
      <c r="H79" s="1165">
        <v>1.0</v>
      </c>
      <c r="I79" s="1164" t="s">
        <v>567</v>
      </c>
      <c r="J79" s="1164" t="s">
        <v>568</v>
      </c>
      <c r="K79" s="1164" t="s">
        <v>774</v>
      </c>
      <c r="L79" s="1164" t="s">
        <v>775</v>
      </c>
      <c r="M79" s="1164" t="s">
        <v>1165</v>
      </c>
      <c r="N79" s="1164" t="s">
        <v>535</v>
      </c>
      <c r="O79" s="1164" t="s">
        <v>536</v>
      </c>
      <c r="P79" s="1166" t="s">
        <v>194</v>
      </c>
      <c r="Q79" s="1135">
        <v>39797.0</v>
      </c>
      <c r="R79" s="1164" t="s">
        <v>439</v>
      </c>
      <c r="S79" s="1164" t="s">
        <v>194</v>
      </c>
      <c r="T79" s="1164" t="s">
        <v>194</v>
      </c>
      <c r="U79" s="1164" t="s">
        <v>538</v>
      </c>
      <c r="V79" s="1164" t="s">
        <v>194</v>
      </c>
      <c r="W79" s="1164" t="s">
        <v>194</v>
      </c>
      <c r="X79" s="1164" t="s">
        <v>194</v>
      </c>
      <c r="Y79" s="1167" t="s">
        <v>194</v>
      </c>
      <c r="Z79" s="1164" t="s">
        <v>194</v>
      </c>
      <c r="AA79" s="1135" t="s">
        <v>194</v>
      </c>
      <c r="AB79" s="1164" t="s">
        <v>194</v>
      </c>
      <c r="AC79" s="1167" t="s">
        <v>194</v>
      </c>
      <c r="AD79" s="1164" t="s">
        <v>194</v>
      </c>
      <c r="AE79" s="1168" t="s">
        <v>194</v>
      </c>
      <c r="AF79" s="1167" t="s">
        <v>194</v>
      </c>
      <c r="AG79" s="1164" t="s">
        <v>194</v>
      </c>
      <c r="AH79" s="1164" t="s">
        <v>540</v>
      </c>
      <c r="AI79" s="1164" t="s">
        <v>1159</v>
      </c>
      <c r="AJ79" s="1164" t="s">
        <v>194</v>
      </c>
      <c r="AK79" s="1165" t="s">
        <v>194</v>
      </c>
      <c r="AL79" s="1164" t="s">
        <v>194</v>
      </c>
      <c r="AM79" s="1167" t="s">
        <v>194</v>
      </c>
      <c r="AN79" s="1164" t="s">
        <v>194</v>
      </c>
      <c r="AO79" s="1169" t="s">
        <v>194</v>
      </c>
      <c r="AP79" s="1167" t="s">
        <v>194</v>
      </c>
      <c r="AQ79" s="1164" t="s">
        <v>194</v>
      </c>
      <c r="AR79" s="1167" t="s">
        <v>194</v>
      </c>
      <c r="AS79" s="1164" t="s">
        <v>194</v>
      </c>
      <c r="AT79" s="1167" t="s">
        <v>194</v>
      </c>
      <c r="AU79" s="1164" t="s">
        <v>194</v>
      </c>
      <c r="AV79" s="1170" t="s">
        <v>194</v>
      </c>
      <c r="AW79" s="1170" t="s">
        <v>194</v>
      </c>
      <c r="AX79" s="1170" t="s">
        <v>194</v>
      </c>
      <c r="AY79" s="1171" t="s">
        <v>194</v>
      </c>
      <c r="AZ79" s="1170" t="s">
        <v>194</v>
      </c>
      <c r="BA79" s="1170" t="s">
        <v>194</v>
      </c>
      <c r="BB79" s="1170" t="s">
        <v>194</v>
      </c>
      <c r="BC79" s="1170" t="s">
        <v>194</v>
      </c>
      <c r="BD79" s="1164" t="s">
        <v>1083</v>
      </c>
      <c r="BE79" s="1164" t="s">
        <v>194</v>
      </c>
      <c r="BF79" s="1165" t="s">
        <v>1166</v>
      </c>
      <c r="BG79" s="1164" t="s">
        <v>1085</v>
      </c>
      <c r="BH79" s="1164" t="s">
        <v>543</v>
      </c>
      <c r="BI79" s="1164" t="s">
        <v>194</v>
      </c>
      <c r="BJ79" s="1164" t="s">
        <v>544</v>
      </c>
      <c r="BK79" s="1166">
        <v>5.0</v>
      </c>
      <c r="BL79" s="1164" t="s">
        <v>545</v>
      </c>
      <c r="BM79" s="1164" t="s">
        <v>194</v>
      </c>
      <c r="BN79" s="1165" t="s">
        <v>546</v>
      </c>
      <c r="BO79" s="1164" t="s">
        <v>547</v>
      </c>
      <c r="BP79" s="1139" t="str">
        <f t="shared" si="3"/>
        <v>View Investor Online</v>
      </c>
    </row>
    <row r="80" ht="11.25" hidden="1" customHeight="1">
      <c r="A80" s="1172" t="s">
        <v>403</v>
      </c>
      <c r="B80" s="1172" t="s">
        <v>1167</v>
      </c>
      <c r="C80" s="1172" t="s">
        <v>460</v>
      </c>
      <c r="D80" s="1172" t="s">
        <v>1168</v>
      </c>
      <c r="E80" s="1172" t="s">
        <v>1169</v>
      </c>
      <c r="F80" s="1172" t="s">
        <v>1170</v>
      </c>
      <c r="G80" s="1172" t="s">
        <v>116</v>
      </c>
      <c r="H80" s="1173">
        <v>1.0</v>
      </c>
      <c r="I80" s="1172" t="s">
        <v>567</v>
      </c>
      <c r="J80" s="1172" t="s">
        <v>568</v>
      </c>
      <c r="K80" s="1172" t="s">
        <v>442</v>
      </c>
      <c r="L80" s="1172" t="s">
        <v>775</v>
      </c>
      <c r="M80" s="1172" t="s">
        <v>1171</v>
      </c>
      <c r="N80" s="1172" t="s">
        <v>535</v>
      </c>
      <c r="O80" s="1172" t="s">
        <v>536</v>
      </c>
      <c r="P80" s="1174">
        <v>150.0</v>
      </c>
      <c r="Q80" s="1142">
        <v>39773.0</v>
      </c>
      <c r="R80" s="1172" t="s">
        <v>439</v>
      </c>
      <c r="S80" s="1172" t="s">
        <v>194</v>
      </c>
      <c r="T80" s="1172" t="s">
        <v>194</v>
      </c>
      <c r="U80" s="1172" t="s">
        <v>538</v>
      </c>
      <c r="V80" s="1172" t="s">
        <v>194</v>
      </c>
      <c r="W80" s="1172" t="s">
        <v>194</v>
      </c>
      <c r="X80" s="1172" t="s">
        <v>194</v>
      </c>
      <c r="Y80" s="1175" t="s">
        <v>194</v>
      </c>
      <c r="Z80" s="1172" t="s">
        <v>194</v>
      </c>
      <c r="AA80" s="1142" t="s">
        <v>194</v>
      </c>
      <c r="AB80" s="1172" t="s">
        <v>194</v>
      </c>
      <c r="AC80" s="1175" t="s">
        <v>194</v>
      </c>
      <c r="AD80" s="1172" t="s">
        <v>194</v>
      </c>
      <c r="AE80" s="1176" t="s">
        <v>194</v>
      </c>
      <c r="AF80" s="1175" t="s">
        <v>194</v>
      </c>
      <c r="AG80" s="1172" t="s">
        <v>194</v>
      </c>
      <c r="AH80" s="1172" t="s">
        <v>540</v>
      </c>
      <c r="AI80" s="1172" t="s">
        <v>194</v>
      </c>
      <c r="AJ80" s="1172" t="s">
        <v>194</v>
      </c>
      <c r="AK80" s="1173" t="s">
        <v>194</v>
      </c>
      <c r="AL80" s="1172" t="s">
        <v>194</v>
      </c>
      <c r="AM80" s="1175" t="s">
        <v>194</v>
      </c>
      <c r="AN80" s="1172" t="s">
        <v>194</v>
      </c>
      <c r="AO80" s="1177" t="s">
        <v>194</v>
      </c>
      <c r="AP80" s="1175" t="s">
        <v>194</v>
      </c>
      <c r="AQ80" s="1172" t="s">
        <v>194</v>
      </c>
      <c r="AR80" s="1175" t="s">
        <v>194</v>
      </c>
      <c r="AS80" s="1172" t="s">
        <v>194</v>
      </c>
      <c r="AT80" s="1175" t="s">
        <v>194</v>
      </c>
      <c r="AU80" s="1172" t="s">
        <v>194</v>
      </c>
      <c r="AV80" s="1178" t="s">
        <v>194</v>
      </c>
      <c r="AW80" s="1178" t="s">
        <v>194</v>
      </c>
      <c r="AX80" s="1178" t="s">
        <v>194</v>
      </c>
      <c r="AY80" s="1179" t="s">
        <v>194</v>
      </c>
      <c r="AZ80" s="1178" t="s">
        <v>194</v>
      </c>
      <c r="BA80" s="1178" t="s">
        <v>194</v>
      </c>
      <c r="BB80" s="1178" t="s">
        <v>194</v>
      </c>
      <c r="BC80" s="1178" t="s">
        <v>194</v>
      </c>
      <c r="BD80" s="1172" t="s">
        <v>1172</v>
      </c>
      <c r="BE80" s="1172" t="s">
        <v>194</v>
      </c>
      <c r="BF80" s="1173" t="s">
        <v>1173</v>
      </c>
      <c r="BG80" s="1172" t="s">
        <v>897</v>
      </c>
      <c r="BH80" s="1172" t="s">
        <v>543</v>
      </c>
      <c r="BI80" s="1172" t="s">
        <v>194</v>
      </c>
      <c r="BJ80" s="1172" t="s">
        <v>544</v>
      </c>
      <c r="BK80" s="1174">
        <v>5.0</v>
      </c>
      <c r="BL80" s="1172" t="s">
        <v>545</v>
      </c>
      <c r="BM80" s="1172" t="s">
        <v>194</v>
      </c>
      <c r="BN80" s="1173" t="s">
        <v>546</v>
      </c>
      <c r="BO80" s="1172" t="s">
        <v>547</v>
      </c>
      <c r="BP80" s="1180" t="str">
        <f t="shared" si="3"/>
        <v>View Investor Online</v>
      </c>
    </row>
    <row r="81" ht="11.25" hidden="1" customHeight="1">
      <c r="A81" s="1164" t="s">
        <v>403</v>
      </c>
      <c r="B81" s="1164" t="s">
        <v>1174</v>
      </c>
      <c r="C81" s="1164" t="s">
        <v>460</v>
      </c>
      <c r="D81" s="1164" t="s">
        <v>1175</v>
      </c>
      <c r="E81" s="1164" t="s">
        <v>1176</v>
      </c>
      <c r="F81" s="1164" t="s">
        <v>1177</v>
      </c>
      <c r="G81" s="1164" t="s">
        <v>116</v>
      </c>
      <c r="H81" s="1165">
        <v>4.0</v>
      </c>
      <c r="I81" s="1164" t="s">
        <v>567</v>
      </c>
      <c r="J81" s="1164" t="s">
        <v>568</v>
      </c>
      <c r="K81" s="1164" t="s">
        <v>657</v>
      </c>
      <c r="L81" s="1164" t="s">
        <v>775</v>
      </c>
      <c r="M81" s="1164" t="s">
        <v>1178</v>
      </c>
      <c r="N81" s="1164" t="s">
        <v>535</v>
      </c>
      <c r="O81" s="1164" t="s">
        <v>826</v>
      </c>
      <c r="P81" s="1166">
        <v>210.0</v>
      </c>
      <c r="Q81" s="1135">
        <v>42961.0</v>
      </c>
      <c r="R81" s="1164" t="s">
        <v>439</v>
      </c>
      <c r="S81" s="1164" t="s">
        <v>194</v>
      </c>
      <c r="T81" s="1164" t="s">
        <v>194</v>
      </c>
      <c r="U81" s="1164" t="s">
        <v>538</v>
      </c>
      <c r="V81" s="1164" t="s">
        <v>194</v>
      </c>
      <c r="W81" s="1164" t="s">
        <v>194</v>
      </c>
      <c r="X81" s="1164" t="s">
        <v>194</v>
      </c>
      <c r="Y81" s="1167" t="s">
        <v>194</v>
      </c>
      <c r="Z81" s="1164" t="s">
        <v>194</v>
      </c>
      <c r="AA81" s="1135" t="s">
        <v>194</v>
      </c>
      <c r="AB81" s="1164" t="s">
        <v>194</v>
      </c>
      <c r="AC81" s="1167" t="s">
        <v>194</v>
      </c>
      <c r="AD81" s="1164" t="s">
        <v>194</v>
      </c>
      <c r="AE81" s="1168" t="s">
        <v>194</v>
      </c>
      <c r="AF81" s="1167" t="s">
        <v>194</v>
      </c>
      <c r="AG81" s="1164" t="s">
        <v>194</v>
      </c>
      <c r="AH81" s="1164" t="s">
        <v>540</v>
      </c>
      <c r="AI81" s="1164" t="s">
        <v>1066</v>
      </c>
      <c r="AJ81" s="1164" t="s">
        <v>1067</v>
      </c>
      <c r="AK81" s="1165" t="s">
        <v>573</v>
      </c>
      <c r="AL81" s="1164" t="s">
        <v>194</v>
      </c>
      <c r="AM81" s="1167">
        <v>50000.0</v>
      </c>
      <c r="AN81" s="1164" t="s">
        <v>558</v>
      </c>
      <c r="AO81" s="1169">
        <v>339.40592319184464</v>
      </c>
      <c r="AP81" s="1167" t="s">
        <v>194</v>
      </c>
      <c r="AQ81" s="1164" t="s">
        <v>194</v>
      </c>
      <c r="AR81" s="1167" t="s">
        <v>194</v>
      </c>
      <c r="AS81" s="1164" t="s">
        <v>194</v>
      </c>
      <c r="AT81" s="1167" t="s">
        <v>194</v>
      </c>
      <c r="AU81" s="1164" t="s">
        <v>194</v>
      </c>
      <c r="AV81" s="1170" t="s">
        <v>194</v>
      </c>
      <c r="AW81" s="1170" t="s">
        <v>194</v>
      </c>
      <c r="AX81" s="1170" t="s">
        <v>194</v>
      </c>
      <c r="AY81" s="1171" t="s">
        <v>194</v>
      </c>
      <c r="AZ81" s="1170" t="s">
        <v>194</v>
      </c>
      <c r="BA81" s="1170" t="s">
        <v>194</v>
      </c>
      <c r="BB81" s="1170" t="s">
        <v>194</v>
      </c>
      <c r="BC81" s="1170" t="s">
        <v>194</v>
      </c>
      <c r="BD81" s="1164" t="s">
        <v>1179</v>
      </c>
      <c r="BE81" s="1164" t="s">
        <v>1180</v>
      </c>
      <c r="BF81" s="1165" t="s">
        <v>1181</v>
      </c>
      <c r="BG81" s="1164" t="s">
        <v>562</v>
      </c>
      <c r="BH81" s="1164" t="s">
        <v>543</v>
      </c>
      <c r="BI81" s="1164" t="s">
        <v>194</v>
      </c>
      <c r="BJ81" s="1164" t="s">
        <v>544</v>
      </c>
      <c r="BK81" s="1166">
        <v>5.0</v>
      </c>
      <c r="BL81" s="1164" t="s">
        <v>545</v>
      </c>
      <c r="BM81" s="1164" t="s">
        <v>194</v>
      </c>
      <c r="BN81" s="1165" t="s">
        <v>546</v>
      </c>
      <c r="BO81" s="1164" t="s">
        <v>547</v>
      </c>
      <c r="BP81" s="1139" t="str">
        <f t="shared" si="3"/>
        <v>View Investor Online</v>
      </c>
    </row>
    <row r="82" ht="11.25" hidden="1" customHeight="1">
      <c r="A82" s="1172" t="s">
        <v>403</v>
      </c>
      <c r="B82" s="1172" t="s">
        <v>1182</v>
      </c>
      <c r="C82" s="1172" t="s">
        <v>460</v>
      </c>
      <c r="D82" s="1172" t="s">
        <v>1183</v>
      </c>
      <c r="E82" s="1172" t="s">
        <v>1184</v>
      </c>
      <c r="F82" s="1172" t="s">
        <v>1185</v>
      </c>
      <c r="G82" s="1172" t="s">
        <v>529</v>
      </c>
      <c r="H82" s="1173">
        <v>4.0</v>
      </c>
      <c r="I82" s="1172" t="s">
        <v>667</v>
      </c>
      <c r="J82" s="1172" t="s">
        <v>668</v>
      </c>
      <c r="K82" s="1172" t="s">
        <v>669</v>
      </c>
      <c r="L82" s="1172" t="s">
        <v>636</v>
      </c>
      <c r="M82" s="1172" t="s">
        <v>1186</v>
      </c>
      <c r="N82" s="1172" t="s">
        <v>535</v>
      </c>
      <c r="O82" s="1172" t="s">
        <v>956</v>
      </c>
      <c r="P82" s="1174">
        <v>1001.0</v>
      </c>
      <c r="Q82" s="1142">
        <v>40021.0</v>
      </c>
      <c r="R82" s="1172" t="s">
        <v>439</v>
      </c>
      <c r="S82" s="1172" t="s">
        <v>194</v>
      </c>
      <c r="T82" s="1172" t="s">
        <v>194</v>
      </c>
      <c r="U82" s="1172" t="s">
        <v>538</v>
      </c>
      <c r="V82" s="1172" t="s">
        <v>194</v>
      </c>
      <c r="W82" s="1172" t="s">
        <v>194</v>
      </c>
      <c r="X82" s="1172" t="s">
        <v>194</v>
      </c>
      <c r="Y82" s="1175">
        <v>239.21</v>
      </c>
      <c r="Z82" s="1172" t="s">
        <v>557</v>
      </c>
      <c r="AA82" s="1142">
        <v>40021.0</v>
      </c>
      <c r="AB82" s="1172" t="s">
        <v>856</v>
      </c>
      <c r="AC82" s="1175">
        <v>239.21</v>
      </c>
      <c r="AD82" s="1172">
        <v>7.64</v>
      </c>
      <c r="AE82" s="1176" t="s">
        <v>194</v>
      </c>
      <c r="AF82" s="1175">
        <v>336.6</v>
      </c>
      <c r="AG82" s="1172" t="s">
        <v>558</v>
      </c>
      <c r="AH82" s="1172" t="s">
        <v>540</v>
      </c>
      <c r="AI82" s="1172" t="s">
        <v>194</v>
      </c>
      <c r="AJ82" s="1172" t="s">
        <v>194</v>
      </c>
      <c r="AK82" s="1173" t="s">
        <v>194</v>
      </c>
      <c r="AL82" s="1172" t="s">
        <v>194</v>
      </c>
      <c r="AM82" s="1175" t="s">
        <v>194</v>
      </c>
      <c r="AN82" s="1172" t="s">
        <v>194</v>
      </c>
      <c r="AO82" s="1177" t="s">
        <v>194</v>
      </c>
      <c r="AP82" s="1175" t="s">
        <v>194</v>
      </c>
      <c r="AQ82" s="1172" t="s">
        <v>194</v>
      </c>
      <c r="AR82" s="1175" t="s">
        <v>194</v>
      </c>
      <c r="AS82" s="1172" t="s">
        <v>194</v>
      </c>
      <c r="AT82" s="1175" t="s">
        <v>194</v>
      </c>
      <c r="AU82" s="1172" t="s">
        <v>194</v>
      </c>
      <c r="AV82" s="1178" t="s">
        <v>194</v>
      </c>
      <c r="AW82" s="1178" t="s">
        <v>194</v>
      </c>
      <c r="AX82" s="1178" t="s">
        <v>194</v>
      </c>
      <c r="AY82" s="1179" t="s">
        <v>194</v>
      </c>
      <c r="AZ82" s="1178" t="s">
        <v>194</v>
      </c>
      <c r="BA82" s="1178" t="s">
        <v>194</v>
      </c>
      <c r="BB82" s="1178" t="s">
        <v>194</v>
      </c>
      <c r="BC82" s="1178" t="s">
        <v>194</v>
      </c>
      <c r="BD82" s="1172" t="s">
        <v>1187</v>
      </c>
      <c r="BE82" s="1172" t="s">
        <v>194</v>
      </c>
      <c r="BF82" s="1173" t="s">
        <v>1188</v>
      </c>
      <c r="BG82" s="1172" t="s">
        <v>1085</v>
      </c>
      <c r="BH82" s="1172" t="s">
        <v>543</v>
      </c>
      <c r="BI82" s="1172" t="s">
        <v>194</v>
      </c>
      <c r="BJ82" s="1172" t="s">
        <v>544</v>
      </c>
      <c r="BK82" s="1174">
        <v>5.0</v>
      </c>
      <c r="BL82" s="1172" t="s">
        <v>545</v>
      </c>
      <c r="BM82" s="1172" t="s">
        <v>194</v>
      </c>
      <c r="BN82" s="1173" t="s">
        <v>546</v>
      </c>
      <c r="BO82" s="1172" t="s">
        <v>547</v>
      </c>
      <c r="BP82" s="1180" t="str">
        <f t="shared" si="3"/>
        <v>View Investor Online</v>
      </c>
    </row>
    <row r="83" ht="11.25" hidden="1" customHeight="1">
      <c r="A83" s="1164" t="s">
        <v>403</v>
      </c>
      <c r="B83" s="1164" t="s">
        <v>1189</v>
      </c>
      <c r="C83" s="1164" t="s">
        <v>460</v>
      </c>
      <c r="D83" s="1164" t="s">
        <v>1190</v>
      </c>
      <c r="E83" s="1164" t="s">
        <v>1191</v>
      </c>
      <c r="F83" s="1164" t="s">
        <v>1192</v>
      </c>
      <c r="G83" s="1164" t="s">
        <v>592</v>
      </c>
      <c r="H83" s="1165">
        <v>1.0</v>
      </c>
      <c r="I83" s="1164" t="s">
        <v>933</v>
      </c>
      <c r="J83" s="1164" t="s">
        <v>1193</v>
      </c>
      <c r="K83" s="1164" t="s">
        <v>1194</v>
      </c>
      <c r="L83" s="1164" t="s">
        <v>194</v>
      </c>
      <c r="M83" s="1164" t="s">
        <v>1195</v>
      </c>
      <c r="N83" s="1164" t="s">
        <v>1196</v>
      </c>
      <c r="O83" s="1164" t="s">
        <v>536</v>
      </c>
      <c r="P83" s="1166" t="s">
        <v>194</v>
      </c>
      <c r="Q83" s="1135">
        <v>42023.0</v>
      </c>
      <c r="R83" s="1164" t="s">
        <v>639</v>
      </c>
      <c r="S83" s="1164" t="s">
        <v>194</v>
      </c>
      <c r="T83" s="1164" t="s">
        <v>194</v>
      </c>
      <c r="U83" s="1164" t="s">
        <v>538</v>
      </c>
      <c r="V83" s="1164" t="s">
        <v>194</v>
      </c>
      <c r="W83" s="1164" t="s">
        <v>194</v>
      </c>
      <c r="X83" s="1164" t="s">
        <v>194</v>
      </c>
      <c r="Y83" s="1167" t="s">
        <v>194</v>
      </c>
      <c r="Z83" s="1164" t="s">
        <v>194</v>
      </c>
      <c r="AA83" s="1135" t="s">
        <v>194</v>
      </c>
      <c r="AB83" s="1164" t="s">
        <v>194</v>
      </c>
      <c r="AC83" s="1167" t="s">
        <v>194</v>
      </c>
      <c r="AD83" s="1164" t="s">
        <v>194</v>
      </c>
      <c r="AE83" s="1168" t="s">
        <v>194</v>
      </c>
      <c r="AF83" s="1167" t="s">
        <v>194</v>
      </c>
      <c r="AG83" s="1164" t="s">
        <v>194</v>
      </c>
      <c r="AH83" s="1164" t="s">
        <v>540</v>
      </c>
      <c r="AI83" s="1164" t="s">
        <v>572</v>
      </c>
      <c r="AJ83" s="1164" t="s">
        <v>194</v>
      </c>
      <c r="AK83" s="1165" t="s">
        <v>573</v>
      </c>
      <c r="AL83" s="1164" t="s">
        <v>194</v>
      </c>
      <c r="AM83" s="1167" t="s">
        <v>194</v>
      </c>
      <c r="AN83" s="1164" t="s">
        <v>194</v>
      </c>
      <c r="AO83" s="1169" t="s">
        <v>194</v>
      </c>
      <c r="AP83" s="1167" t="s">
        <v>194</v>
      </c>
      <c r="AQ83" s="1164" t="s">
        <v>194</v>
      </c>
      <c r="AR83" s="1167" t="s">
        <v>194</v>
      </c>
      <c r="AS83" s="1164" t="s">
        <v>194</v>
      </c>
      <c r="AT83" s="1167" t="s">
        <v>194</v>
      </c>
      <c r="AU83" s="1164" t="s">
        <v>194</v>
      </c>
      <c r="AV83" s="1170" t="s">
        <v>194</v>
      </c>
      <c r="AW83" s="1170" t="s">
        <v>194</v>
      </c>
      <c r="AX83" s="1170" t="s">
        <v>194</v>
      </c>
      <c r="AY83" s="1171" t="s">
        <v>194</v>
      </c>
      <c r="AZ83" s="1170" t="s">
        <v>194</v>
      </c>
      <c r="BA83" s="1170" t="s">
        <v>194</v>
      </c>
      <c r="BB83" s="1170" t="s">
        <v>194</v>
      </c>
      <c r="BC83" s="1170" t="s">
        <v>194</v>
      </c>
      <c r="BD83" s="1164" t="s">
        <v>541</v>
      </c>
      <c r="BE83" s="1164" t="s">
        <v>194</v>
      </c>
      <c r="BF83" s="1165" t="s">
        <v>1197</v>
      </c>
      <c r="BG83" s="1164" t="s">
        <v>542</v>
      </c>
      <c r="BH83" s="1164" t="s">
        <v>543</v>
      </c>
      <c r="BI83" s="1164" t="s">
        <v>194</v>
      </c>
      <c r="BJ83" s="1164" t="s">
        <v>544</v>
      </c>
      <c r="BK83" s="1166">
        <v>5.0</v>
      </c>
      <c r="BL83" s="1164" t="s">
        <v>545</v>
      </c>
      <c r="BM83" s="1164" t="s">
        <v>194</v>
      </c>
      <c r="BN83" s="1165" t="s">
        <v>546</v>
      </c>
      <c r="BO83" s="1164" t="s">
        <v>547</v>
      </c>
      <c r="BP83" s="1139" t="str">
        <f t="shared" si="3"/>
        <v>View Investor Online</v>
      </c>
    </row>
    <row r="84" ht="11.25" hidden="1" customHeight="1">
      <c r="A84" s="1172" t="s">
        <v>403</v>
      </c>
      <c r="B84" s="1172" t="s">
        <v>1198</v>
      </c>
      <c r="C84" s="1172" t="s">
        <v>460</v>
      </c>
      <c r="D84" s="1172" t="s">
        <v>1199</v>
      </c>
      <c r="E84" s="1172" t="s">
        <v>1200</v>
      </c>
      <c r="F84" s="1172" t="s">
        <v>1201</v>
      </c>
      <c r="G84" s="1172" t="s">
        <v>116</v>
      </c>
      <c r="H84" s="1173">
        <v>1.0</v>
      </c>
      <c r="I84" s="1172" t="s">
        <v>567</v>
      </c>
      <c r="J84" s="1172" t="s">
        <v>568</v>
      </c>
      <c r="K84" s="1172" t="s">
        <v>442</v>
      </c>
      <c r="L84" s="1172" t="s">
        <v>775</v>
      </c>
      <c r="M84" s="1172" t="s">
        <v>729</v>
      </c>
      <c r="N84" s="1172" t="s">
        <v>535</v>
      </c>
      <c r="O84" s="1172" t="s">
        <v>536</v>
      </c>
      <c r="P84" s="1174">
        <v>55.0</v>
      </c>
      <c r="Q84" s="1142">
        <v>39700.0</v>
      </c>
      <c r="R84" s="1172" t="s">
        <v>439</v>
      </c>
      <c r="S84" s="1172" t="s">
        <v>194</v>
      </c>
      <c r="T84" s="1172" t="s">
        <v>194</v>
      </c>
      <c r="U84" s="1172" t="s">
        <v>538</v>
      </c>
      <c r="V84" s="1172" t="s">
        <v>194</v>
      </c>
      <c r="W84" s="1172" t="s">
        <v>194</v>
      </c>
      <c r="X84" s="1172" t="s">
        <v>194</v>
      </c>
      <c r="Y84" s="1175" t="s">
        <v>194</v>
      </c>
      <c r="Z84" s="1172" t="s">
        <v>194</v>
      </c>
      <c r="AA84" s="1142" t="s">
        <v>194</v>
      </c>
      <c r="AB84" s="1172" t="s">
        <v>194</v>
      </c>
      <c r="AC84" s="1175" t="s">
        <v>194</v>
      </c>
      <c r="AD84" s="1172" t="s">
        <v>194</v>
      </c>
      <c r="AE84" s="1176" t="s">
        <v>194</v>
      </c>
      <c r="AF84" s="1175" t="s">
        <v>194</v>
      </c>
      <c r="AG84" s="1172" t="s">
        <v>194</v>
      </c>
      <c r="AH84" s="1172" t="s">
        <v>540</v>
      </c>
      <c r="AI84" s="1172" t="s">
        <v>1202</v>
      </c>
      <c r="AJ84" s="1172" t="s">
        <v>194</v>
      </c>
      <c r="AK84" s="1173" t="s">
        <v>573</v>
      </c>
      <c r="AL84" s="1172" t="s">
        <v>194</v>
      </c>
      <c r="AM84" s="1175" t="s">
        <v>194</v>
      </c>
      <c r="AN84" s="1172" t="s">
        <v>194</v>
      </c>
      <c r="AO84" s="1177" t="s">
        <v>194</v>
      </c>
      <c r="AP84" s="1175" t="s">
        <v>194</v>
      </c>
      <c r="AQ84" s="1172" t="s">
        <v>194</v>
      </c>
      <c r="AR84" s="1175" t="s">
        <v>194</v>
      </c>
      <c r="AS84" s="1172" t="s">
        <v>194</v>
      </c>
      <c r="AT84" s="1175" t="s">
        <v>194</v>
      </c>
      <c r="AU84" s="1172" t="s">
        <v>194</v>
      </c>
      <c r="AV84" s="1178" t="s">
        <v>194</v>
      </c>
      <c r="AW84" s="1178" t="s">
        <v>194</v>
      </c>
      <c r="AX84" s="1178" t="s">
        <v>194</v>
      </c>
      <c r="AY84" s="1179" t="s">
        <v>194</v>
      </c>
      <c r="AZ84" s="1178" t="s">
        <v>194</v>
      </c>
      <c r="BA84" s="1178" t="s">
        <v>194</v>
      </c>
      <c r="BB84" s="1178" t="s">
        <v>194</v>
      </c>
      <c r="BC84" s="1178" t="s">
        <v>194</v>
      </c>
      <c r="BD84" s="1172" t="s">
        <v>1203</v>
      </c>
      <c r="BE84" s="1172" t="s">
        <v>194</v>
      </c>
      <c r="BF84" s="1173" t="s">
        <v>1204</v>
      </c>
      <c r="BG84" s="1172" t="s">
        <v>897</v>
      </c>
      <c r="BH84" s="1172" t="s">
        <v>543</v>
      </c>
      <c r="BI84" s="1172" t="s">
        <v>194</v>
      </c>
      <c r="BJ84" s="1172" t="s">
        <v>544</v>
      </c>
      <c r="BK84" s="1174">
        <v>5.0</v>
      </c>
      <c r="BL84" s="1172" t="s">
        <v>545</v>
      </c>
      <c r="BM84" s="1172" t="s">
        <v>194</v>
      </c>
      <c r="BN84" s="1173" t="s">
        <v>546</v>
      </c>
      <c r="BO84" s="1172" t="s">
        <v>547</v>
      </c>
      <c r="BP84" s="1180" t="str">
        <f t="shared" si="3"/>
        <v>View Investor Online</v>
      </c>
    </row>
    <row r="85" ht="11.25" hidden="1" customHeight="1">
      <c r="A85" s="1172" t="s">
        <v>403</v>
      </c>
      <c r="B85" s="1172" t="s">
        <v>1205</v>
      </c>
      <c r="C85" s="1172" t="s">
        <v>460</v>
      </c>
      <c r="D85" s="1172" t="s">
        <v>1206</v>
      </c>
      <c r="E85" s="1172" t="s">
        <v>1207</v>
      </c>
      <c r="F85" s="1172" t="s">
        <v>1208</v>
      </c>
      <c r="G85" s="1172" t="s">
        <v>116</v>
      </c>
      <c r="H85" s="1173">
        <v>1.0</v>
      </c>
      <c r="I85" s="1172" t="s">
        <v>567</v>
      </c>
      <c r="J85" s="1172" t="s">
        <v>568</v>
      </c>
      <c r="K85" s="1172" t="s">
        <v>707</v>
      </c>
      <c r="L85" s="1172" t="s">
        <v>775</v>
      </c>
      <c r="M85" s="1172" t="s">
        <v>1209</v>
      </c>
      <c r="N85" s="1172" t="s">
        <v>535</v>
      </c>
      <c r="O85" s="1172" t="s">
        <v>536</v>
      </c>
      <c r="P85" s="1174">
        <v>300.0</v>
      </c>
      <c r="Q85" s="1142">
        <v>39581.0</v>
      </c>
      <c r="R85" s="1172" t="s">
        <v>439</v>
      </c>
      <c r="S85" s="1172" t="s">
        <v>194</v>
      </c>
      <c r="T85" s="1172" t="s">
        <v>194</v>
      </c>
      <c r="U85" s="1172" t="s">
        <v>538</v>
      </c>
      <c r="V85" s="1172" t="s">
        <v>194</v>
      </c>
      <c r="W85" s="1172" t="s">
        <v>194</v>
      </c>
      <c r="X85" s="1172" t="s">
        <v>194</v>
      </c>
      <c r="Y85" s="1175" t="s">
        <v>194</v>
      </c>
      <c r="Z85" s="1172" t="s">
        <v>194</v>
      </c>
      <c r="AA85" s="1142" t="s">
        <v>194</v>
      </c>
      <c r="AB85" s="1172" t="s">
        <v>194</v>
      </c>
      <c r="AC85" s="1175" t="s">
        <v>194</v>
      </c>
      <c r="AD85" s="1172" t="s">
        <v>194</v>
      </c>
      <c r="AE85" s="1176" t="s">
        <v>194</v>
      </c>
      <c r="AF85" s="1175" t="s">
        <v>194</v>
      </c>
      <c r="AG85" s="1172" t="s">
        <v>194</v>
      </c>
      <c r="AH85" s="1172" t="s">
        <v>540</v>
      </c>
      <c r="AI85" s="1172" t="s">
        <v>1210</v>
      </c>
      <c r="AJ85" s="1172" t="s">
        <v>194</v>
      </c>
      <c r="AK85" s="1173" t="s">
        <v>194</v>
      </c>
      <c r="AL85" s="1172" t="s">
        <v>194</v>
      </c>
      <c r="AM85" s="1175" t="s">
        <v>194</v>
      </c>
      <c r="AN85" s="1172" t="s">
        <v>194</v>
      </c>
      <c r="AO85" s="1177" t="s">
        <v>194</v>
      </c>
      <c r="AP85" s="1175" t="s">
        <v>194</v>
      </c>
      <c r="AQ85" s="1172" t="s">
        <v>194</v>
      </c>
      <c r="AR85" s="1175" t="s">
        <v>194</v>
      </c>
      <c r="AS85" s="1172" t="s">
        <v>194</v>
      </c>
      <c r="AT85" s="1175" t="s">
        <v>194</v>
      </c>
      <c r="AU85" s="1172" t="s">
        <v>194</v>
      </c>
      <c r="AV85" s="1178" t="s">
        <v>194</v>
      </c>
      <c r="AW85" s="1178" t="s">
        <v>194</v>
      </c>
      <c r="AX85" s="1178" t="s">
        <v>194</v>
      </c>
      <c r="AY85" s="1179" t="s">
        <v>194</v>
      </c>
      <c r="AZ85" s="1178" t="s">
        <v>194</v>
      </c>
      <c r="BA85" s="1178" t="s">
        <v>194</v>
      </c>
      <c r="BB85" s="1178" t="s">
        <v>194</v>
      </c>
      <c r="BC85" s="1178" t="s">
        <v>194</v>
      </c>
      <c r="BD85" s="1172" t="s">
        <v>1211</v>
      </c>
      <c r="BE85" s="1172" t="s">
        <v>194</v>
      </c>
      <c r="BF85" s="1173" t="s">
        <v>194</v>
      </c>
      <c r="BG85" s="1172" t="s">
        <v>1001</v>
      </c>
      <c r="BH85" s="1172" t="s">
        <v>543</v>
      </c>
      <c r="BI85" s="1172" t="s">
        <v>194</v>
      </c>
      <c r="BJ85" s="1172" t="s">
        <v>544</v>
      </c>
      <c r="BK85" s="1174">
        <v>5.0</v>
      </c>
      <c r="BL85" s="1172" t="s">
        <v>545</v>
      </c>
      <c r="BM85" s="1172" t="s">
        <v>194</v>
      </c>
      <c r="BN85" s="1173" t="s">
        <v>546</v>
      </c>
      <c r="BO85" s="1172" t="s">
        <v>547</v>
      </c>
      <c r="BP85" s="1180" t="str">
        <f t="shared" si="3"/>
        <v>View Investor Online</v>
      </c>
    </row>
    <row r="86" ht="11.25" hidden="1" customHeight="1">
      <c r="A86" s="1172" t="s">
        <v>403</v>
      </c>
      <c r="B86" s="1172" t="s">
        <v>1212</v>
      </c>
      <c r="C86" s="1172" t="s">
        <v>460</v>
      </c>
      <c r="D86" s="1172" t="s">
        <v>1213</v>
      </c>
      <c r="E86" s="1172" t="s">
        <v>1214</v>
      </c>
      <c r="F86" s="1172" t="s">
        <v>1215</v>
      </c>
      <c r="G86" s="1172" t="s">
        <v>529</v>
      </c>
      <c r="H86" s="1173">
        <v>1.0</v>
      </c>
      <c r="I86" s="1172" t="s">
        <v>552</v>
      </c>
      <c r="J86" s="1172" t="s">
        <v>748</v>
      </c>
      <c r="K86" s="1172" t="s">
        <v>1216</v>
      </c>
      <c r="L86" s="1172" t="s">
        <v>796</v>
      </c>
      <c r="M86" s="1172" t="s">
        <v>1217</v>
      </c>
      <c r="N86" s="1172" t="s">
        <v>535</v>
      </c>
      <c r="O86" s="1172" t="s">
        <v>536</v>
      </c>
      <c r="P86" s="1174" t="s">
        <v>194</v>
      </c>
      <c r="Q86" s="1142">
        <v>36923.0</v>
      </c>
      <c r="R86" s="1172" t="s">
        <v>639</v>
      </c>
      <c r="S86" s="1172" t="s">
        <v>194</v>
      </c>
      <c r="T86" s="1172" t="s">
        <v>194</v>
      </c>
      <c r="U86" s="1172" t="s">
        <v>640</v>
      </c>
      <c r="V86" s="1172" t="s">
        <v>194</v>
      </c>
      <c r="W86" s="1172" t="s">
        <v>194</v>
      </c>
      <c r="X86" s="1172" t="s">
        <v>194</v>
      </c>
      <c r="Y86" s="1175" t="s">
        <v>194</v>
      </c>
      <c r="Z86" s="1172" t="s">
        <v>194</v>
      </c>
      <c r="AA86" s="1142">
        <v>36923.0</v>
      </c>
      <c r="AB86" s="1172" t="s">
        <v>641</v>
      </c>
      <c r="AC86" s="1175" t="s">
        <v>194</v>
      </c>
      <c r="AD86" s="1172">
        <v>10.99</v>
      </c>
      <c r="AE86" s="1176" t="s">
        <v>194</v>
      </c>
      <c r="AF86" s="1175" t="s">
        <v>194</v>
      </c>
      <c r="AG86" s="1172" t="s">
        <v>194</v>
      </c>
      <c r="AH86" s="1172" t="s">
        <v>540</v>
      </c>
      <c r="AI86" s="1172" t="s">
        <v>194</v>
      </c>
      <c r="AJ86" s="1172" t="s">
        <v>194</v>
      </c>
      <c r="AK86" s="1173" t="s">
        <v>194</v>
      </c>
      <c r="AL86" s="1172" t="s">
        <v>194</v>
      </c>
      <c r="AM86" s="1175" t="s">
        <v>194</v>
      </c>
      <c r="AN86" s="1172" t="s">
        <v>194</v>
      </c>
      <c r="AO86" s="1177" t="s">
        <v>194</v>
      </c>
      <c r="AP86" s="1175" t="s">
        <v>194</v>
      </c>
      <c r="AQ86" s="1172" t="s">
        <v>194</v>
      </c>
      <c r="AR86" s="1175" t="s">
        <v>194</v>
      </c>
      <c r="AS86" s="1172" t="s">
        <v>194</v>
      </c>
      <c r="AT86" s="1175" t="s">
        <v>194</v>
      </c>
      <c r="AU86" s="1172" t="s">
        <v>194</v>
      </c>
      <c r="AV86" s="1178" t="s">
        <v>194</v>
      </c>
      <c r="AW86" s="1178" t="s">
        <v>194</v>
      </c>
      <c r="AX86" s="1178" t="s">
        <v>194</v>
      </c>
      <c r="AY86" s="1179" t="s">
        <v>194</v>
      </c>
      <c r="AZ86" s="1178" t="s">
        <v>194</v>
      </c>
      <c r="BA86" s="1178" t="s">
        <v>194</v>
      </c>
      <c r="BB86" s="1178" t="s">
        <v>194</v>
      </c>
      <c r="BC86" s="1178" t="s">
        <v>194</v>
      </c>
      <c r="BD86" s="1172" t="s">
        <v>194</v>
      </c>
      <c r="BE86" s="1172" t="s">
        <v>194</v>
      </c>
      <c r="BF86" s="1173" t="s">
        <v>194</v>
      </c>
      <c r="BG86" s="1172" t="s">
        <v>547</v>
      </c>
      <c r="BH86" s="1172" t="s">
        <v>543</v>
      </c>
      <c r="BI86" s="1172" t="s">
        <v>194</v>
      </c>
      <c r="BJ86" s="1172" t="s">
        <v>544</v>
      </c>
      <c r="BK86" s="1174">
        <v>5.0</v>
      </c>
      <c r="BL86" s="1172" t="s">
        <v>545</v>
      </c>
      <c r="BM86" s="1172" t="s">
        <v>194</v>
      </c>
      <c r="BN86" s="1173" t="s">
        <v>546</v>
      </c>
      <c r="BO86" s="1172" t="s">
        <v>547</v>
      </c>
      <c r="BP86" s="1180" t="str">
        <f t="shared" si="3"/>
        <v>View Investor Online</v>
      </c>
    </row>
    <row r="87" ht="11.25" hidden="1" customHeight="1">
      <c r="A87" s="1172" t="s">
        <v>403</v>
      </c>
      <c r="B87" s="1172" t="s">
        <v>1218</v>
      </c>
      <c r="C87" s="1172" t="s">
        <v>460</v>
      </c>
      <c r="D87" s="1172" t="s">
        <v>1219</v>
      </c>
      <c r="E87" s="1172" t="s">
        <v>1220</v>
      </c>
      <c r="F87" s="1172" t="s">
        <v>1221</v>
      </c>
      <c r="G87" s="1172" t="s">
        <v>116</v>
      </c>
      <c r="H87" s="1173">
        <v>1.0</v>
      </c>
      <c r="I87" s="1172" t="s">
        <v>567</v>
      </c>
      <c r="J87" s="1172" t="s">
        <v>568</v>
      </c>
      <c r="K87" s="1172" t="s">
        <v>707</v>
      </c>
      <c r="L87" s="1172" t="s">
        <v>775</v>
      </c>
      <c r="M87" s="1172" t="s">
        <v>1222</v>
      </c>
      <c r="N87" s="1172" t="s">
        <v>638</v>
      </c>
      <c r="O87" s="1172" t="s">
        <v>536</v>
      </c>
      <c r="P87" s="1174">
        <v>300.0</v>
      </c>
      <c r="Q87" s="1142">
        <v>39554.0</v>
      </c>
      <c r="R87" s="1172" t="s">
        <v>439</v>
      </c>
      <c r="S87" s="1172" t="s">
        <v>194</v>
      </c>
      <c r="T87" s="1172" t="s">
        <v>194</v>
      </c>
      <c r="U87" s="1172" t="s">
        <v>538</v>
      </c>
      <c r="V87" s="1172" t="s">
        <v>194</v>
      </c>
      <c r="W87" s="1172" t="s">
        <v>194</v>
      </c>
      <c r="X87" s="1172" t="s">
        <v>194</v>
      </c>
      <c r="Y87" s="1175" t="s">
        <v>194</v>
      </c>
      <c r="Z87" s="1172" t="s">
        <v>194</v>
      </c>
      <c r="AA87" s="1142" t="s">
        <v>194</v>
      </c>
      <c r="AB87" s="1172" t="s">
        <v>194</v>
      </c>
      <c r="AC87" s="1175" t="s">
        <v>194</v>
      </c>
      <c r="AD87" s="1172" t="s">
        <v>194</v>
      </c>
      <c r="AE87" s="1176" t="s">
        <v>194</v>
      </c>
      <c r="AF87" s="1175" t="s">
        <v>194</v>
      </c>
      <c r="AG87" s="1172" t="s">
        <v>194</v>
      </c>
      <c r="AH87" s="1172" t="s">
        <v>540</v>
      </c>
      <c r="AI87" s="1172" t="s">
        <v>1223</v>
      </c>
      <c r="AJ87" s="1172" t="s">
        <v>1224</v>
      </c>
      <c r="AK87" s="1173" t="s">
        <v>573</v>
      </c>
      <c r="AL87" s="1172" t="s">
        <v>194</v>
      </c>
      <c r="AM87" s="1175">
        <v>16174.74</v>
      </c>
      <c r="AN87" s="1172" t="s">
        <v>557</v>
      </c>
      <c r="AO87" s="1177" t="s">
        <v>194</v>
      </c>
      <c r="AP87" s="1175" t="s">
        <v>194</v>
      </c>
      <c r="AQ87" s="1172" t="s">
        <v>194</v>
      </c>
      <c r="AR87" s="1175" t="s">
        <v>194</v>
      </c>
      <c r="AS87" s="1172" t="s">
        <v>194</v>
      </c>
      <c r="AT87" s="1175" t="s">
        <v>194</v>
      </c>
      <c r="AU87" s="1172" t="s">
        <v>194</v>
      </c>
      <c r="AV87" s="1178" t="s">
        <v>194</v>
      </c>
      <c r="AW87" s="1178" t="s">
        <v>194</v>
      </c>
      <c r="AX87" s="1178" t="s">
        <v>194</v>
      </c>
      <c r="AY87" s="1179" t="s">
        <v>194</v>
      </c>
      <c r="AZ87" s="1178" t="s">
        <v>194</v>
      </c>
      <c r="BA87" s="1178" t="s">
        <v>194</v>
      </c>
      <c r="BB87" s="1178" t="s">
        <v>194</v>
      </c>
      <c r="BC87" s="1178" t="s">
        <v>194</v>
      </c>
      <c r="BD87" s="1172" t="s">
        <v>1225</v>
      </c>
      <c r="BE87" s="1172" t="s">
        <v>194</v>
      </c>
      <c r="BF87" s="1173" t="s">
        <v>1226</v>
      </c>
      <c r="BG87" s="1172" t="s">
        <v>811</v>
      </c>
      <c r="BH87" s="1172" t="s">
        <v>543</v>
      </c>
      <c r="BI87" s="1172" t="s">
        <v>194</v>
      </c>
      <c r="BJ87" s="1172" t="s">
        <v>544</v>
      </c>
      <c r="BK87" s="1174">
        <v>5.0</v>
      </c>
      <c r="BL87" s="1172" t="s">
        <v>545</v>
      </c>
      <c r="BM87" s="1172" t="s">
        <v>194</v>
      </c>
      <c r="BN87" s="1173" t="s">
        <v>546</v>
      </c>
      <c r="BO87" s="1172" t="s">
        <v>547</v>
      </c>
      <c r="BP87" s="1180" t="str">
        <f t="shared" si="3"/>
        <v>View Investor Online</v>
      </c>
    </row>
    <row r="88" ht="11.25" hidden="1" customHeight="1">
      <c r="A88" s="1172" t="s">
        <v>403</v>
      </c>
      <c r="B88" s="1172" t="s">
        <v>1227</v>
      </c>
      <c r="C88" s="1172" t="s">
        <v>460</v>
      </c>
      <c r="D88" s="1172" t="s">
        <v>1228</v>
      </c>
      <c r="E88" s="1172" t="s">
        <v>1229</v>
      </c>
      <c r="F88" s="1172" t="s">
        <v>1230</v>
      </c>
      <c r="G88" s="1172" t="s">
        <v>116</v>
      </c>
      <c r="H88" s="1173">
        <v>1.0</v>
      </c>
      <c r="I88" s="1172" t="s">
        <v>530</v>
      </c>
      <c r="J88" s="1172" t="s">
        <v>531</v>
      </c>
      <c r="K88" s="1172" t="s">
        <v>1231</v>
      </c>
      <c r="L88" s="1172" t="s">
        <v>533</v>
      </c>
      <c r="M88" s="1172" t="s">
        <v>1232</v>
      </c>
      <c r="N88" s="1172" t="s">
        <v>535</v>
      </c>
      <c r="O88" s="1172" t="s">
        <v>536</v>
      </c>
      <c r="P88" s="1174">
        <v>25.0</v>
      </c>
      <c r="Q88" s="1142">
        <v>39533.0</v>
      </c>
      <c r="R88" s="1172" t="s">
        <v>439</v>
      </c>
      <c r="S88" s="1172" t="s">
        <v>194</v>
      </c>
      <c r="T88" s="1172" t="s">
        <v>194</v>
      </c>
      <c r="U88" s="1172" t="s">
        <v>538</v>
      </c>
      <c r="V88" s="1172" t="s">
        <v>194</v>
      </c>
      <c r="W88" s="1172" t="s">
        <v>194</v>
      </c>
      <c r="X88" s="1172" t="s">
        <v>194</v>
      </c>
      <c r="Y88" s="1175" t="s">
        <v>194</v>
      </c>
      <c r="Z88" s="1172" t="s">
        <v>194</v>
      </c>
      <c r="AA88" s="1142" t="s">
        <v>194</v>
      </c>
      <c r="AB88" s="1172" t="s">
        <v>194</v>
      </c>
      <c r="AC88" s="1175" t="s">
        <v>194</v>
      </c>
      <c r="AD88" s="1172" t="s">
        <v>194</v>
      </c>
      <c r="AE88" s="1176" t="s">
        <v>194</v>
      </c>
      <c r="AF88" s="1175" t="s">
        <v>194</v>
      </c>
      <c r="AG88" s="1172" t="s">
        <v>194</v>
      </c>
      <c r="AH88" s="1172" t="s">
        <v>540</v>
      </c>
      <c r="AI88" s="1172" t="s">
        <v>1233</v>
      </c>
      <c r="AJ88" s="1172" t="s">
        <v>194</v>
      </c>
      <c r="AK88" s="1173" t="s">
        <v>194</v>
      </c>
      <c r="AL88" s="1172" t="s">
        <v>194</v>
      </c>
      <c r="AM88" s="1175" t="s">
        <v>194</v>
      </c>
      <c r="AN88" s="1172" t="s">
        <v>194</v>
      </c>
      <c r="AO88" s="1177" t="s">
        <v>194</v>
      </c>
      <c r="AP88" s="1175" t="s">
        <v>194</v>
      </c>
      <c r="AQ88" s="1172" t="s">
        <v>194</v>
      </c>
      <c r="AR88" s="1175" t="s">
        <v>194</v>
      </c>
      <c r="AS88" s="1172" t="s">
        <v>194</v>
      </c>
      <c r="AT88" s="1175" t="s">
        <v>194</v>
      </c>
      <c r="AU88" s="1172" t="s">
        <v>194</v>
      </c>
      <c r="AV88" s="1178" t="s">
        <v>194</v>
      </c>
      <c r="AW88" s="1178" t="s">
        <v>194</v>
      </c>
      <c r="AX88" s="1178" t="s">
        <v>194</v>
      </c>
      <c r="AY88" s="1179" t="s">
        <v>194</v>
      </c>
      <c r="AZ88" s="1178" t="s">
        <v>194</v>
      </c>
      <c r="BA88" s="1178" t="s">
        <v>194</v>
      </c>
      <c r="BB88" s="1178" t="s">
        <v>194</v>
      </c>
      <c r="BC88" s="1178" t="s">
        <v>194</v>
      </c>
      <c r="BD88" s="1172" t="s">
        <v>1107</v>
      </c>
      <c r="BE88" s="1172" t="s">
        <v>1108</v>
      </c>
      <c r="BF88" s="1173" t="s">
        <v>1234</v>
      </c>
      <c r="BG88" s="1172" t="s">
        <v>618</v>
      </c>
      <c r="BH88" s="1172" t="s">
        <v>543</v>
      </c>
      <c r="BI88" s="1172" t="s">
        <v>194</v>
      </c>
      <c r="BJ88" s="1172" t="s">
        <v>544</v>
      </c>
      <c r="BK88" s="1174">
        <v>5.0</v>
      </c>
      <c r="BL88" s="1172" t="s">
        <v>545</v>
      </c>
      <c r="BM88" s="1172" t="s">
        <v>194</v>
      </c>
      <c r="BN88" s="1173" t="s">
        <v>546</v>
      </c>
      <c r="BO88" s="1172" t="s">
        <v>547</v>
      </c>
      <c r="BP88" s="1180" t="str">
        <f t="shared" si="3"/>
        <v>View Investor Online</v>
      </c>
    </row>
    <row r="89" ht="11.25" hidden="1" customHeight="1">
      <c r="A89" s="853"/>
      <c r="B89" s="853"/>
      <c r="C89" s="853"/>
      <c r="D89" s="853"/>
      <c r="E89" s="853"/>
      <c r="F89" s="853"/>
      <c r="G89" s="853"/>
      <c r="H89" s="853"/>
      <c r="I89" s="853"/>
      <c r="J89" s="853"/>
      <c r="K89" s="853"/>
      <c r="L89" s="853"/>
      <c r="M89" s="853"/>
      <c r="N89" s="853"/>
      <c r="O89" s="853"/>
      <c r="P89" s="853"/>
      <c r="Q89" s="853"/>
      <c r="R89" s="853"/>
      <c r="S89" s="853"/>
      <c r="T89" s="1181"/>
      <c r="U89" s="1181"/>
      <c r="V89" s="1181"/>
      <c r="W89" s="1181"/>
      <c r="X89" s="1181"/>
      <c r="Y89" s="1181"/>
      <c r="Z89" s="1181"/>
      <c r="AA89" s="1181"/>
      <c r="AB89" s="1182"/>
      <c r="AC89" s="1181"/>
      <c r="AD89" s="1183"/>
      <c r="AE89" s="1184"/>
      <c r="AF89" s="1181"/>
      <c r="AG89" s="1181"/>
      <c r="AH89" s="853"/>
      <c r="AI89" s="853"/>
      <c r="AJ89" s="853"/>
      <c r="AK89" s="853"/>
      <c r="AL89" s="1181"/>
      <c r="AM89" s="1181"/>
      <c r="AN89" s="853"/>
      <c r="AO89" s="853"/>
      <c r="AP89" s="853"/>
      <c r="AQ89" s="853"/>
      <c r="AR89" s="853"/>
      <c r="AS89" s="853"/>
      <c r="AT89" s="853"/>
      <c r="AU89" s="853"/>
      <c r="AV89" s="1185"/>
      <c r="AW89" s="853"/>
      <c r="AX89" s="853"/>
      <c r="AY89" s="853"/>
      <c r="AZ89" s="853"/>
      <c r="BA89" s="853"/>
      <c r="BB89" s="853"/>
      <c r="BC89" s="853"/>
      <c r="BD89" s="853"/>
      <c r="BE89" s="853"/>
      <c r="BF89" s="853"/>
      <c r="BG89" s="853"/>
      <c r="BH89" s="853"/>
      <c r="BI89" s="853"/>
      <c r="BJ89" s="853"/>
      <c r="BK89" s="853"/>
      <c r="BL89" s="853"/>
      <c r="BM89" s="853"/>
      <c r="BN89" s="853"/>
      <c r="BO89" s="853"/>
      <c r="BP89" s="853"/>
    </row>
    <row r="90" ht="11.25" customHeight="1">
      <c r="A90" s="1172"/>
      <c r="B90" s="1172"/>
      <c r="C90" s="1172"/>
      <c r="D90" s="1172"/>
      <c r="E90" s="1172"/>
      <c r="F90" s="1172"/>
      <c r="G90" s="1172"/>
      <c r="H90" s="1173"/>
      <c r="I90" s="1172"/>
      <c r="J90" s="1172"/>
      <c r="K90" s="1172"/>
      <c r="L90" s="1172"/>
      <c r="M90" s="1172"/>
      <c r="N90" s="1172"/>
      <c r="O90" s="1172"/>
      <c r="P90" s="1174"/>
      <c r="Q90" s="1142"/>
      <c r="R90" s="1172" t="s">
        <v>439</v>
      </c>
      <c r="S90" s="1172" t="s">
        <v>194</v>
      </c>
      <c r="T90" s="1172" t="s">
        <v>194</v>
      </c>
      <c r="U90" s="1172" t="s">
        <v>538</v>
      </c>
      <c r="V90" s="1172" t="s">
        <v>194</v>
      </c>
      <c r="W90" s="1172" t="s">
        <v>194</v>
      </c>
      <c r="X90" s="1172" t="s">
        <v>194</v>
      </c>
      <c r="Y90" s="1175">
        <v>398.2</v>
      </c>
      <c r="Z90" s="1172" t="s">
        <v>557</v>
      </c>
      <c r="AA90" s="1142" t="s">
        <v>194</v>
      </c>
      <c r="AB90" s="1172" t="s">
        <v>194</v>
      </c>
      <c r="AC90" s="1175" t="s">
        <v>194</v>
      </c>
      <c r="AD90" s="1172" t="s">
        <v>194</v>
      </c>
      <c r="AE90" s="1176" t="s">
        <v>194</v>
      </c>
      <c r="AF90" s="1175">
        <v>398.2</v>
      </c>
      <c r="AG90" s="1172" t="s">
        <v>557</v>
      </c>
      <c r="AH90" s="1172" t="s">
        <v>540</v>
      </c>
      <c r="AI90" s="1172" t="s">
        <v>194</v>
      </c>
      <c r="AJ90" s="1172" t="s">
        <v>194</v>
      </c>
      <c r="AK90" s="1173" t="s">
        <v>194</v>
      </c>
      <c r="AL90" s="1172" t="s">
        <v>194</v>
      </c>
      <c r="AM90" s="1175">
        <v>35733.0</v>
      </c>
      <c r="AN90" s="1172" t="s">
        <v>557</v>
      </c>
      <c r="AO90" s="1177">
        <v>65.99925671281241</v>
      </c>
      <c r="AP90" s="1175">
        <v>29215.0</v>
      </c>
      <c r="AQ90" s="1172" t="s">
        <v>557</v>
      </c>
      <c r="AR90" s="1175">
        <v>8929.0</v>
      </c>
      <c r="AS90" s="1172" t="s">
        <v>557</v>
      </c>
      <c r="AT90" s="1175">
        <v>15122.0</v>
      </c>
      <c r="AU90" s="1172" t="s">
        <v>557</v>
      </c>
      <c r="AV90" s="1178" t="s">
        <v>194</v>
      </c>
      <c r="AW90" s="1178" t="s">
        <v>194</v>
      </c>
      <c r="AX90" s="1178">
        <v>26.33249570162677</v>
      </c>
      <c r="AY90" s="1179">
        <v>26.33249570162677</v>
      </c>
      <c r="AZ90" s="1178">
        <v>11.143760669409229</v>
      </c>
      <c r="BA90" s="1178">
        <v>11.143760669409229</v>
      </c>
      <c r="BB90" s="1178">
        <v>16.589592967545723</v>
      </c>
      <c r="BC90" s="1178">
        <v>16.589592967545723</v>
      </c>
      <c r="BD90" s="1172" t="s">
        <v>627</v>
      </c>
      <c r="BE90" s="1172" t="s">
        <v>628</v>
      </c>
      <c r="BF90" s="1173" t="s">
        <v>629</v>
      </c>
      <c r="BG90" s="1172" t="s">
        <v>562</v>
      </c>
      <c r="BH90" s="1172" t="s">
        <v>543</v>
      </c>
      <c r="BI90" s="1172" t="s">
        <v>194</v>
      </c>
      <c r="BJ90" s="1172" t="s">
        <v>544</v>
      </c>
      <c r="BK90" s="1174">
        <v>5.0</v>
      </c>
      <c r="BL90" s="1172" t="s">
        <v>545</v>
      </c>
      <c r="BM90" s="1172" t="s">
        <v>194</v>
      </c>
      <c r="BN90" s="1173" t="s">
        <v>546</v>
      </c>
      <c r="BO90" s="1172" t="s">
        <v>547</v>
      </c>
      <c r="BP90" s="1180" t="str">
        <f t="shared" ref="BP90:BP113" si="4">HYPERLINK("https://my.pitchbook.com?i=41134-24", "View Investor Online")</f>
        <v>View Investor Online</v>
      </c>
    </row>
    <row r="91" ht="11.25" hidden="1" customHeight="1">
      <c r="A91" s="1164" t="s">
        <v>403</v>
      </c>
      <c r="B91" s="1164" t="s">
        <v>1235</v>
      </c>
      <c r="C91" s="1164" t="s">
        <v>460</v>
      </c>
      <c r="D91" s="1164" t="s">
        <v>1236</v>
      </c>
      <c r="E91" s="1164" t="s">
        <v>1237</v>
      </c>
      <c r="F91" s="1164" t="s">
        <v>1238</v>
      </c>
      <c r="G91" s="1164" t="s">
        <v>592</v>
      </c>
      <c r="H91" s="1165">
        <v>1.0</v>
      </c>
      <c r="I91" s="1164" t="s">
        <v>552</v>
      </c>
      <c r="J91" s="1164" t="s">
        <v>553</v>
      </c>
      <c r="K91" s="1164" t="s">
        <v>716</v>
      </c>
      <c r="L91" s="1164" t="s">
        <v>1239</v>
      </c>
      <c r="M91" s="1164" t="s">
        <v>1240</v>
      </c>
      <c r="N91" s="1164" t="s">
        <v>535</v>
      </c>
      <c r="O91" s="1164" t="s">
        <v>597</v>
      </c>
      <c r="P91" s="1166">
        <v>275.0</v>
      </c>
      <c r="Q91" s="1135">
        <v>38707.0</v>
      </c>
      <c r="R91" s="1164" t="s">
        <v>598</v>
      </c>
      <c r="S91" s="1164" t="s">
        <v>194</v>
      </c>
      <c r="T91" s="1164" t="s">
        <v>194</v>
      </c>
      <c r="U91" s="1164" t="s">
        <v>600</v>
      </c>
      <c r="V91" s="1164" t="s">
        <v>194</v>
      </c>
      <c r="W91" s="1164" t="s">
        <v>194</v>
      </c>
      <c r="X91" s="1164" t="s">
        <v>194</v>
      </c>
      <c r="Y91" s="1167">
        <v>18.5</v>
      </c>
      <c r="Z91" s="1164" t="s">
        <v>557</v>
      </c>
      <c r="AA91" s="1135" t="s">
        <v>194</v>
      </c>
      <c r="AB91" s="1164" t="s">
        <v>194</v>
      </c>
      <c r="AC91" s="1167" t="s">
        <v>194</v>
      </c>
      <c r="AD91" s="1164" t="s">
        <v>194</v>
      </c>
      <c r="AE91" s="1168" t="s">
        <v>194</v>
      </c>
      <c r="AF91" s="1167" t="s">
        <v>194</v>
      </c>
      <c r="AG91" s="1164" t="s">
        <v>194</v>
      </c>
      <c r="AH91" s="1164" t="s">
        <v>540</v>
      </c>
      <c r="AI91" s="1164" t="s">
        <v>194</v>
      </c>
      <c r="AJ91" s="1164" t="s">
        <v>194</v>
      </c>
      <c r="AK91" s="1165" t="s">
        <v>194</v>
      </c>
      <c r="AL91" s="1164" t="s">
        <v>194</v>
      </c>
      <c r="AM91" s="1167" t="s">
        <v>194</v>
      </c>
      <c r="AN91" s="1164" t="s">
        <v>194</v>
      </c>
      <c r="AO91" s="1169" t="s">
        <v>194</v>
      </c>
      <c r="AP91" s="1167" t="s">
        <v>194</v>
      </c>
      <c r="AQ91" s="1164" t="s">
        <v>194</v>
      </c>
      <c r="AR91" s="1167" t="s">
        <v>194</v>
      </c>
      <c r="AS91" s="1164" t="s">
        <v>194</v>
      </c>
      <c r="AT91" s="1167" t="s">
        <v>194</v>
      </c>
      <c r="AU91" s="1164" t="s">
        <v>194</v>
      </c>
      <c r="AV91" s="1170" t="s">
        <v>194</v>
      </c>
      <c r="AW91" s="1170" t="s">
        <v>194</v>
      </c>
      <c r="AX91" s="1170" t="s">
        <v>194</v>
      </c>
      <c r="AY91" s="1171" t="s">
        <v>194</v>
      </c>
      <c r="AZ91" s="1170" t="s">
        <v>194</v>
      </c>
      <c r="BA91" s="1170" t="s">
        <v>194</v>
      </c>
      <c r="BB91" s="1170" t="s">
        <v>194</v>
      </c>
      <c r="BC91" s="1170" t="s">
        <v>194</v>
      </c>
      <c r="BD91" s="1164" t="s">
        <v>1241</v>
      </c>
      <c r="BE91" s="1164" t="s">
        <v>194</v>
      </c>
      <c r="BF91" s="1165" t="s">
        <v>1242</v>
      </c>
      <c r="BG91" s="1164" t="s">
        <v>790</v>
      </c>
      <c r="BH91" s="1164" t="s">
        <v>543</v>
      </c>
      <c r="BI91" s="1164" t="s">
        <v>194</v>
      </c>
      <c r="BJ91" s="1164" t="s">
        <v>544</v>
      </c>
      <c r="BK91" s="1166">
        <v>5.0</v>
      </c>
      <c r="BL91" s="1164" t="s">
        <v>545</v>
      </c>
      <c r="BM91" s="1164" t="s">
        <v>194</v>
      </c>
      <c r="BN91" s="1165" t="s">
        <v>546</v>
      </c>
      <c r="BO91" s="1164" t="s">
        <v>547</v>
      </c>
      <c r="BP91" s="1139" t="str">
        <f t="shared" si="4"/>
        <v>View Investor Online</v>
      </c>
    </row>
    <row r="92" ht="11.25" hidden="1" customHeight="1">
      <c r="A92" s="1172" t="s">
        <v>403</v>
      </c>
      <c r="B92" s="1172" t="s">
        <v>1243</v>
      </c>
      <c r="C92" s="1172" t="s">
        <v>460</v>
      </c>
      <c r="D92" s="1172" t="s">
        <v>1244</v>
      </c>
      <c r="E92" s="1172" t="s">
        <v>1245</v>
      </c>
      <c r="F92" s="1172" t="s">
        <v>1246</v>
      </c>
      <c r="G92" s="1172" t="s">
        <v>116</v>
      </c>
      <c r="H92" s="1173">
        <v>4.0</v>
      </c>
      <c r="I92" s="1172" t="s">
        <v>567</v>
      </c>
      <c r="J92" s="1172" t="s">
        <v>568</v>
      </c>
      <c r="K92" s="1172" t="s">
        <v>442</v>
      </c>
      <c r="L92" s="1172" t="s">
        <v>1247</v>
      </c>
      <c r="M92" s="1172" t="s">
        <v>1040</v>
      </c>
      <c r="N92" s="1172" t="s">
        <v>535</v>
      </c>
      <c r="O92" s="1172" t="s">
        <v>671</v>
      </c>
      <c r="P92" s="1174" t="s">
        <v>194</v>
      </c>
      <c r="Q92" s="1142">
        <v>38569.0</v>
      </c>
      <c r="R92" s="1172" t="s">
        <v>439</v>
      </c>
      <c r="S92" s="1172" t="s">
        <v>194</v>
      </c>
      <c r="T92" s="1172" t="s">
        <v>194</v>
      </c>
      <c r="U92" s="1172" t="s">
        <v>538</v>
      </c>
      <c r="V92" s="1172" t="s">
        <v>194</v>
      </c>
      <c r="W92" s="1172" t="s">
        <v>194</v>
      </c>
      <c r="X92" s="1172" t="s">
        <v>194</v>
      </c>
      <c r="Y92" s="1175">
        <v>280.0</v>
      </c>
      <c r="Z92" s="1172" t="s">
        <v>557</v>
      </c>
      <c r="AA92" s="1142" t="s">
        <v>194</v>
      </c>
      <c r="AB92" s="1172" t="s">
        <v>194</v>
      </c>
      <c r="AC92" s="1175" t="s">
        <v>194</v>
      </c>
      <c r="AD92" s="1172" t="s">
        <v>194</v>
      </c>
      <c r="AE92" s="1176" t="s">
        <v>194</v>
      </c>
      <c r="AF92" s="1175">
        <v>280.0</v>
      </c>
      <c r="AG92" s="1172" t="s">
        <v>557</v>
      </c>
      <c r="AH92" s="1172" t="s">
        <v>540</v>
      </c>
      <c r="AI92" s="1172" t="s">
        <v>194</v>
      </c>
      <c r="AJ92" s="1172" t="s">
        <v>194</v>
      </c>
      <c r="AK92" s="1173" t="s">
        <v>194</v>
      </c>
      <c r="AL92" s="1172" t="s">
        <v>194</v>
      </c>
      <c r="AM92" s="1175" t="s">
        <v>194</v>
      </c>
      <c r="AN92" s="1172" t="s">
        <v>194</v>
      </c>
      <c r="AO92" s="1177" t="s">
        <v>194</v>
      </c>
      <c r="AP92" s="1175" t="s">
        <v>194</v>
      </c>
      <c r="AQ92" s="1172" t="s">
        <v>194</v>
      </c>
      <c r="AR92" s="1175" t="s">
        <v>194</v>
      </c>
      <c r="AS92" s="1172" t="s">
        <v>194</v>
      </c>
      <c r="AT92" s="1175" t="s">
        <v>194</v>
      </c>
      <c r="AU92" s="1172" t="s">
        <v>194</v>
      </c>
      <c r="AV92" s="1178" t="s">
        <v>194</v>
      </c>
      <c r="AW92" s="1178" t="s">
        <v>194</v>
      </c>
      <c r="AX92" s="1178" t="s">
        <v>194</v>
      </c>
      <c r="AY92" s="1179" t="s">
        <v>194</v>
      </c>
      <c r="AZ92" s="1178" t="s">
        <v>194</v>
      </c>
      <c r="BA92" s="1178" t="s">
        <v>194</v>
      </c>
      <c r="BB92" s="1178" t="s">
        <v>194</v>
      </c>
      <c r="BC92" s="1178" t="s">
        <v>194</v>
      </c>
      <c r="BD92" s="1172" t="s">
        <v>1248</v>
      </c>
      <c r="BE92" s="1172" t="s">
        <v>661</v>
      </c>
      <c r="BF92" s="1173" t="s">
        <v>1249</v>
      </c>
      <c r="BG92" s="1172" t="s">
        <v>562</v>
      </c>
      <c r="BH92" s="1172" t="s">
        <v>543</v>
      </c>
      <c r="BI92" s="1172" t="s">
        <v>194</v>
      </c>
      <c r="BJ92" s="1172" t="s">
        <v>544</v>
      </c>
      <c r="BK92" s="1174">
        <v>5.0</v>
      </c>
      <c r="BL92" s="1172" t="s">
        <v>545</v>
      </c>
      <c r="BM92" s="1172" t="s">
        <v>194</v>
      </c>
      <c r="BN92" s="1173" t="s">
        <v>546</v>
      </c>
      <c r="BO92" s="1172" t="s">
        <v>547</v>
      </c>
      <c r="BP92" s="1180" t="str">
        <f t="shared" si="4"/>
        <v>View Investor Online</v>
      </c>
    </row>
    <row r="93" ht="11.25" hidden="1" customHeight="1">
      <c r="A93" s="1164" t="s">
        <v>403</v>
      </c>
      <c r="B93" s="1164" t="s">
        <v>1250</v>
      </c>
      <c r="C93" s="1164" t="s">
        <v>460</v>
      </c>
      <c r="D93" s="1164" t="s">
        <v>1251</v>
      </c>
      <c r="E93" s="1164" t="s">
        <v>1252</v>
      </c>
      <c r="F93" s="1164" t="s">
        <v>1253</v>
      </c>
      <c r="G93" s="1164" t="s">
        <v>116</v>
      </c>
      <c r="H93" s="1165">
        <v>3.0</v>
      </c>
      <c r="I93" s="1164" t="s">
        <v>530</v>
      </c>
      <c r="J93" s="1164" t="s">
        <v>971</v>
      </c>
      <c r="K93" s="1164" t="s">
        <v>989</v>
      </c>
      <c r="L93" s="1164" t="s">
        <v>533</v>
      </c>
      <c r="M93" s="1164" t="s">
        <v>1254</v>
      </c>
      <c r="N93" s="1164" t="s">
        <v>535</v>
      </c>
      <c r="O93" s="1164" t="s">
        <v>671</v>
      </c>
      <c r="P93" s="1166">
        <v>89.0</v>
      </c>
      <c r="Q93" s="1135">
        <v>37609.0</v>
      </c>
      <c r="R93" s="1164" t="s">
        <v>439</v>
      </c>
      <c r="S93" s="1164" t="s">
        <v>194</v>
      </c>
      <c r="T93" s="1164" t="s">
        <v>194</v>
      </c>
      <c r="U93" s="1164" t="s">
        <v>538</v>
      </c>
      <c r="V93" s="1164" t="s">
        <v>194</v>
      </c>
      <c r="W93" s="1164" t="s">
        <v>194</v>
      </c>
      <c r="X93" s="1164" t="s">
        <v>194</v>
      </c>
      <c r="Y93" s="1167" t="s">
        <v>194</v>
      </c>
      <c r="Z93" s="1164" t="s">
        <v>194</v>
      </c>
      <c r="AA93" s="1135" t="s">
        <v>194</v>
      </c>
      <c r="AB93" s="1164" t="s">
        <v>194</v>
      </c>
      <c r="AC93" s="1167" t="s">
        <v>194</v>
      </c>
      <c r="AD93" s="1164" t="s">
        <v>194</v>
      </c>
      <c r="AE93" s="1168" t="s">
        <v>194</v>
      </c>
      <c r="AF93" s="1167" t="s">
        <v>194</v>
      </c>
      <c r="AG93" s="1164" t="s">
        <v>194</v>
      </c>
      <c r="AH93" s="1164" t="s">
        <v>540</v>
      </c>
      <c r="AI93" s="1164" t="s">
        <v>1255</v>
      </c>
      <c r="AJ93" s="1164" t="s">
        <v>194</v>
      </c>
      <c r="AK93" s="1165" t="s">
        <v>194</v>
      </c>
      <c r="AL93" s="1164" t="s">
        <v>194</v>
      </c>
      <c r="AM93" s="1167" t="s">
        <v>194</v>
      </c>
      <c r="AN93" s="1164" t="s">
        <v>194</v>
      </c>
      <c r="AO93" s="1169" t="s">
        <v>194</v>
      </c>
      <c r="AP93" s="1167" t="s">
        <v>194</v>
      </c>
      <c r="AQ93" s="1164" t="s">
        <v>194</v>
      </c>
      <c r="AR93" s="1167" t="s">
        <v>194</v>
      </c>
      <c r="AS93" s="1164" t="s">
        <v>194</v>
      </c>
      <c r="AT93" s="1167" t="s">
        <v>194</v>
      </c>
      <c r="AU93" s="1164" t="s">
        <v>194</v>
      </c>
      <c r="AV93" s="1170" t="s">
        <v>194</v>
      </c>
      <c r="AW93" s="1170" t="s">
        <v>194</v>
      </c>
      <c r="AX93" s="1170" t="s">
        <v>194</v>
      </c>
      <c r="AY93" s="1171" t="s">
        <v>194</v>
      </c>
      <c r="AZ93" s="1170" t="s">
        <v>194</v>
      </c>
      <c r="BA93" s="1170" t="s">
        <v>194</v>
      </c>
      <c r="BB93" s="1170" t="s">
        <v>194</v>
      </c>
      <c r="BC93" s="1170" t="s">
        <v>194</v>
      </c>
      <c r="BD93" s="1164" t="s">
        <v>1256</v>
      </c>
      <c r="BE93" s="1164" t="s">
        <v>194</v>
      </c>
      <c r="BF93" s="1165" t="s">
        <v>1257</v>
      </c>
      <c r="BG93" s="1164" t="s">
        <v>587</v>
      </c>
      <c r="BH93" s="1164" t="s">
        <v>543</v>
      </c>
      <c r="BI93" s="1164" t="s">
        <v>194</v>
      </c>
      <c r="BJ93" s="1164" t="s">
        <v>544</v>
      </c>
      <c r="BK93" s="1166">
        <v>5.0</v>
      </c>
      <c r="BL93" s="1164" t="s">
        <v>545</v>
      </c>
      <c r="BM93" s="1164" t="s">
        <v>194</v>
      </c>
      <c r="BN93" s="1165" t="s">
        <v>546</v>
      </c>
      <c r="BO93" s="1164" t="s">
        <v>547</v>
      </c>
      <c r="BP93" s="1139" t="str">
        <f t="shared" si="4"/>
        <v>View Investor Online</v>
      </c>
    </row>
    <row r="94" ht="11.25" hidden="1" customHeight="1">
      <c r="A94" s="1172" t="s">
        <v>403</v>
      </c>
      <c r="B94" s="1172" t="s">
        <v>1258</v>
      </c>
      <c r="C94" s="1172" t="s">
        <v>460</v>
      </c>
      <c r="D94" s="1172" t="s">
        <v>1259</v>
      </c>
      <c r="E94" s="1172" t="s">
        <v>1260</v>
      </c>
      <c r="F94" s="1172" t="s">
        <v>1261</v>
      </c>
      <c r="G94" s="1172" t="s">
        <v>592</v>
      </c>
      <c r="H94" s="1173">
        <v>2.0</v>
      </c>
      <c r="I94" s="1172" t="s">
        <v>552</v>
      </c>
      <c r="J94" s="1172" t="s">
        <v>553</v>
      </c>
      <c r="K94" s="1172" t="s">
        <v>1262</v>
      </c>
      <c r="L94" s="1172" t="s">
        <v>750</v>
      </c>
      <c r="M94" s="1172" t="s">
        <v>1263</v>
      </c>
      <c r="N94" s="1172" t="s">
        <v>535</v>
      </c>
      <c r="O94" s="1172" t="s">
        <v>597</v>
      </c>
      <c r="P94" s="1174">
        <v>23.0</v>
      </c>
      <c r="Q94" s="1142">
        <v>39827.0</v>
      </c>
      <c r="R94" s="1172" t="s">
        <v>538</v>
      </c>
      <c r="S94" s="1172" t="s">
        <v>538</v>
      </c>
      <c r="T94" s="1172" t="s">
        <v>194</v>
      </c>
      <c r="U94" s="1172" t="s">
        <v>538</v>
      </c>
      <c r="V94" s="1172" t="s">
        <v>194</v>
      </c>
      <c r="W94" s="1172" t="s">
        <v>194</v>
      </c>
      <c r="X94" s="1172" t="s">
        <v>194</v>
      </c>
      <c r="Y94" s="1175" t="s">
        <v>194</v>
      </c>
      <c r="Z94" s="1172" t="s">
        <v>194</v>
      </c>
      <c r="AA94" s="1142" t="s">
        <v>194</v>
      </c>
      <c r="AB94" s="1172" t="s">
        <v>194</v>
      </c>
      <c r="AC94" s="1175" t="s">
        <v>194</v>
      </c>
      <c r="AD94" s="1172" t="s">
        <v>194</v>
      </c>
      <c r="AE94" s="1176" t="s">
        <v>194</v>
      </c>
      <c r="AF94" s="1175" t="s">
        <v>194</v>
      </c>
      <c r="AG94" s="1172" t="s">
        <v>194</v>
      </c>
      <c r="AH94" s="1172" t="s">
        <v>540</v>
      </c>
      <c r="AI94" s="1172" t="s">
        <v>194</v>
      </c>
      <c r="AJ94" s="1172" t="s">
        <v>194</v>
      </c>
      <c r="AK94" s="1173" t="s">
        <v>194</v>
      </c>
      <c r="AL94" s="1172" t="s">
        <v>194</v>
      </c>
      <c r="AM94" s="1175" t="s">
        <v>194</v>
      </c>
      <c r="AN94" s="1172" t="s">
        <v>194</v>
      </c>
      <c r="AO94" s="1177" t="s">
        <v>194</v>
      </c>
      <c r="AP94" s="1175" t="s">
        <v>194</v>
      </c>
      <c r="AQ94" s="1172" t="s">
        <v>194</v>
      </c>
      <c r="AR94" s="1175" t="s">
        <v>194</v>
      </c>
      <c r="AS94" s="1172" t="s">
        <v>194</v>
      </c>
      <c r="AT94" s="1175" t="s">
        <v>194</v>
      </c>
      <c r="AU94" s="1172" t="s">
        <v>194</v>
      </c>
      <c r="AV94" s="1178" t="s">
        <v>194</v>
      </c>
      <c r="AW94" s="1178" t="s">
        <v>194</v>
      </c>
      <c r="AX94" s="1178" t="s">
        <v>194</v>
      </c>
      <c r="AY94" s="1179" t="s">
        <v>194</v>
      </c>
      <c r="AZ94" s="1178" t="s">
        <v>194</v>
      </c>
      <c r="BA94" s="1178" t="s">
        <v>194</v>
      </c>
      <c r="BB94" s="1178" t="s">
        <v>194</v>
      </c>
      <c r="BC94" s="1178" t="s">
        <v>194</v>
      </c>
      <c r="BD94" s="1172" t="s">
        <v>545</v>
      </c>
      <c r="BE94" s="1172" t="s">
        <v>194</v>
      </c>
      <c r="BF94" s="1173" t="s">
        <v>1264</v>
      </c>
      <c r="BG94" s="1172" t="s">
        <v>547</v>
      </c>
      <c r="BH94" s="1172" t="s">
        <v>543</v>
      </c>
      <c r="BI94" s="1172" t="s">
        <v>194</v>
      </c>
      <c r="BJ94" s="1172" t="s">
        <v>544</v>
      </c>
      <c r="BK94" s="1174">
        <v>5.0</v>
      </c>
      <c r="BL94" s="1172" t="s">
        <v>545</v>
      </c>
      <c r="BM94" s="1172" t="s">
        <v>194</v>
      </c>
      <c r="BN94" s="1173" t="s">
        <v>546</v>
      </c>
      <c r="BO94" s="1172" t="s">
        <v>547</v>
      </c>
      <c r="BP94" s="1180" t="str">
        <f t="shared" si="4"/>
        <v>View Investor Online</v>
      </c>
    </row>
    <row r="95" ht="11.25" hidden="1" customHeight="1">
      <c r="A95" s="1172" t="s">
        <v>403</v>
      </c>
      <c r="B95" s="1172" t="s">
        <v>1265</v>
      </c>
      <c r="C95" s="1172" t="s">
        <v>460</v>
      </c>
      <c r="D95" s="1172" t="s">
        <v>1266</v>
      </c>
      <c r="E95" s="1172" t="s">
        <v>1267</v>
      </c>
      <c r="F95" s="1172" t="s">
        <v>1268</v>
      </c>
      <c r="G95" s="1172" t="s">
        <v>116</v>
      </c>
      <c r="H95" s="1173">
        <v>1.0</v>
      </c>
      <c r="I95" s="1172" t="s">
        <v>667</v>
      </c>
      <c r="J95" s="1172" t="s">
        <v>668</v>
      </c>
      <c r="K95" s="1172" t="s">
        <v>1269</v>
      </c>
      <c r="L95" s="1172" t="s">
        <v>973</v>
      </c>
      <c r="M95" s="1172" t="s">
        <v>1270</v>
      </c>
      <c r="N95" s="1172" t="s">
        <v>194</v>
      </c>
      <c r="O95" s="1172" t="s">
        <v>536</v>
      </c>
      <c r="P95" s="1174">
        <v>6386.0</v>
      </c>
      <c r="Q95" s="1142">
        <v>39479.0</v>
      </c>
      <c r="R95" s="1172" t="s">
        <v>439</v>
      </c>
      <c r="S95" s="1172" t="s">
        <v>194</v>
      </c>
      <c r="T95" s="1172" t="s">
        <v>194</v>
      </c>
      <c r="U95" s="1172" t="s">
        <v>538</v>
      </c>
      <c r="V95" s="1172" t="s">
        <v>194</v>
      </c>
      <c r="W95" s="1172" t="s">
        <v>194</v>
      </c>
      <c r="X95" s="1172" t="s">
        <v>194</v>
      </c>
      <c r="Y95" s="1175">
        <v>2700.0</v>
      </c>
      <c r="Z95" s="1172" t="s">
        <v>557</v>
      </c>
      <c r="AA95" s="1142" t="s">
        <v>194</v>
      </c>
      <c r="AB95" s="1172" t="s">
        <v>194</v>
      </c>
      <c r="AC95" s="1175" t="s">
        <v>194</v>
      </c>
      <c r="AD95" s="1172" t="s">
        <v>194</v>
      </c>
      <c r="AE95" s="1176" t="s">
        <v>194</v>
      </c>
      <c r="AF95" s="1175">
        <v>2700.0</v>
      </c>
      <c r="AG95" s="1172" t="s">
        <v>557</v>
      </c>
      <c r="AH95" s="1172" t="s">
        <v>540</v>
      </c>
      <c r="AI95" s="1172" t="s">
        <v>194</v>
      </c>
      <c r="AJ95" s="1172" t="s">
        <v>194</v>
      </c>
      <c r="AK95" s="1173" t="s">
        <v>194</v>
      </c>
      <c r="AL95" s="1172" t="s">
        <v>194</v>
      </c>
      <c r="AM95" s="1175">
        <v>1601296.0</v>
      </c>
      <c r="AN95" s="1172" t="s">
        <v>557</v>
      </c>
      <c r="AO95" s="1177" t="s">
        <v>194</v>
      </c>
      <c r="AP95" s="1175">
        <v>648669.0</v>
      </c>
      <c r="AQ95" s="1172" t="s">
        <v>557</v>
      </c>
      <c r="AR95" s="1175">
        <v>144450.0</v>
      </c>
      <c r="AS95" s="1172" t="s">
        <v>557</v>
      </c>
      <c r="AT95" s="1175">
        <v>259707.0</v>
      </c>
      <c r="AU95" s="1172" t="s">
        <v>557</v>
      </c>
      <c r="AV95" s="1178" t="s">
        <v>194</v>
      </c>
      <c r="AW95" s="1178" t="s">
        <v>194</v>
      </c>
      <c r="AX95" s="1178">
        <v>10.39633125021659</v>
      </c>
      <c r="AY95" s="1179" t="s">
        <v>194</v>
      </c>
      <c r="AZ95" s="1178">
        <v>1.686134231272669</v>
      </c>
      <c r="BA95" s="1178" t="s">
        <v>194</v>
      </c>
      <c r="BB95" s="1178">
        <v>88.72531300318754</v>
      </c>
      <c r="BC95" s="1178" t="s">
        <v>194</v>
      </c>
      <c r="BD95" s="1172" t="s">
        <v>1271</v>
      </c>
      <c r="BE95" s="1172" t="s">
        <v>1272</v>
      </c>
      <c r="BF95" s="1173" t="s">
        <v>1273</v>
      </c>
      <c r="BG95" s="1172" t="s">
        <v>562</v>
      </c>
      <c r="BH95" s="1172" t="s">
        <v>543</v>
      </c>
      <c r="BI95" s="1172" t="s">
        <v>194</v>
      </c>
      <c r="BJ95" s="1172" t="s">
        <v>544</v>
      </c>
      <c r="BK95" s="1174">
        <v>5.0</v>
      </c>
      <c r="BL95" s="1172" t="s">
        <v>545</v>
      </c>
      <c r="BM95" s="1172" t="s">
        <v>194</v>
      </c>
      <c r="BN95" s="1173" t="s">
        <v>546</v>
      </c>
      <c r="BO95" s="1172" t="s">
        <v>547</v>
      </c>
      <c r="BP95" s="1180" t="str">
        <f t="shared" si="4"/>
        <v>View Investor Online</v>
      </c>
    </row>
    <row r="96" ht="11.25" hidden="1" customHeight="1">
      <c r="A96" s="1172" t="s">
        <v>403</v>
      </c>
      <c r="B96" s="1172" t="s">
        <v>1274</v>
      </c>
      <c r="C96" s="1172" t="s">
        <v>460</v>
      </c>
      <c r="D96" s="1172" t="s">
        <v>1275</v>
      </c>
      <c r="E96" s="1172" t="s">
        <v>1276</v>
      </c>
      <c r="F96" s="1172" t="s">
        <v>1277</v>
      </c>
      <c r="G96" s="1172" t="s">
        <v>116</v>
      </c>
      <c r="H96" s="1173">
        <v>1.0</v>
      </c>
      <c r="I96" s="1172" t="s">
        <v>552</v>
      </c>
      <c r="J96" s="1172" t="s">
        <v>1278</v>
      </c>
      <c r="K96" s="1172" t="s">
        <v>1279</v>
      </c>
      <c r="L96" s="1172" t="s">
        <v>194</v>
      </c>
      <c r="M96" s="1172" t="s">
        <v>1280</v>
      </c>
      <c r="N96" s="1172" t="s">
        <v>194</v>
      </c>
      <c r="O96" s="1172" t="s">
        <v>536</v>
      </c>
      <c r="P96" s="1174" t="s">
        <v>194</v>
      </c>
      <c r="Q96" s="1142">
        <v>39384.0</v>
      </c>
      <c r="R96" s="1172" t="s">
        <v>1047</v>
      </c>
      <c r="S96" s="1172" t="s">
        <v>1048</v>
      </c>
      <c r="T96" s="1172" t="s">
        <v>1049</v>
      </c>
      <c r="U96" s="1172" t="s">
        <v>538</v>
      </c>
      <c r="V96" s="1172" t="s">
        <v>194</v>
      </c>
      <c r="W96" s="1172" t="s">
        <v>194</v>
      </c>
      <c r="X96" s="1172" t="s">
        <v>194</v>
      </c>
      <c r="Y96" s="1175" t="s">
        <v>194</v>
      </c>
      <c r="Z96" s="1172" t="s">
        <v>194</v>
      </c>
      <c r="AA96" s="1142" t="s">
        <v>194</v>
      </c>
      <c r="AB96" s="1172" t="s">
        <v>194</v>
      </c>
      <c r="AC96" s="1175" t="s">
        <v>194</v>
      </c>
      <c r="AD96" s="1172" t="s">
        <v>194</v>
      </c>
      <c r="AE96" s="1176" t="s">
        <v>194</v>
      </c>
      <c r="AF96" s="1175" t="s">
        <v>194</v>
      </c>
      <c r="AG96" s="1172" t="s">
        <v>194</v>
      </c>
      <c r="AH96" s="1172" t="s">
        <v>540</v>
      </c>
      <c r="AI96" s="1172" t="s">
        <v>194</v>
      </c>
      <c r="AJ96" s="1172" t="s">
        <v>194</v>
      </c>
      <c r="AK96" s="1173" t="s">
        <v>194</v>
      </c>
      <c r="AL96" s="1172" t="s">
        <v>194</v>
      </c>
      <c r="AM96" s="1175" t="s">
        <v>194</v>
      </c>
      <c r="AN96" s="1172" t="s">
        <v>194</v>
      </c>
      <c r="AO96" s="1177" t="s">
        <v>194</v>
      </c>
      <c r="AP96" s="1175" t="s">
        <v>194</v>
      </c>
      <c r="AQ96" s="1172" t="s">
        <v>194</v>
      </c>
      <c r="AR96" s="1175" t="s">
        <v>194</v>
      </c>
      <c r="AS96" s="1172" t="s">
        <v>194</v>
      </c>
      <c r="AT96" s="1175" t="s">
        <v>194</v>
      </c>
      <c r="AU96" s="1172" t="s">
        <v>194</v>
      </c>
      <c r="AV96" s="1178" t="s">
        <v>194</v>
      </c>
      <c r="AW96" s="1178" t="s">
        <v>194</v>
      </c>
      <c r="AX96" s="1178" t="s">
        <v>194</v>
      </c>
      <c r="AY96" s="1179" t="s">
        <v>194</v>
      </c>
      <c r="AZ96" s="1178" t="s">
        <v>194</v>
      </c>
      <c r="BA96" s="1178" t="s">
        <v>194</v>
      </c>
      <c r="BB96" s="1178" t="s">
        <v>194</v>
      </c>
      <c r="BC96" s="1178" t="s">
        <v>194</v>
      </c>
      <c r="BD96" s="1172" t="s">
        <v>194</v>
      </c>
      <c r="BE96" s="1172" t="s">
        <v>194</v>
      </c>
      <c r="BF96" s="1173" t="s">
        <v>194</v>
      </c>
      <c r="BG96" s="1172" t="s">
        <v>562</v>
      </c>
      <c r="BH96" s="1172" t="s">
        <v>543</v>
      </c>
      <c r="BI96" s="1172" t="s">
        <v>194</v>
      </c>
      <c r="BJ96" s="1172" t="s">
        <v>544</v>
      </c>
      <c r="BK96" s="1174">
        <v>5.0</v>
      </c>
      <c r="BL96" s="1172" t="s">
        <v>545</v>
      </c>
      <c r="BM96" s="1172" t="s">
        <v>194</v>
      </c>
      <c r="BN96" s="1173" t="s">
        <v>546</v>
      </c>
      <c r="BO96" s="1172" t="s">
        <v>547</v>
      </c>
      <c r="BP96" s="1180" t="str">
        <f t="shared" si="4"/>
        <v>View Investor Online</v>
      </c>
    </row>
    <row r="97" ht="11.25" hidden="1" customHeight="1">
      <c r="A97" s="1164" t="s">
        <v>403</v>
      </c>
      <c r="B97" s="1164" t="s">
        <v>1281</v>
      </c>
      <c r="C97" s="1164" t="s">
        <v>460</v>
      </c>
      <c r="D97" s="1164" t="s">
        <v>1282</v>
      </c>
      <c r="E97" s="1164" t="s">
        <v>1283</v>
      </c>
      <c r="F97" s="1164" t="s">
        <v>1284</v>
      </c>
      <c r="G97" s="1164" t="s">
        <v>116</v>
      </c>
      <c r="H97" s="1165">
        <v>4.0</v>
      </c>
      <c r="I97" s="1164" t="s">
        <v>552</v>
      </c>
      <c r="J97" s="1164" t="s">
        <v>748</v>
      </c>
      <c r="K97" s="1164" t="s">
        <v>795</v>
      </c>
      <c r="L97" s="1164" t="s">
        <v>796</v>
      </c>
      <c r="M97" s="1164" t="s">
        <v>797</v>
      </c>
      <c r="N97" s="1164" t="s">
        <v>535</v>
      </c>
      <c r="O97" s="1164" t="s">
        <v>671</v>
      </c>
      <c r="P97" s="1166" t="s">
        <v>194</v>
      </c>
      <c r="Q97" s="1135">
        <v>39158.0</v>
      </c>
      <c r="R97" s="1164" t="s">
        <v>439</v>
      </c>
      <c r="S97" s="1164" t="s">
        <v>194</v>
      </c>
      <c r="T97" s="1164" t="s">
        <v>194</v>
      </c>
      <c r="U97" s="1164" t="s">
        <v>538</v>
      </c>
      <c r="V97" s="1164" t="s">
        <v>194</v>
      </c>
      <c r="W97" s="1164" t="s">
        <v>194</v>
      </c>
      <c r="X97" s="1164" t="s">
        <v>194</v>
      </c>
      <c r="Y97" s="1167">
        <v>64.12</v>
      </c>
      <c r="Z97" s="1164" t="s">
        <v>557</v>
      </c>
      <c r="AA97" s="1135" t="s">
        <v>194</v>
      </c>
      <c r="AB97" s="1164" t="s">
        <v>194</v>
      </c>
      <c r="AC97" s="1167" t="s">
        <v>194</v>
      </c>
      <c r="AD97" s="1164" t="s">
        <v>194</v>
      </c>
      <c r="AE97" s="1168" t="s">
        <v>194</v>
      </c>
      <c r="AF97" s="1167">
        <v>54.81</v>
      </c>
      <c r="AG97" s="1164" t="s">
        <v>557</v>
      </c>
      <c r="AH97" s="1164" t="s">
        <v>540</v>
      </c>
      <c r="AI97" s="1164" t="s">
        <v>194</v>
      </c>
      <c r="AJ97" s="1164" t="s">
        <v>194</v>
      </c>
      <c r="AK97" s="1165" t="s">
        <v>194</v>
      </c>
      <c r="AL97" s="1164" t="s">
        <v>194</v>
      </c>
      <c r="AM97" s="1167">
        <v>12645.48</v>
      </c>
      <c r="AN97" s="1164" t="s">
        <v>557</v>
      </c>
      <c r="AO97" s="1169">
        <v>-1.8033172924577845</v>
      </c>
      <c r="AP97" s="1167">
        <v>2174.89</v>
      </c>
      <c r="AQ97" s="1164" t="s">
        <v>557</v>
      </c>
      <c r="AR97" s="1167">
        <v>-18825.37</v>
      </c>
      <c r="AS97" s="1164" t="s">
        <v>557</v>
      </c>
      <c r="AT97" s="1167">
        <v>-15314.33</v>
      </c>
      <c r="AU97" s="1164" t="s">
        <v>557</v>
      </c>
      <c r="AV97" s="1170" t="s">
        <v>194</v>
      </c>
      <c r="AW97" s="1170" t="s">
        <v>194</v>
      </c>
      <c r="AX97" s="1170">
        <v>-4.18675526699637</v>
      </c>
      <c r="AY97" s="1171">
        <v>-4.18675526699637</v>
      </c>
      <c r="AZ97" s="1170">
        <v>5.070375776047473</v>
      </c>
      <c r="BA97" s="1170">
        <v>5.070375776047473</v>
      </c>
      <c r="BB97" s="1170">
        <v>-8.705884976543853</v>
      </c>
      <c r="BC97" s="1170">
        <v>-8.705884976543853</v>
      </c>
      <c r="BD97" s="1164" t="s">
        <v>1285</v>
      </c>
      <c r="BE97" s="1164" t="s">
        <v>1286</v>
      </c>
      <c r="BF97" s="1165" t="s">
        <v>1287</v>
      </c>
      <c r="BG97" s="1164" t="s">
        <v>733</v>
      </c>
      <c r="BH97" s="1164" t="s">
        <v>543</v>
      </c>
      <c r="BI97" s="1164" t="s">
        <v>194</v>
      </c>
      <c r="BJ97" s="1164" t="s">
        <v>544</v>
      </c>
      <c r="BK97" s="1166">
        <v>5.0</v>
      </c>
      <c r="BL97" s="1164" t="s">
        <v>545</v>
      </c>
      <c r="BM97" s="1164" t="s">
        <v>194</v>
      </c>
      <c r="BN97" s="1165" t="s">
        <v>546</v>
      </c>
      <c r="BO97" s="1164" t="s">
        <v>547</v>
      </c>
      <c r="BP97" s="1139" t="str">
        <f t="shared" si="4"/>
        <v>View Investor Online</v>
      </c>
    </row>
    <row r="98" ht="11.25" hidden="1" customHeight="1">
      <c r="A98" s="1172" t="s">
        <v>403</v>
      </c>
      <c r="B98" s="1172" t="s">
        <v>1288</v>
      </c>
      <c r="C98" s="1172" t="s">
        <v>460</v>
      </c>
      <c r="D98" s="1172" t="s">
        <v>1289</v>
      </c>
      <c r="E98" s="1172" t="s">
        <v>1290</v>
      </c>
      <c r="F98" s="1172" t="s">
        <v>1291</v>
      </c>
      <c r="G98" s="1172" t="s">
        <v>529</v>
      </c>
      <c r="H98" s="1173">
        <v>1.0</v>
      </c>
      <c r="I98" s="1172" t="s">
        <v>880</v>
      </c>
      <c r="J98" s="1172" t="s">
        <v>881</v>
      </c>
      <c r="K98" s="1172" t="s">
        <v>1292</v>
      </c>
      <c r="L98" s="1172" t="s">
        <v>194</v>
      </c>
      <c r="M98" s="1172" t="s">
        <v>1293</v>
      </c>
      <c r="N98" s="1172" t="s">
        <v>535</v>
      </c>
      <c r="O98" s="1172" t="s">
        <v>536</v>
      </c>
      <c r="P98" s="1174">
        <v>20.0</v>
      </c>
      <c r="Q98" s="1142">
        <v>39448.0</v>
      </c>
      <c r="R98" s="1172" t="s">
        <v>439</v>
      </c>
      <c r="S98" s="1172" t="s">
        <v>194</v>
      </c>
      <c r="T98" s="1172" t="s">
        <v>194</v>
      </c>
      <c r="U98" s="1172" t="s">
        <v>538</v>
      </c>
      <c r="V98" s="1172" t="s">
        <v>194</v>
      </c>
      <c r="W98" s="1172" t="s">
        <v>194</v>
      </c>
      <c r="X98" s="1172" t="s">
        <v>194</v>
      </c>
      <c r="Y98" s="1175" t="s">
        <v>194</v>
      </c>
      <c r="Z98" s="1172" t="s">
        <v>194</v>
      </c>
      <c r="AA98" s="1142">
        <v>39448.0</v>
      </c>
      <c r="AB98" s="1172" t="s">
        <v>856</v>
      </c>
      <c r="AC98" s="1175" t="s">
        <v>194</v>
      </c>
      <c r="AD98" s="1172">
        <v>5.45</v>
      </c>
      <c r="AE98" s="1176" t="s">
        <v>194</v>
      </c>
      <c r="AF98" s="1175" t="s">
        <v>194</v>
      </c>
      <c r="AG98" s="1172" t="s">
        <v>194</v>
      </c>
      <c r="AH98" s="1172" t="s">
        <v>540</v>
      </c>
      <c r="AI98" s="1172" t="s">
        <v>194</v>
      </c>
      <c r="AJ98" s="1172" t="s">
        <v>194</v>
      </c>
      <c r="AK98" s="1173" t="s">
        <v>194</v>
      </c>
      <c r="AL98" s="1172" t="s">
        <v>194</v>
      </c>
      <c r="AM98" s="1175">
        <v>7305.39</v>
      </c>
      <c r="AN98" s="1172" t="s">
        <v>557</v>
      </c>
      <c r="AO98" s="1177" t="s">
        <v>194</v>
      </c>
      <c r="AP98" s="1175">
        <v>4910.18</v>
      </c>
      <c r="AQ98" s="1172" t="s">
        <v>557</v>
      </c>
      <c r="AR98" s="1175" t="s">
        <v>194</v>
      </c>
      <c r="AS98" s="1172" t="s">
        <v>194</v>
      </c>
      <c r="AT98" s="1175">
        <v>2543.94</v>
      </c>
      <c r="AU98" s="1172" t="s">
        <v>557</v>
      </c>
      <c r="AV98" s="1178" t="s">
        <v>194</v>
      </c>
      <c r="AW98" s="1178" t="s">
        <v>194</v>
      </c>
      <c r="AX98" s="1178" t="s">
        <v>194</v>
      </c>
      <c r="AY98" s="1179" t="s">
        <v>194</v>
      </c>
      <c r="AZ98" s="1178" t="s">
        <v>194</v>
      </c>
      <c r="BA98" s="1178" t="s">
        <v>194</v>
      </c>
      <c r="BB98" s="1178" t="s">
        <v>194</v>
      </c>
      <c r="BC98" s="1178" t="s">
        <v>194</v>
      </c>
      <c r="BD98" s="1172" t="s">
        <v>1294</v>
      </c>
      <c r="BE98" s="1172" t="s">
        <v>616</v>
      </c>
      <c r="BF98" s="1173" t="s">
        <v>1295</v>
      </c>
      <c r="BG98" s="1172" t="s">
        <v>618</v>
      </c>
      <c r="BH98" s="1172" t="s">
        <v>543</v>
      </c>
      <c r="BI98" s="1172" t="s">
        <v>194</v>
      </c>
      <c r="BJ98" s="1172" t="s">
        <v>544</v>
      </c>
      <c r="BK98" s="1174">
        <v>5.0</v>
      </c>
      <c r="BL98" s="1172" t="s">
        <v>545</v>
      </c>
      <c r="BM98" s="1172" t="s">
        <v>194</v>
      </c>
      <c r="BN98" s="1173" t="s">
        <v>546</v>
      </c>
      <c r="BO98" s="1172" t="s">
        <v>547</v>
      </c>
      <c r="BP98" s="1180" t="str">
        <f t="shared" si="4"/>
        <v>View Investor Online</v>
      </c>
    </row>
    <row r="99" ht="11.25" hidden="1" customHeight="1">
      <c r="A99" s="1164" t="s">
        <v>403</v>
      </c>
      <c r="B99" s="1164" t="s">
        <v>1296</v>
      </c>
      <c r="C99" s="1164" t="s">
        <v>460</v>
      </c>
      <c r="D99" s="1164" t="s">
        <v>1297</v>
      </c>
      <c r="E99" s="1164" t="s">
        <v>1298</v>
      </c>
      <c r="F99" s="1164" t="s">
        <v>1299</v>
      </c>
      <c r="G99" s="1164" t="s">
        <v>116</v>
      </c>
      <c r="H99" s="1165">
        <v>1.0</v>
      </c>
      <c r="I99" s="1164" t="s">
        <v>567</v>
      </c>
      <c r="J99" s="1164" t="s">
        <v>593</v>
      </c>
      <c r="K99" s="1164" t="s">
        <v>863</v>
      </c>
      <c r="L99" s="1164" t="s">
        <v>533</v>
      </c>
      <c r="M99" s="1164" t="s">
        <v>1031</v>
      </c>
      <c r="N99" s="1164" t="s">
        <v>535</v>
      </c>
      <c r="O99" s="1164" t="s">
        <v>536</v>
      </c>
      <c r="P99" s="1166">
        <v>50.0</v>
      </c>
      <c r="Q99" s="1135">
        <v>39310.0</v>
      </c>
      <c r="R99" s="1164" t="s">
        <v>439</v>
      </c>
      <c r="S99" s="1164" t="s">
        <v>194</v>
      </c>
      <c r="T99" s="1164" t="s">
        <v>194</v>
      </c>
      <c r="U99" s="1164" t="s">
        <v>538</v>
      </c>
      <c r="V99" s="1164" t="s">
        <v>194</v>
      </c>
      <c r="W99" s="1164" t="s">
        <v>194</v>
      </c>
      <c r="X99" s="1164" t="s">
        <v>194</v>
      </c>
      <c r="Y99" s="1167" t="s">
        <v>194</v>
      </c>
      <c r="Z99" s="1164" t="s">
        <v>194</v>
      </c>
      <c r="AA99" s="1135" t="s">
        <v>194</v>
      </c>
      <c r="AB99" s="1164" t="s">
        <v>194</v>
      </c>
      <c r="AC99" s="1167" t="s">
        <v>194</v>
      </c>
      <c r="AD99" s="1164" t="s">
        <v>194</v>
      </c>
      <c r="AE99" s="1168" t="s">
        <v>194</v>
      </c>
      <c r="AF99" s="1167" t="s">
        <v>194</v>
      </c>
      <c r="AG99" s="1164" t="s">
        <v>194</v>
      </c>
      <c r="AH99" s="1164" t="s">
        <v>540</v>
      </c>
      <c r="AI99" s="1164" t="s">
        <v>1233</v>
      </c>
      <c r="AJ99" s="1164" t="s">
        <v>194</v>
      </c>
      <c r="AK99" s="1165" t="s">
        <v>194</v>
      </c>
      <c r="AL99" s="1164" t="s">
        <v>194</v>
      </c>
      <c r="AM99" s="1167" t="s">
        <v>194</v>
      </c>
      <c r="AN99" s="1164" t="s">
        <v>194</v>
      </c>
      <c r="AO99" s="1169" t="s">
        <v>194</v>
      </c>
      <c r="AP99" s="1167" t="s">
        <v>194</v>
      </c>
      <c r="AQ99" s="1164" t="s">
        <v>194</v>
      </c>
      <c r="AR99" s="1167" t="s">
        <v>194</v>
      </c>
      <c r="AS99" s="1164" t="s">
        <v>194</v>
      </c>
      <c r="AT99" s="1167" t="s">
        <v>194</v>
      </c>
      <c r="AU99" s="1164" t="s">
        <v>194</v>
      </c>
      <c r="AV99" s="1170" t="s">
        <v>194</v>
      </c>
      <c r="AW99" s="1170" t="s">
        <v>194</v>
      </c>
      <c r="AX99" s="1170" t="s">
        <v>194</v>
      </c>
      <c r="AY99" s="1171" t="s">
        <v>194</v>
      </c>
      <c r="AZ99" s="1170" t="s">
        <v>194</v>
      </c>
      <c r="BA99" s="1170" t="s">
        <v>194</v>
      </c>
      <c r="BB99" s="1170" t="s">
        <v>194</v>
      </c>
      <c r="BC99" s="1170" t="s">
        <v>194</v>
      </c>
      <c r="BD99" s="1164" t="s">
        <v>1300</v>
      </c>
      <c r="BE99" s="1164" t="s">
        <v>1301</v>
      </c>
      <c r="BF99" s="1165" t="s">
        <v>1302</v>
      </c>
      <c r="BG99" s="1164" t="s">
        <v>562</v>
      </c>
      <c r="BH99" s="1164" t="s">
        <v>543</v>
      </c>
      <c r="BI99" s="1164" t="s">
        <v>194</v>
      </c>
      <c r="BJ99" s="1164" t="s">
        <v>544</v>
      </c>
      <c r="BK99" s="1166">
        <v>5.0</v>
      </c>
      <c r="BL99" s="1164" t="s">
        <v>545</v>
      </c>
      <c r="BM99" s="1164" t="s">
        <v>194</v>
      </c>
      <c r="BN99" s="1165" t="s">
        <v>546</v>
      </c>
      <c r="BO99" s="1164" t="s">
        <v>547</v>
      </c>
      <c r="BP99" s="1139" t="str">
        <f t="shared" si="4"/>
        <v>View Investor Online</v>
      </c>
    </row>
    <row r="100" ht="11.25" hidden="1" customHeight="1">
      <c r="A100" s="1172" t="s">
        <v>403</v>
      </c>
      <c r="B100" s="1172" t="s">
        <v>1303</v>
      </c>
      <c r="C100" s="1172" t="s">
        <v>460</v>
      </c>
      <c r="D100" s="1172" t="s">
        <v>1304</v>
      </c>
      <c r="E100" s="1172" t="s">
        <v>1305</v>
      </c>
      <c r="F100" s="1172" t="s">
        <v>1306</v>
      </c>
      <c r="G100" s="1172" t="s">
        <v>592</v>
      </c>
      <c r="H100" s="1173">
        <v>2.0</v>
      </c>
      <c r="I100" s="1172" t="s">
        <v>530</v>
      </c>
      <c r="J100" s="1172" t="s">
        <v>531</v>
      </c>
      <c r="K100" s="1172" t="s">
        <v>623</v>
      </c>
      <c r="L100" s="1172" t="s">
        <v>612</v>
      </c>
      <c r="M100" s="1172" t="s">
        <v>1307</v>
      </c>
      <c r="N100" s="1172" t="s">
        <v>535</v>
      </c>
      <c r="O100" s="1172" t="s">
        <v>1308</v>
      </c>
      <c r="P100" s="1174">
        <v>15.0</v>
      </c>
      <c r="Q100" s="1142">
        <v>42705.0</v>
      </c>
      <c r="R100" s="1172" t="s">
        <v>1309</v>
      </c>
      <c r="S100" s="1172" t="s">
        <v>1310</v>
      </c>
      <c r="T100" s="1172" t="s">
        <v>194</v>
      </c>
      <c r="U100" s="1172" t="s">
        <v>1311</v>
      </c>
      <c r="V100" s="1172" t="s">
        <v>194</v>
      </c>
      <c r="W100" s="1172" t="s">
        <v>194</v>
      </c>
      <c r="X100" s="1172" t="s">
        <v>194</v>
      </c>
      <c r="Y100" s="1175">
        <v>1.69</v>
      </c>
      <c r="Z100" s="1172" t="s">
        <v>557</v>
      </c>
      <c r="AA100" s="1142" t="s">
        <v>194</v>
      </c>
      <c r="AB100" s="1172" t="s">
        <v>194</v>
      </c>
      <c r="AC100" s="1175" t="s">
        <v>194</v>
      </c>
      <c r="AD100" s="1172" t="s">
        <v>194</v>
      </c>
      <c r="AE100" s="1176" t="s">
        <v>194</v>
      </c>
      <c r="AF100" s="1175" t="s">
        <v>194</v>
      </c>
      <c r="AG100" s="1172" t="s">
        <v>194</v>
      </c>
      <c r="AH100" s="1172" t="s">
        <v>540</v>
      </c>
      <c r="AI100" s="1172" t="s">
        <v>194</v>
      </c>
      <c r="AJ100" s="1172" t="s">
        <v>194</v>
      </c>
      <c r="AK100" s="1173" t="s">
        <v>194</v>
      </c>
      <c r="AL100" s="1172" t="s">
        <v>194</v>
      </c>
      <c r="AM100" s="1175" t="s">
        <v>194</v>
      </c>
      <c r="AN100" s="1172" t="s">
        <v>194</v>
      </c>
      <c r="AO100" s="1177" t="s">
        <v>194</v>
      </c>
      <c r="AP100" s="1175" t="s">
        <v>194</v>
      </c>
      <c r="AQ100" s="1172" t="s">
        <v>194</v>
      </c>
      <c r="AR100" s="1175" t="s">
        <v>194</v>
      </c>
      <c r="AS100" s="1172" t="s">
        <v>194</v>
      </c>
      <c r="AT100" s="1175" t="s">
        <v>194</v>
      </c>
      <c r="AU100" s="1172" t="s">
        <v>194</v>
      </c>
      <c r="AV100" s="1178" t="s">
        <v>194</v>
      </c>
      <c r="AW100" s="1178" t="s">
        <v>194</v>
      </c>
      <c r="AX100" s="1178" t="s">
        <v>194</v>
      </c>
      <c r="AY100" s="1179" t="s">
        <v>194</v>
      </c>
      <c r="AZ100" s="1178" t="s">
        <v>194</v>
      </c>
      <c r="BA100" s="1178" t="s">
        <v>194</v>
      </c>
      <c r="BB100" s="1178" t="s">
        <v>194</v>
      </c>
      <c r="BC100" s="1178" t="s">
        <v>194</v>
      </c>
      <c r="BD100" s="1172" t="s">
        <v>1241</v>
      </c>
      <c r="BE100" s="1172" t="s">
        <v>194</v>
      </c>
      <c r="BF100" s="1173" t="s">
        <v>194</v>
      </c>
      <c r="BG100" s="1172" t="s">
        <v>790</v>
      </c>
      <c r="BH100" s="1172" t="s">
        <v>543</v>
      </c>
      <c r="BI100" s="1172" t="s">
        <v>194</v>
      </c>
      <c r="BJ100" s="1172" t="s">
        <v>544</v>
      </c>
      <c r="BK100" s="1174">
        <v>5.0</v>
      </c>
      <c r="BL100" s="1172" t="s">
        <v>545</v>
      </c>
      <c r="BM100" s="1172" t="s">
        <v>194</v>
      </c>
      <c r="BN100" s="1173" t="s">
        <v>546</v>
      </c>
      <c r="BO100" s="1172" t="s">
        <v>547</v>
      </c>
      <c r="BP100" s="1180" t="str">
        <f t="shared" si="4"/>
        <v>View Investor Online</v>
      </c>
    </row>
    <row r="101" ht="11.25" hidden="1" customHeight="1">
      <c r="A101" s="1164" t="s">
        <v>403</v>
      </c>
      <c r="B101" s="1164" t="s">
        <v>1312</v>
      </c>
      <c r="C101" s="1164" t="s">
        <v>460</v>
      </c>
      <c r="D101" s="1164" t="s">
        <v>1313</v>
      </c>
      <c r="E101" s="1164" t="s">
        <v>1314</v>
      </c>
      <c r="F101" s="1164" t="s">
        <v>1315</v>
      </c>
      <c r="G101" s="1164" t="s">
        <v>529</v>
      </c>
      <c r="H101" s="1165">
        <v>1.0</v>
      </c>
      <c r="I101" s="1164" t="s">
        <v>667</v>
      </c>
      <c r="J101" s="1164" t="s">
        <v>668</v>
      </c>
      <c r="K101" s="1164" t="s">
        <v>669</v>
      </c>
      <c r="L101" s="1164" t="s">
        <v>636</v>
      </c>
      <c r="M101" s="1164" t="s">
        <v>1316</v>
      </c>
      <c r="N101" s="1164" t="s">
        <v>535</v>
      </c>
      <c r="O101" s="1164" t="s">
        <v>536</v>
      </c>
      <c r="P101" s="1166">
        <v>1001.0</v>
      </c>
      <c r="Q101" s="1135">
        <v>41001.0</v>
      </c>
      <c r="R101" s="1164" t="s">
        <v>639</v>
      </c>
      <c r="S101" s="1164" t="s">
        <v>194</v>
      </c>
      <c r="T101" s="1164" t="s">
        <v>194</v>
      </c>
      <c r="U101" s="1164" t="s">
        <v>538</v>
      </c>
      <c r="V101" s="1164" t="s">
        <v>194</v>
      </c>
      <c r="W101" s="1164" t="s">
        <v>194</v>
      </c>
      <c r="X101" s="1164" t="s">
        <v>194</v>
      </c>
      <c r="Y101" s="1167" t="s">
        <v>194</v>
      </c>
      <c r="Z101" s="1164" t="s">
        <v>194</v>
      </c>
      <c r="AA101" s="1135">
        <v>41001.0</v>
      </c>
      <c r="AB101" s="1164" t="s">
        <v>641</v>
      </c>
      <c r="AC101" s="1167" t="s">
        <v>194</v>
      </c>
      <c r="AD101" s="1164">
        <v>2.16</v>
      </c>
      <c r="AE101" s="1168" t="s">
        <v>194</v>
      </c>
      <c r="AF101" s="1167" t="s">
        <v>194</v>
      </c>
      <c r="AG101" s="1164" t="s">
        <v>194</v>
      </c>
      <c r="AH101" s="1164" t="s">
        <v>540</v>
      </c>
      <c r="AI101" s="1164" t="s">
        <v>194</v>
      </c>
      <c r="AJ101" s="1164" t="s">
        <v>194</v>
      </c>
      <c r="AK101" s="1165" t="s">
        <v>194</v>
      </c>
      <c r="AL101" s="1164" t="s">
        <v>194</v>
      </c>
      <c r="AM101" s="1167" t="s">
        <v>194</v>
      </c>
      <c r="AN101" s="1164" t="s">
        <v>194</v>
      </c>
      <c r="AO101" s="1169" t="s">
        <v>194</v>
      </c>
      <c r="AP101" s="1167" t="s">
        <v>194</v>
      </c>
      <c r="AQ101" s="1164" t="s">
        <v>194</v>
      </c>
      <c r="AR101" s="1167" t="s">
        <v>194</v>
      </c>
      <c r="AS101" s="1164" t="s">
        <v>194</v>
      </c>
      <c r="AT101" s="1167" t="s">
        <v>194</v>
      </c>
      <c r="AU101" s="1164" t="s">
        <v>194</v>
      </c>
      <c r="AV101" s="1170" t="s">
        <v>194</v>
      </c>
      <c r="AW101" s="1170" t="s">
        <v>194</v>
      </c>
      <c r="AX101" s="1170" t="s">
        <v>194</v>
      </c>
      <c r="AY101" s="1171" t="s">
        <v>194</v>
      </c>
      <c r="AZ101" s="1170" t="s">
        <v>194</v>
      </c>
      <c r="BA101" s="1170" t="s">
        <v>194</v>
      </c>
      <c r="BB101" s="1170" t="s">
        <v>194</v>
      </c>
      <c r="BC101" s="1170" t="s">
        <v>194</v>
      </c>
      <c r="BD101" s="1164" t="s">
        <v>545</v>
      </c>
      <c r="BE101" s="1164" t="s">
        <v>194</v>
      </c>
      <c r="BF101" s="1165" t="s">
        <v>1317</v>
      </c>
      <c r="BG101" s="1164" t="s">
        <v>547</v>
      </c>
      <c r="BH101" s="1164" t="s">
        <v>543</v>
      </c>
      <c r="BI101" s="1164" t="s">
        <v>194</v>
      </c>
      <c r="BJ101" s="1164" t="s">
        <v>544</v>
      </c>
      <c r="BK101" s="1166">
        <v>5.0</v>
      </c>
      <c r="BL101" s="1164" t="s">
        <v>545</v>
      </c>
      <c r="BM101" s="1164" t="s">
        <v>194</v>
      </c>
      <c r="BN101" s="1165" t="s">
        <v>546</v>
      </c>
      <c r="BO101" s="1164" t="s">
        <v>547</v>
      </c>
      <c r="BP101" s="1139" t="str">
        <f t="shared" si="4"/>
        <v>View Investor Online</v>
      </c>
    </row>
    <row r="102" ht="11.25" hidden="1" customHeight="1">
      <c r="A102" s="1164" t="s">
        <v>403</v>
      </c>
      <c r="B102" s="1164" t="s">
        <v>1318</v>
      </c>
      <c r="C102" s="1164" t="s">
        <v>460</v>
      </c>
      <c r="D102" s="1164" t="s">
        <v>1319</v>
      </c>
      <c r="E102" s="1164" t="s">
        <v>1320</v>
      </c>
      <c r="F102" s="1164" t="s">
        <v>1321</v>
      </c>
      <c r="G102" s="1164" t="s">
        <v>1322</v>
      </c>
      <c r="H102" s="1165">
        <v>1.0</v>
      </c>
      <c r="I102" s="1164" t="s">
        <v>552</v>
      </c>
      <c r="J102" s="1164" t="s">
        <v>748</v>
      </c>
      <c r="K102" s="1164" t="s">
        <v>1323</v>
      </c>
      <c r="L102" s="1164" t="s">
        <v>194</v>
      </c>
      <c r="M102" s="1164" t="s">
        <v>1324</v>
      </c>
      <c r="N102" s="1164" t="s">
        <v>535</v>
      </c>
      <c r="O102" s="1164" t="s">
        <v>536</v>
      </c>
      <c r="P102" s="1166">
        <v>280.0</v>
      </c>
      <c r="Q102" s="1135">
        <v>38991.0</v>
      </c>
      <c r="R102" s="1164" t="s">
        <v>439</v>
      </c>
      <c r="S102" s="1164" t="s">
        <v>556</v>
      </c>
      <c r="T102" s="1164" t="s">
        <v>194</v>
      </c>
      <c r="U102" s="1164" t="s">
        <v>538</v>
      </c>
      <c r="V102" s="1164" t="s">
        <v>194</v>
      </c>
      <c r="W102" s="1164" t="s">
        <v>194</v>
      </c>
      <c r="X102" s="1164" t="s">
        <v>194</v>
      </c>
      <c r="Y102" s="1167" t="s">
        <v>194</v>
      </c>
      <c r="Z102" s="1164" t="s">
        <v>194</v>
      </c>
      <c r="AA102" s="1135">
        <v>38991.0</v>
      </c>
      <c r="AB102" s="1164" t="s">
        <v>1325</v>
      </c>
      <c r="AC102" s="1167" t="s">
        <v>194</v>
      </c>
      <c r="AD102" s="1164">
        <v>12.22</v>
      </c>
      <c r="AE102" s="1168" t="s">
        <v>194</v>
      </c>
      <c r="AF102" s="1167" t="s">
        <v>194</v>
      </c>
      <c r="AG102" s="1164" t="s">
        <v>194</v>
      </c>
      <c r="AH102" s="1164" t="s">
        <v>540</v>
      </c>
      <c r="AI102" s="1164" t="s">
        <v>194</v>
      </c>
      <c r="AJ102" s="1164" t="s">
        <v>194</v>
      </c>
      <c r="AK102" s="1165" t="s">
        <v>194</v>
      </c>
      <c r="AL102" s="1164" t="s">
        <v>194</v>
      </c>
      <c r="AM102" s="1167" t="s">
        <v>194</v>
      </c>
      <c r="AN102" s="1164" t="s">
        <v>194</v>
      </c>
      <c r="AO102" s="1169" t="s">
        <v>194</v>
      </c>
      <c r="AP102" s="1167" t="s">
        <v>194</v>
      </c>
      <c r="AQ102" s="1164" t="s">
        <v>194</v>
      </c>
      <c r="AR102" s="1167" t="s">
        <v>194</v>
      </c>
      <c r="AS102" s="1164" t="s">
        <v>194</v>
      </c>
      <c r="AT102" s="1167" t="s">
        <v>194</v>
      </c>
      <c r="AU102" s="1164" t="s">
        <v>194</v>
      </c>
      <c r="AV102" s="1170" t="s">
        <v>194</v>
      </c>
      <c r="AW102" s="1170" t="s">
        <v>194</v>
      </c>
      <c r="AX102" s="1170" t="s">
        <v>194</v>
      </c>
      <c r="AY102" s="1171" t="s">
        <v>194</v>
      </c>
      <c r="AZ102" s="1170" t="s">
        <v>194</v>
      </c>
      <c r="BA102" s="1170" t="s">
        <v>194</v>
      </c>
      <c r="BB102" s="1170" t="s">
        <v>194</v>
      </c>
      <c r="BC102" s="1170" t="s">
        <v>194</v>
      </c>
      <c r="BD102" s="1164" t="s">
        <v>1326</v>
      </c>
      <c r="BE102" s="1164" t="s">
        <v>194</v>
      </c>
      <c r="BF102" s="1165" t="s">
        <v>194</v>
      </c>
      <c r="BG102" s="1164" t="s">
        <v>587</v>
      </c>
      <c r="BH102" s="1164" t="s">
        <v>543</v>
      </c>
      <c r="BI102" s="1164" t="s">
        <v>194</v>
      </c>
      <c r="BJ102" s="1164" t="s">
        <v>544</v>
      </c>
      <c r="BK102" s="1166">
        <v>5.0</v>
      </c>
      <c r="BL102" s="1164" t="s">
        <v>545</v>
      </c>
      <c r="BM102" s="1164" t="s">
        <v>194</v>
      </c>
      <c r="BN102" s="1165" t="s">
        <v>546</v>
      </c>
      <c r="BO102" s="1164" t="s">
        <v>547</v>
      </c>
      <c r="BP102" s="1139" t="str">
        <f t="shared" si="4"/>
        <v>View Investor Online</v>
      </c>
    </row>
    <row r="103" ht="11.25" hidden="1" customHeight="1">
      <c r="A103" s="1164" t="s">
        <v>403</v>
      </c>
      <c r="B103" s="1164" t="s">
        <v>1327</v>
      </c>
      <c r="C103" s="1164" t="s">
        <v>460</v>
      </c>
      <c r="D103" s="1164" t="s">
        <v>1328</v>
      </c>
      <c r="E103" s="1164" t="s">
        <v>1329</v>
      </c>
      <c r="F103" s="1164" t="s">
        <v>1330</v>
      </c>
      <c r="G103" s="1164" t="s">
        <v>529</v>
      </c>
      <c r="H103" s="1165">
        <v>2.0</v>
      </c>
      <c r="I103" s="1164" t="s">
        <v>552</v>
      </c>
      <c r="J103" s="1164" t="s">
        <v>748</v>
      </c>
      <c r="K103" s="1164" t="s">
        <v>1323</v>
      </c>
      <c r="L103" s="1164" t="s">
        <v>775</v>
      </c>
      <c r="M103" s="1164" t="s">
        <v>1331</v>
      </c>
      <c r="N103" s="1164" t="s">
        <v>535</v>
      </c>
      <c r="O103" s="1164" t="s">
        <v>536</v>
      </c>
      <c r="P103" s="1166" t="s">
        <v>194</v>
      </c>
      <c r="Q103" s="1135">
        <v>37165.0</v>
      </c>
      <c r="R103" s="1164" t="s">
        <v>439</v>
      </c>
      <c r="S103" s="1164" t="s">
        <v>556</v>
      </c>
      <c r="T103" s="1164" t="s">
        <v>194</v>
      </c>
      <c r="U103" s="1164" t="s">
        <v>538</v>
      </c>
      <c r="V103" s="1164" t="s">
        <v>194</v>
      </c>
      <c r="W103" s="1164" t="s">
        <v>194</v>
      </c>
      <c r="X103" s="1164" t="s">
        <v>194</v>
      </c>
      <c r="Y103" s="1167" t="s">
        <v>194</v>
      </c>
      <c r="Z103" s="1164" t="s">
        <v>194</v>
      </c>
      <c r="AA103" s="1135">
        <v>37165.0</v>
      </c>
      <c r="AB103" s="1164" t="s">
        <v>1325</v>
      </c>
      <c r="AC103" s="1167" t="s">
        <v>194</v>
      </c>
      <c r="AD103" s="1164">
        <v>16.4</v>
      </c>
      <c r="AE103" s="1168" t="s">
        <v>194</v>
      </c>
      <c r="AF103" s="1167" t="s">
        <v>194</v>
      </c>
      <c r="AG103" s="1164" t="s">
        <v>194</v>
      </c>
      <c r="AH103" s="1164" t="s">
        <v>540</v>
      </c>
      <c r="AI103" s="1164" t="s">
        <v>194</v>
      </c>
      <c r="AJ103" s="1164" t="s">
        <v>194</v>
      </c>
      <c r="AK103" s="1165" t="s">
        <v>194</v>
      </c>
      <c r="AL103" s="1164" t="s">
        <v>194</v>
      </c>
      <c r="AM103" s="1167" t="s">
        <v>194</v>
      </c>
      <c r="AN103" s="1164" t="s">
        <v>194</v>
      </c>
      <c r="AO103" s="1169" t="s">
        <v>194</v>
      </c>
      <c r="AP103" s="1167" t="s">
        <v>194</v>
      </c>
      <c r="AQ103" s="1164" t="s">
        <v>194</v>
      </c>
      <c r="AR103" s="1167" t="s">
        <v>194</v>
      </c>
      <c r="AS103" s="1164" t="s">
        <v>194</v>
      </c>
      <c r="AT103" s="1167" t="s">
        <v>194</v>
      </c>
      <c r="AU103" s="1164" t="s">
        <v>194</v>
      </c>
      <c r="AV103" s="1170" t="s">
        <v>194</v>
      </c>
      <c r="AW103" s="1170" t="s">
        <v>194</v>
      </c>
      <c r="AX103" s="1170" t="s">
        <v>194</v>
      </c>
      <c r="AY103" s="1171" t="s">
        <v>194</v>
      </c>
      <c r="AZ103" s="1170" t="s">
        <v>194</v>
      </c>
      <c r="BA103" s="1170" t="s">
        <v>194</v>
      </c>
      <c r="BB103" s="1170" t="s">
        <v>194</v>
      </c>
      <c r="BC103" s="1170" t="s">
        <v>194</v>
      </c>
      <c r="BD103" s="1164" t="s">
        <v>818</v>
      </c>
      <c r="BE103" s="1164" t="s">
        <v>819</v>
      </c>
      <c r="BF103" s="1165" t="s">
        <v>820</v>
      </c>
      <c r="BG103" s="1164" t="s">
        <v>562</v>
      </c>
      <c r="BH103" s="1164" t="s">
        <v>543</v>
      </c>
      <c r="BI103" s="1164" t="s">
        <v>194</v>
      </c>
      <c r="BJ103" s="1164" t="s">
        <v>544</v>
      </c>
      <c r="BK103" s="1166">
        <v>5.0</v>
      </c>
      <c r="BL103" s="1164" t="s">
        <v>545</v>
      </c>
      <c r="BM103" s="1164" t="s">
        <v>194</v>
      </c>
      <c r="BN103" s="1165" t="s">
        <v>546</v>
      </c>
      <c r="BO103" s="1164" t="s">
        <v>547</v>
      </c>
      <c r="BP103" s="1139" t="str">
        <f t="shared" si="4"/>
        <v>View Investor Online</v>
      </c>
    </row>
    <row r="104" ht="11.25" hidden="1" customHeight="1">
      <c r="A104" s="1164" t="s">
        <v>403</v>
      </c>
      <c r="B104" s="1164" t="s">
        <v>1332</v>
      </c>
      <c r="C104" s="1164" t="s">
        <v>460</v>
      </c>
      <c r="D104" s="1164" t="s">
        <v>1333</v>
      </c>
      <c r="E104" s="1164" t="s">
        <v>1334</v>
      </c>
      <c r="F104" s="1164" t="s">
        <v>1335</v>
      </c>
      <c r="G104" s="1164" t="s">
        <v>116</v>
      </c>
      <c r="H104" s="1165">
        <v>1.0</v>
      </c>
      <c r="I104" s="1164" t="s">
        <v>552</v>
      </c>
      <c r="J104" s="1164" t="s">
        <v>748</v>
      </c>
      <c r="K104" s="1164" t="s">
        <v>795</v>
      </c>
      <c r="L104" s="1164" t="s">
        <v>796</v>
      </c>
      <c r="M104" s="1164" t="s">
        <v>797</v>
      </c>
      <c r="N104" s="1164" t="s">
        <v>535</v>
      </c>
      <c r="O104" s="1164" t="s">
        <v>536</v>
      </c>
      <c r="P104" s="1166">
        <v>1600.0</v>
      </c>
      <c r="Q104" s="1135">
        <v>37151.0</v>
      </c>
      <c r="R104" s="1164" t="s">
        <v>439</v>
      </c>
      <c r="S104" s="1164" t="s">
        <v>194</v>
      </c>
      <c r="T104" s="1164" t="s">
        <v>194</v>
      </c>
      <c r="U104" s="1164" t="s">
        <v>538</v>
      </c>
      <c r="V104" s="1164" t="s">
        <v>194</v>
      </c>
      <c r="W104" s="1164" t="s">
        <v>194</v>
      </c>
      <c r="X104" s="1164" t="s">
        <v>194</v>
      </c>
      <c r="Y104" s="1167">
        <v>65.68</v>
      </c>
      <c r="Z104" s="1164" t="s">
        <v>557</v>
      </c>
      <c r="AA104" s="1135" t="s">
        <v>194</v>
      </c>
      <c r="AB104" s="1164" t="s">
        <v>194</v>
      </c>
      <c r="AC104" s="1167" t="s">
        <v>194</v>
      </c>
      <c r="AD104" s="1164" t="s">
        <v>194</v>
      </c>
      <c r="AE104" s="1168" t="s">
        <v>194</v>
      </c>
      <c r="AF104" s="1167">
        <v>59.92</v>
      </c>
      <c r="AG104" s="1164" t="s">
        <v>557</v>
      </c>
      <c r="AH104" s="1164" t="s">
        <v>540</v>
      </c>
      <c r="AI104" s="1164" t="s">
        <v>1336</v>
      </c>
      <c r="AJ104" s="1164" t="s">
        <v>194</v>
      </c>
      <c r="AK104" s="1165" t="s">
        <v>194</v>
      </c>
      <c r="AL104" s="1164" t="s">
        <v>194</v>
      </c>
      <c r="AM104" s="1167" t="s">
        <v>194</v>
      </c>
      <c r="AN104" s="1164" t="s">
        <v>194</v>
      </c>
      <c r="AO104" s="1169" t="s">
        <v>194</v>
      </c>
      <c r="AP104" s="1167" t="s">
        <v>194</v>
      </c>
      <c r="AQ104" s="1164" t="s">
        <v>194</v>
      </c>
      <c r="AR104" s="1167" t="s">
        <v>194</v>
      </c>
      <c r="AS104" s="1164" t="s">
        <v>194</v>
      </c>
      <c r="AT104" s="1167" t="s">
        <v>194</v>
      </c>
      <c r="AU104" s="1164" t="s">
        <v>194</v>
      </c>
      <c r="AV104" s="1170" t="s">
        <v>194</v>
      </c>
      <c r="AW104" s="1170" t="s">
        <v>194</v>
      </c>
      <c r="AX104" s="1170" t="s">
        <v>194</v>
      </c>
      <c r="AY104" s="1171" t="s">
        <v>194</v>
      </c>
      <c r="AZ104" s="1170" t="s">
        <v>194</v>
      </c>
      <c r="BA104" s="1170" t="s">
        <v>194</v>
      </c>
      <c r="BB104" s="1170" t="s">
        <v>194</v>
      </c>
      <c r="BC104" s="1170" t="s">
        <v>194</v>
      </c>
      <c r="BD104" s="1164" t="s">
        <v>1337</v>
      </c>
      <c r="BE104" s="1164" t="s">
        <v>194</v>
      </c>
      <c r="BF104" s="1165" t="s">
        <v>1338</v>
      </c>
      <c r="BG104" s="1164" t="s">
        <v>1339</v>
      </c>
      <c r="BH104" s="1164" t="s">
        <v>543</v>
      </c>
      <c r="BI104" s="1164" t="s">
        <v>194</v>
      </c>
      <c r="BJ104" s="1164" t="s">
        <v>544</v>
      </c>
      <c r="BK104" s="1166">
        <v>5.0</v>
      </c>
      <c r="BL104" s="1164" t="s">
        <v>545</v>
      </c>
      <c r="BM104" s="1164" t="s">
        <v>194</v>
      </c>
      <c r="BN104" s="1165" t="s">
        <v>546</v>
      </c>
      <c r="BO104" s="1164" t="s">
        <v>547</v>
      </c>
      <c r="BP104" s="1139" t="str">
        <f t="shared" si="4"/>
        <v>View Investor Online</v>
      </c>
    </row>
    <row r="105" ht="11.25" hidden="1" customHeight="1">
      <c r="A105" s="1164" t="s">
        <v>403</v>
      </c>
      <c r="B105" s="1164" t="s">
        <v>1340</v>
      </c>
      <c r="C105" s="1164" t="s">
        <v>460</v>
      </c>
      <c r="D105" s="1164" t="s">
        <v>1341</v>
      </c>
      <c r="E105" s="1164" t="s">
        <v>1342</v>
      </c>
      <c r="F105" s="1164" t="s">
        <v>1343</v>
      </c>
      <c r="G105" s="1164" t="s">
        <v>116</v>
      </c>
      <c r="H105" s="1165">
        <v>2.0</v>
      </c>
      <c r="I105" s="1164" t="s">
        <v>552</v>
      </c>
      <c r="J105" s="1164" t="s">
        <v>553</v>
      </c>
      <c r="K105" s="1164" t="s">
        <v>1344</v>
      </c>
      <c r="L105" s="1164" t="s">
        <v>533</v>
      </c>
      <c r="M105" s="1164" t="s">
        <v>1345</v>
      </c>
      <c r="N105" s="1164" t="s">
        <v>535</v>
      </c>
      <c r="O105" s="1164" t="s">
        <v>671</v>
      </c>
      <c r="P105" s="1166" t="s">
        <v>194</v>
      </c>
      <c r="Q105" s="1135">
        <v>37005.0</v>
      </c>
      <c r="R105" s="1164" t="s">
        <v>439</v>
      </c>
      <c r="S105" s="1164" t="s">
        <v>194</v>
      </c>
      <c r="T105" s="1164" t="s">
        <v>194</v>
      </c>
      <c r="U105" s="1164" t="s">
        <v>538</v>
      </c>
      <c r="V105" s="1164" t="s">
        <v>194</v>
      </c>
      <c r="W105" s="1164" t="s">
        <v>194</v>
      </c>
      <c r="X105" s="1164" t="s">
        <v>194</v>
      </c>
      <c r="Y105" s="1167" t="s">
        <v>194</v>
      </c>
      <c r="Z105" s="1164" t="s">
        <v>194</v>
      </c>
      <c r="AA105" s="1135" t="s">
        <v>194</v>
      </c>
      <c r="AB105" s="1164" t="s">
        <v>194</v>
      </c>
      <c r="AC105" s="1167" t="s">
        <v>194</v>
      </c>
      <c r="AD105" s="1164" t="s">
        <v>194</v>
      </c>
      <c r="AE105" s="1168" t="s">
        <v>194</v>
      </c>
      <c r="AF105" s="1167" t="s">
        <v>194</v>
      </c>
      <c r="AG105" s="1164" t="s">
        <v>194</v>
      </c>
      <c r="AH105" s="1164" t="s">
        <v>540</v>
      </c>
      <c r="AI105" s="1164" t="s">
        <v>194</v>
      </c>
      <c r="AJ105" s="1164" t="s">
        <v>194</v>
      </c>
      <c r="AK105" s="1165" t="s">
        <v>194</v>
      </c>
      <c r="AL105" s="1164" t="s">
        <v>194</v>
      </c>
      <c r="AM105" s="1167" t="s">
        <v>194</v>
      </c>
      <c r="AN105" s="1164" t="s">
        <v>194</v>
      </c>
      <c r="AO105" s="1169" t="s">
        <v>194</v>
      </c>
      <c r="AP105" s="1167" t="s">
        <v>194</v>
      </c>
      <c r="AQ105" s="1164" t="s">
        <v>194</v>
      </c>
      <c r="AR105" s="1167" t="s">
        <v>194</v>
      </c>
      <c r="AS105" s="1164" t="s">
        <v>194</v>
      </c>
      <c r="AT105" s="1167" t="s">
        <v>194</v>
      </c>
      <c r="AU105" s="1164" t="s">
        <v>194</v>
      </c>
      <c r="AV105" s="1170" t="s">
        <v>194</v>
      </c>
      <c r="AW105" s="1170" t="s">
        <v>194</v>
      </c>
      <c r="AX105" s="1170" t="s">
        <v>194</v>
      </c>
      <c r="AY105" s="1171" t="s">
        <v>194</v>
      </c>
      <c r="AZ105" s="1170" t="s">
        <v>194</v>
      </c>
      <c r="BA105" s="1170" t="s">
        <v>194</v>
      </c>
      <c r="BB105" s="1170" t="s">
        <v>194</v>
      </c>
      <c r="BC105" s="1170" t="s">
        <v>194</v>
      </c>
      <c r="BD105" s="1164" t="s">
        <v>194</v>
      </c>
      <c r="BE105" s="1164" t="s">
        <v>194</v>
      </c>
      <c r="BF105" s="1165" t="s">
        <v>194</v>
      </c>
      <c r="BG105" s="1164" t="s">
        <v>194</v>
      </c>
      <c r="BH105" s="1164" t="s">
        <v>543</v>
      </c>
      <c r="BI105" s="1164" t="s">
        <v>194</v>
      </c>
      <c r="BJ105" s="1164" t="s">
        <v>544</v>
      </c>
      <c r="BK105" s="1166">
        <v>5.0</v>
      </c>
      <c r="BL105" s="1164" t="s">
        <v>545</v>
      </c>
      <c r="BM105" s="1164" t="s">
        <v>194</v>
      </c>
      <c r="BN105" s="1165" t="s">
        <v>546</v>
      </c>
      <c r="BO105" s="1164" t="s">
        <v>547</v>
      </c>
      <c r="BP105" s="1139" t="str">
        <f t="shared" si="4"/>
        <v>View Investor Online</v>
      </c>
    </row>
    <row r="106" ht="11.25" hidden="1" customHeight="1">
      <c r="A106" s="1172" t="s">
        <v>403</v>
      </c>
      <c r="B106" s="1172" t="s">
        <v>1346</v>
      </c>
      <c r="C106" s="1172" t="s">
        <v>460</v>
      </c>
      <c r="D106" s="1172" t="s">
        <v>1347</v>
      </c>
      <c r="E106" s="1172" t="s">
        <v>1348</v>
      </c>
      <c r="F106" s="1172" t="s">
        <v>1349</v>
      </c>
      <c r="G106" s="1172" t="s">
        <v>116</v>
      </c>
      <c r="H106" s="1173">
        <v>2.0</v>
      </c>
      <c r="I106" s="1172" t="s">
        <v>667</v>
      </c>
      <c r="J106" s="1172" t="s">
        <v>805</v>
      </c>
      <c r="K106" s="1172" t="s">
        <v>963</v>
      </c>
      <c r="L106" s="1172" t="s">
        <v>775</v>
      </c>
      <c r="M106" s="1172" t="s">
        <v>1350</v>
      </c>
      <c r="N106" s="1172" t="s">
        <v>638</v>
      </c>
      <c r="O106" s="1172" t="s">
        <v>536</v>
      </c>
      <c r="P106" s="1174">
        <v>600.0</v>
      </c>
      <c r="Q106" s="1142">
        <v>36899.0</v>
      </c>
      <c r="R106" s="1172" t="s">
        <v>439</v>
      </c>
      <c r="S106" s="1172" t="s">
        <v>194</v>
      </c>
      <c r="T106" s="1172" t="s">
        <v>194</v>
      </c>
      <c r="U106" s="1172" t="s">
        <v>538</v>
      </c>
      <c r="V106" s="1172" t="s">
        <v>194</v>
      </c>
      <c r="W106" s="1172" t="s">
        <v>194</v>
      </c>
      <c r="X106" s="1172" t="s">
        <v>194</v>
      </c>
      <c r="Y106" s="1175" t="s">
        <v>194</v>
      </c>
      <c r="Z106" s="1172" t="s">
        <v>194</v>
      </c>
      <c r="AA106" s="1142" t="s">
        <v>194</v>
      </c>
      <c r="AB106" s="1172" t="s">
        <v>194</v>
      </c>
      <c r="AC106" s="1175" t="s">
        <v>194</v>
      </c>
      <c r="AD106" s="1172" t="s">
        <v>194</v>
      </c>
      <c r="AE106" s="1176" t="s">
        <v>194</v>
      </c>
      <c r="AF106" s="1175" t="s">
        <v>194</v>
      </c>
      <c r="AG106" s="1172" t="s">
        <v>194</v>
      </c>
      <c r="AH106" s="1172" t="s">
        <v>540</v>
      </c>
      <c r="AI106" s="1172" t="s">
        <v>194</v>
      </c>
      <c r="AJ106" s="1172" t="s">
        <v>194</v>
      </c>
      <c r="AK106" s="1173" t="s">
        <v>194</v>
      </c>
      <c r="AL106" s="1172" t="s">
        <v>194</v>
      </c>
      <c r="AM106" s="1175" t="s">
        <v>194</v>
      </c>
      <c r="AN106" s="1172" t="s">
        <v>194</v>
      </c>
      <c r="AO106" s="1177" t="s">
        <v>194</v>
      </c>
      <c r="AP106" s="1175" t="s">
        <v>194</v>
      </c>
      <c r="AQ106" s="1172" t="s">
        <v>194</v>
      </c>
      <c r="AR106" s="1175" t="s">
        <v>194</v>
      </c>
      <c r="AS106" s="1172" t="s">
        <v>194</v>
      </c>
      <c r="AT106" s="1175" t="s">
        <v>194</v>
      </c>
      <c r="AU106" s="1172" t="s">
        <v>194</v>
      </c>
      <c r="AV106" s="1178" t="s">
        <v>194</v>
      </c>
      <c r="AW106" s="1178" t="s">
        <v>194</v>
      </c>
      <c r="AX106" s="1178" t="s">
        <v>194</v>
      </c>
      <c r="AY106" s="1179" t="s">
        <v>194</v>
      </c>
      <c r="AZ106" s="1178" t="s">
        <v>194</v>
      </c>
      <c r="BA106" s="1178" t="s">
        <v>194</v>
      </c>
      <c r="BB106" s="1178" t="s">
        <v>194</v>
      </c>
      <c r="BC106" s="1178" t="s">
        <v>194</v>
      </c>
      <c r="BD106" s="1172" t="s">
        <v>1351</v>
      </c>
      <c r="BE106" s="1172" t="s">
        <v>1352</v>
      </c>
      <c r="BF106" s="1173" t="s">
        <v>194</v>
      </c>
      <c r="BG106" s="1172" t="s">
        <v>562</v>
      </c>
      <c r="BH106" s="1172" t="s">
        <v>543</v>
      </c>
      <c r="BI106" s="1172" t="s">
        <v>194</v>
      </c>
      <c r="BJ106" s="1172" t="s">
        <v>544</v>
      </c>
      <c r="BK106" s="1174">
        <v>5.0</v>
      </c>
      <c r="BL106" s="1172" t="s">
        <v>545</v>
      </c>
      <c r="BM106" s="1172" t="s">
        <v>194</v>
      </c>
      <c r="BN106" s="1173" t="s">
        <v>546</v>
      </c>
      <c r="BO106" s="1172" t="s">
        <v>547</v>
      </c>
      <c r="BP106" s="1180" t="str">
        <f t="shared" si="4"/>
        <v>View Investor Online</v>
      </c>
    </row>
    <row r="107" ht="11.25" hidden="1" customHeight="1">
      <c r="A107" s="1164" t="s">
        <v>403</v>
      </c>
      <c r="B107" s="1164" t="s">
        <v>1353</v>
      </c>
      <c r="C107" s="1164" t="s">
        <v>460</v>
      </c>
      <c r="D107" s="1164" t="s">
        <v>1354</v>
      </c>
      <c r="E107" s="1164" t="s">
        <v>1355</v>
      </c>
      <c r="F107" s="1164" t="s">
        <v>1356</v>
      </c>
      <c r="G107" s="1164" t="s">
        <v>116</v>
      </c>
      <c r="H107" s="1165">
        <v>4.0</v>
      </c>
      <c r="I107" s="1164" t="s">
        <v>567</v>
      </c>
      <c r="J107" s="1164" t="s">
        <v>593</v>
      </c>
      <c r="K107" s="1164" t="s">
        <v>1013</v>
      </c>
      <c r="L107" s="1164" t="s">
        <v>1357</v>
      </c>
      <c r="M107" s="1164" t="s">
        <v>1358</v>
      </c>
      <c r="N107" s="1164" t="s">
        <v>535</v>
      </c>
      <c r="O107" s="1164" t="s">
        <v>671</v>
      </c>
      <c r="P107" s="1166">
        <v>200.0</v>
      </c>
      <c r="Q107" s="1135">
        <v>43077.0</v>
      </c>
      <c r="R107" s="1164" t="s">
        <v>439</v>
      </c>
      <c r="S107" s="1164" t="s">
        <v>194</v>
      </c>
      <c r="T107" s="1164" t="s">
        <v>194</v>
      </c>
      <c r="U107" s="1164" t="s">
        <v>538</v>
      </c>
      <c r="V107" s="1164" t="s">
        <v>194</v>
      </c>
      <c r="W107" s="1164" t="s">
        <v>194</v>
      </c>
      <c r="X107" s="1164" t="s">
        <v>194</v>
      </c>
      <c r="Y107" s="1167" t="s">
        <v>194</v>
      </c>
      <c r="Z107" s="1164" t="s">
        <v>194</v>
      </c>
      <c r="AA107" s="1135" t="s">
        <v>194</v>
      </c>
      <c r="AB107" s="1164" t="s">
        <v>194</v>
      </c>
      <c r="AC107" s="1167" t="s">
        <v>194</v>
      </c>
      <c r="AD107" s="1164" t="s">
        <v>194</v>
      </c>
      <c r="AE107" s="1168" t="s">
        <v>194</v>
      </c>
      <c r="AF107" s="1167" t="s">
        <v>194</v>
      </c>
      <c r="AG107" s="1164" t="s">
        <v>194</v>
      </c>
      <c r="AH107" s="1164" t="s">
        <v>540</v>
      </c>
      <c r="AI107" s="1164" t="s">
        <v>1359</v>
      </c>
      <c r="AJ107" s="1164" t="s">
        <v>1360</v>
      </c>
      <c r="AK107" s="1165" t="s">
        <v>573</v>
      </c>
      <c r="AL107" s="1164" t="s">
        <v>194</v>
      </c>
      <c r="AM107" s="1167" t="s">
        <v>194</v>
      </c>
      <c r="AN107" s="1164" t="s">
        <v>194</v>
      </c>
      <c r="AO107" s="1169" t="s">
        <v>194</v>
      </c>
      <c r="AP107" s="1167" t="s">
        <v>194</v>
      </c>
      <c r="AQ107" s="1164" t="s">
        <v>194</v>
      </c>
      <c r="AR107" s="1167" t="s">
        <v>194</v>
      </c>
      <c r="AS107" s="1164" t="s">
        <v>194</v>
      </c>
      <c r="AT107" s="1167" t="s">
        <v>194</v>
      </c>
      <c r="AU107" s="1164" t="s">
        <v>194</v>
      </c>
      <c r="AV107" s="1170" t="s">
        <v>194</v>
      </c>
      <c r="AW107" s="1170" t="s">
        <v>194</v>
      </c>
      <c r="AX107" s="1170" t="s">
        <v>194</v>
      </c>
      <c r="AY107" s="1171" t="s">
        <v>194</v>
      </c>
      <c r="AZ107" s="1170" t="s">
        <v>194</v>
      </c>
      <c r="BA107" s="1170" t="s">
        <v>194</v>
      </c>
      <c r="BB107" s="1170" t="s">
        <v>194</v>
      </c>
      <c r="BC107" s="1170" t="s">
        <v>194</v>
      </c>
      <c r="BD107" s="1164" t="s">
        <v>1361</v>
      </c>
      <c r="BE107" s="1164" t="s">
        <v>194</v>
      </c>
      <c r="BF107" s="1165" t="s">
        <v>1362</v>
      </c>
      <c r="BG107" s="1164" t="s">
        <v>547</v>
      </c>
      <c r="BH107" s="1164" t="s">
        <v>543</v>
      </c>
      <c r="BI107" s="1164" t="s">
        <v>194</v>
      </c>
      <c r="BJ107" s="1164" t="s">
        <v>544</v>
      </c>
      <c r="BK107" s="1166">
        <v>5.0</v>
      </c>
      <c r="BL107" s="1164" t="s">
        <v>545</v>
      </c>
      <c r="BM107" s="1164" t="s">
        <v>194</v>
      </c>
      <c r="BN107" s="1165" t="s">
        <v>546</v>
      </c>
      <c r="BO107" s="1164" t="s">
        <v>547</v>
      </c>
      <c r="BP107" s="1139" t="str">
        <f t="shared" si="4"/>
        <v>View Investor Online</v>
      </c>
    </row>
    <row r="108" ht="11.25" hidden="1" customHeight="1">
      <c r="A108" s="1172" t="s">
        <v>403</v>
      </c>
      <c r="B108" s="1172" t="s">
        <v>1363</v>
      </c>
      <c r="C108" s="1172" t="s">
        <v>460</v>
      </c>
      <c r="D108" s="1172" t="s">
        <v>1364</v>
      </c>
      <c r="E108" s="1172" t="s">
        <v>1365</v>
      </c>
      <c r="F108" s="1172" t="s">
        <v>1366</v>
      </c>
      <c r="G108" s="1172" t="s">
        <v>116</v>
      </c>
      <c r="H108" s="1173">
        <v>3.0</v>
      </c>
      <c r="I108" s="1172" t="s">
        <v>530</v>
      </c>
      <c r="J108" s="1172" t="s">
        <v>634</v>
      </c>
      <c r="K108" s="1172" t="s">
        <v>1367</v>
      </c>
      <c r="L108" s="1172" t="s">
        <v>636</v>
      </c>
      <c r="M108" s="1172" t="s">
        <v>1368</v>
      </c>
      <c r="N108" s="1172" t="s">
        <v>535</v>
      </c>
      <c r="O108" s="1172" t="s">
        <v>671</v>
      </c>
      <c r="P108" s="1174" t="s">
        <v>194</v>
      </c>
      <c r="Q108" s="1142">
        <v>36289.0</v>
      </c>
      <c r="R108" s="1172" t="s">
        <v>439</v>
      </c>
      <c r="S108" s="1172" t="s">
        <v>194</v>
      </c>
      <c r="T108" s="1172" t="s">
        <v>194</v>
      </c>
      <c r="U108" s="1172" t="s">
        <v>538</v>
      </c>
      <c r="V108" s="1172" t="s">
        <v>194</v>
      </c>
      <c r="W108" s="1172" t="s">
        <v>194</v>
      </c>
      <c r="X108" s="1172" t="s">
        <v>194</v>
      </c>
      <c r="Y108" s="1175">
        <v>1000.0</v>
      </c>
      <c r="Z108" s="1172" t="s">
        <v>557</v>
      </c>
      <c r="AA108" s="1142" t="s">
        <v>194</v>
      </c>
      <c r="AB108" s="1172" t="s">
        <v>194</v>
      </c>
      <c r="AC108" s="1175" t="s">
        <v>194</v>
      </c>
      <c r="AD108" s="1172" t="s">
        <v>194</v>
      </c>
      <c r="AE108" s="1176" t="s">
        <v>194</v>
      </c>
      <c r="AF108" s="1175">
        <v>1000.0</v>
      </c>
      <c r="AG108" s="1172" t="s">
        <v>557</v>
      </c>
      <c r="AH108" s="1172" t="s">
        <v>540</v>
      </c>
      <c r="AI108" s="1172" t="s">
        <v>194</v>
      </c>
      <c r="AJ108" s="1172" t="s">
        <v>194</v>
      </c>
      <c r="AK108" s="1173" t="s">
        <v>194</v>
      </c>
      <c r="AL108" s="1172" t="s">
        <v>194</v>
      </c>
      <c r="AM108" s="1175" t="s">
        <v>194</v>
      </c>
      <c r="AN108" s="1172" t="s">
        <v>194</v>
      </c>
      <c r="AO108" s="1177" t="s">
        <v>194</v>
      </c>
      <c r="AP108" s="1175" t="s">
        <v>194</v>
      </c>
      <c r="AQ108" s="1172" t="s">
        <v>194</v>
      </c>
      <c r="AR108" s="1175" t="s">
        <v>194</v>
      </c>
      <c r="AS108" s="1172" t="s">
        <v>194</v>
      </c>
      <c r="AT108" s="1175" t="s">
        <v>194</v>
      </c>
      <c r="AU108" s="1172" t="s">
        <v>194</v>
      </c>
      <c r="AV108" s="1178" t="s">
        <v>194</v>
      </c>
      <c r="AW108" s="1178" t="s">
        <v>194</v>
      </c>
      <c r="AX108" s="1178" t="s">
        <v>194</v>
      </c>
      <c r="AY108" s="1179" t="s">
        <v>194</v>
      </c>
      <c r="AZ108" s="1178" t="s">
        <v>194</v>
      </c>
      <c r="BA108" s="1178" t="s">
        <v>194</v>
      </c>
      <c r="BB108" s="1178" t="s">
        <v>194</v>
      </c>
      <c r="BC108" s="1178" t="s">
        <v>194</v>
      </c>
      <c r="BD108" s="1172" t="s">
        <v>1369</v>
      </c>
      <c r="BE108" s="1172" t="s">
        <v>661</v>
      </c>
      <c r="BF108" s="1173" t="s">
        <v>1370</v>
      </c>
      <c r="BG108" s="1172" t="s">
        <v>562</v>
      </c>
      <c r="BH108" s="1172" t="s">
        <v>543</v>
      </c>
      <c r="BI108" s="1172" t="s">
        <v>194</v>
      </c>
      <c r="BJ108" s="1172" t="s">
        <v>544</v>
      </c>
      <c r="BK108" s="1174">
        <v>5.0</v>
      </c>
      <c r="BL108" s="1172" t="s">
        <v>545</v>
      </c>
      <c r="BM108" s="1172" t="s">
        <v>194</v>
      </c>
      <c r="BN108" s="1173" t="s">
        <v>546</v>
      </c>
      <c r="BO108" s="1172" t="s">
        <v>547</v>
      </c>
      <c r="BP108" s="1180" t="str">
        <f t="shared" si="4"/>
        <v>View Investor Online</v>
      </c>
    </row>
    <row r="109" ht="11.25" hidden="1" customHeight="1">
      <c r="A109" s="1172" t="s">
        <v>403</v>
      </c>
      <c r="B109" s="1172" t="s">
        <v>1371</v>
      </c>
      <c r="C109" s="1172" t="s">
        <v>460</v>
      </c>
      <c r="D109" s="1172" t="s">
        <v>1010</v>
      </c>
      <c r="E109" s="1172" t="s">
        <v>1011</v>
      </c>
      <c r="F109" s="1172" t="s">
        <v>1012</v>
      </c>
      <c r="G109" s="1172" t="s">
        <v>529</v>
      </c>
      <c r="H109" s="1173">
        <v>2.0</v>
      </c>
      <c r="I109" s="1172" t="s">
        <v>567</v>
      </c>
      <c r="J109" s="1172" t="s">
        <v>593</v>
      </c>
      <c r="K109" s="1172" t="s">
        <v>1013</v>
      </c>
      <c r="L109" s="1172" t="s">
        <v>1014</v>
      </c>
      <c r="M109" s="1172" t="s">
        <v>1015</v>
      </c>
      <c r="N109" s="1172" t="s">
        <v>638</v>
      </c>
      <c r="O109" s="1172" t="s">
        <v>536</v>
      </c>
      <c r="P109" s="1174">
        <v>6500.0</v>
      </c>
      <c r="Q109" s="1142">
        <v>36526.0</v>
      </c>
      <c r="R109" s="1172" t="s">
        <v>439</v>
      </c>
      <c r="S109" s="1172" t="s">
        <v>194</v>
      </c>
      <c r="T109" s="1172" t="s">
        <v>194</v>
      </c>
      <c r="U109" s="1172" t="s">
        <v>538</v>
      </c>
      <c r="V109" s="1172" t="s">
        <v>194</v>
      </c>
      <c r="W109" s="1172" t="s">
        <v>194</v>
      </c>
      <c r="X109" s="1172" t="s">
        <v>194</v>
      </c>
      <c r="Y109" s="1175">
        <v>1200.0</v>
      </c>
      <c r="Z109" s="1172" t="s">
        <v>557</v>
      </c>
      <c r="AA109" s="1142">
        <v>36526.0</v>
      </c>
      <c r="AB109" s="1172" t="s">
        <v>856</v>
      </c>
      <c r="AC109" s="1175">
        <v>1200.0</v>
      </c>
      <c r="AD109" s="1172">
        <v>8.61</v>
      </c>
      <c r="AE109" s="1176" t="s">
        <v>194</v>
      </c>
      <c r="AF109" s="1175">
        <v>2000.0</v>
      </c>
      <c r="AG109" s="1172" t="s">
        <v>558</v>
      </c>
      <c r="AH109" s="1172" t="s">
        <v>540</v>
      </c>
      <c r="AI109" s="1172" t="s">
        <v>194</v>
      </c>
      <c r="AJ109" s="1172" t="s">
        <v>194</v>
      </c>
      <c r="AK109" s="1173" t="s">
        <v>194</v>
      </c>
      <c r="AL109" s="1172" t="s">
        <v>194</v>
      </c>
      <c r="AM109" s="1175">
        <v>330008.0</v>
      </c>
      <c r="AN109" s="1172" t="s">
        <v>557</v>
      </c>
      <c r="AO109" s="1177">
        <v>1304.2893617021275</v>
      </c>
      <c r="AP109" s="1175">
        <v>91828.0</v>
      </c>
      <c r="AQ109" s="1172" t="s">
        <v>557</v>
      </c>
      <c r="AR109" s="1175">
        <v>40205.0</v>
      </c>
      <c r="AS109" s="1172" t="s">
        <v>557</v>
      </c>
      <c r="AT109" s="1175">
        <v>85224.0</v>
      </c>
      <c r="AU109" s="1172" t="s">
        <v>557</v>
      </c>
      <c r="AV109" s="1178" t="s">
        <v>194</v>
      </c>
      <c r="AW109" s="1178" t="s">
        <v>194</v>
      </c>
      <c r="AX109" s="1178">
        <v>14.080540692762602</v>
      </c>
      <c r="AY109" s="1179">
        <v>23.467567821271004</v>
      </c>
      <c r="AZ109" s="1178">
        <v>3.6362754842306853</v>
      </c>
      <c r="BA109" s="1178">
        <v>6.060459140384475</v>
      </c>
      <c r="BB109" s="1178">
        <v>26.03714632876237</v>
      </c>
      <c r="BC109" s="1178">
        <v>43.395243881270616</v>
      </c>
      <c r="BD109" s="1172" t="s">
        <v>1017</v>
      </c>
      <c r="BE109" s="1172" t="s">
        <v>1018</v>
      </c>
      <c r="BF109" s="1173" t="s">
        <v>1019</v>
      </c>
      <c r="BG109" s="1172" t="s">
        <v>562</v>
      </c>
      <c r="BH109" s="1172" t="s">
        <v>543</v>
      </c>
      <c r="BI109" s="1172" t="s">
        <v>194</v>
      </c>
      <c r="BJ109" s="1172" t="s">
        <v>544</v>
      </c>
      <c r="BK109" s="1174">
        <v>5.0</v>
      </c>
      <c r="BL109" s="1172" t="s">
        <v>545</v>
      </c>
      <c r="BM109" s="1172" t="s">
        <v>194</v>
      </c>
      <c r="BN109" s="1173" t="s">
        <v>546</v>
      </c>
      <c r="BO109" s="1172" t="s">
        <v>547</v>
      </c>
      <c r="BP109" s="1180" t="str">
        <f t="shared" si="4"/>
        <v>View Investor Online</v>
      </c>
    </row>
    <row r="110" ht="11.25" hidden="1" customHeight="1">
      <c r="A110" s="1172" t="s">
        <v>403</v>
      </c>
      <c r="B110" s="1172" t="s">
        <v>1372</v>
      </c>
      <c r="C110" s="1172" t="s">
        <v>460</v>
      </c>
      <c r="D110" s="1172" t="s">
        <v>1373</v>
      </c>
      <c r="E110" s="1172" t="s">
        <v>1374</v>
      </c>
      <c r="F110" s="1172" t="s">
        <v>1375</v>
      </c>
      <c r="G110" s="1172" t="s">
        <v>116</v>
      </c>
      <c r="H110" s="1173">
        <v>5.0</v>
      </c>
      <c r="I110" s="1172" t="s">
        <v>567</v>
      </c>
      <c r="J110" s="1172" t="s">
        <v>593</v>
      </c>
      <c r="K110" s="1172" t="s">
        <v>863</v>
      </c>
      <c r="L110" s="1172" t="s">
        <v>570</v>
      </c>
      <c r="M110" s="1172" t="s">
        <v>1376</v>
      </c>
      <c r="N110" s="1172" t="s">
        <v>638</v>
      </c>
      <c r="O110" s="1172" t="s">
        <v>671</v>
      </c>
      <c r="P110" s="1174">
        <v>115.0</v>
      </c>
      <c r="Q110" s="1142">
        <v>42571.0</v>
      </c>
      <c r="R110" s="1172" t="s">
        <v>439</v>
      </c>
      <c r="S110" s="1172" t="s">
        <v>194</v>
      </c>
      <c r="T110" s="1172" t="s">
        <v>194</v>
      </c>
      <c r="U110" s="1172" t="s">
        <v>538</v>
      </c>
      <c r="V110" s="1172" t="s">
        <v>194</v>
      </c>
      <c r="W110" s="1172" t="s">
        <v>194</v>
      </c>
      <c r="X110" s="1172" t="s">
        <v>194</v>
      </c>
      <c r="Y110" s="1175" t="s">
        <v>194</v>
      </c>
      <c r="Z110" s="1172" t="s">
        <v>194</v>
      </c>
      <c r="AA110" s="1142" t="s">
        <v>194</v>
      </c>
      <c r="AB110" s="1172" t="s">
        <v>194</v>
      </c>
      <c r="AC110" s="1175" t="s">
        <v>194</v>
      </c>
      <c r="AD110" s="1172" t="s">
        <v>194</v>
      </c>
      <c r="AE110" s="1176" t="s">
        <v>194</v>
      </c>
      <c r="AF110" s="1175" t="s">
        <v>194</v>
      </c>
      <c r="AG110" s="1172" t="s">
        <v>194</v>
      </c>
      <c r="AH110" s="1172" t="s">
        <v>540</v>
      </c>
      <c r="AI110" s="1172" t="s">
        <v>719</v>
      </c>
      <c r="AJ110" s="1172" t="s">
        <v>720</v>
      </c>
      <c r="AK110" s="1173" t="s">
        <v>573</v>
      </c>
      <c r="AL110" s="1172" t="s">
        <v>194</v>
      </c>
      <c r="AM110" s="1175" t="s">
        <v>194</v>
      </c>
      <c r="AN110" s="1172" t="s">
        <v>194</v>
      </c>
      <c r="AO110" s="1177" t="s">
        <v>194</v>
      </c>
      <c r="AP110" s="1175" t="s">
        <v>194</v>
      </c>
      <c r="AQ110" s="1172" t="s">
        <v>194</v>
      </c>
      <c r="AR110" s="1175" t="s">
        <v>194</v>
      </c>
      <c r="AS110" s="1172" t="s">
        <v>194</v>
      </c>
      <c r="AT110" s="1175" t="s">
        <v>194</v>
      </c>
      <c r="AU110" s="1172" t="s">
        <v>194</v>
      </c>
      <c r="AV110" s="1178" t="s">
        <v>194</v>
      </c>
      <c r="AW110" s="1178" t="s">
        <v>194</v>
      </c>
      <c r="AX110" s="1178" t="s">
        <v>194</v>
      </c>
      <c r="AY110" s="1179" t="s">
        <v>194</v>
      </c>
      <c r="AZ110" s="1178" t="s">
        <v>194</v>
      </c>
      <c r="BA110" s="1178" t="s">
        <v>194</v>
      </c>
      <c r="BB110" s="1178" t="s">
        <v>194</v>
      </c>
      <c r="BC110" s="1178" t="s">
        <v>194</v>
      </c>
      <c r="BD110" s="1172" t="s">
        <v>1377</v>
      </c>
      <c r="BE110" s="1172" t="s">
        <v>560</v>
      </c>
      <c r="BF110" s="1173" t="s">
        <v>1378</v>
      </c>
      <c r="BG110" s="1172" t="s">
        <v>562</v>
      </c>
      <c r="BH110" s="1172" t="s">
        <v>543</v>
      </c>
      <c r="BI110" s="1172" t="s">
        <v>194</v>
      </c>
      <c r="BJ110" s="1172" t="s">
        <v>544</v>
      </c>
      <c r="BK110" s="1174">
        <v>5.0</v>
      </c>
      <c r="BL110" s="1172" t="s">
        <v>545</v>
      </c>
      <c r="BM110" s="1172" t="s">
        <v>194</v>
      </c>
      <c r="BN110" s="1173" t="s">
        <v>546</v>
      </c>
      <c r="BO110" s="1172" t="s">
        <v>547</v>
      </c>
      <c r="BP110" s="1180" t="str">
        <f t="shared" si="4"/>
        <v>View Investor Online</v>
      </c>
    </row>
    <row r="111" ht="11.25" hidden="1" customHeight="1">
      <c r="A111" s="1164" t="s">
        <v>403</v>
      </c>
      <c r="B111" s="1164" t="s">
        <v>1379</v>
      </c>
      <c r="C111" s="1164" t="s">
        <v>460</v>
      </c>
      <c r="D111" s="1164" t="s">
        <v>631</v>
      </c>
      <c r="E111" s="1164" t="s">
        <v>632</v>
      </c>
      <c r="F111" s="1164" t="s">
        <v>633</v>
      </c>
      <c r="G111" s="1164" t="s">
        <v>529</v>
      </c>
      <c r="H111" s="1165">
        <v>2.0</v>
      </c>
      <c r="I111" s="1164" t="s">
        <v>530</v>
      </c>
      <c r="J111" s="1164" t="s">
        <v>634</v>
      </c>
      <c r="K111" s="1164" t="s">
        <v>635</v>
      </c>
      <c r="L111" s="1164" t="s">
        <v>636</v>
      </c>
      <c r="M111" s="1164" t="s">
        <v>637</v>
      </c>
      <c r="N111" s="1164" t="s">
        <v>638</v>
      </c>
      <c r="O111" s="1164" t="s">
        <v>536</v>
      </c>
      <c r="P111" s="1166">
        <v>23247.0</v>
      </c>
      <c r="Q111" s="1135">
        <v>32143.0</v>
      </c>
      <c r="R111" s="1164" t="s">
        <v>439</v>
      </c>
      <c r="S111" s="1164" t="s">
        <v>556</v>
      </c>
      <c r="T111" s="1164" t="s">
        <v>194</v>
      </c>
      <c r="U111" s="1164" t="s">
        <v>538</v>
      </c>
      <c r="V111" s="1164" t="s">
        <v>194</v>
      </c>
      <c r="W111" s="1164" t="s">
        <v>194</v>
      </c>
      <c r="X111" s="1164" t="s">
        <v>194</v>
      </c>
      <c r="Y111" s="1167" t="s">
        <v>194</v>
      </c>
      <c r="Z111" s="1164" t="s">
        <v>194</v>
      </c>
      <c r="AA111" s="1135">
        <v>30682.0</v>
      </c>
      <c r="AB111" s="1164" t="s">
        <v>641</v>
      </c>
      <c r="AC111" s="1167" t="s">
        <v>194</v>
      </c>
      <c r="AD111" s="1164">
        <v>16.01</v>
      </c>
      <c r="AE111" s="1168" t="s">
        <v>194</v>
      </c>
      <c r="AF111" s="1167" t="s">
        <v>194</v>
      </c>
      <c r="AG111" s="1164" t="s">
        <v>194</v>
      </c>
      <c r="AH111" s="1164" t="s">
        <v>540</v>
      </c>
      <c r="AI111" s="1164" t="s">
        <v>194</v>
      </c>
      <c r="AJ111" s="1164" t="s">
        <v>194</v>
      </c>
      <c r="AK111" s="1165" t="s">
        <v>194</v>
      </c>
      <c r="AL111" s="1164" t="s">
        <v>194</v>
      </c>
      <c r="AM111" s="1167" t="s">
        <v>194</v>
      </c>
      <c r="AN111" s="1164" t="s">
        <v>194</v>
      </c>
      <c r="AO111" s="1169" t="s">
        <v>194</v>
      </c>
      <c r="AP111" s="1167" t="s">
        <v>194</v>
      </c>
      <c r="AQ111" s="1164" t="s">
        <v>194</v>
      </c>
      <c r="AR111" s="1167" t="s">
        <v>194</v>
      </c>
      <c r="AS111" s="1164" t="s">
        <v>194</v>
      </c>
      <c r="AT111" s="1167" t="s">
        <v>194</v>
      </c>
      <c r="AU111" s="1164" t="s">
        <v>194</v>
      </c>
      <c r="AV111" s="1170" t="s">
        <v>194</v>
      </c>
      <c r="AW111" s="1170" t="s">
        <v>194</v>
      </c>
      <c r="AX111" s="1170" t="s">
        <v>194</v>
      </c>
      <c r="AY111" s="1171" t="s">
        <v>194</v>
      </c>
      <c r="AZ111" s="1170" t="s">
        <v>194</v>
      </c>
      <c r="BA111" s="1170" t="s">
        <v>194</v>
      </c>
      <c r="BB111" s="1170" t="s">
        <v>194</v>
      </c>
      <c r="BC111" s="1170" t="s">
        <v>194</v>
      </c>
      <c r="BD111" s="1164" t="s">
        <v>642</v>
      </c>
      <c r="BE111" s="1164" t="s">
        <v>194</v>
      </c>
      <c r="BF111" s="1165" t="s">
        <v>643</v>
      </c>
      <c r="BG111" s="1164" t="s">
        <v>547</v>
      </c>
      <c r="BH111" s="1164" t="s">
        <v>543</v>
      </c>
      <c r="BI111" s="1164" t="s">
        <v>194</v>
      </c>
      <c r="BJ111" s="1164" t="s">
        <v>544</v>
      </c>
      <c r="BK111" s="1166">
        <v>5.0</v>
      </c>
      <c r="BL111" s="1164" t="s">
        <v>545</v>
      </c>
      <c r="BM111" s="1164" t="s">
        <v>194</v>
      </c>
      <c r="BN111" s="1165" t="s">
        <v>546</v>
      </c>
      <c r="BO111" s="1164" t="s">
        <v>547</v>
      </c>
      <c r="BP111" s="1139" t="str">
        <f t="shared" si="4"/>
        <v>View Investor Online</v>
      </c>
    </row>
    <row r="112" ht="11.25" hidden="1" customHeight="1">
      <c r="A112" s="1172" t="s">
        <v>403</v>
      </c>
      <c r="B112" s="1172" t="s">
        <v>1380</v>
      </c>
      <c r="C112" s="1172" t="s">
        <v>460</v>
      </c>
      <c r="D112" s="1172" t="s">
        <v>1381</v>
      </c>
      <c r="E112" s="1172" t="s">
        <v>1382</v>
      </c>
      <c r="F112" s="1172" t="s">
        <v>1383</v>
      </c>
      <c r="G112" s="1172" t="s">
        <v>116</v>
      </c>
      <c r="H112" s="1173">
        <v>12.0</v>
      </c>
      <c r="I112" s="1172" t="s">
        <v>567</v>
      </c>
      <c r="J112" s="1172" t="s">
        <v>568</v>
      </c>
      <c r="K112" s="1172" t="s">
        <v>707</v>
      </c>
      <c r="L112" s="1172" t="s">
        <v>1384</v>
      </c>
      <c r="M112" s="1172" t="s">
        <v>1385</v>
      </c>
      <c r="N112" s="1172" t="s">
        <v>535</v>
      </c>
      <c r="O112" s="1172" t="s">
        <v>671</v>
      </c>
      <c r="P112" s="1174">
        <v>19.0</v>
      </c>
      <c r="Q112" s="1142">
        <v>43341.0</v>
      </c>
      <c r="R112" s="1172" t="s">
        <v>439</v>
      </c>
      <c r="S112" s="1172" t="s">
        <v>194</v>
      </c>
      <c r="T112" s="1172" t="s">
        <v>194</v>
      </c>
      <c r="U112" s="1172" t="s">
        <v>538</v>
      </c>
      <c r="V112" s="1172" t="s">
        <v>194</v>
      </c>
      <c r="W112" s="1172" t="s">
        <v>194</v>
      </c>
      <c r="X112" s="1172" t="s">
        <v>194</v>
      </c>
      <c r="Y112" s="1175" t="s">
        <v>194</v>
      </c>
      <c r="Z112" s="1172" t="s">
        <v>194</v>
      </c>
      <c r="AA112" s="1142" t="s">
        <v>194</v>
      </c>
      <c r="AB112" s="1172" t="s">
        <v>194</v>
      </c>
      <c r="AC112" s="1175" t="s">
        <v>194</v>
      </c>
      <c r="AD112" s="1172" t="s">
        <v>194</v>
      </c>
      <c r="AE112" s="1176" t="s">
        <v>194</v>
      </c>
      <c r="AF112" s="1175" t="s">
        <v>194</v>
      </c>
      <c r="AG112" s="1172" t="s">
        <v>194</v>
      </c>
      <c r="AH112" s="1172" t="s">
        <v>540</v>
      </c>
      <c r="AI112" s="1172" t="s">
        <v>1386</v>
      </c>
      <c r="AJ112" s="1172" t="s">
        <v>194</v>
      </c>
      <c r="AK112" s="1173" t="s">
        <v>573</v>
      </c>
      <c r="AL112" s="1172" t="s">
        <v>194</v>
      </c>
      <c r="AM112" s="1175" t="s">
        <v>194</v>
      </c>
      <c r="AN112" s="1172" t="s">
        <v>194</v>
      </c>
      <c r="AO112" s="1177" t="s">
        <v>194</v>
      </c>
      <c r="AP112" s="1175" t="s">
        <v>194</v>
      </c>
      <c r="AQ112" s="1172" t="s">
        <v>194</v>
      </c>
      <c r="AR112" s="1175" t="s">
        <v>194</v>
      </c>
      <c r="AS112" s="1172" t="s">
        <v>194</v>
      </c>
      <c r="AT112" s="1175" t="s">
        <v>194</v>
      </c>
      <c r="AU112" s="1172" t="s">
        <v>194</v>
      </c>
      <c r="AV112" s="1178" t="s">
        <v>194</v>
      </c>
      <c r="AW112" s="1178" t="s">
        <v>194</v>
      </c>
      <c r="AX112" s="1178" t="s">
        <v>194</v>
      </c>
      <c r="AY112" s="1179" t="s">
        <v>194</v>
      </c>
      <c r="AZ112" s="1178" t="s">
        <v>194</v>
      </c>
      <c r="BA112" s="1178" t="s">
        <v>194</v>
      </c>
      <c r="BB112" s="1178" t="s">
        <v>194</v>
      </c>
      <c r="BC112" s="1178" t="s">
        <v>194</v>
      </c>
      <c r="BD112" s="1172" t="s">
        <v>1387</v>
      </c>
      <c r="BE112" s="1172" t="s">
        <v>722</v>
      </c>
      <c r="BF112" s="1173" t="s">
        <v>1388</v>
      </c>
      <c r="BG112" s="1172" t="s">
        <v>562</v>
      </c>
      <c r="BH112" s="1172" t="s">
        <v>543</v>
      </c>
      <c r="BI112" s="1172" t="s">
        <v>194</v>
      </c>
      <c r="BJ112" s="1172" t="s">
        <v>544</v>
      </c>
      <c r="BK112" s="1174">
        <v>5.0</v>
      </c>
      <c r="BL112" s="1172" t="s">
        <v>545</v>
      </c>
      <c r="BM112" s="1172" t="s">
        <v>194</v>
      </c>
      <c r="BN112" s="1173" t="s">
        <v>546</v>
      </c>
      <c r="BO112" s="1172" t="s">
        <v>547</v>
      </c>
      <c r="BP112" s="1180" t="str">
        <f t="shared" si="4"/>
        <v>View Investor Online</v>
      </c>
    </row>
    <row r="113" ht="11.25" hidden="1" customHeight="1">
      <c r="A113" s="1164" t="s">
        <v>403</v>
      </c>
      <c r="B113" s="1164" t="s">
        <v>1389</v>
      </c>
      <c r="C113" s="1164" t="s">
        <v>460</v>
      </c>
      <c r="D113" s="1164" t="s">
        <v>1390</v>
      </c>
      <c r="E113" s="1164" t="s">
        <v>1391</v>
      </c>
      <c r="F113" s="1164" t="s">
        <v>1392</v>
      </c>
      <c r="G113" s="1164" t="s">
        <v>529</v>
      </c>
      <c r="H113" s="1165">
        <v>1.0</v>
      </c>
      <c r="I113" s="1164" t="s">
        <v>667</v>
      </c>
      <c r="J113" s="1164" t="s">
        <v>668</v>
      </c>
      <c r="K113" s="1164" t="s">
        <v>669</v>
      </c>
      <c r="L113" s="1164" t="s">
        <v>636</v>
      </c>
      <c r="M113" s="1164" t="s">
        <v>1393</v>
      </c>
      <c r="N113" s="1164" t="s">
        <v>1394</v>
      </c>
      <c r="O113" s="1164" t="s">
        <v>536</v>
      </c>
      <c r="P113" s="1166">
        <v>650.0</v>
      </c>
      <c r="Q113" s="1135">
        <v>7306.0</v>
      </c>
      <c r="R113" s="1164" t="s">
        <v>439</v>
      </c>
      <c r="S113" s="1164" t="s">
        <v>194</v>
      </c>
      <c r="T113" s="1164" t="s">
        <v>194</v>
      </c>
      <c r="U113" s="1164" t="s">
        <v>538</v>
      </c>
      <c r="V113" s="1164" t="s">
        <v>194</v>
      </c>
      <c r="W113" s="1164" t="s">
        <v>194</v>
      </c>
      <c r="X113" s="1164" t="s">
        <v>194</v>
      </c>
      <c r="Y113" s="1167" t="s">
        <v>194</v>
      </c>
      <c r="Z113" s="1164" t="s">
        <v>194</v>
      </c>
      <c r="AA113" s="1135">
        <v>7306.0</v>
      </c>
      <c r="AB113" s="1164" t="s">
        <v>856</v>
      </c>
      <c r="AC113" s="1167" t="s">
        <v>194</v>
      </c>
      <c r="AD113" s="1164">
        <v>75.05</v>
      </c>
      <c r="AE113" s="1168" t="s">
        <v>194</v>
      </c>
      <c r="AF113" s="1167" t="s">
        <v>194</v>
      </c>
      <c r="AG113" s="1164" t="s">
        <v>194</v>
      </c>
      <c r="AH113" s="1164" t="s">
        <v>540</v>
      </c>
      <c r="AI113" s="1164" t="s">
        <v>194</v>
      </c>
      <c r="AJ113" s="1164" t="s">
        <v>194</v>
      </c>
      <c r="AK113" s="1165" t="s">
        <v>194</v>
      </c>
      <c r="AL113" s="1164" t="s">
        <v>194</v>
      </c>
      <c r="AM113" s="1167" t="s">
        <v>194</v>
      </c>
      <c r="AN113" s="1164" t="s">
        <v>194</v>
      </c>
      <c r="AO113" s="1169" t="s">
        <v>194</v>
      </c>
      <c r="AP113" s="1167" t="s">
        <v>194</v>
      </c>
      <c r="AQ113" s="1164" t="s">
        <v>194</v>
      </c>
      <c r="AR113" s="1167" t="s">
        <v>194</v>
      </c>
      <c r="AS113" s="1164" t="s">
        <v>194</v>
      </c>
      <c r="AT113" s="1167" t="s">
        <v>194</v>
      </c>
      <c r="AU113" s="1164" t="s">
        <v>194</v>
      </c>
      <c r="AV113" s="1170" t="s">
        <v>194</v>
      </c>
      <c r="AW113" s="1170" t="s">
        <v>194</v>
      </c>
      <c r="AX113" s="1170" t="s">
        <v>194</v>
      </c>
      <c r="AY113" s="1171" t="s">
        <v>194</v>
      </c>
      <c r="AZ113" s="1170" t="s">
        <v>194</v>
      </c>
      <c r="BA113" s="1170" t="s">
        <v>194</v>
      </c>
      <c r="BB113" s="1170" t="s">
        <v>194</v>
      </c>
      <c r="BC113" s="1170" t="s">
        <v>194</v>
      </c>
      <c r="BD113" s="1164" t="s">
        <v>1395</v>
      </c>
      <c r="BE113" s="1164" t="s">
        <v>194</v>
      </c>
      <c r="BF113" s="1165" t="s">
        <v>194</v>
      </c>
      <c r="BG113" s="1164" t="s">
        <v>547</v>
      </c>
      <c r="BH113" s="1164" t="s">
        <v>543</v>
      </c>
      <c r="BI113" s="1164" t="s">
        <v>194</v>
      </c>
      <c r="BJ113" s="1164" t="s">
        <v>544</v>
      </c>
      <c r="BK113" s="1166">
        <v>5.0</v>
      </c>
      <c r="BL113" s="1164" t="s">
        <v>545</v>
      </c>
      <c r="BM113" s="1164" t="s">
        <v>194</v>
      </c>
      <c r="BN113" s="1165" t="s">
        <v>546</v>
      </c>
      <c r="BO113" s="1164" t="s">
        <v>547</v>
      </c>
      <c r="BP113" s="1139" t="str">
        <f t="shared" si="4"/>
        <v>View Investor Online</v>
      </c>
    </row>
    <row r="114" ht="11.25" customHeight="1">
      <c r="A114" s="853"/>
      <c r="B114" s="853"/>
      <c r="C114" s="853"/>
      <c r="D114" s="853"/>
      <c r="E114" s="853"/>
      <c r="F114" s="853"/>
      <c r="G114" s="853"/>
      <c r="H114" s="853"/>
      <c r="I114" s="853"/>
      <c r="J114" s="853"/>
      <c r="K114" s="853"/>
      <c r="L114" s="853"/>
      <c r="M114" s="853"/>
      <c r="N114" s="853"/>
      <c r="O114" s="853"/>
      <c r="P114" s="853"/>
      <c r="Q114" s="853"/>
      <c r="R114" s="853"/>
      <c r="S114" s="853"/>
      <c r="T114" s="1181"/>
      <c r="U114" s="1181"/>
      <c r="V114" s="1181"/>
      <c r="W114" s="1181"/>
      <c r="X114" s="1181"/>
      <c r="Y114" s="1181"/>
      <c r="Z114" s="1181"/>
      <c r="AA114" s="1181"/>
      <c r="AB114" s="1182"/>
      <c r="AC114" s="1181"/>
      <c r="AD114" s="1183"/>
      <c r="AE114" s="1184"/>
      <c r="AF114" s="1181"/>
      <c r="AG114" s="1181"/>
      <c r="AH114" s="853"/>
      <c r="AI114" s="853"/>
      <c r="AJ114" s="853"/>
      <c r="AK114" s="853"/>
      <c r="AL114" s="1181"/>
      <c r="AM114" s="1181"/>
      <c r="AN114" s="853"/>
      <c r="AO114" s="853"/>
      <c r="AP114" s="853"/>
      <c r="AQ114" s="853"/>
      <c r="AR114" s="853"/>
      <c r="AS114" s="853"/>
      <c r="AT114" s="853"/>
      <c r="AU114" s="853"/>
      <c r="AV114" s="1185"/>
      <c r="AW114" s="853"/>
      <c r="AX114" s="853"/>
      <c r="AY114" s="853"/>
      <c r="AZ114" s="853"/>
      <c r="BA114" s="853"/>
      <c r="BB114" s="853"/>
      <c r="BC114" s="853"/>
      <c r="BD114" s="853"/>
      <c r="BE114" s="853"/>
      <c r="BF114" s="853"/>
      <c r="BG114" s="853"/>
      <c r="BH114" s="853"/>
      <c r="BI114" s="853"/>
      <c r="BJ114" s="853"/>
      <c r="BK114" s="853"/>
      <c r="BL114" s="853"/>
      <c r="BM114" s="853"/>
      <c r="BN114" s="853"/>
      <c r="BO114" s="853"/>
      <c r="BP114" s="853"/>
    </row>
    <row r="115" ht="11.25" customHeight="1">
      <c r="A115" s="853"/>
      <c r="B115" s="853"/>
      <c r="C115" s="853"/>
      <c r="D115" s="853"/>
      <c r="E115" s="853"/>
      <c r="F115" s="853"/>
      <c r="G115" s="853"/>
      <c r="H115" s="853"/>
      <c r="I115" s="853"/>
      <c r="J115" s="853"/>
      <c r="K115" s="853"/>
      <c r="L115" s="853"/>
      <c r="M115" s="853"/>
      <c r="N115" s="853"/>
      <c r="O115" s="853"/>
      <c r="P115" s="853"/>
      <c r="Q115" s="853"/>
      <c r="R115" s="853"/>
      <c r="S115" s="853"/>
      <c r="T115" s="1181"/>
      <c r="U115" s="1181"/>
      <c r="V115" s="1181"/>
      <c r="W115" s="1181"/>
      <c r="X115" s="1181"/>
      <c r="Y115" s="1181"/>
      <c r="Z115" s="1181"/>
      <c r="AA115" s="1181"/>
      <c r="AB115" s="1182"/>
      <c r="AC115" s="1181"/>
      <c r="AD115" s="1183"/>
      <c r="AE115" s="1184"/>
      <c r="AF115" s="1181"/>
      <c r="AG115" s="1181"/>
      <c r="AH115" s="853"/>
      <c r="AI115" s="853"/>
      <c r="AJ115" s="853"/>
      <c r="AK115" s="853"/>
      <c r="AL115" s="1181"/>
      <c r="AM115" s="1181"/>
      <c r="AN115" s="853"/>
      <c r="AO115" s="853"/>
      <c r="AP115" s="853"/>
      <c r="AQ115" s="853"/>
      <c r="AR115" s="853"/>
      <c r="AS115" s="853"/>
      <c r="AT115" s="853"/>
      <c r="AU115" s="853"/>
      <c r="AV115" s="1185"/>
      <c r="AW115" s="853"/>
      <c r="AX115" s="853"/>
      <c r="AY115" s="853"/>
      <c r="AZ115" s="853"/>
      <c r="BA115" s="853"/>
      <c r="BB115" s="853"/>
      <c r="BC115" s="853"/>
      <c r="BD115" s="853"/>
      <c r="BE115" s="853"/>
      <c r="BF115" s="853"/>
      <c r="BG115" s="853"/>
      <c r="BH115" s="853"/>
      <c r="BI115" s="853"/>
      <c r="BJ115" s="853"/>
      <c r="BK115" s="853"/>
      <c r="BL115" s="853"/>
      <c r="BM115" s="853"/>
      <c r="BN115" s="853"/>
      <c r="BO115" s="853"/>
      <c r="BP115" s="853"/>
    </row>
    <row r="116" ht="11.25" customHeight="1">
      <c r="A116" s="892" t="s">
        <v>344</v>
      </c>
      <c r="B116" s="853"/>
      <c r="C116" s="853"/>
      <c r="D116" s="853"/>
      <c r="E116" s="853"/>
      <c r="F116" s="853"/>
      <c r="G116" s="853"/>
      <c r="H116" s="853"/>
      <c r="I116" s="853"/>
      <c r="J116" s="853"/>
      <c r="K116" s="853"/>
      <c r="L116" s="853"/>
      <c r="M116" s="853"/>
      <c r="N116" s="853"/>
      <c r="O116" s="853"/>
      <c r="P116" s="853"/>
      <c r="Q116" s="853"/>
      <c r="R116" s="853"/>
      <c r="S116" s="853"/>
      <c r="T116" s="1181"/>
      <c r="U116" s="1181"/>
      <c r="V116" s="1181"/>
      <c r="W116" s="1181"/>
      <c r="X116" s="1181"/>
      <c r="Y116" s="1181"/>
      <c r="Z116" s="1181"/>
      <c r="AA116" s="1181"/>
      <c r="AB116" s="1182"/>
      <c r="AC116" s="1181"/>
      <c r="AD116" s="1183"/>
      <c r="AE116" s="1184"/>
      <c r="AF116" s="1181"/>
      <c r="AG116" s="1181"/>
      <c r="AH116" s="853"/>
      <c r="AI116" s="853"/>
      <c r="AJ116" s="853"/>
      <c r="AK116" s="853"/>
      <c r="AL116" s="1181"/>
      <c r="AM116" s="1181"/>
      <c r="AN116" s="853"/>
      <c r="AO116" s="853"/>
      <c r="AP116" s="853"/>
      <c r="AQ116" s="853"/>
      <c r="AR116" s="853"/>
      <c r="AS116" s="853"/>
      <c r="AT116" s="853"/>
      <c r="AU116" s="853"/>
      <c r="AV116" s="1185"/>
      <c r="AW116" s="853"/>
      <c r="AX116" s="853"/>
      <c r="AY116" s="853"/>
      <c r="AZ116" s="853"/>
      <c r="BA116" s="853"/>
      <c r="BB116" s="853"/>
      <c r="BC116" s="853"/>
      <c r="BD116" s="853"/>
      <c r="BE116" s="853"/>
      <c r="BF116" s="853"/>
      <c r="BG116" s="853"/>
      <c r="BH116" s="853"/>
      <c r="BI116" s="853"/>
      <c r="BJ116" s="853"/>
      <c r="BK116" s="853"/>
      <c r="BL116" s="853"/>
      <c r="BM116" s="853"/>
      <c r="BN116" s="853"/>
      <c r="BO116" s="853"/>
      <c r="BP116" s="853"/>
    </row>
    <row r="117" ht="11.25" customHeight="1">
      <c r="A117" s="853"/>
      <c r="B117" s="853"/>
      <c r="C117" s="853"/>
      <c r="D117" s="853"/>
      <c r="E117" s="853"/>
      <c r="F117" s="853"/>
      <c r="G117" s="853"/>
      <c r="H117" s="853"/>
      <c r="I117" s="853"/>
      <c r="J117" s="853"/>
      <c r="K117" s="853"/>
      <c r="L117" s="853"/>
      <c r="M117" s="853"/>
      <c r="N117" s="853"/>
      <c r="O117" s="853"/>
      <c r="P117" s="853"/>
      <c r="Q117" s="853"/>
      <c r="R117" s="853"/>
      <c r="S117" s="853"/>
      <c r="T117" s="1181"/>
      <c r="U117" s="1181"/>
      <c r="V117" s="1181"/>
      <c r="W117" s="1181"/>
      <c r="X117" s="1181"/>
      <c r="Y117" s="1181"/>
      <c r="Z117" s="1181"/>
      <c r="AA117" s="1181"/>
      <c r="AB117" s="1182"/>
      <c r="AC117" s="1181"/>
      <c r="AD117" s="1183"/>
      <c r="AE117" s="1184"/>
      <c r="AF117" s="1181"/>
      <c r="AG117" s="1181"/>
      <c r="AH117" s="853"/>
      <c r="AI117" s="853"/>
      <c r="AJ117" s="853"/>
      <c r="AK117" s="853"/>
      <c r="AL117" s="1181"/>
      <c r="AM117" s="1181"/>
      <c r="AN117" s="853"/>
      <c r="AO117" s="853"/>
      <c r="AP117" s="853"/>
      <c r="AQ117" s="853"/>
      <c r="AR117" s="853"/>
      <c r="AS117" s="853"/>
      <c r="AT117" s="853"/>
      <c r="AU117" s="853"/>
      <c r="AV117" s="1185"/>
      <c r="AW117" s="853"/>
      <c r="AX117" s="853"/>
      <c r="AY117" s="853"/>
      <c r="AZ117" s="853"/>
      <c r="BA117" s="853"/>
      <c r="BB117" s="853"/>
      <c r="BC117" s="853"/>
      <c r="BD117" s="853"/>
      <c r="BE117" s="853"/>
      <c r="BF117" s="853"/>
      <c r="BG117" s="853"/>
      <c r="BH117" s="853"/>
      <c r="BI117" s="853"/>
      <c r="BJ117" s="853"/>
      <c r="BK117" s="853"/>
      <c r="BL117" s="853"/>
      <c r="BM117" s="853"/>
      <c r="BN117" s="853"/>
      <c r="BO117" s="853"/>
      <c r="BP117" s="853"/>
    </row>
    <row r="118" ht="11.25" customHeight="1">
      <c r="A118" s="853"/>
      <c r="B118" s="853"/>
      <c r="C118" s="853"/>
      <c r="D118" s="853"/>
      <c r="E118" s="853"/>
      <c r="F118" s="853"/>
      <c r="G118" s="853"/>
      <c r="H118" s="853"/>
      <c r="I118" s="853"/>
      <c r="J118" s="853"/>
      <c r="K118" s="853"/>
      <c r="L118" s="853"/>
      <c r="M118" s="853"/>
      <c r="N118" s="853"/>
      <c r="O118" s="853"/>
      <c r="P118" s="853"/>
      <c r="Q118" s="853"/>
      <c r="R118" s="853"/>
      <c r="S118" s="853"/>
      <c r="T118" s="1181"/>
      <c r="U118" s="1181"/>
      <c r="V118" s="1181"/>
      <c r="W118" s="1181"/>
      <c r="X118" s="1181"/>
      <c r="Y118" s="1181"/>
      <c r="Z118" s="1181"/>
      <c r="AA118" s="1181"/>
      <c r="AB118" s="1182"/>
      <c r="AC118" s="1181"/>
      <c r="AD118" s="1183"/>
      <c r="AE118" s="1184"/>
      <c r="AF118" s="1181"/>
      <c r="AG118" s="1181"/>
      <c r="AH118" s="853"/>
      <c r="AI118" s="853"/>
      <c r="AJ118" s="853"/>
      <c r="AK118" s="853"/>
      <c r="AL118" s="1181"/>
      <c r="AM118" s="1181"/>
      <c r="AN118" s="853"/>
      <c r="AO118" s="853"/>
      <c r="AP118" s="853"/>
      <c r="AQ118" s="853"/>
      <c r="AR118" s="853"/>
      <c r="AS118" s="853"/>
      <c r="AT118" s="853"/>
      <c r="AU118" s="853"/>
      <c r="AV118" s="1185"/>
      <c r="AW118" s="853"/>
      <c r="AX118" s="853"/>
      <c r="AY118" s="853"/>
      <c r="AZ118" s="853"/>
      <c r="BA118" s="853"/>
      <c r="BB118" s="853"/>
      <c r="BC118" s="853"/>
      <c r="BD118" s="853"/>
      <c r="BE118" s="853"/>
      <c r="BF118" s="853"/>
      <c r="BG118" s="853"/>
      <c r="BH118" s="853"/>
      <c r="BI118" s="853"/>
      <c r="BJ118" s="853"/>
      <c r="BK118" s="853"/>
      <c r="BL118" s="853"/>
      <c r="BM118" s="853"/>
      <c r="BN118" s="853"/>
      <c r="BO118" s="853"/>
      <c r="BP118" s="853"/>
    </row>
    <row r="119" ht="11.25" customHeight="1">
      <c r="A119" s="853"/>
      <c r="B119" s="853"/>
      <c r="C119" s="853"/>
      <c r="D119" s="853"/>
      <c r="E119" s="853"/>
      <c r="F119" s="853"/>
      <c r="G119" s="853"/>
      <c r="H119" s="853"/>
      <c r="I119" s="853"/>
      <c r="J119" s="853"/>
      <c r="K119" s="853"/>
      <c r="L119" s="853"/>
      <c r="M119" s="853"/>
      <c r="N119" s="853"/>
      <c r="O119" s="853"/>
      <c r="P119" s="853"/>
      <c r="Q119" s="853"/>
      <c r="R119" s="853"/>
      <c r="S119" s="853"/>
      <c r="T119" s="1181"/>
      <c r="U119" s="1181"/>
      <c r="V119" s="1181"/>
      <c r="W119" s="1181"/>
      <c r="X119" s="1181"/>
      <c r="Y119" s="1181"/>
      <c r="Z119" s="1181"/>
      <c r="AA119" s="1181"/>
      <c r="AB119" s="1182"/>
      <c r="AC119" s="1181"/>
      <c r="AD119" s="1183"/>
      <c r="AE119" s="1184"/>
      <c r="AF119" s="1181"/>
      <c r="AG119" s="1181"/>
      <c r="AH119" s="853"/>
      <c r="AI119" s="853"/>
      <c r="AJ119" s="853"/>
      <c r="AK119" s="853"/>
      <c r="AL119" s="1181"/>
      <c r="AM119" s="1181"/>
      <c r="AN119" s="853"/>
      <c r="AO119" s="853"/>
      <c r="AP119" s="853"/>
      <c r="AQ119" s="853"/>
      <c r="AR119" s="853"/>
      <c r="AS119" s="853"/>
      <c r="AT119" s="853"/>
      <c r="AU119" s="853"/>
      <c r="AV119" s="1185"/>
      <c r="AW119" s="853"/>
      <c r="AX119" s="853"/>
      <c r="AY119" s="853"/>
      <c r="AZ119" s="853"/>
      <c r="BA119" s="853"/>
      <c r="BB119" s="853"/>
      <c r="BC119" s="853"/>
      <c r="BD119" s="853"/>
      <c r="BE119" s="853"/>
      <c r="BF119" s="853"/>
      <c r="BG119" s="853"/>
      <c r="BH119" s="853"/>
      <c r="BI119" s="853"/>
      <c r="BJ119" s="853"/>
      <c r="BK119" s="853"/>
      <c r="BL119" s="853"/>
      <c r="BM119" s="853"/>
      <c r="BN119" s="853"/>
      <c r="BO119" s="853"/>
      <c r="BP119" s="853"/>
    </row>
    <row r="120" ht="11.25" customHeight="1">
      <c r="A120" s="853"/>
      <c r="B120" s="853"/>
      <c r="C120" s="853"/>
      <c r="D120" s="853"/>
      <c r="E120" s="853"/>
      <c r="F120" s="853"/>
      <c r="G120" s="853"/>
      <c r="H120" s="853"/>
      <c r="I120" s="853"/>
      <c r="J120" s="853"/>
      <c r="K120" s="853"/>
      <c r="L120" s="853"/>
      <c r="M120" s="853"/>
      <c r="N120" s="853"/>
      <c r="O120" s="853"/>
      <c r="P120" s="853"/>
      <c r="Q120" s="853"/>
      <c r="R120" s="853"/>
      <c r="S120" s="853"/>
      <c r="T120" s="1181"/>
      <c r="U120" s="1181"/>
      <c r="V120" s="1181"/>
      <c r="W120" s="1181"/>
      <c r="X120" s="1181"/>
      <c r="Y120" s="1181"/>
      <c r="Z120" s="1181"/>
      <c r="AA120" s="1181"/>
      <c r="AB120" s="1182"/>
      <c r="AC120" s="1181"/>
      <c r="AD120" s="1183"/>
      <c r="AE120" s="1184"/>
      <c r="AF120" s="1181"/>
      <c r="AG120" s="1181"/>
      <c r="AH120" s="853"/>
      <c r="AI120" s="853"/>
      <c r="AJ120" s="853"/>
      <c r="AK120" s="853"/>
      <c r="AL120" s="1181"/>
      <c r="AM120" s="1181"/>
      <c r="AN120" s="853"/>
      <c r="AO120" s="853"/>
      <c r="AP120" s="853"/>
      <c r="AQ120" s="853"/>
      <c r="AR120" s="853"/>
      <c r="AS120" s="853"/>
      <c r="AT120" s="853"/>
      <c r="AU120" s="853"/>
      <c r="AV120" s="1185"/>
      <c r="AW120" s="853"/>
      <c r="AX120" s="853"/>
      <c r="AY120" s="853"/>
      <c r="AZ120" s="853"/>
      <c r="BA120" s="853"/>
      <c r="BB120" s="853"/>
      <c r="BC120" s="853"/>
      <c r="BD120" s="853"/>
      <c r="BE120" s="853"/>
      <c r="BF120" s="853"/>
      <c r="BG120" s="853"/>
      <c r="BH120" s="853"/>
      <c r="BI120" s="853"/>
      <c r="BJ120" s="853"/>
      <c r="BK120" s="853"/>
      <c r="BL120" s="853"/>
      <c r="BM120" s="853"/>
      <c r="BN120" s="853"/>
      <c r="BO120" s="853"/>
      <c r="BP120" s="853"/>
    </row>
    <row r="121" ht="11.25" customHeight="1">
      <c r="A121" s="853"/>
      <c r="B121" s="853"/>
      <c r="C121" s="853"/>
      <c r="D121" s="853"/>
      <c r="E121" s="853"/>
      <c r="F121" s="853"/>
      <c r="G121" s="853"/>
      <c r="H121" s="853"/>
      <c r="I121" s="853"/>
      <c r="J121" s="853"/>
      <c r="K121" s="853"/>
      <c r="L121" s="853"/>
      <c r="M121" s="853"/>
      <c r="N121" s="853"/>
      <c r="O121" s="853"/>
      <c r="P121" s="853"/>
      <c r="Q121" s="853"/>
      <c r="R121" s="853"/>
      <c r="S121" s="853"/>
      <c r="T121" s="1181"/>
      <c r="U121" s="1181"/>
      <c r="V121" s="1181"/>
      <c r="W121" s="1181"/>
      <c r="X121" s="1181"/>
      <c r="Y121" s="1181"/>
      <c r="Z121" s="1181"/>
      <c r="AA121" s="1181"/>
      <c r="AB121" s="1182"/>
      <c r="AC121" s="1181"/>
      <c r="AD121" s="1183"/>
      <c r="AE121" s="1184"/>
      <c r="AF121" s="1181"/>
      <c r="AG121" s="1181"/>
      <c r="AH121" s="853"/>
      <c r="AI121" s="853"/>
      <c r="AJ121" s="853"/>
      <c r="AK121" s="853"/>
      <c r="AL121" s="1181"/>
      <c r="AM121" s="1181"/>
      <c r="AN121" s="853"/>
      <c r="AO121" s="853"/>
      <c r="AP121" s="853"/>
      <c r="AQ121" s="853"/>
      <c r="AR121" s="853"/>
      <c r="AS121" s="853"/>
      <c r="AT121" s="853"/>
      <c r="AU121" s="853"/>
      <c r="AV121" s="1185"/>
      <c r="AW121" s="853"/>
      <c r="AX121" s="853"/>
      <c r="AY121" s="853"/>
      <c r="AZ121" s="853"/>
      <c r="BA121" s="853"/>
      <c r="BB121" s="853"/>
      <c r="BC121" s="853"/>
      <c r="BD121" s="853"/>
      <c r="BE121" s="853"/>
      <c r="BF121" s="853"/>
      <c r="BG121" s="853"/>
      <c r="BH121" s="853"/>
      <c r="BI121" s="853"/>
      <c r="BJ121" s="853"/>
      <c r="BK121" s="853"/>
      <c r="BL121" s="853"/>
      <c r="BM121" s="853"/>
      <c r="BN121" s="853"/>
      <c r="BO121" s="853"/>
      <c r="BP121" s="853"/>
    </row>
    <row r="122" ht="11.25" customHeight="1">
      <c r="A122" s="853"/>
      <c r="B122" s="853"/>
      <c r="C122" s="853"/>
      <c r="D122" s="853"/>
      <c r="E122" s="853"/>
      <c r="F122" s="853"/>
      <c r="G122" s="853"/>
      <c r="H122" s="853"/>
      <c r="I122" s="853"/>
      <c r="J122" s="853"/>
      <c r="K122" s="853"/>
      <c r="L122" s="853"/>
      <c r="M122" s="853"/>
      <c r="N122" s="853"/>
      <c r="O122" s="853"/>
      <c r="P122" s="853"/>
      <c r="Q122" s="853"/>
      <c r="R122" s="853"/>
      <c r="S122" s="853"/>
      <c r="T122" s="1181"/>
      <c r="U122" s="1181"/>
      <c r="V122" s="1181"/>
      <c r="W122" s="1181"/>
      <c r="X122" s="1181"/>
      <c r="Y122" s="1181"/>
      <c r="Z122" s="1181"/>
      <c r="AA122" s="1181"/>
      <c r="AB122" s="1182"/>
      <c r="AC122" s="1181"/>
      <c r="AD122" s="1183"/>
      <c r="AE122" s="1184"/>
      <c r="AF122" s="1181"/>
      <c r="AG122" s="1181"/>
      <c r="AH122" s="853"/>
      <c r="AI122" s="853"/>
      <c r="AJ122" s="853"/>
      <c r="AK122" s="853"/>
      <c r="AL122" s="1181"/>
      <c r="AM122" s="1181"/>
      <c r="AN122" s="853"/>
      <c r="AO122" s="853"/>
      <c r="AP122" s="853"/>
      <c r="AQ122" s="853"/>
      <c r="AR122" s="853"/>
      <c r="AS122" s="853"/>
      <c r="AT122" s="853"/>
      <c r="AU122" s="853"/>
      <c r="AV122" s="1185"/>
      <c r="AW122" s="853"/>
      <c r="AX122" s="853"/>
      <c r="AY122" s="853"/>
      <c r="AZ122" s="853"/>
      <c r="BA122" s="853"/>
      <c r="BB122" s="853"/>
      <c r="BC122" s="853"/>
      <c r="BD122" s="853"/>
      <c r="BE122" s="853"/>
      <c r="BF122" s="853"/>
      <c r="BG122" s="853"/>
      <c r="BH122" s="853"/>
      <c r="BI122" s="853"/>
      <c r="BJ122" s="853"/>
      <c r="BK122" s="853"/>
      <c r="BL122" s="853"/>
      <c r="BM122" s="853"/>
      <c r="BN122" s="853"/>
      <c r="BO122" s="853"/>
      <c r="BP122" s="853"/>
    </row>
    <row r="123" ht="11.25" customHeight="1">
      <c r="A123" s="853"/>
      <c r="B123" s="853"/>
      <c r="C123" s="853"/>
      <c r="D123" s="853"/>
      <c r="E123" s="853"/>
      <c r="F123" s="853"/>
      <c r="G123" s="853"/>
      <c r="H123" s="853"/>
      <c r="I123" s="853"/>
      <c r="J123" s="853"/>
      <c r="K123" s="853"/>
      <c r="L123" s="853"/>
      <c r="M123" s="853"/>
      <c r="N123" s="853"/>
      <c r="O123" s="853"/>
      <c r="P123" s="853"/>
      <c r="Q123" s="853"/>
      <c r="R123" s="853"/>
      <c r="S123" s="853"/>
      <c r="T123" s="1181"/>
      <c r="U123" s="1181"/>
      <c r="V123" s="1181"/>
      <c r="W123" s="1181"/>
      <c r="X123" s="1181"/>
      <c r="Y123" s="1181"/>
      <c r="Z123" s="1181"/>
      <c r="AA123" s="1181"/>
      <c r="AB123" s="1182"/>
      <c r="AC123" s="1181"/>
      <c r="AD123" s="1183"/>
      <c r="AE123" s="1184"/>
      <c r="AF123" s="1181"/>
      <c r="AG123" s="1181"/>
      <c r="AH123" s="853"/>
      <c r="AI123" s="853"/>
      <c r="AJ123" s="853"/>
      <c r="AK123" s="853"/>
      <c r="AL123" s="1181"/>
      <c r="AM123" s="1181"/>
      <c r="AN123" s="853"/>
      <c r="AO123" s="853"/>
      <c r="AP123" s="853"/>
      <c r="AQ123" s="853"/>
      <c r="AR123" s="853"/>
      <c r="AS123" s="853"/>
      <c r="AT123" s="853"/>
      <c r="AU123" s="853"/>
      <c r="AV123" s="1185"/>
      <c r="AW123" s="853"/>
      <c r="AX123" s="853"/>
      <c r="AY123" s="853"/>
      <c r="AZ123" s="853"/>
      <c r="BA123" s="853"/>
      <c r="BB123" s="853"/>
      <c r="BC123" s="853"/>
      <c r="BD123" s="853"/>
      <c r="BE123" s="853"/>
      <c r="BF123" s="853"/>
      <c r="BG123" s="853"/>
      <c r="BH123" s="853"/>
      <c r="BI123" s="853"/>
      <c r="BJ123" s="853"/>
      <c r="BK123" s="853"/>
      <c r="BL123" s="853"/>
      <c r="BM123" s="853"/>
      <c r="BN123" s="853"/>
      <c r="BO123" s="853"/>
      <c r="BP123" s="853"/>
    </row>
    <row r="124" ht="11.25" customHeight="1">
      <c r="A124" s="853"/>
      <c r="B124" s="853"/>
      <c r="C124" s="853"/>
      <c r="D124" s="853"/>
      <c r="E124" s="853"/>
      <c r="F124" s="853"/>
      <c r="G124" s="853"/>
      <c r="H124" s="853"/>
      <c r="I124" s="853"/>
      <c r="J124" s="853"/>
      <c r="K124" s="853"/>
      <c r="L124" s="853"/>
      <c r="M124" s="853"/>
      <c r="N124" s="853"/>
      <c r="O124" s="853"/>
      <c r="P124" s="853"/>
      <c r="Q124" s="853"/>
      <c r="R124" s="853"/>
      <c r="S124" s="853"/>
      <c r="T124" s="1181"/>
      <c r="U124" s="1181"/>
      <c r="V124" s="1181"/>
      <c r="W124" s="1181"/>
      <c r="X124" s="1181"/>
      <c r="Y124" s="1181"/>
      <c r="Z124" s="1181"/>
      <c r="AA124" s="1181"/>
      <c r="AB124" s="1182"/>
      <c r="AC124" s="1181"/>
      <c r="AD124" s="1183"/>
      <c r="AE124" s="1184"/>
      <c r="AF124" s="1181"/>
      <c r="AG124" s="1181"/>
      <c r="AH124" s="853"/>
      <c r="AI124" s="853"/>
      <c r="AJ124" s="853"/>
      <c r="AK124" s="853"/>
      <c r="AL124" s="1181"/>
      <c r="AM124" s="1181"/>
      <c r="AN124" s="853"/>
      <c r="AO124" s="853"/>
      <c r="AP124" s="853"/>
      <c r="AQ124" s="853"/>
      <c r="AR124" s="853"/>
      <c r="AS124" s="853"/>
      <c r="AT124" s="853"/>
      <c r="AU124" s="853"/>
      <c r="AV124" s="1185"/>
      <c r="AW124" s="853"/>
      <c r="AX124" s="853"/>
      <c r="AY124" s="853"/>
      <c r="AZ124" s="853"/>
      <c r="BA124" s="853"/>
      <c r="BB124" s="853"/>
      <c r="BC124" s="853"/>
      <c r="BD124" s="853"/>
      <c r="BE124" s="853"/>
      <c r="BF124" s="853"/>
      <c r="BG124" s="853"/>
      <c r="BH124" s="853"/>
      <c r="BI124" s="853"/>
      <c r="BJ124" s="853"/>
      <c r="BK124" s="853"/>
      <c r="BL124" s="853"/>
      <c r="BM124" s="853"/>
      <c r="BN124" s="853"/>
      <c r="BO124" s="853"/>
      <c r="BP124" s="853"/>
    </row>
    <row r="125" ht="11.25" customHeight="1">
      <c r="A125" s="853"/>
      <c r="B125" s="853"/>
      <c r="C125" s="853"/>
      <c r="D125" s="853"/>
      <c r="E125" s="853"/>
      <c r="F125" s="853"/>
      <c r="G125" s="853"/>
      <c r="H125" s="853"/>
      <c r="I125" s="853"/>
      <c r="J125" s="853"/>
      <c r="K125" s="853"/>
      <c r="L125" s="853"/>
      <c r="M125" s="853"/>
      <c r="N125" s="853"/>
      <c r="O125" s="853"/>
      <c r="P125" s="853"/>
      <c r="Q125" s="853"/>
      <c r="R125" s="853"/>
      <c r="S125" s="853"/>
      <c r="T125" s="1181"/>
      <c r="U125" s="1181"/>
      <c r="V125" s="1181"/>
      <c r="W125" s="1181"/>
      <c r="X125" s="1181"/>
      <c r="Y125" s="1181"/>
      <c r="Z125" s="1181"/>
      <c r="AA125" s="1181"/>
      <c r="AB125" s="1182"/>
      <c r="AC125" s="1181"/>
      <c r="AD125" s="1183"/>
      <c r="AE125" s="1184"/>
      <c r="AF125" s="1181"/>
      <c r="AG125" s="1181"/>
      <c r="AH125" s="853"/>
      <c r="AI125" s="853"/>
      <c r="AJ125" s="853"/>
      <c r="AK125" s="853"/>
      <c r="AL125" s="1181"/>
      <c r="AM125" s="1181"/>
      <c r="AN125" s="853"/>
      <c r="AO125" s="853"/>
      <c r="AP125" s="853"/>
      <c r="AQ125" s="853"/>
      <c r="AR125" s="853"/>
      <c r="AS125" s="853"/>
      <c r="AT125" s="853"/>
      <c r="AU125" s="853"/>
      <c r="AV125" s="1185"/>
      <c r="AW125" s="853"/>
      <c r="AX125" s="853"/>
      <c r="AY125" s="853"/>
      <c r="AZ125" s="853"/>
      <c r="BA125" s="853"/>
      <c r="BB125" s="853"/>
      <c r="BC125" s="853"/>
      <c r="BD125" s="853"/>
      <c r="BE125" s="853"/>
      <c r="BF125" s="853"/>
      <c r="BG125" s="853"/>
      <c r="BH125" s="853"/>
      <c r="BI125" s="853"/>
      <c r="BJ125" s="853"/>
      <c r="BK125" s="853"/>
      <c r="BL125" s="853"/>
      <c r="BM125" s="853"/>
      <c r="BN125" s="853"/>
      <c r="BO125" s="853"/>
      <c r="BP125" s="853"/>
    </row>
    <row r="126" ht="11.25" customHeight="1">
      <c r="A126" s="853"/>
      <c r="B126" s="853"/>
      <c r="C126" s="853"/>
      <c r="D126" s="853"/>
      <c r="E126" s="853"/>
      <c r="F126" s="853"/>
      <c r="G126" s="853"/>
      <c r="H126" s="853"/>
      <c r="I126" s="853"/>
      <c r="J126" s="853"/>
      <c r="K126" s="853"/>
      <c r="L126" s="853"/>
      <c r="M126" s="853"/>
      <c r="N126" s="853"/>
      <c r="O126" s="853"/>
      <c r="P126" s="853"/>
      <c r="Q126" s="853"/>
      <c r="R126" s="853"/>
      <c r="S126" s="853"/>
      <c r="T126" s="1181"/>
      <c r="U126" s="1181"/>
      <c r="V126" s="1181"/>
      <c r="W126" s="1181"/>
      <c r="X126" s="1181"/>
      <c r="Y126" s="1181"/>
      <c r="Z126" s="1181"/>
      <c r="AA126" s="1181"/>
      <c r="AB126" s="1182"/>
      <c r="AC126" s="1181"/>
      <c r="AD126" s="1183"/>
      <c r="AE126" s="1184"/>
      <c r="AF126" s="1181"/>
      <c r="AG126" s="1181"/>
      <c r="AH126" s="853"/>
      <c r="AI126" s="853"/>
      <c r="AJ126" s="853"/>
      <c r="AK126" s="853"/>
      <c r="AL126" s="1181"/>
      <c r="AM126" s="1181"/>
      <c r="AN126" s="853"/>
      <c r="AO126" s="853"/>
      <c r="AP126" s="853"/>
      <c r="AQ126" s="853"/>
      <c r="AR126" s="853"/>
      <c r="AS126" s="853"/>
      <c r="AT126" s="853"/>
      <c r="AU126" s="853"/>
      <c r="AV126" s="1185"/>
      <c r="AW126" s="853"/>
      <c r="AX126" s="853"/>
      <c r="AY126" s="853"/>
      <c r="AZ126" s="853"/>
      <c r="BA126" s="853"/>
      <c r="BB126" s="853"/>
      <c r="BC126" s="853"/>
      <c r="BD126" s="853"/>
      <c r="BE126" s="853"/>
      <c r="BF126" s="853"/>
      <c r="BG126" s="853"/>
      <c r="BH126" s="853"/>
      <c r="BI126" s="853"/>
      <c r="BJ126" s="853"/>
      <c r="BK126" s="853"/>
      <c r="BL126" s="853"/>
      <c r="BM126" s="853"/>
      <c r="BN126" s="853"/>
      <c r="BO126" s="853"/>
      <c r="BP126" s="853"/>
    </row>
    <row r="127" ht="11.25" customHeight="1">
      <c r="A127" s="853"/>
      <c r="B127" s="853"/>
      <c r="C127" s="853"/>
      <c r="D127" s="853"/>
      <c r="E127" s="853"/>
      <c r="F127" s="853"/>
      <c r="G127" s="853"/>
      <c r="H127" s="853"/>
      <c r="I127" s="853"/>
      <c r="J127" s="853"/>
      <c r="K127" s="853"/>
      <c r="L127" s="853"/>
      <c r="M127" s="853"/>
      <c r="N127" s="853"/>
      <c r="O127" s="853"/>
      <c r="P127" s="853"/>
      <c r="Q127" s="853"/>
      <c r="R127" s="853"/>
      <c r="S127" s="853"/>
      <c r="T127" s="1181"/>
      <c r="U127" s="1181"/>
      <c r="V127" s="1181"/>
      <c r="W127" s="1181"/>
      <c r="X127" s="1181"/>
      <c r="Y127" s="1181"/>
      <c r="Z127" s="1181"/>
      <c r="AA127" s="1181"/>
      <c r="AB127" s="1182"/>
      <c r="AC127" s="1181"/>
      <c r="AD127" s="1183"/>
      <c r="AE127" s="1184"/>
      <c r="AF127" s="1181"/>
      <c r="AG127" s="1181"/>
      <c r="AH127" s="853"/>
      <c r="AI127" s="853"/>
      <c r="AJ127" s="853"/>
      <c r="AK127" s="853"/>
      <c r="AL127" s="1181"/>
      <c r="AM127" s="1181"/>
      <c r="AN127" s="853"/>
      <c r="AO127" s="853"/>
      <c r="AP127" s="853"/>
      <c r="AQ127" s="853"/>
      <c r="AR127" s="853"/>
      <c r="AS127" s="853"/>
      <c r="AT127" s="853"/>
      <c r="AU127" s="853"/>
      <c r="AV127" s="1185"/>
      <c r="AW127" s="853"/>
      <c r="AX127" s="853"/>
      <c r="AY127" s="853"/>
      <c r="AZ127" s="853"/>
      <c r="BA127" s="853"/>
      <c r="BB127" s="853"/>
      <c r="BC127" s="853"/>
      <c r="BD127" s="853"/>
      <c r="BE127" s="853"/>
      <c r="BF127" s="853"/>
      <c r="BG127" s="853"/>
      <c r="BH127" s="853"/>
      <c r="BI127" s="853"/>
      <c r="BJ127" s="853"/>
      <c r="BK127" s="853"/>
      <c r="BL127" s="853"/>
      <c r="BM127" s="853"/>
      <c r="BN127" s="853"/>
      <c r="BO127" s="853"/>
      <c r="BP127" s="853"/>
    </row>
    <row r="128" ht="11.25" customHeight="1">
      <c r="A128" s="853"/>
      <c r="B128" s="853"/>
      <c r="C128" s="853"/>
      <c r="D128" s="853"/>
      <c r="E128" s="853"/>
      <c r="F128" s="853"/>
      <c r="G128" s="853"/>
      <c r="H128" s="853"/>
      <c r="I128" s="853"/>
      <c r="J128" s="853"/>
      <c r="K128" s="853"/>
      <c r="L128" s="853"/>
      <c r="M128" s="853"/>
      <c r="N128" s="853"/>
      <c r="O128" s="853"/>
      <c r="P128" s="853"/>
      <c r="Q128" s="853"/>
      <c r="R128" s="853"/>
      <c r="S128" s="853"/>
      <c r="T128" s="1181"/>
      <c r="U128" s="1181"/>
      <c r="V128" s="1181"/>
      <c r="W128" s="1181"/>
      <c r="X128" s="1181"/>
      <c r="Y128" s="1181"/>
      <c r="Z128" s="1181"/>
      <c r="AA128" s="1181"/>
      <c r="AB128" s="1182"/>
      <c r="AC128" s="1181"/>
      <c r="AD128" s="1183"/>
      <c r="AE128" s="1184"/>
      <c r="AF128" s="1181"/>
      <c r="AG128" s="1181"/>
      <c r="AH128" s="853"/>
      <c r="AI128" s="853"/>
      <c r="AJ128" s="853"/>
      <c r="AK128" s="853"/>
      <c r="AL128" s="1181"/>
      <c r="AM128" s="1181"/>
      <c r="AN128" s="853"/>
      <c r="AO128" s="853"/>
      <c r="AP128" s="853"/>
      <c r="AQ128" s="853"/>
      <c r="AR128" s="853"/>
      <c r="AS128" s="853"/>
      <c r="AT128" s="853"/>
      <c r="AU128" s="853"/>
      <c r="AV128" s="1185"/>
      <c r="AW128" s="853"/>
      <c r="AX128" s="853"/>
      <c r="AY128" s="853"/>
      <c r="AZ128" s="853"/>
      <c r="BA128" s="853"/>
      <c r="BB128" s="853"/>
      <c r="BC128" s="853"/>
      <c r="BD128" s="853"/>
      <c r="BE128" s="853"/>
      <c r="BF128" s="853"/>
      <c r="BG128" s="853"/>
      <c r="BH128" s="853"/>
      <c r="BI128" s="853"/>
      <c r="BJ128" s="853"/>
      <c r="BK128" s="853"/>
      <c r="BL128" s="853"/>
      <c r="BM128" s="853"/>
      <c r="BN128" s="853"/>
      <c r="BO128" s="853"/>
      <c r="BP128" s="853"/>
    </row>
    <row r="129" ht="11.25" customHeight="1">
      <c r="A129" s="853"/>
      <c r="B129" s="853"/>
      <c r="C129" s="853"/>
      <c r="D129" s="853"/>
      <c r="E129" s="853"/>
      <c r="F129" s="853"/>
      <c r="G129" s="853"/>
      <c r="H129" s="853"/>
      <c r="I129" s="853"/>
      <c r="J129" s="853"/>
      <c r="K129" s="853"/>
      <c r="L129" s="853"/>
      <c r="M129" s="853"/>
      <c r="N129" s="853"/>
      <c r="O129" s="853"/>
      <c r="P129" s="853"/>
      <c r="Q129" s="853"/>
      <c r="R129" s="853"/>
      <c r="S129" s="853"/>
      <c r="T129" s="1181"/>
      <c r="U129" s="1181"/>
      <c r="V129" s="1181"/>
      <c r="W129" s="1181"/>
      <c r="X129" s="1181"/>
      <c r="Y129" s="1181"/>
      <c r="Z129" s="1181"/>
      <c r="AA129" s="1181"/>
      <c r="AB129" s="1182"/>
      <c r="AC129" s="1181"/>
      <c r="AD129" s="1183"/>
      <c r="AE129" s="1184"/>
      <c r="AF129" s="1181"/>
      <c r="AG129" s="1181"/>
      <c r="AH129" s="853"/>
      <c r="AI129" s="853"/>
      <c r="AJ129" s="853"/>
      <c r="AK129" s="853"/>
      <c r="AL129" s="1181"/>
      <c r="AM129" s="1181"/>
      <c r="AN129" s="853"/>
      <c r="AO129" s="853"/>
      <c r="AP129" s="853"/>
      <c r="AQ129" s="853"/>
      <c r="AR129" s="853"/>
      <c r="AS129" s="853"/>
      <c r="AT129" s="853"/>
      <c r="AU129" s="853"/>
      <c r="AV129" s="1185"/>
      <c r="AW129" s="853"/>
      <c r="AX129" s="853"/>
      <c r="AY129" s="853"/>
      <c r="AZ129" s="853"/>
      <c r="BA129" s="853"/>
      <c r="BB129" s="853"/>
      <c r="BC129" s="853"/>
      <c r="BD129" s="853"/>
      <c r="BE129" s="853"/>
      <c r="BF129" s="853"/>
      <c r="BG129" s="853"/>
      <c r="BH129" s="853"/>
      <c r="BI129" s="853"/>
      <c r="BJ129" s="853"/>
      <c r="BK129" s="853"/>
      <c r="BL129" s="853"/>
      <c r="BM129" s="853"/>
      <c r="BN129" s="853"/>
      <c r="BO129" s="853"/>
      <c r="BP129" s="853"/>
    </row>
    <row r="130" ht="11.25" customHeight="1">
      <c r="A130" s="853"/>
      <c r="B130" s="853"/>
      <c r="C130" s="853"/>
      <c r="D130" s="853"/>
      <c r="E130" s="853"/>
      <c r="F130" s="853"/>
      <c r="G130" s="853"/>
      <c r="H130" s="853"/>
      <c r="I130" s="853"/>
      <c r="J130" s="853"/>
      <c r="K130" s="853"/>
      <c r="L130" s="853"/>
      <c r="M130" s="853"/>
      <c r="N130" s="853"/>
      <c r="O130" s="853"/>
      <c r="P130" s="853"/>
      <c r="Q130" s="853"/>
      <c r="R130" s="853"/>
      <c r="S130" s="853"/>
      <c r="T130" s="1181"/>
      <c r="U130" s="1181"/>
      <c r="V130" s="1181"/>
      <c r="W130" s="1181"/>
      <c r="X130" s="1181"/>
      <c r="Y130" s="1181"/>
      <c r="Z130" s="1181"/>
      <c r="AA130" s="1181"/>
      <c r="AB130" s="1182"/>
      <c r="AC130" s="1181"/>
      <c r="AD130" s="1183"/>
      <c r="AE130" s="1184"/>
      <c r="AF130" s="1181"/>
      <c r="AG130" s="1181"/>
      <c r="AH130" s="853"/>
      <c r="AI130" s="853"/>
      <c r="AJ130" s="853"/>
      <c r="AK130" s="853"/>
      <c r="AL130" s="1181"/>
      <c r="AM130" s="1181"/>
      <c r="AN130" s="853"/>
      <c r="AO130" s="853"/>
      <c r="AP130" s="853"/>
      <c r="AQ130" s="853"/>
      <c r="AR130" s="853"/>
      <c r="AS130" s="853"/>
      <c r="AT130" s="853"/>
      <c r="AU130" s="853"/>
      <c r="AV130" s="1185"/>
      <c r="AW130" s="853"/>
      <c r="AX130" s="853"/>
      <c r="AY130" s="853"/>
      <c r="AZ130" s="853"/>
      <c r="BA130" s="853"/>
      <c r="BB130" s="853"/>
      <c r="BC130" s="853"/>
      <c r="BD130" s="853"/>
      <c r="BE130" s="853"/>
      <c r="BF130" s="853"/>
      <c r="BG130" s="853"/>
      <c r="BH130" s="853"/>
      <c r="BI130" s="853"/>
      <c r="BJ130" s="853"/>
      <c r="BK130" s="853"/>
      <c r="BL130" s="853"/>
      <c r="BM130" s="853"/>
      <c r="BN130" s="853"/>
      <c r="BO130" s="853"/>
      <c r="BP130" s="853"/>
    </row>
    <row r="131" ht="11.25" customHeight="1">
      <c r="A131" s="853"/>
      <c r="B131" s="853"/>
      <c r="C131" s="853"/>
      <c r="D131" s="853"/>
      <c r="E131" s="853"/>
      <c r="F131" s="853"/>
      <c r="G131" s="853"/>
      <c r="H131" s="853"/>
      <c r="I131" s="853"/>
      <c r="J131" s="853"/>
      <c r="K131" s="853"/>
      <c r="L131" s="853"/>
      <c r="M131" s="853"/>
      <c r="N131" s="853"/>
      <c r="O131" s="853"/>
      <c r="P131" s="853"/>
      <c r="Q131" s="853"/>
      <c r="R131" s="853"/>
      <c r="S131" s="853"/>
      <c r="T131" s="1181"/>
      <c r="U131" s="1181"/>
      <c r="V131" s="1181"/>
      <c r="W131" s="1181"/>
      <c r="X131" s="1181"/>
      <c r="Y131" s="1181"/>
      <c r="Z131" s="1181"/>
      <c r="AA131" s="1181"/>
      <c r="AB131" s="1182"/>
      <c r="AC131" s="1181"/>
      <c r="AD131" s="1183"/>
      <c r="AE131" s="1184"/>
      <c r="AF131" s="1181"/>
      <c r="AG131" s="1181"/>
      <c r="AH131" s="853"/>
      <c r="AI131" s="853"/>
      <c r="AJ131" s="853"/>
      <c r="AK131" s="853"/>
      <c r="AL131" s="1181"/>
      <c r="AM131" s="1181"/>
      <c r="AN131" s="853"/>
      <c r="AO131" s="853"/>
      <c r="AP131" s="853"/>
      <c r="AQ131" s="853"/>
      <c r="AR131" s="853"/>
      <c r="AS131" s="853"/>
      <c r="AT131" s="853"/>
      <c r="AU131" s="853"/>
      <c r="AV131" s="1185"/>
      <c r="AW131" s="853"/>
      <c r="AX131" s="853"/>
      <c r="AY131" s="853"/>
      <c r="AZ131" s="853"/>
      <c r="BA131" s="853"/>
      <c r="BB131" s="853"/>
      <c r="BC131" s="853"/>
      <c r="BD131" s="853"/>
      <c r="BE131" s="853"/>
      <c r="BF131" s="853"/>
      <c r="BG131" s="853"/>
      <c r="BH131" s="853"/>
      <c r="BI131" s="853"/>
      <c r="BJ131" s="853"/>
      <c r="BK131" s="853"/>
      <c r="BL131" s="853"/>
      <c r="BM131" s="853"/>
      <c r="BN131" s="853"/>
      <c r="BO131" s="853"/>
      <c r="BP131" s="853"/>
    </row>
    <row r="132" ht="11.25" customHeight="1">
      <c r="A132" s="853"/>
      <c r="B132" s="853"/>
      <c r="C132" s="853"/>
      <c r="D132" s="853"/>
      <c r="E132" s="853"/>
      <c r="F132" s="853"/>
      <c r="G132" s="853"/>
      <c r="H132" s="853"/>
      <c r="I132" s="853"/>
      <c r="J132" s="853"/>
      <c r="K132" s="853"/>
      <c r="L132" s="853"/>
      <c r="M132" s="853"/>
      <c r="N132" s="853"/>
      <c r="O132" s="853"/>
      <c r="P132" s="853"/>
      <c r="Q132" s="853"/>
      <c r="R132" s="853"/>
      <c r="S132" s="853"/>
      <c r="T132" s="1181"/>
      <c r="U132" s="1181"/>
      <c r="V132" s="1181"/>
      <c r="W132" s="1181"/>
      <c r="X132" s="1181"/>
      <c r="Y132" s="1181"/>
      <c r="Z132" s="1181"/>
      <c r="AA132" s="1181"/>
      <c r="AB132" s="1182"/>
      <c r="AC132" s="1181"/>
      <c r="AD132" s="1183"/>
      <c r="AE132" s="1184"/>
      <c r="AF132" s="1181"/>
      <c r="AG132" s="1181"/>
      <c r="AH132" s="853"/>
      <c r="AI132" s="853"/>
      <c r="AJ132" s="853"/>
      <c r="AK132" s="853"/>
      <c r="AL132" s="1181"/>
      <c r="AM132" s="1181"/>
      <c r="AN132" s="853"/>
      <c r="AO132" s="853"/>
      <c r="AP132" s="853"/>
      <c r="AQ132" s="853"/>
      <c r="AR132" s="853"/>
      <c r="AS132" s="853"/>
      <c r="AT132" s="853"/>
      <c r="AU132" s="853"/>
      <c r="AV132" s="1185"/>
      <c r="AW132" s="853"/>
      <c r="AX132" s="853"/>
      <c r="AY132" s="853"/>
      <c r="AZ132" s="853"/>
      <c r="BA132" s="853"/>
      <c r="BB132" s="853"/>
      <c r="BC132" s="853"/>
      <c r="BD132" s="853"/>
      <c r="BE132" s="853"/>
      <c r="BF132" s="853"/>
      <c r="BG132" s="853"/>
      <c r="BH132" s="853"/>
      <c r="BI132" s="853"/>
      <c r="BJ132" s="853"/>
      <c r="BK132" s="853"/>
      <c r="BL132" s="853"/>
      <c r="BM132" s="853"/>
      <c r="BN132" s="853"/>
      <c r="BO132" s="853"/>
      <c r="BP132" s="853"/>
    </row>
    <row r="133" ht="11.25" customHeight="1">
      <c r="A133" s="853"/>
      <c r="B133" s="853"/>
      <c r="C133" s="853"/>
      <c r="D133" s="853"/>
      <c r="E133" s="853"/>
      <c r="F133" s="853"/>
      <c r="G133" s="853"/>
      <c r="H133" s="853"/>
      <c r="I133" s="853"/>
      <c r="J133" s="853"/>
      <c r="K133" s="853"/>
      <c r="L133" s="853"/>
      <c r="M133" s="853"/>
      <c r="N133" s="853"/>
      <c r="O133" s="853"/>
      <c r="P133" s="853"/>
      <c r="Q133" s="853"/>
      <c r="R133" s="853"/>
      <c r="S133" s="853"/>
      <c r="T133" s="1181"/>
      <c r="U133" s="1181"/>
      <c r="V133" s="1181"/>
      <c r="W133" s="1181"/>
      <c r="X133" s="1181"/>
      <c r="Y133" s="1181"/>
      <c r="Z133" s="1181"/>
      <c r="AA133" s="1181"/>
      <c r="AB133" s="1182"/>
      <c r="AC133" s="1181"/>
      <c r="AD133" s="1183"/>
      <c r="AE133" s="1184"/>
      <c r="AF133" s="1181"/>
      <c r="AG133" s="1181"/>
      <c r="AH133" s="853"/>
      <c r="AI133" s="853"/>
      <c r="AJ133" s="853"/>
      <c r="AK133" s="853"/>
      <c r="AL133" s="1181"/>
      <c r="AM133" s="1181"/>
      <c r="AN133" s="853"/>
      <c r="AO133" s="853"/>
      <c r="AP133" s="853"/>
      <c r="AQ133" s="853"/>
      <c r="AR133" s="853"/>
      <c r="AS133" s="853"/>
      <c r="AT133" s="853"/>
      <c r="AU133" s="853"/>
      <c r="AV133" s="1185"/>
      <c r="AW133" s="853"/>
      <c r="AX133" s="853"/>
      <c r="AY133" s="853"/>
      <c r="AZ133" s="853"/>
      <c r="BA133" s="853"/>
      <c r="BB133" s="853"/>
      <c r="BC133" s="853"/>
      <c r="BD133" s="853"/>
      <c r="BE133" s="853"/>
      <c r="BF133" s="853"/>
      <c r="BG133" s="853"/>
      <c r="BH133" s="853"/>
      <c r="BI133" s="853"/>
      <c r="BJ133" s="853"/>
      <c r="BK133" s="853"/>
      <c r="BL133" s="853"/>
      <c r="BM133" s="853"/>
      <c r="BN133" s="853"/>
      <c r="BO133" s="853"/>
      <c r="BP133" s="853"/>
    </row>
    <row r="134" ht="11.25" customHeight="1">
      <c r="A134" s="853"/>
      <c r="B134" s="853"/>
      <c r="C134" s="853"/>
      <c r="D134" s="853"/>
      <c r="E134" s="853"/>
      <c r="F134" s="853"/>
      <c r="G134" s="853"/>
      <c r="H134" s="853"/>
      <c r="I134" s="853"/>
      <c r="J134" s="853"/>
      <c r="K134" s="853"/>
      <c r="L134" s="853"/>
      <c r="M134" s="853"/>
      <c r="N134" s="853"/>
      <c r="O134" s="853"/>
      <c r="P134" s="853"/>
      <c r="Q134" s="853"/>
      <c r="R134" s="853"/>
      <c r="S134" s="853"/>
      <c r="T134" s="1181"/>
      <c r="U134" s="1181"/>
      <c r="V134" s="1181"/>
      <c r="W134" s="1181"/>
      <c r="X134" s="1181"/>
      <c r="Y134" s="1181"/>
      <c r="Z134" s="1181"/>
      <c r="AA134" s="1181"/>
      <c r="AB134" s="1182"/>
      <c r="AC134" s="1181"/>
      <c r="AD134" s="1183"/>
      <c r="AE134" s="1184"/>
      <c r="AF134" s="1181"/>
      <c r="AG134" s="1181"/>
      <c r="AH134" s="853"/>
      <c r="AI134" s="853"/>
      <c r="AJ134" s="853"/>
      <c r="AK134" s="853"/>
      <c r="AL134" s="1181"/>
      <c r="AM134" s="1181"/>
      <c r="AN134" s="853"/>
      <c r="AO134" s="853"/>
      <c r="AP134" s="853"/>
      <c r="AQ134" s="853"/>
      <c r="AR134" s="853"/>
      <c r="AS134" s="853"/>
      <c r="AT134" s="853"/>
      <c r="AU134" s="853"/>
      <c r="AV134" s="1185"/>
      <c r="AW134" s="853"/>
      <c r="AX134" s="853"/>
      <c r="AY134" s="853"/>
      <c r="AZ134" s="853"/>
      <c r="BA134" s="853"/>
      <c r="BB134" s="853"/>
      <c r="BC134" s="853"/>
      <c r="BD134" s="853"/>
      <c r="BE134" s="853"/>
      <c r="BF134" s="853"/>
      <c r="BG134" s="853"/>
      <c r="BH134" s="853"/>
      <c r="BI134" s="853"/>
      <c r="BJ134" s="853"/>
      <c r="BK134" s="853"/>
      <c r="BL134" s="853"/>
      <c r="BM134" s="853"/>
      <c r="BN134" s="853"/>
      <c r="BO134" s="853"/>
      <c r="BP134" s="853"/>
    </row>
    <row r="135" ht="11.25" customHeight="1">
      <c r="A135" s="853"/>
      <c r="B135" s="853"/>
      <c r="C135" s="853"/>
      <c r="D135" s="853"/>
      <c r="E135" s="853"/>
      <c r="F135" s="853"/>
      <c r="G135" s="853"/>
      <c r="H135" s="853"/>
      <c r="I135" s="853"/>
      <c r="J135" s="853"/>
      <c r="K135" s="853"/>
      <c r="L135" s="853"/>
      <c r="M135" s="853"/>
      <c r="N135" s="853"/>
      <c r="O135" s="853"/>
      <c r="P135" s="853"/>
      <c r="Q135" s="853"/>
      <c r="R135" s="853"/>
      <c r="S135" s="853"/>
      <c r="T135" s="1181"/>
      <c r="U135" s="1181"/>
      <c r="V135" s="1181"/>
      <c r="W135" s="1181"/>
      <c r="X135" s="1181"/>
      <c r="Y135" s="1181"/>
      <c r="Z135" s="1181"/>
      <c r="AA135" s="1181"/>
      <c r="AB135" s="1182"/>
      <c r="AC135" s="1181"/>
      <c r="AD135" s="1183"/>
      <c r="AE135" s="1184"/>
      <c r="AF135" s="1181"/>
      <c r="AG135" s="1181"/>
      <c r="AH135" s="853"/>
      <c r="AI135" s="853"/>
      <c r="AJ135" s="853"/>
      <c r="AK135" s="853"/>
      <c r="AL135" s="1181"/>
      <c r="AM135" s="1181"/>
      <c r="AN135" s="853"/>
      <c r="AO135" s="853"/>
      <c r="AP135" s="853"/>
      <c r="AQ135" s="853"/>
      <c r="AR135" s="853"/>
      <c r="AS135" s="853"/>
      <c r="AT135" s="853"/>
      <c r="AU135" s="853"/>
      <c r="AV135" s="1185"/>
      <c r="AW135" s="853"/>
      <c r="AX135" s="853"/>
      <c r="AY135" s="853"/>
      <c r="AZ135" s="853"/>
      <c r="BA135" s="853"/>
      <c r="BB135" s="853"/>
      <c r="BC135" s="853"/>
      <c r="BD135" s="853"/>
      <c r="BE135" s="853"/>
      <c r="BF135" s="853"/>
      <c r="BG135" s="853"/>
      <c r="BH135" s="853"/>
      <c r="BI135" s="853"/>
      <c r="BJ135" s="853"/>
      <c r="BK135" s="853"/>
      <c r="BL135" s="853"/>
      <c r="BM135" s="853"/>
      <c r="BN135" s="853"/>
      <c r="BO135" s="853"/>
      <c r="BP135" s="853"/>
    </row>
    <row r="136" ht="11.25" customHeight="1">
      <c r="A136" s="853"/>
      <c r="B136" s="853"/>
      <c r="C136" s="853"/>
      <c r="D136" s="853"/>
      <c r="E136" s="853"/>
      <c r="F136" s="853"/>
      <c r="G136" s="853"/>
      <c r="H136" s="853"/>
      <c r="I136" s="853"/>
      <c r="J136" s="853"/>
      <c r="K136" s="853"/>
      <c r="L136" s="853"/>
      <c r="M136" s="853"/>
      <c r="N136" s="853"/>
      <c r="O136" s="853"/>
      <c r="P136" s="853"/>
      <c r="Q136" s="853"/>
      <c r="R136" s="853"/>
      <c r="S136" s="853"/>
      <c r="T136" s="1181"/>
      <c r="U136" s="1181"/>
      <c r="V136" s="1181"/>
      <c r="W136" s="1181"/>
      <c r="X136" s="1181"/>
      <c r="Y136" s="1181"/>
      <c r="Z136" s="1181"/>
      <c r="AA136" s="1181"/>
      <c r="AB136" s="1182"/>
      <c r="AC136" s="1181"/>
      <c r="AD136" s="1183"/>
      <c r="AE136" s="1184"/>
      <c r="AF136" s="1181"/>
      <c r="AG136" s="1181"/>
      <c r="AH136" s="853"/>
      <c r="AI136" s="853"/>
      <c r="AJ136" s="853"/>
      <c r="AK136" s="853"/>
      <c r="AL136" s="1181"/>
      <c r="AM136" s="1181"/>
      <c r="AN136" s="853"/>
      <c r="AO136" s="853"/>
      <c r="AP136" s="853"/>
      <c r="AQ136" s="853"/>
      <c r="AR136" s="853"/>
      <c r="AS136" s="853"/>
      <c r="AT136" s="853"/>
      <c r="AU136" s="853"/>
      <c r="AV136" s="1185"/>
      <c r="AW136" s="853"/>
      <c r="AX136" s="853"/>
      <c r="AY136" s="853"/>
      <c r="AZ136" s="853"/>
      <c r="BA136" s="853"/>
      <c r="BB136" s="853"/>
      <c r="BC136" s="853"/>
      <c r="BD136" s="853"/>
      <c r="BE136" s="853"/>
      <c r="BF136" s="853"/>
      <c r="BG136" s="853"/>
      <c r="BH136" s="853"/>
      <c r="BI136" s="853"/>
      <c r="BJ136" s="853"/>
      <c r="BK136" s="853"/>
      <c r="BL136" s="853"/>
      <c r="BM136" s="853"/>
      <c r="BN136" s="853"/>
      <c r="BO136" s="853"/>
      <c r="BP136" s="853"/>
    </row>
    <row r="137" ht="11.25" customHeight="1">
      <c r="A137" s="853"/>
      <c r="B137" s="853"/>
      <c r="C137" s="853"/>
      <c r="D137" s="853"/>
      <c r="E137" s="853"/>
      <c r="F137" s="853"/>
      <c r="G137" s="853"/>
      <c r="H137" s="853"/>
      <c r="I137" s="853"/>
      <c r="J137" s="853"/>
      <c r="K137" s="853"/>
      <c r="L137" s="853"/>
      <c r="M137" s="853"/>
      <c r="N137" s="853"/>
      <c r="O137" s="853"/>
      <c r="P137" s="853"/>
      <c r="Q137" s="853"/>
      <c r="R137" s="853"/>
      <c r="S137" s="853"/>
      <c r="T137" s="1181"/>
      <c r="U137" s="1181"/>
      <c r="V137" s="1181"/>
      <c r="W137" s="1181"/>
      <c r="X137" s="1181"/>
      <c r="Y137" s="1181"/>
      <c r="Z137" s="1181"/>
      <c r="AA137" s="1181"/>
      <c r="AB137" s="1182"/>
      <c r="AC137" s="1181"/>
      <c r="AD137" s="1183"/>
      <c r="AE137" s="1184"/>
      <c r="AF137" s="1181"/>
      <c r="AG137" s="1181"/>
      <c r="AH137" s="853"/>
      <c r="AI137" s="853"/>
      <c r="AJ137" s="853"/>
      <c r="AK137" s="853"/>
      <c r="AL137" s="1181"/>
      <c r="AM137" s="1181"/>
      <c r="AN137" s="853"/>
      <c r="AO137" s="853"/>
      <c r="AP137" s="853"/>
      <c r="AQ137" s="853"/>
      <c r="AR137" s="853"/>
      <c r="AS137" s="853"/>
      <c r="AT137" s="853"/>
      <c r="AU137" s="853"/>
      <c r="AV137" s="1185"/>
      <c r="AW137" s="853"/>
      <c r="AX137" s="853"/>
      <c r="AY137" s="853"/>
      <c r="AZ137" s="853"/>
      <c r="BA137" s="853"/>
      <c r="BB137" s="853"/>
      <c r="BC137" s="853"/>
      <c r="BD137" s="853"/>
      <c r="BE137" s="853"/>
      <c r="BF137" s="853"/>
      <c r="BG137" s="853"/>
      <c r="BH137" s="853"/>
      <c r="BI137" s="853"/>
      <c r="BJ137" s="853"/>
      <c r="BK137" s="853"/>
      <c r="BL137" s="853"/>
      <c r="BM137" s="853"/>
      <c r="BN137" s="853"/>
      <c r="BO137" s="853"/>
      <c r="BP137" s="853"/>
    </row>
    <row r="138" ht="11.25" customHeight="1">
      <c r="A138" s="853"/>
      <c r="B138" s="853"/>
      <c r="C138" s="853"/>
      <c r="D138" s="853"/>
      <c r="E138" s="853"/>
      <c r="F138" s="853"/>
      <c r="G138" s="853"/>
      <c r="H138" s="853"/>
      <c r="I138" s="853"/>
      <c r="J138" s="853"/>
      <c r="K138" s="853"/>
      <c r="L138" s="853"/>
      <c r="M138" s="853"/>
      <c r="N138" s="853"/>
      <c r="O138" s="853"/>
      <c r="P138" s="853"/>
      <c r="Q138" s="853"/>
      <c r="R138" s="853"/>
      <c r="S138" s="853"/>
      <c r="T138" s="1181"/>
      <c r="U138" s="1181"/>
      <c r="V138" s="1181"/>
      <c r="W138" s="1181"/>
      <c r="X138" s="1181"/>
      <c r="Y138" s="1181"/>
      <c r="Z138" s="1181"/>
      <c r="AA138" s="1181"/>
      <c r="AB138" s="1182"/>
      <c r="AC138" s="1181"/>
      <c r="AD138" s="1183"/>
      <c r="AE138" s="1184"/>
      <c r="AF138" s="1181"/>
      <c r="AG138" s="1181"/>
      <c r="AH138" s="853"/>
      <c r="AI138" s="853"/>
      <c r="AJ138" s="853"/>
      <c r="AK138" s="853"/>
      <c r="AL138" s="1181"/>
      <c r="AM138" s="1181"/>
      <c r="AN138" s="853"/>
      <c r="AO138" s="853"/>
      <c r="AP138" s="853"/>
      <c r="AQ138" s="853"/>
      <c r="AR138" s="853"/>
      <c r="AS138" s="853"/>
      <c r="AT138" s="853"/>
      <c r="AU138" s="853"/>
      <c r="AV138" s="1185"/>
      <c r="AW138" s="853"/>
      <c r="AX138" s="853"/>
      <c r="AY138" s="853"/>
      <c r="AZ138" s="853"/>
      <c r="BA138" s="853"/>
      <c r="BB138" s="853"/>
      <c r="BC138" s="853"/>
      <c r="BD138" s="853"/>
      <c r="BE138" s="853"/>
      <c r="BF138" s="853"/>
      <c r="BG138" s="853"/>
      <c r="BH138" s="853"/>
      <c r="BI138" s="853"/>
      <c r="BJ138" s="853"/>
      <c r="BK138" s="853"/>
      <c r="BL138" s="853"/>
      <c r="BM138" s="853"/>
      <c r="BN138" s="853"/>
      <c r="BO138" s="853"/>
      <c r="BP138" s="853"/>
    </row>
    <row r="139" ht="11.25" customHeight="1">
      <c r="A139" s="853"/>
      <c r="B139" s="853"/>
      <c r="C139" s="853"/>
      <c r="D139" s="853"/>
      <c r="E139" s="853"/>
      <c r="F139" s="853"/>
      <c r="G139" s="853"/>
      <c r="H139" s="853"/>
      <c r="I139" s="853"/>
      <c r="J139" s="853"/>
      <c r="K139" s="853"/>
      <c r="L139" s="853"/>
      <c r="M139" s="853"/>
      <c r="N139" s="853"/>
      <c r="O139" s="853"/>
      <c r="P139" s="853"/>
      <c r="Q139" s="853"/>
      <c r="R139" s="853"/>
      <c r="S139" s="853"/>
      <c r="T139" s="1181"/>
      <c r="U139" s="1181"/>
      <c r="V139" s="1181"/>
      <c r="W139" s="1181"/>
      <c r="X139" s="1181"/>
      <c r="Y139" s="1181"/>
      <c r="Z139" s="1181"/>
      <c r="AA139" s="1181"/>
      <c r="AB139" s="1182"/>
      <c r="AC139" s="1181"/>
      <c r="AD139" s="1183"/>
      <c r="AE139" s="1184"/>
      <c r="AF139" s="1181"/>
      <c r="AG139" s="1181"/>
      <c r="AH139" s="853"/>
      <c r="AI139" s="853"/>
      <c r="AJ139" s="853"/>
      <c r="AK139" s="853"/>
      <c r="AL139" s="1181"/>
      <c r="AM139" s="1181"/>
      <c r="AN139" s="853"/>
      <c r="AO139" s="853"/>
      <c r="AP139" s="853"/>
      <c r="AQ139" s="853"/>
      <c r="AR139" s="853"/>
      <c r="AS139" s="853"/>
      <c r="AT139" s="853"/>
      <c r="AU139" s="853"/>
      <c r="AV139" s="1185"/>
      <c r="AW139" s="853"/>
      <c r="AX139" s="853"/>
      <c r="AY139" s="853"/>
      <c r="AZ139" s="853"/>
      <c r="BA139" s="853"/>
      <c r="BB139" s="853"/>
      <c r="BC139" s="853"/>
      <c r="BD139" s="853"/>
      <c r="BE139" s="853"/>
      <c r="BF139" s="853"/>
      <c r="BG139" s="853"/>
      <c r="BH139" s="853"/>
      <c r="BI139" s="853"/>
      <c r="BJ139" s="853"/>
      <c r="BK139" s="853"/>
      <c r="BL139" s="853"/>
      <c r="BM139" s="853"/>
      <c r="BN139" s="853"/>
      <c r="BO139" s="853"/>
      <c r="BP139" s="853"/>
    </row>
    <row r="140" ht="11.25" customHeight="1">
      <c r="A140" s="853"/>
      <c r="B140" s="853"/>
      <c r="C140" s="853"/>
      <c r="D140" s="853"/>
      <c r="E140" s="853"/>
      <c r="F140" s="853"/>
      <c r="G140" s="853"/>
      <c r="H140" s="853"/>
      <c r="I140" s="853"/>
      <c r="J140" s="853"/>
      <c r="K140" s="853"/>
      <c r="L140" s="853"/>
      <c r="M140" s="853"/>
      <c r="N140" s="853"/>
      <c r="O140" s="853"/>
      <c r="P140" s="853"/>
      <c r="Q140" s="853"/>
      <c r="R140" s="853"/>
      <c r="S140" s="853"/>
      <c r="T140" s="1181"/>
      <c r="U140" s="1181"/>
      <c r="V140" s="1181"/>
      <c r="W140" s="1181"/>
      <c r="X140" s="1181"/>
      <c r="Y140" s="1181"/>
      <c r="Z140" s="1181"/>
      <c r="AA140" s="1181"/>
      <c r="AB140" s="1182"/>
      <c r="AC140" s="1181"/>
      <c r="AD140" s="1183"/>
      <c r="AE140" s="1184"/>
      <c r="AF140" s="1181"/>
      <c r="AG140" s="1181"/>
      <c r="AH140" s="853"/>
      <c r="AI140" s="853"/>
      <c r="AJ140" s="853"/>
      <c r="AK140" s="853"/>
      <c r="AL140" s="1181"/>
      <c r="AM140" s="1181"/>
      <c r="AN140" s="853"/>
      <c r="AO140" s="853"/>
      <c r="AP140" s="853"/>
      <c r="AQ140" s="853"/>
      <c r="AR140" s="853"/>
      <c r="AS140" s="853"/>
      <c r="AT140" s="853"/>
      <c r="AU140" s="853"/>
      <c r="AV140" s="1185"/>
      <c r="AW140" s="853"/>
      <c r="AX140" s="853"/>
      <c r="AY140" s="853"/>
      <c r="AZ140" s="853"/>
      <c r="BA140" s="853"/>
      <c r="BB140" s="853"/>
      <c r="BC140" s="853"/>
      <c r="BD140" s="853"/>
      <c r="BE140" s="853"/>
      <c r="BF140" s="853"/>
      <c r="BG140" s="853"/>
      <c r="BH140" s="853"/>
      <c r="BI140" s="853"/>
      <c r="BJ140" s="853"/>
      <c r="BK140" s="853"/>
      <c r="BL140" s="853"/>
      <c r="BM140" s="853"/>
      <c r="BN140" s="853"/>
      <c r="BO140" s="853"/>
      <c r="BP140" s="853"/>
    </row>
    <row r="141" ht="11.25" customHeight="1">
      <c r="A141" s="853"/>
      <c r="B141" s="853"/>
      <c r="C141" s="853"/>
      <c r="D141" s="853"/>
      <c r="E141" s="853"/>
      <c r="F141" s="853"/>
      <c r="G141" s="853"/>
      <c r="H141" s="853"/>
      <c r="I141" s="853"/>
      <c r="J141" s="853"/>
      <c r="K141" s="853"/>
      <c r="L141" s="853"/>
      <c r="M141" s="853"/>
      <c r="N141" s="853"/>
      <c r="O141" s="853"/>
      <c r="P141" s="853"/>
      <c r="Q141" s="853"/>
      <c r="R141" s="853"/>
      <c r="S141" s="853"/>
      <c r="T141" s="1181"/>
      <c r="U141" s="1181"/>
      <c r="V141" s="1181"/>
      <c r="W141" s="1181"/>
      <c r="X141" s="1181"/>
      <c r="Y141" s="1181"/>
      <c r="Z141" s="1181"/>
      <c r="AA141" s="1181"/>
      <c r="AB141" s="1182"/>
      <c r="AC141" s="1181"/>
      <c r="AD141" s="1183"/>
      <c r="AE141" s="1184"/>
      <c r="AF141" s="1181"/>
      <c r="AG141" s="1181"/>
      <c r="AH141" s="853"/>
      <c r="AI141" s="853"/>
      <c r="AJ141" s="853"/>
      <c r="AK141" s="853"/>
      <c r="AL141" s="1181"/>
      <c r="AM141" s="1181"/>
      <c r="AN141" s="853"/>
      <c r="AO141" s="853"/>
      <c r="AP141" s="853"/>
      <c r="AQ141" s="853"/>
      <c r="AR141" s="853"/>
      <c r="AS141" s="853"/>
      <c r="AT141" s="853"/>
      <c r="AU141" s="853"/>
      <c r="AV141" s="1185"/>
      <c r="AW141" s="853"/>
      <c r="AX141" s="853"/>
      <c r="AY141" s="853"/>
      <c r="AZ141" s="853"/>
      <c r="BA141" s="853"/>
      <c r="BB141" s="853"/>
      <c r="BC141" s="853"/>
      <c r="BD141" s="853"/>
      <c r="BE141" s="853"/>
      <c r="BF141" s="853"/>
      <c r="BG141" s="853"/>
      <c r="BH141" s="853"/>
      <c r="BI141" s="853"/>
      <c r="BJ141" s="853"/>
      <c r="BK141" s="853"/>
      <c r="BL141" s="853"/>
      <c r="BM141" s="853"/>
      <c r="BN141" s="853"/>
      <c r="BO141" s="853"/>
      <c r="BP141" s="853"/>
    </row>
    <row r="142" ht="11.25" customHeight="1">
      <c r="A142" s="853"/>
      <c r="B142" s="853"/>
      <c r="C142" s="853"/>
      <c r="D142" s="853"/>
      <c r="E142" s="853"/>
      <c r="F142" s="853"/>
      <c r="G142" s="853"/>
      <c r="H142" s="853"/>
      <c r="I142" s="853"/>
      <c r="J142" s="853"/>
      <c r="K142" s="853"/>
      <c r="L142" s="853"/>
      <c r="M142" s="853"/>
      <c r="N142" s="853"/>
      <c r="O142" s="853"/>
      <c r="P142" s="853"/>
      <c r="Q142" s="853"/>
      <c r="R142" s="853"/>
      <c r="S142" s="853"/>
      <c r="T142" s="1181"/>
      <c r="U142" s="1181"/>
      <c r="V142" s="1181"/>
      <c r="W142" s="1181"/>
      <c r="X142" s="1181"/>
      <c r="Y142" s="1181"/>
      <c r="Z142" s="1181"/>
      <c r="AA142" s="1181"/>
      <c r="AB142" s="1182"/>
      <c r="AC142" s="1181"/>
      <c r="AD142" s="1183"/>
      <c r="AE142" s="1184"/>
      <c r="AF142" s="1181"/>
      <c r="AG142" s="1181"/>
      <c r="AH142" s="853"/>
      <c r="AI142" s="853"/>
      <c r="AJ142" s="853"/>
      <c r="AK142" s="853"/>
      <c r="AL142" s="1181"/>
      <c r="AM142" s="1181"/>
      <c r="AN142" s="853"/>
      <c r="AO142" s="853"/>
      <c r="AP142" s="853"/>
      <c r="AQ142" s="853"/>
      <c r="AR142" s="853"/>
      <c r="AS142" s="853"/>
      <c r="AT142" s="853"/>
      <c r="AU142" s="853"/>
      <c r="AV142" s="1185"/>
      <c r="AW142" s="853"/>
      <c r="AX142" s="853"/>
      <c r="AY142" s="853"/>
      <c r="AZ142" s="853"/>
      <c r="BA142" s="853"/>
      <c r="BB142" s="853"/>
      <c r="BC142" s="853"/>
      <c r="BD142" s="853"/>
      <c r="BE142" s="853"/>
      <c r="BF142" s="853"/>
      <c r="BG142" s="853"/>
      <c r="BH142" s="853"/>
      <c r="BI142" s="853"/>
      <c r="BJ142" s="853"/>
      <c r="BK142" s="853"/>
      <c r="BL142" s="853"/>
      <c r="BM142" s="853"/>
      <c r="BN142" s="853"/>
      <c r="BO142" s="853"/>
      <c r="BP142" s="853"/>
    </row>
    <row r="143" ht="11.25" customHeight="1">
      <c r="A143" s="853"/>
      <c r="B143" s="853"/>
      <c r="C143" s="853"/>
      <c r="D143" s="853"/>
      <c r="E143" s="853"/>
      <c r="F143" s="853"/>
      <c r="G143" s="853"/>
      <c r="H143" s="853"/>
      <c r="I143" s="853"/>
      <c r="J143" s="853"/>
      <c r="K143" s="853"/>
      <c r="L143" s="853"/>
      <c r="M143" s="853"/>
      <c r="N143" s="853"/>
      <c r="O143" s="853"/>
      <c r="P143" s="853"/>
      <c r="Q143" s="853"/>
      <c r="R143" s="853"/>
      <c r="S143" s="853"/>
      <c r="T143" s="1181"/>
      <c r="U143" s="1181"/>
      <c r="V143" s="1181"/>
      <c r="W143" s="1181"/>
      <c r="X143" s="1181"/>
      <c r="Y143" s="1181"/>
      <c r="Z143" s="1181"/>
      <c r="AA143" s="1181"/>
      <c r="AB143" s="1182"/>
      <c r="AC143" s="1181"/>
      <c r="AD143" s="1183"/>
      <c r="AE143" s="1184"/>
      <c r="AF143" s="1181"/>
      <c r="AG143" s="1181"/>
      <c r="AH143" s="853"/>
      <c r="AI143" s="853"/>
      <c r="AJ143" s="853"/>
      <c r="AK143" s="853"/>
      <c r="AL143" s="1181"/>
      <c r="AM143" s="1181"/>
      <c r="AN143" s="853"/>
      <c r="AO143" s="853"/>
      <c r="AP143" s="853"/>
      <c r="AQ143" s="853"/>
      <c r="AR143" s="853"/>
      <c r="AS143" s="853"/>
      <c r="AT143" s="853"/>
      <c r="AU143" s="853"/>
      <c r="AV143" s="1185"/>
      <c r="AW143" s="853"/>
      <c r="AX143" s="853"/>
      <c r="AY143" s="853"/>
      <c r="AZ143" s="853"/>
      <c r="BA143" s="853"/>
      <c r="BB143" s="853"/>
      <c r="BC143" s="853"/>
      <c r="BD143" s="853"/>
      <c r="BE143" s="853"/>
      <c r="BF143" s="853"/>
      <c r="BG143" s="853"/>
      <c r="BH143" s="853"/>
      <c r="BI143" s="853"/>
      <c r="BJ143" s="853"/>
      <c r="BK143" s="853"/>
      <c r="BL143" s="853"/>
      <c r="BM143" s="853"/>
      <c r="BN143" s="853"/>
      <c r="BO143" s="853"/>
      <c r="BP143" s="853"/>
    </row>
    <row r="144" ht="11.25" customHeight="1">
      <c r="A144" s="853"/>
      <c r="B144" s="853"/>
      <c r="C144" s="853"/>
      <c r="D144" s="853"/>
      <c r="E144" s="853"/>
      <c r="F144" s="853"/>
      <c r="G144" s="853"/>
      <c r="H144" s="853"/>
      <c r="I144" s="853"/>
      <c r="J144" s="853"/>
      <c r="K144" s="853"/>
      <c r="L144" s="853"/>
      <c r="M144" s="853"/>
      <c r="N144" s="853"/>
      <c r="O144" s="853"/>
      <c r="P144" s="853"/>
      <c r="Q144" s="853"/>
      <c r="R144" s="853"/>
      <c r="S144" s="853"/>
      <c r="T144" s="1181"/>
      <c r="U144" s="1181"/>
      <c r="V144" s="1181"/>
      <c r="W144" s="1181"/>
      <c r="X144" s="1181"/>
      <c r="Y144" s="1181"/>
      <c r="Z144" s="1181"/>
      <c r="AA144" s="1181"/>
      <c r="AB144" s="1182"/>
      <c r="AC144" s="1181"/>
      <c r="AD144" s="1183"/>
      <c r="AE144" s="1184"/>
      <c r="AF144" s="1181"/>
      <c r="AG144" s="1181"/>
      <c r="AH144" s="853"/>
      <c r="AI144" s="853"/>
      <c r="AJ144" s="853"/>
      <c r="AK144" s="853"/>
      <c r="AL144" s="1181"/>
      <c r="AM144" s="1181"/>
      <c r="AN144" s="853"/>
      <c r="AO144" s="853"/>
      <c r="AP144" s="853"/>
      <c r="AQ144" s="853"/>
      <c r="AR144" s="853"/>
      <c r="AS144" s="853"/>
      <c r="AT144" s="853"/>
      <c r="AU144" s="853"/>
      <c r="AV144" s="1185"/>
      <c r="AW144" s="853"/>
      <c r="AX144" s="853"/>
      <c r="AY144" s="853"/>
      <c r="AZ144" s="853"/>
      <c r="BA144" s="853"/>
      <c r="BB144" s="853"/>
      <c r="BC144" s="853"/>
      <c r="BD144" s="853"/>
      <c r="BE144" s="853"/>
      <c r="BF144" s="853"/>
      <c r="BG144" s="853"/>
      <c r="BH144" s="853"/>
      <c r="BI144" s="853"/>
      <c r="BJ144" s="853"/>
      <c r="BK144" s="853"/>
      <c r="BL144" s="853"/>
      <c r="BM144" s="853"/>
      <c r="BN144" s="853"/>
      <c r="BO144" s="853"/>
      <c r="BP144" s="853"/>
    </row>
    <row r="145" ht="11.25" customHeight="1">
      <c r="A145" s="853"/>
      <c r="B145" s="853"/>
      <c r="C145" s="853"/>
      <c r="D145" s="853"/>
      <c r="E145" s="853"/>
      <c r="F145" s="853"/>
      <c r="G145" s="853"/>
      <c r="H145" s="853"/>
      <c r="I145" s="853"/>
      <c r="J145" s="853"/>
      <c r="K145" s="853"/>
      <c r="L145" s="853"/>
      <c r="M145" s="853"/>
      <c r="N145" s="853"/>
      <c r="O145" s="853"/>
      <c r="P145" s="853"/>
      <c r="Q145" s="853"/>
      <c r="R145" s="853"/>
      <c r="S145" s="853"/>
      <c r="T145" s="1181"/>
      <c r="U145" s="1181"/>
      <c r="V145" s="1181"/>
      <c r="W145" s="1181"/>
      <c r="X145" s="1181"/>
      <c r="Y145" s="1181"/>
      <c r="Z145" s="1181"/>
      <c r="AA145" s="1181"/>
      <c r="AB145" s="1182"/>
      <c r="AC145" s="1181"/>
      <c r="AD145" s="1183"/>
      <c r="AE145" s="1184"/>
      <c r="AF145" s="1181"/>
      <c r="AG145" s="1181"/>
      <c r="AH145" s="853"/>
      <c r="AI145" s="853"/>
      <c r="AJ145" s="853"/>
      <c r="AK145" s="853"/>
      <c r="AL145" s="1181"/>
      <c r="AM145" s="1181"/>
      <c r="AN145" s="853"/>
      <c r="AO145" s="853"/>
      <c r="AP145" s="853"/>
      <c r="AQ145" s="853"/>
      <c r="AR145" s="853"/>
      <c r="AS145" s="853"/>
      <c r="AT145" s="853"/>
      <c r="AU145" s="853"/>
      <c r="AV145" s="1185"/>
      <c r="AW145" s="853"/>
      <c r="AX145" s="853"/>
      <c r="AY145" s="853"/>
      <c r="AZ145" s="853"/>
      <c r="BA145" s="853"/>
      <c r="BB145" s="853"/>
      <c r="BC145" s="853"/>
      <c r="BD145" s="853"/>
      <c r="BE145" s="853"/>
      <c r="BF145" s="853"/>
      <c r="BG145" s="853"/>
      <c r="BH145" s="853"/>
      <c r="BI145" s="853"/>
      <c r="BJ145" s="853"/>
      <c r="BK145" s="853"/>
      <c r="BL145" s="853"/>
      <c r="BM145" s="853"/>
      <c r="BN145" s="853"/>
      <c r="BO145" s="853"/>
      <c r="BP145" s="853"/>
    </row>
    <row r="146" ht="11.25" customHeight="1">
      <c r="A146" s="853"/>
      <c r="B146" s="853"/>
      <c r="C146" s="853"/>
      <c r="D146" s="853"/>
      <c r="E146" s="853"/>
      <c r="F146" s="853"/>
      <c r="G146" s="853"/>
      <c r="H146" s="853"/>
      <c r="I146" s="853"/>
      <c r="J146" s="853"/>
      <c r="K146" s="853"/>
      <c r="L146" s="853"/>
      <c r="M146" s="853"/>
      <c r="N146" s="853"/>
      <c r="O146" s="853"/>
      <c r="P146" s="853"/>
      <c r="Q146" s="853"/>
      <c r="R146" s="853"/>
      <c r="S146" s="853"/>
      <c r="T146" s="1181"/>
      <c r="U146" s="1181"/>
      <c r="V146" s="1181"/>
      <c r="W146" s="1181"/>
      <c r="X146" s="1181"/>
      <c r="Y146" s="1181"/>
      <c r="Z146" s="1181"/>
      <c r="AA146" s="1181"/>
      <c r="AB146" s="1182"/>
      <c r="AC146" s="1181"/>
      <c r="AD146" s="1183"/>
      <c r="AE146" s="1184"/>
      <c r="AF146" s="1181"/>
      <c r="AG146" s="1181"/>
      <c r="AH146" s="853"/>
      <c r="AI146" s="853"/>
      <c r="AJ146" s="853"/>
      <c r="AK146" s="853"/>
      <c r="AL146" s="1181"/>
      <c r="AM146" s="1181"/>
      <c r="AN146" s="853"/>
      <c r="AO146" s="853"/>
      <c r="AP146" s="853"/>
      <c r="AQ146" s="853"/>
      <c r="AR146" s="853"/>
      <c r="AS146" s="853"/>
      <c r="AT146" s="853"/>
      <c r="AU146" s="853"/>
      <c r="AV146" s="1185"/>
      <c r="AW146" s="853"/>
      <c r="AX146" s="853"/>
      <c r="AY146" s="853"/>
      <c r="AZ146" s="853"/>
      <c r="BA146" s="853"/>
      <c r="BB146" s="853"/>
      <c r="BC146" s="853"/>
      <c r="BD146" s="853"/>
      <c r="BE146" s="853"/>
      <c r="BF146" s="853"/>
      <c r="BG146" s="853"/>
      <c r="BH146" s="853"/>
      <c r="BI146" s="853"/>
      <c r="BJ146" s="853"/>
      <c r="BK146" s="853"/>
      <c r="BL146" s="853"/>
      <c r="BM146" s="853"/>
      <c r="BN146" s="853"/>
      <c r="BO146" s="853"/>
      <c r="BP146" s="853"/>
    </row>
    <row r="147" ht="11.25" customHeight="1">
      <c r="A147" s="853"/>
      <c r="B147" s="853"/>
      <c r="C147" s="853"/>
      <c r="D147" s="853"/>
      <c r="E147" s="853"/>
      <c r="F147" s="853"/>
      <c r="G147" s="853"/>
      <c r="H147" s="853"/>
      <c r="I147" s="853"/>
      <c r="J147" s="853"/>
      <c r="K147" s="853"/>
      <c r="L147" s="853"/>
      <c r="M147" s="853"/>
      <c r="N147" s="853"/>
      <c r="O147" s="853"/>
      <c r="P147" s="853"/>
      <c r="Q147" s="853"/>
      <c r="R147" s="853"/>
      <c r="S147" s="853"/>
      <c r="T147" s="1181"/>
      <c r="U147" s="1181"/>
      <c r="V147" s="1181"/>
      <c r="W147" s="1181"/>
      <c r="X147" s="1181"/>
      <c r="Y147" s="1181"/>
      <c r="Z147" s="1181"/>
      <c r="AA147" s="1181"/>
      <c r="AB147" s="1182"/>
      <c r="AC147" s="1181"/>
      <c r="AD147" s="1183"/>
      <c r="AE147" s="1184"/>
      <c r="AF147" s="1181"/>
      <c r="AG147" s="1181"/>
      <c r="AH147" s="853"/>
      <c r="AI147" s="853"/>
      <c r="AJ147" s="853"/>
      <c r="AK147" s="853"/>
      <c r="AL147" s="1181"/>
      <c r="AM147" s="1181"/>
      <c r="AN147" s="853"/>
      <c r="AO147" s="853"/>
      <c r="AP147" s="853"/>
      <c r="AQ147" s="853"/>
      <c r="AR147" s="853"/>
      <c r="AS147" s="853"/>
      <c r="AT147" s="853"/>
      <c r="AU147" s="853"/>
      <c r="AV147" s="1185"/>
      <c r="AW147" s="853"/>
      <c r="AX147" s="853"/>
      <c r="AY147" s="853"/>
      <c r="AZ147" s="853"/>
      <c r="BA147" s="853"/>
      <c r="BB147" s="853"/>
      <c r="BC147" s="853"/>
      <c r="BD147" s="853"/>
      <c r="BE147" s="853"/>
      <c r="BF147" s="853"/>
      <c r="BG147" s="853"/>
      <c r="BH147" s="853"/>
      <c r="BI147" s="853"/>
      <c r="BJ147" s="853"/>
      <c r="BK147" s="853"/>
      <c r="BL147" s="853"/>
      <c r="BM147" s="853"/>
      <c r="BN147" s="853"/>
      <c r="BO147" s="853"/>
      <c r="BP147" s="853"/>
    </row>
    <row r="148" ht="11.25" customHeight="1">
      <c r="A148" s="853"/>
      <c r="B148" s="853"/>
      <c r="C148" s="853"/>
      <c r="D148" s="853"/>
      <c r="E148" s="853"/>
      <c r="F148" s="853"/>
      <c r="G148" s="853"/>
      <c r="H148" s="853"/>
      <c r="I148" s="853"/>
      <c r="J148" s="853"/>
      <c r="K148" s="853"/>
      <c r="L148" s="853"/>
      <c r="M148" s="853"/>
      <c r="N148" s="853"/>
      <c r="O148" s="853"/>
      <c r="P148" s="853"/>
      <c r="Q148" s="853"/>
      <c r="R148" s="853"/>
      <c r="S148" s="853"/>
      <c r="T148" s="1181"/>
      <c r="U148" s="1181"/>
      <c r="V148" s="1181"/>
      <c r="W148" s="1181"/>
      <c r="X148" s="1181"/>
      <c r="Y148" s="1181"/>
      <c r="Z148" s="1181"/>
      <c r="AA148" s="1181"/>
      <c r="AB148" s="1182"/>
      <c r="AC148" s="1181"/>
      <c r="AD148" s="1183"/>
      <c r="AE148" s="1184"/>
      <c r="AF148" s="1181"/>
      <c r="AG148" s="1181"/>
      <c r="AH148" s="853"/>
      <c r="AI148" s="853"/>
      <c r="AJ148" s="853"/>
      <c r="AK148" s="853"/>
      <c r="AL148" s="1181"/>
      <c r="AM148" s="1181"/>
      <c r="AN148" s="853"/>
      <c r="AO148" s="853"/>
      <c r="AP148" s="853"/>
      <c r="AQ148" s="853"/>
      <c r="AR148" s="853"/>
      <c r="AS148" s="853"/>
      <c r="AT148" s="853"/>
      <c r="AU148" s="853"/>
      <c r="AV148" s="1185"/>
      <c r="AW148" s="853"/>
      <c r="AX148" s="853"/>
      <c r="AY148" s="853"/>
      <c r="AZ148" s="853"/>
      <c r="BA148" s="853"/>
      <c r="BB148" s="853"/>
      <c r="BC148" s="853"/>
      <c r="BD148" s="853"/>
      <c r="BE148" s="853"/>
      <c r="BF148" s="853"/>
      <c r="BG148" s="853"/>
      <c r="BH148" s="853"/>
      <c r="BI148" s="853"/>
      <c r="BJ148" s="853"/>
      <c r="BK148" s="853"/>
      <c r="BL148" s="853"/>
      <c r="BM148" s="853"/>
      <c r="BN148" s="853"/>
      <c r="BO148" s="853"/>
      <c r="BP148" s="853"/>
    </row>
    <row r="149" ht="11.25" customHeight="1">
      <c r="A149" s="853"/>
      <c r="B149" s="853"/>
      <c r="C149" s="853"/>
      <c r="D149" s="853"/>
      <c r="E149" s="853"/>
      <c r="F149" s="853"/>
      <c r="G149" s="853"/>
      <c r="H149" s="853"/>
      <c r="I149" s="853"/>
      <c r="J149" s="853"/>
      <c r="K149" s="853"/>
      <c r="L149" s="853"/>
      <c r="M149" s="853"/>
      <c r="N149" s="853"/>
      <c r="O149" s="853"/>
      <c r="P149" s="853"/>
      <c r="Q149" s="853"/>
      <c r="R149" s="853"/>
      <c r="S149" s="853"/>
      <c r="T149" s="1181"/>
      <c r="U149" s="1181"/>
      <c r="V149" s="1181"/>
      <c r="W149" s="1181"/>
      <c r="X149" s="1181"/>
      <c r="Y149" s="1181"/>
      <c r="Z149" s="1181"/>
      <c r="AA149" s="1181"/>
      <c r="AB149" s="1182"/>
      <c r="AC149" s="1181"/>
      <c r="AD149" s="1183"/>
      <c r="AE149" s="1184"/>
      <c r="AF149" s="1181"/>
      <c r="AG149" s="1181"/>
      <c r="AH149" s="853"/>
      <c r="AI149" s="853"/>
      <c r="AJ149" s="853"/>
      <c r="AK149" s="853"/>
      <c r="AL149" s="1181"/>
      <c r="AM149" s="1181"/>
      <c r="AN149" s="853"/>
      <c r="AO149" s="853"/>
      <c r="AP149" s="853"/>
      <c r="AQ149" s="853"/>
      <c r="AR149" s="853"/>
      <c r="AS149" s="853"/>
      <c r="AT149" s="853"/>
      <c r="AU149" s="853"/>
      <c r="AV149" s="1185"/>
      <c r="AW149" s="853"/>
      <c r="AX149" s="853"/>
      <c r="AY149" s="853"/>
      <c r="AZ149" s="853"/>
      <c r="BA149" s="853"/>
      <c r="BB149" s="853"/>
      <c r="BC149" s="853"/>
      <c r="BD149" s="853"/>
      <c r="BE149" s="853"/>
      <c r="BF149" s="853"/>
      <c r="BG149" s="853"/>
      <c r="BH149" s="853"/>
      <c r="BI149" s="853"/>
      <c r="BJ149" s="853"/>
      <c r="BK149" s="853"/>
      <c r="BL149" s="853"/>
      <c r="BM149" s="853"/>
      <c r="BN149" s="853"/>
      <c r="BO149" s="853"/>
      <c r="BP149" s="853"/>
    </row>
    <row r="150" ht="11.25" customHeight="1">
      <c r="A150" s="853"/>
      <c r="B150" s="853"/>
      <c r="C150" s="853"/>
      <c r="D150" s="853"/>
      <c r="E150" s="853"/>
      <c r="F150" s="853"/>
      <c r="G150" s="853"/>
      <c r="H150" s="853"/>
      <c r="I150" s="853"/>
      <c r="J150" s="853"/>
      <c r="K150" s="853"/>
      <c r="L150" s="853"/>
      <c r="M150" s="853"/>
      <c r="N150" s="853"/>
      <c r="O150" s="853"/>
      <c r="P150" s="853"/>
      <c r="Q150" s="853"/>
      <c r="R150" s="853"/>
      <c r="S150" s="853"/>
      <c r="T150" s="1181"/>
      <c r="U150" s="1181"/>
      <c r="V150" s="1181"/>
      <c r="W150" s="1181"/>
      <c r="X150" s="1181"/>
      <c r="Y150" s="1181"/>
      <c r="Z150" s="1181"/>
      <c r="AA150" s="1181"/>
      <c r="AB150" s="1182"/>
      <c r="AC150" s="1181"/>
      <c r="AD150" s="1183"/>
      <c r="AE150" s="1184"/>
      <c r="AF150" s="1181"/>
      <c r="AG150" s="1181"/>
      <c r="AH150" s="853"/>
      <c r="AI150" s="853"/>
      <c r="AJ150" s="853"/>
      <c r="AK150" s="853"/>
      <c r="AL150" s="1181"/>
      <c r="AM150" s="1181"/>
      <c r="AN150" s="853"/>
      <c r="AO150" s="853"/>
      <c r="AP150" s="853"/>
      <c r="AQ150" s="853"/>
      <c r="AR150" s="853"/>
      <c r="AS150" s="853"/>
      <c r="AT150" s="853"/>
      <c r="AU150" s="853"/>
      <c r="AV150" s="1185"/>
      <c r="AW150" s="853"/>
      <c r="AX150" s="853"/>
      <c r="AY150" s="853"/>
      <c r="AZ150" s="853"/>
      <c r="BA150" s="853"/>
      <c r="BB150" s="853"/>
      <c r="BC150" s="853"/>
      <c r="BD150" s="853"/>
      <c r="BE150" s="853"/>
      <c r="BF150" s="853"/>
      <c r="BG150" s="853"/>
      <c r="BH150" s="853"/>
      <c r="BI150" s="853"/>
      <c r="BJ150" s="853"/>
      <c r="BK150" s="853"/>
      <c r="BL150" s="853"/>
      <c r="BM150" s="853"/>
      <c r="BN150" s="853"/>
      <c r="BO150" s="853"/>
      <c r="BP150" s="853"/>
    </row>
    <row r="151" ht="11.25" customHeight="1">
      <c r="A151" s="853"/>
      <c r="B151" s="853"/>
      <c r="C151" s="853"/>
      <c r="D151" s="853"/>
      <c r="E151" s="853"/>
      <c r="F151" s="853"/>
      <c r="G151" s="853"/>
      <c r="H151" s="853"/>
      <c r="I151" s="853"/>
      <c r="J151" s="853"/>
      <c r="K151" s="853"/>
      <c r="L151" s="853"/>
      <c r="M151" s="853"/>
      <c r="N151" s="853"/>
      <c r="O151" s="853"/>
      <c r="P151" s="853"/>
      <c r="Q151" s="853"/>
      <c r="R151" s="853"/>
      <c r="S151" s="853"/>
      <c r="T151" s="1181"/>
      <c r="U151" s="1181"/>
      <c r="V151" s="1181"/>
      <c r="W151" s="1181"/>
      <c r="X151" s="1181"/>
      <c r="Y151" s="1181"/>
      <c r="Z151" s="1181"/>
      <c r="AA151" s="1181"/>
      <c r="AB151" s="1182"/>
      <c r="AC151" s="1181"/>
      <c r="AD151" s="1183"/>
      <c r="AE151" s="1184"/>
      <c r="AF151" s="1181"/>
      <c r="AG151" s="1181"/>
      <c r="AH151" s="853"/>
      <c r="AI151" s="853"/>
      <c r="AJ151" s="853"/>
      <c r="AK151" s="853"/>
      <c r="AL151" s="1181"/>
      <c r="AM151" s="1181"/>
      <c r="AN151" s="853"/>
      <c r="AO151" s="853"/>
      <c r="AP151" s="853"/>
      <c r="AQ151" s="853"/>
      <c r="AR151" s="853"/>
      <c r="AS151" s="853"/>
      <c r="AT151" s="853"/>
      <c r="AU151" s="853"/>
      <c r="AV151" s="1185"/>
      <c r="AW151" s="853"/>
      <c r="AX151" s="853"/>
      <c r="AY151" s="853"/>
      <c r="AZ151" s="853"/>
      <c r="BA151" s="853"/>
      <c r="BB151" s="853"/>
      <c r="BC151" s="853"/>
      <c r="BD151" s="853"/>
      <c r="BE151" s="853"/>
      <c r="BF151" s="853"/>
      <c r="BG151" s="853"/>
      <c r="BH151" s="853"/>
      <c r="BI151" s="853"/>
      <c r="BJ151" s="853"/>
      <c r="BK151" s="853"/>
      <c r="BL151" s="853"/>
      <c r="BM151" s="853"/>
      <c r="BN151" s="853"/>
      <c r="BO151" s="853"/>
      <c r="BP151" s="853"/>
    </row>
    <row r="152" ht="11.25" customHeight="1">
      <c r="A152" s="853"/>
      <c r="B152" s="853"/>
      <c r="C152" s="853"/>
      <c r="D152" s="853"/>
      <c r="E152" s="853"/>
      <c r="F152" s="853"/>
      <c r="G152" s="853"/>
      <c r="H152" s="853"/>
      <c r="I152" s="853"/>
      <c r="J152" s="853"/>
      <c r="K152" s="853"/>
      <c r="L152" s="853"/>
      <c r="M152" s="853"/>
      <c r="N152" s="853"/>
      <c r="O152" s="853"/>
      <c r="P152" s="853"/>
      <c r="Q152" s="853"/>
      <c r="R152" s="853"/>
      <c r="S152" s="853"/>
      <c r="T152" s="1181"/>
      <c r="U152" s="1181"/>
      <c r="V152" s="1181"/>
      <c r="W152" s="1181"/>
      <c r="X152" s="1181"/>
      <c r="Y152" s="1181"/>
      <c r="Z152" s="1181"/>
      <c r="AA152" s="1181"/>
      <c r="AB152" s="1182"/>
      <c r="AC152" s="1181"/>
      <c r="AD152" s="1183"/>
      <c r="AE152" s="1184"/>
      <c r="AF152" s="1181"/>
      <c r="AG152" s="1181"/>
      <c r="AH152" s="853"/>
      <c r="AI152" s="853"/>
      <c r="AJ152" s="853"/>
      <c r="AK152" s="853"/>
      <c r="AL152" s="1181"/>
      <c r="AM152" s="1181"/>
      <c r="AN152" s="853"/>
      <c r="AO152" s="853"/>
      <c r="AP152" s="853"/>
      <c r="AQ152" s="853"/>
      <c r="AR152" s="853"/>
      <c r="AS152" s="853"/>
      <c r="AT152" s="853"/>
      <c r="AU152" s="853"/>
      <c r="AV152" s="1185"/>
      <c r="AW152" s="853"/>
      <c r="AX152" s="853"/>
      <c r="AY152" s="853"/>
      <c r="AZ152" s="853"/>
      <c r="BA152" s="853"/>
      <c r="BB152" s="853"/>
      <c r="BC152" s="853"/>
      <c r="BD152" s="853"/>
      <c r="BE152" s="853"/>
      <c r="BF152" s="853"/>
      <c r="BG152" s="853"/>
      <c r="BH152" s="853"/>
      <c r="BI152" s="853"/>
      <c r="BJ152" s="853"/>
      <c r="BK152" s="853"/>
      <c r="BL152" s="853"/>
      <c r="BM152" s="853"/>
      <c r="BN152" s="853"/>
      <c r="BO152" s="853"/>
      <c r="BP152" s="853"/>
    </row>
    <row r="153" ht="11.25" customHeight="1">
      <c r="A153" s="853"/>
      <c r="B153" s="853"/>
      <c r="C153" s="853"/>
      <c r="D153" s="853"/>
      <c r="E153" s="853"/>
      <c r="F153" s="853"/>
      <c r="G153" s="853"/>
      <c r="H153" s="853"/>
      <c r="I153" s="853"/>
      <c r="J153" s="853"/>
      <c r="K153" s="853"/>
      <c r="L153" s="853"/>
      <c r="M153" s="853"/>
      <c r="N153" s="853"/>
      <c r="O153" s="853"/>
      <c r="P153" s="853"/>
      <c r="Q153" s="853"/>
      <c r="R153" s="853"/>
      <c r="S153" s="853"/>
      <c r="T153" s="1181"/>
      <c r="U153" s="1181"/>
      <c r="V153" s="1181"/>
      <c r="W153" s="1181"/>
      <c r="X153" s="1181"/>
      <c r="Y153" s="1181"/>
      <c r="Z153" s="1181"/>
      <c r="AA153" s="1181"/>
      <c r="AB153" s="1182"/>
      <c r="AC153" s="1181"/>
      <c r="AD153" s="1183"/>
      <c r="AE153" s="1184"/>
      <c r="AF153" s="1181"/>
      <c r="AG153" s="1181"/>
      <c r="AH153" s="853"/>
      <c r="AI153" s="853"/>
      <c r="AJ153" s="853"/>
      <c r="AK153" s="853"/>
      <c r="AL153" s="1181"/>
      <c r="AM153" s="1181"/>
      <c r="AN153" s="853"/>
      <c r="AO153" s="853"/>
      <c r="AP153" s="853"/>
      <c r="AQ153" s="853"/>
      <c r="AR153" s="853"/>
      <c r="AS153" s="853"/>
      <c r="AT153" s="853"/>
      <c r="AU153" s="853"/>
      <c r="AV153" s="1185"/>
      <c r="AW153" s="853"/>
      <c r="AX153" s="853"/>
      <c r="AY153" s="853"/>
      <c r="AZ153" s="853"/>
      <c r="BA153" s="853"/>
      <c r="BB153" s="853"/>
      <c r="BC153" s="853"/>
      <c r="BD153" s="853"/>
      <c r="BE153" s="853"/>
      <c r="BF153" s="853"/>
      <c r="BG153" s="853"/>
      <c r="BH153" s="853"/>
      <c r="BI153" s="853"/>
      <c r="BJ153" s="853"/>
      <c r="BK153" s="853"/>
      <c r="BL153" s="853"/>
      <c r="BM153" s="853"/>
      <c r="BN153" s="853"/>
      <c r="BO153" s="853"/>
      <c r="BP153" s="853"/>
    </row>
    <row r="154" ht="11.25" customHeight="1">
      <c r="A154" s="853"/>
      <c r="B154" s="853"/>
      <c r="C154" s="853"/>
      <c r="D154" s="853"/>
      <c r="E154" s="853"/>
      <c r="F154" s="853"/>
      <c r="G154" s="853"/>
      <c r="H154" s="853"/>
      <c r="I154" s="853"/>
      <c r="J154" s="853"/>
      <c r="K154" s="853"/>
      <c r="L154" s="853"/>
      <c r="M154" s="853"/>
      <c r="N154" s="853"/>
      <c r="O154" s="853"/>
      <c r="P154" s="853"/>
      <c r="Q154" s="853"/>
      <c r="R154" s="853"/>
      <c r="S154" s="853"/>
      <c r="T154" s="1181"/>
      <c r="U154" s="1181"/>
      <c r="V154" s="1181"/>
      <c r="W154" s="1181"/>
      <c r="X154" s="1181"/>
      <c r="Y154" s="1181"/>
      <c r="Z154" s="1181"/>
      <c r="AA154" s="1181"/>
      <c r="AB154" s="1182"/>
      <c r="AC154" s="1181"/>
      <c r="AD154" s="1183"/>
      <c r="AE154" s="1184"/>
      <c r="AF154" s="1181"/>
      <c r="AG154" s="1181"/>
      <c r="AH154" s="853"/>
      <c r="AI154" s="853"/>
      <c r="AJ154" s="853"/>
      <c r="AK154" s="853"/>
      <c r="AL154" s="1181"/>
      <c r="AM154" s="1181"/>
      <c r="AN154" s="853"/>
      <c r="AO154" s="853"/>
      <c r="AP154" s="853"/>
      <c r="AQ154" s="853"/>
      <c r="AR154" s="853"/>
      <c r="AS154" s="853"/>
      <c r="AT154" s="853"/>
      <c r="AU154" s="853"/>
      <c r="AV154" s="1185"/>
      <c r="AW154" s="853"/>
      <c r="AX154" s="853"/>
      <c r="AY154" s="853"/>
      <c r="AZ154" s="853"/>
      <c r="BA154" s="853"/>
      <c r="BB154" s="853"/>
      <c r="BC154" s="853"/>
      <c r="BD154" s="853"/>
      <c r="BE154" s="853"/>
      <c r="BF154" s="853"/>
      <c r="BG154" s="853"/>
      <c r="BH154" s="853"/>
      <c r="BI154" s="853"/>
      <c r="BJ154" s="853"/>
      <c r="BK154" s="853"/>
      <c r="BL154" s="853"/>
      <c r="BM154" s="853"/>
      <c r="BN154" s="853"/>
      <c r="BO154" s="853"/>
      <c r="BP154" s="853"/>
    </row>
    <row r="155" ht="11.25" customHeight="1">
      <c r="A155" s="853"/>
      <c r="B155" s="853"/>
      <c r="C155" s="853"/>
      <c r="D155" s="853"/>
      <c r="E155" s="853"/>
      <c r="F155" s="853"/>
      <c r="G155" s="853"/>
      <c r="H155" s="853"/>
      <c r="I155" s="853"/>
      <c r="J155" s="853"/>
      <c r="K155" s="853"/>
      <c r="L155" s="853"/>
      <c r="M155" s="853"/>
      <c r="N155" s="853"/>
      <c r="O155" s="853"/>
      <c r="P155" s="853"/>
      <c r="Q155" s="853"/>
      <c r="R155" s="853"/>
      <c r="S155" s="853"/>
      <c r="T155" s="1181"/>
      <c r="U155" s="1181"/>
      <c r="V155" s="1181"/>
      <c r="W155" s="1181"/>
      <c r="X155" s="1181"/>
      <c r="Y155" s="1181"/>
      <c r="Z155" s="1181"/>
      <c r="AA155" s="1181"/>
      <c r="AB155" s="1182"/>
      <c r="AC155" s="1181"/>
      <c r="AD155" s="1183"/>
      <c r="AE155" s="1184"/>
      <c r="AF155" s="1181"/>
      <c r="AG155" s="1181"/>
      <c r="AH155" s="853"/>
      <c r="AI155" s="853"/>
      <c r="AJ155" s="853"/>
      <c r="AK155" s="853"/>
      <c r="AL155" s="1181"/>
      <c r="AM155" s="1181"/>
      <c r="AN155" s="853"/>
      <c r="AO155" s="853"/>
      <c r="AP155" s="853"/>
      <c r="AQ155" s="853"/>
      <c r="AR155" s="853"/>
      <c r="AS155" s="853"/>
      <c r="AT155" s="853"/>
      <c r="AU155" s="853"/>
      <c r="AV155" s="1185"/>
      <c r="AW155" s="853"/>
      <c r="AX155" s="853"/>
      <c r="AY155" s="853"/>
      <c r="AZ155" s="853"/>
      <c r="BA155" s="853"/>
      <c r="BB155" s="853"/>
      <c r="BC155" s="853"/>
      <c r="BD155" s="853"/>
      <c r="BE155" s="853"/>
      <c r="BF155" s="853"/>
      <c r="BG155" s="853"/>
      <c r="BH155" s="853"/>
      <c r="BI155" s="853"/>
      <c r="BJ155" s="853"/>
      <c r="BK155" s="853"/>
      <c r="BL155" s="853"/>
      <c r="BM155" s="853"/>
      <c r="BN155" s="853"/>
      <c r="BO155" s="853"/>
      <c r="BP155" s="853"/>
    </row>
    <row r="156" ht="11.25" customHeight="1">
      <c r="A156" s="853"/>
      <c r="B156" s="853"/>
      <c r="C156" s="853"/>
      <c r="D156" s="853"/>
      <c r="E156" s="853"/>
      <c r="F156" s="853"/>
      <c r="G156" s="853"/>
      <c r="H156" s="853"/>
      <c r="I156" s="853"/>
      <c r="J156" s="853"/>
      <c r="K156" s="853"/>
      <c r="L156" s="853"/>
      <c r="M156" s="853"/>
      <c r="N156" s="853"/>
      <c r="O156" s="853"/>
      <c r="P156" s="853"/>
      <c r="Q156" s="853"/>
      <c r="R156" s="853"/>
      <c r="S156" s="853"/>
      <c r="T156" s="1181"/>
      <c r="U156" s="1181"/>
      <c r="V156" s="1181"/>
      <c r="W156" s="1181"/>
      <c r="X156" s="1181"/>
      <c r="Y156" s="1181"/>
      <c r="Z156" s="1181"/>
      <c r="AA156" s="1181"/>
      <c r="AB156" s="1182"/>
      <c r="AC156" s="1181"/>
      <c r="AD156" s="1183"/>
      <c r="AE156" s="1184"/>
      <c r="AF156" s="1181"/>
      <c r="AG156" s="1181"/>
      <c r="AH156" s="853"/>
      <c r="AI156" s="853"/>
      <c r="AJ156" s="853"/>
      <c r="AK156" s="853"/>
      <c r="AL156" s="1181"/>
      <c r="AM156" s="1181"/>
      <c r="AN156" s="853"/>
      <c r="AO156" s="853"/>
      <c r="AP156" s="853"/>
      <c r="AQ156" s="853"/>
      <c r="AR156" s="853"/>
      <c r="AS156" s="853"/>
      <c r="AT156" s="853"/>
      <c r="AU156" s="853"/>
      <c r="AV156" s="1185"/>
      <c r="AW156" s="853"/>
      <c r="AX156" s="853"/>
      <c r="AY156" s="853"/>
      <c r="AZ156" s="853"/>
      <c r="BA156" s="853"/>
      <c r="BB156" s="853"/>
      <c r="BC156" s="853"/>
      <c r="BD156" s="853"/>
      <c r="BE156" s="853"/>
      <c r="BF156" s="853"/>
      <c r="BG156" s="853"/>
      <c r="BH156" s="853"/>
      <c r="BI156" s="853"/>
      <c r="BJ156" s="853"/>
      <c r="BK156" s="853"/>
      <c r="BL156" s="853"/>
      <c r="BM156" s="853"/>
      <c r="BN156" s="853"/>
      <c r="BO156" s="853"/>
      <c r="BP156" s="853"/>
    </row>
    <row r="157" ht="11.25" customHeight="1">
      <c r="A157" s="853"/>
      <c r="B157" s="853"/>
      <c r="C157" s="853"/>
      <c r="D157" s="853"/>
      <c r="E157" s="853"/>
      <c r="F157" s="853"/>
      <c r="G157" s="853"/>
      <c r="H157" s="853"/>
      <c r="I157" s="853"/>
      <c r="J157" s="853"/>
      <c r="K157" s="853"/>
      <c r="L157" s="853"/>
      <c r="M157" s="853"/>
      <c r="N157" s="853"/>
      <c r="O157" s="853"/>
      <c r="P157" s="853"/>
      <c r="Q157" s="853"/>
      <c r="R157" s="853"/>
      <c r="S157" s="853"/>
      <c r="T157" s="1181"/>
      <c r="U157" s="1181"/>
      <c r="V157" s="1181"/>
      <c r="W157" s="1181"/>
      <c r="X157" s="1181"/>
      <c r="Y157" s="1181"/>
      <c r="Z157" s="1181"/>
      <c r="AA157" s="1181"/>
      <c r="AB157" s="1182"/>
      <c r="AC157" s="1181"/>
      <c r="AD157" s="1183"/>
      <c r="AE157" s="1184"/>
      <c r="AF157" s="1181"/>
      <c r="AG157" s="1181"/>
      <c r="AH157" s="853"/>
      <c r="AI157" s="853"/>
      <c r="AJ157" s="853"/>
      <c r="AK157" s="853"/>
      <c r="AL157" s="1181"/>
      <c r="AM157" s="1181"/>
      <c r="AN157" s="853"/>
      <c r="AO157" s="853"/>
      <c r="AP157" s="853"/>
      <c r="AQ157" s="853"/>
      <c r="AR157" s="853"/>
      <c r="AS157" s="853"/>
      <c r="AT157" s="853"/>
      <c r="AU157" s="853"/>
      <c r="AV157" s="1185"/>
      <c r="AW157" s="853"/>
      <c r="AX157" s="853"/>
      <c r="AY157" s="853"/>
      <c r="AZ157" s="853"/>
      <c r="BA157" s="853"/>
      <c r="BB157" s="853"/>
      <c r="BC157" s="853"/>
      <c r="BD157" s="853"/>
      <c r="BE157" s="853"/>
      <c r="BF157" s="853"/>
      <c r="BG157" s="853"/>
      <c r="BH157" s="853"/>
      <c r="BI157" s="853"/>
      <c r="BJ157" s="853"/>
      <c r="BK157" s="853"/>
      <c r="BL157" s="853"/>
      <c r="BM157" s="853"/>
      <c r="BN157" s="853"/>
      <c r="BO157" s="853"/>
      <c r="BP157" s="853"/>
    </row>
    <row r="158" ht="11.25" customHeight="1">
      <c r="A158" s="853"/>
      <c r="B158" s="853"/>
      <c r="C158" s="853"/>
      <c r="D158" s="853"/>
      <c r="E158" s="853"/>
      <c r="F158" s="853"/>
      <c r="G158" s="853"/>
      <c r="H158" s="853"/>
      <c r="I158" s="853"/>
      <c r="J158" s="853"/>
      <c r="K158" s="853"/>
      <c r="L158" s="853"/>
      <c r="M158" s="853"/>
      <c r="N158" s="853"/>
      <c r="O158" s="853"/>
      <c r="P158" s="853"/>
      <c r="Q158" s="853"/>
      <c r="R158" s="853"/>
      <c r="S158" s="853"/>
      <c r="T158" s="1181"/>
      <c r="U158" s="1181"/>
      <c r="V158" s="1181"/>
      <c r="W158" s="1181"/>
      <c r="X158" s="1181"/>
      <c r="Y158" s="1181"/>
      <c r="Z158" s="1181"/>
      <c r="AA158" s="1181"/>
      <c r="AB158" s="1182"/>
      <c r="AC158" s="1181"/>
      <c r="AD158" s="1183"/>
      <c r="AE158" s="1184"/>
      <c r="AF158" s="1181"/>
      <c r="AG158" s="1181"/>
      <c r="AH158" s="853"/>
      <c r="AI158" s="853"/>
      <c r="AJ158" s="853"/>
      <c r="AK158" s="853"/>
      <c r="AL158" s="1181"/>
      <c r="AM158" s="1181"/>
      <c r="AN158" s="853"/>
      <c r="AO158" s="853"/>
      <c r="AP158" s="853"/>
      <c r="AQ158" s="853"/>
      <c r="AR158" s="853"/>
      <c r="AS158" s="853"/>
      <c r="AT158" s="853"/>
      <c r="AU158" s="853"/>
      <c r="AV158" s="1185"/>
      <c r="AW158" s="853"/>
      <c r="AX158" s="853"/>
      <c r="AY158" s="853"/>
      <c r="AZ158" s="853"/>
      <c r="BA158" s="853"/>
      <c r="BB158" s="853"/>
      <c r="BC158" s="853"/>
      <c r="BD158" s="853"/>
      <c r="BE158" s="853"/>
      <c r="BF158" s="853"/>
      <c r="BG158" s="853"/>
      <c r="BH158" s="853"/>
      <c r="BI158" s="853"/>
      <c r="BJ158" s="853"/>
      <c r="BK158" s="853"/>
      <c r="BL158" s="853"/>
      <c r="BM158" s="853"/>
      <c r="BN158" s="853"/>
      <c r="BO158" s="853"/>
      <c r="BP158" s="853"/>
    </row>
    <row r="159" ht="11.25" customHeight="1">
      <c r="A159" s="853"/>
      <c r="B159" s="853"/>
      <c r="C159" s="853"/>
      <c r="D159" s="853"/>
      <c r="E159" s="853"/>
      <c r="F159" s="853"/>
      <c r="G159" s="853"/>
      <c r="H159" s="853"/>
      <c r="I159" s="853"/>
      <c r="J159" s="853"/>
      <c r="K159" s="853"/>
      <c r="L159" s="853"/>
      <c r="M159" s="853"/>
      <c r="N159" s="853"/>
      <c r="O159" s="853"/>
      <c r="P159" s="853"/>
      <c r="Q159" s="853"/>
      <c r="R159" s="853"/>
      <c r="S159" s="853"/>
      <c r="T159" s="1181"/>
      <c r="U159" s="1181"/>
      <c r="V159" s="1181"/>
      <c r="W159" s="1181"/>
      <c r="X159" s="1181"/>
      <c r="Y159" s="1181"/>
      <c r="Z159" s="1181"/>
      <c r="AA159" s="1181"/>
      <c r="AB159" s="1182"/>
      <c r="AC159" s="1181"/>
      <c r="AD159" s="1183"/>
      <c r="AE159" s="1184"/>
      <c r="AF159" s="1181"/>
      <c r="AG159" s="1181"/>
      <c r="AH159" s="853"/>
      <c r="AI159" s="853"/>
      <c r="AJ159" s="853"/>
      <c r="AK159" s="853"/>
      <c r="AL159" s="1181"/>
      <c r="AM159" s="1181"/>
      <c r="AN159" s="853"/>
      <c r="AO159" s="853"/>
      <c r="AP159" s="853"/>
      <c r="AQ159" s="853"/>
      <c r="AR159" s="853"/>
      <c r="AS159" s="853"/>
      <c r="AT159" s="853"/>
      <c r="AU159" s="853"/>
      <c r="AV159" s="1185"/>
      <c r="AW159" s="853"/>
      <c r="AX159" s="853"/>
      <c r="AY159" s="853"/>
      <c r="AZ159" s="853"/>
      <c r="BA159" s="853"/>
      <c r="BB159" s="853"/>
      <c r="BC159" s="853"/>
      <c r="BD159" s="853"/>
      <c r="BE159" s="853"/>
      <c r="BF159" s="853"/>
      <c r="BG159" s="853"/>
      <c r="BH159" s="853"/>
      <c r="BI159" s="853"/>
      <c r="BJ159" s="853"/>
      <c r="BK159" s="853"/>
      <c r="BL159" s="853"/>
      <c r="BM159" s="853"/>
      <c r="BN159" s="853"/>
      <c r="BO159" s="853"/>
      <c r="BP159" s="853"/>
    </row>
    <row r="160" ht="11.25" customHeight="1">
      <c r="A160" s="853"/>
      <c r="B160" s="853"/>
      <c r="C160" s="853"/>
      <c r="D160" s="853"/>
      <c r="E160" s="853"/>
      <c r="F160" s="853"/>
      <c r="G160" s="853"/>
      <c r="H160" s="853"/>
      <c r="I160" s="853"/>
      <c r="J160" s="853"/>
      <c r="K160" s="853"/>
      <c r="L160" s="853"/>
      <c r="M160" s="853"/>
      <c r="N160" s="853"/>
      <c r="O160" s="853"/>
      <c r="P160" s="853"/>
      <c r="Q160" s="853"/>
      <c r="R160" s="853"/>
      <c r="S160" s="853"/>
      <c r="T160" s="1181"/>
      <c r="U160" s="1181"/>
      <c r="V160" s="1181"/>
      <c r="W160" s="1181"/>
      <c r="X160" s="1181"/>
      <c r="Y160" s="1181"/>
      <c r="Z160" s="1181"/>
      <c r="AA160" s="1181"/>
      <c r="AB160" s="1182"/>
      <c r="AC160" s="1181"/>
      <c r="AD160" s="1183"/>
      <c r="AE160" s="1184"/>
      <c r="AF160" s="1181"/>
      <c r="AG160" s="1181"/>
      <c r="AH160" s="853"/>
      <c r="AI160" s="853"/>
      <c r="AJ160" s="853"/>
      <c r="AK160" s="853"/>
      <c r="AL160" s="1181"/>
      <c r="AM160" s="1181"/>
      <c r="AN160" s="853"/>
      <c r="AO160" s="853"/>
      <c r="AP160" s="853"/>
      <c r="AQ160" s="853"/>
      <c r="AR160" s="853"/>
      <c r="AS160" s="853"/>
      <c r="AT160" s="853"/>
      <c r="AU160" s="853"/>
      <c r="AV160" s="1185"/>
      <c r="AW160" s="853"/>
      <c r="AX160" s="853"/>
      <c r="AY160" s="853"/>
      <c r="AZ160" s="853"/>
      <c r="BA160" s="853"/>
      <c r="BB160" s="853"/>
      <c r="BC160" s="853"/>
      <c r="BD160" s="853"/>
      <c r="BE160" s="853"/>
      <c r="BF160" s="853"/>
      <c r="BG160" s="853"/>
      <c r="BH160" s="853"/>
      <c r="BI160" s="853"/>
      <c r="BJ160" s="853"/>
      <c r="BK160" s="853"/>
      <c r="BL160" s="853"/>
      <c r="BM160" s="853"/>
      <c r="BN160" s="853"/>
      <c r="BO160" s="853"/>
      <c r="BP160" s="853"/>
    </row>
    <row r="161" ht="11.25" customHeight="1">
      <c r="A161" s="853"/>
      <c r="B161" s="853"/>
      <c r="C161" s="853"/>
      <c r="D161" s="853"/>
      <c r="E161" s="853"/>
      <c r="F161" s="853"/>
      <c r="G161" s="853"/>
      <c r="H161" s="853"/>
      <c r="I161" s="853"/>
      <c r="J161" s="853"/>
      <c r="K161" s="853"/>
      <c r="L161" s="853"/>
      <c r="M161" s="853"/>
      <c r="N161" s="853"/>
      <c r="O161" s="853"/>
      <c r="P161" s="853"/>
      <c r="Q161" s="853"/>
      <c r="R161" s="853"/>
      <c r="S161" s="853"/>
      <c r="T161" s="1181"/>
      <c r="U161" s="1181"/>
      <c r="V161" s="1181"/>
      <c r="W161" s="1181"/>
      <c r="X161" s="1181"/>
      <c r="Y161" s="1181"/>
      <c r="Z161" s="1181"/>
      <c r="AA161" s="1181"/>
      <c r="AB161" s="1182"/>
      <c r="AC161" s="1181"/>
      <c r="AD161" s="1183"/>
      <c r="AE161" s="1184"/>
      <c r="AF161" s="1181"/>
      <c r="AG161" s="1181"/>
      <c r="AH161" s="853"/>
      <c r="AI161" s="853"/>
      <c r="AJ161" s="853"/>
      <c r="AK161" s="853"/>
      <c r="AL161" s="1181"/>
      <c r="AM161" s="1181"/>
      <c r="AN161" s="853"/>
      <c r="AO161" s="853"/>
      <c r="AP161" s="853"/>
      <c r="AQ161" s="853"/>
      <c r="AR161" s="853"/>
      <c r="AS161" s="853"/>
      <c r="AT161" s="853"/>
      <c r="AU161" s="853"/>
      <c r="AV161" s="1185"/>
      <c r="AW161" s="853"/>
      <c r="AX161" s="853"/>
      <c r="AY161" s="853"/>
      <c r="AZ161" s="853"/>
      <c r="BA161" s="853"/>
      <c r="BB161" s="853"/>
      <c r="BC161" s="853"/>
      <c r="BD161" s="853"/>
      <c r="BE161" s="853"/>
      <c r="BF161" s="853"/>
      <c r="BG161" s="853"/>
      <c r="BH161" s="853"/>
      <c r="BI161" s="853"/>
      <c r="BJ161" s="853"/>
      <c r="BK161" s="853"/>
      <c r="BL161" s="853"/>
      <c r="BM161" s="853"/>
      <c r="BN161" s="853"/>
      <c r="BO161" s="853"/>
      <c r="BP161" s="853"/>
    </row>
    <row r="162" ht="11.25" customHeight="1">
      <c r="A162" s="853"/>
      <c r="B162" s="853"/>
      <c r="C162" s="853"/>
      <c r="D162" s="853"/>
      <c r="E162" s="853"/>
      <c r="F162" s="853"/>
      <c r="G162" s="853"/>
      <c r="H162" s="853"/>
      <c r="I162" s="853"/>
      <c r="J162" s="853"/>
      <c r="K162" s="853"/>
      <c r="L162" s="853"/>
      <c r="M162" s="853"/>
      <c r="N162" s="853"/>
      <c r="O162" s="853"/>
      <c r="P162" s="853"/>
      <c r="Q162" s="853"/>
      <c r="R162" s="853"/>
      <c r="S162" s="853"/>
      <c r="T162" s="1181"/>
      <c r="U162" s="1181"/>
      <c r="V162" s="1181"/>
      <c r="W162" s="1181"/>
      <c r="X162" s="1181"/>
      <c r="Y162" s="1181"/>
      <c r="Z162" s="1181"/>
      <c r="AA162" s="1181"/>
      <c r="AB162" s="1182"/>
      <c r="AC162" s="1181"/>
      <c r="AD162" s="1183"/>
      <c r="AE162" s="1184"/>
      <c r="AF162" s="1181"/>
      <c r="AG162" s="1181"/>
      <c r="AH162" s="853"/>
      <c r="AI162" s="853"/>
      <c r="AJ162" s="853"/>
      <c r="AK162" s="853"/>
      <c r="AL162" s="1181"/>
      <c r="AM162" s="1181"/>
      <c r="AN162" s="853"/>
      <c r="AO162" s="853"/>
      <c r="AP162" s="853"/>
      <c r="AQ162" s="853"/>
      <c r="AR162" s="853"/>
      <c r="AS162" s="853"/>
      <c r="AT162" s="853"/>
      <c r="AU162" s="853"/>
      <c r="AV162" s="1185"/>
      <c r="AW162" s="853"/>
      <c r="AX162" s="853"/>
      <c r="AY162" s="853"/>
      <c r="AZ162" s="853"/>
      <c r="BA162" s="853"/>
      <c r="BB162" s="853"/>
      <c r="BC162" s="853"/>
      <c r="BD162" s="853"/>
      <c r="BE162" s="853"/>
      <c r="BF162" s="853"/>
      <c r="BG162" s="853"/>
      <c r="BH162" s="853"/>
      <c r="BI162" s="853"/>
      <c r="BJ162" s="853"/>
      <c r="BK162" s="853"/>
      <c r="BL162" s="853"/>
      <c r="BM162" s="853"/>
      <c r="BN162" s="853"/>
      <c r="BO162" s="853"/>
      <c r="BP162" s="853"/>
    </row>
    <row r="163" ht="11.25" customHeight="1">
      <c r="A163" s="853"/>
      <c r="B163" s="853"/>
      <c r="C163" s="853"/>
      <c r="D163" s="853"/>
      <c r="E163" s="853"/>
      <c r="F163" s="853"/>
      <c r="G163" s="853"/>
      <c r="H163" s="853"/>
      <c r="I163" s="853"/>
      <c r="J163" s="853"/>
      <c r="K163" s="853"/>
      <c r="L163" s="853"/>
      <c r="M163" s="853"/>
      <c r="N163" s="853"/>
      <c r="O163" s="853"/>
      <c r="P163" s="853"/>
      <c r="Q163" s="853"/>
      <c r="R163" s="853"/>
      <c r="S163" s="853"/>
      <c r="T163" s="1181"/>
      <c r="U163" s="1181"/>
      <c r="V163" s="1181"/>
      <c r="W163" s="1181"/>
      <c r="X163" s="1181"/>
      <c r="Y163" s="1181"/>
      <c r="Z163" s="1181"/>
      <c r="AA163" s="1181"/>
      <c r="AB163" s="1182"/>
      <c r="AC163" s="1181"/>
      <c r="AD163" s="1183"/>
      <c r="AE163" s="1184"/>
      <c r="AF163" s="1181"/>
      <c r="AG163" s="1181"/>
      <c r="AH163" s="853"/>
      <c r="AI163" s="853"/>
      <c r="AJ163" s="853"/>
      <c r="AK163" s="853"/>
      <c r="AL163" s="1181"/>
      <c r="AM163" s="1181"/>
      <c r="AN163" s="853"/>
      <c r="AO163" s="853"/>
      <c r="AP163" s="853"/>
      <c r="AQ163" s="853"/>
      <c r="AR163" s="853"/>
      <c r="AS163" s="853"/>
      <c r="AT163" s="853"/>
      <c r="AU163" s="853"/>
      <c r="AV163" s="1185"/>
      <c r="AW163" s="853"/>
      <c r="AX163" s="853"/>
      <c r="AY163" s="853"/>
      <c r="AZ163" s="853"/>
      <c r="BA163" s="853"/>
      <c r="BB163" s="853"/>
      <c r="BC163" s="853"/>
      <c r="BD163" s="853"/>
      <c r="BE163" s="853"/>
      <c r="BF163" s="853"/>
      <c r="BG163" s="853"/>
      <c r="BH163" s="853"/>
      <c r="BI163" s="853"/>
      <c r="BJ163" s="853"/>
      <c r="BK163" s="853"/>
      <c r="BL163" s="853"/>
      <c r="BM163" s="853"/>
      <c r="BN163" s="853"/>
      <c r="BO163" s="853"/>
      <c r="BP163" s="853"/>
    </row>
    <row r="164" ht="11.25" customHeight="1">
      <c r="A164" s="853"/>
      <c r="B164" s="853"/>
      <c r="C164" s="853"/>
      <c r="D164" s="853"/>
      <c r="E164" s="853"/>
      <c r="F164" s="853"/>
      <c r="G164" s="853"/>
      <c r="H164" s="853"/>
      <c r="I164" s="853"/>
      <c r="J164" s="853"/>
      <c r="K164" s="853"/>
      <c r="L164" s="853"/>
      <c r="M164" s="853"/>
      <c r="N164" s="853"/>
      <c r="O164" s="853"/>
      <c r="P164" s="853"/>
      <c r="Q164" s="853"/>
      <c r="R164" s="853"/>
      <c r="S164" s="853"/>
      <c r="T164" s="1181"/>
      <c r="U164" s="1181"/>
      <c r="V164" s="1181"/>
      <c r="W164" s="1181"/>
      <c r="X164" s="1181"/>
      <c r="Y164" s="1181"/>
      <c r="Z164" s="1181"/>
      <c r="AA164" s="1181"/>
      <c r="AB164" s="1182"/>
      <c r="AC164" s="1181"/>
      <c r="AD164" s="1183"/>
      <c r="AE164" s="1184"/>
      <c r="AF164" s="1181"/>
      <c r="AG164" s="1181"/>
      <c r="AH164" s="853"/>
      <c r="AI164" s="853"/>
      <c r="AJ164" s="853"/>
      <c r="AK164" s="853"/>
      <c r="AL164" s="1181"/>
      <c r="AM164" s="1181"/>
      <c r="AN164" s="853"/>
      <c r="AO164" s="853"/>
      <c r="AP164" s="853"/>
      <c r="AQ164" s="853"/>
      <c r="AR164" s="853"/>
      <c r="AS164" s="853"/>
      <c r="AT164" s="853"/>
      <c r="AU164" s="853"/>
      <c r="AV164" s="1185"/>
      <c r="AW164" s="853"/>
      <c r="AX164" s="853"/>
      <c r="AY164" s="853"/>
      <c r="AZ164" s="853"/>
      <c r="BA164" s="853"/>
      <c r="BB164" s="853"/>
      <c r="BC164" s="853"/>
      <c r="BD164" s="853"/>
      <c r="BE164" s="853"/>
      <c r="BF164" s="853"/>
      <c r="BG164" s="853"/>
      <c r="BH164" s="853"/>
      <c r="BI164" s="853"/>
      <c r="BJ164" s="853"/>
      <c r="BK164" s="853"/>
      <c r="BL164" s="853"/>
      <c r="BM164" s="853"/>
      <c r="BN164" s="853"/>
      <c r="BO164" s="853"/>
      <c r="BP164" s="853"/>
    </row>
    <row r="165" ht="11.25" customHeight="1">
      <c r="A165" s="853"/>
      <c r="B165" s="853"/>
      <c r="C165" s="853"/>
      <c r="D165" s="853"/>
      <c r="E165" s="853"/>
      <c r="F165" s="853"/>
      <c r="G165" s="853"/>
      <c r="H165" s="853"/>
      <c r="I165" s="853"/>
      <c r="J165" s="853"/>
      <c r="K165" s="853"/>
      <c r="L165" s="853"/>
      <c r="M165" s="853"/>
      <c r="N165" s="853"/>
      <c r="O165" s="853"/>
      <c r="P165" s="853"/>
      <c r="Q165" s="853"/>
      <c r="R165" s="853"/>
      <c r="S165" s="853"/>
      <c r="T165" s="1181"/>
      <c r="U165" s="1181"/>
      <c r="V165" s="1181"/>
      <c r="W165" s="1181"/>
      <c r="X165" s="1181"/>
      <c r="Y165" s="1181"/>
      <c r="Z165" s="1181"/>
      <c r="AA165" s="1181"/>
      <c r="AB165" s="1182"/>
      <c r="AC165" s="1181"/>
      <c r="AD165" s="1183"/>
      <c r="AE165" s="1184"/>
      <c r="AF165" s="1181"/>
      <c r="AG165" s="1181"/>
      <c r="AH165" s="853"/>
      <c r="AI165" s="853"/>
      <c r="AJ165" s="853"/>
      <c r="AK165" s="853"/>
      <c r="AL165" s="1181"/>
      <c r="AM165" s="1181"/>
      <c r="AN165" s="853"/>
      <c r="AO165" s="853"/>
      <c r="AP165" s="853"/>
      <c r="AQ165" s="853"/>
      <c r="AR165" s="853"/>
      <c r="AS165" s="853"/>
      <c r="AT165" s="853"/>
      <c r="AU165" s="853"/>
      <c r="AV165" s="1185"/>
      <c r="AW165" s="853"/>
      <c r="AX165" s="853"/>
      <c r="AY165" s="853"/>
      <c r="AZ165" s="853"/>
      <c r="BA165" s="853"/>
      <c r="BB165" s="853"/>
      <c r="BC165" s="853"/>
      <c r="BD165" s="853"/>
      <c r="BE165" s="853"/>
      <c r="BF165" s="853"/>
      <c r="BG165" s="853"/>
      <c r="BH165" s="853"/>
      <c r="BI165" s="853"/>
      <c r="BJ165" s="853"/>
      <c r="BK165" s="853"/>
      <c r="BL165" s="853"/>
      <c r="BM165" s="853"/>
      <c r="BN165" s="853"/>
      <c r="BO165" s="853"/>
      <c r="BP165" s="853"/>
    </row>
    <row r="166" ht="11.25" customHeight="1">
      <c r="A166" s="853"/>
      <c r="B166" s="853"/>
      <c r="C166" s="853"/>
      <c r="D166" s="853"/>
      <c r="E166" s="853"/>
      <c r="F166" s="853"/>
      <c r="G166" s="853"/>
      <c r="H166" s="853"/>
      <c r="I166" s="853"/>
      <c r="J166" s="853"/>
      <c r="K166" s="853"/>
      <c r="L166" s="853"/>
      <c r="M166" s="853"/>
      <c r="N166" s="853"/>
      <c r="O166" s="853"/>
      <c r="P166" s="853"/>
      <c r="Q166" s="853"/>
      <c r="R166" s="853"/>
      <c r="S166" s="853"/>
      <c r="T166" s="1181"/>
      <c r="U166" s="1181"/>
      <c r="V166" s="1181"/>
      <c r="W166" s="1181"/>
      <c r="X166" s="1181"/>
      <c r="Y166" s="1181"/>
      <c r="Z166" s="1181"/>
      <c r="AA166" s="1181"/>
      <c r="AB166" s="1182"/>
      <c r="AC166" s="1181"/>
      <c r="AD166" s="1183"/>
      <c r="AE166" s="1184"/>
      <c r="AF166" s="1181"/>
      <c r="AG166" s="1181"/>
      <c r="AH166" s="853"/>
      <c r="AI166" s="853"/>
      <c r="AJ166" s="853"/>
      <c r="AK166" s="853"/>
      <c r="AL166" s="1181"/>
      <c r="AM166" s="1181"/>
      <c r="AN166" s="853"/>
      <c r="AO166" s="853"/>
      <c r="AP166" s="853"/>
      <c r="AQ166" s="853"/>
      <c r="AR166" s="853"/>
      <c r="AS166" s="853"/>
      <c r="AT166" s="853"/>
      <c r="AU166" s="853"/>
      <c r="AV166" s="1185"/>
      <c r="AW166" s="853"/>
      <c r="AX166" s="853"/>
      <c r="AY166" s="853"/>
      <c r="AZ166" s="853"/>
      <c r="BA166" s="853"/>
      <c r="BB166" s="853"/>
      <c r="BC166" s="853"/>
      <c r="BD166" s="853"/>
      <c r="BE166" s="853"/>
      <c r="BF166" s="853"/>
      <c r="BG166" s="853"/>
      <c r="BH166" s="853"/>
      <c r="BI166" s="853"/>
      <c r="BJ166" s="853"/>
      <c r="BK166" s="853"/>
      <c r="BL166" s="853"/>
      <c r="BM166" s="853"/>
      <c r="BN166" s="853"/>
      <c r="BO166" s="853"/>
      <c r="BP166" s="853"/>
    </row>
    <row r="167" ht="11.25" customHeight="1">
      <c r="A167" s="853"/>
      <c r="B167" s="853"/>
      <c r="C167" s="853"/>
      <c r="D167" s="853"/>
      <c r="E167" s="853"/>
      <c r="F167" s="853"/>
      <c r="G167" s="853"/>
      <c r="H167" s="853"/>
      <c r="I167" s="853"/>
      <c r="J167" s="853"/>
      <c r="K167" s="853"/>
      <c r="L167" s="853"/>
      <c r="M167" s="853"/>
      <c r="N167" s="853"/>
      <c r="O167" s="853"/>
      <c r="P167" s="853"/>
      <c r="Q167" s="853"/>
      <c r="R167" s="853"/>
      <c r="S167" s="853"/>
      <c r="T167" s="1181"/>
      <c r="U167" s="1181"/>
      <c r="V167" s="1181"/>
      <c r="W167" s="1181"/>
      <c r="X167" s="1181"/>
      <c r="Y167" s="1181"/>
      <c r="Z167" s="1181"/>
      <c r="AA167" s="1181"/>
      <c r="AB167" s="1182"/>
      <c r="AC167" s="1181"/>
      <c r="AD167" s="1183"/>
      <c r="AE167" s="1184"/>
      <c r="AF167" s="1181"/>
      <c r="AG167" s="1181"/>
      <c r="AH167" s="853"/>
      <c r="AI167" s="853"/>
      <c r="AJ167" s="853"/>
      <c r="AK167" s="853"/>
      <c r="AL167" s="1181"/>
      <c r="AM167" s="1181"/>
      <c r="AN167" s="853"/>
      <c r="AO167" s="853"/>
      <c r="AP167" s="853"/>
      <c r="AQ167" s="853"/>
      <c r="AR167" s="853"/>
      <c r="AS167" s="853"/>
      <c r="AT167" s="853"/>
      <c r="AU167" s="853"/>
      <c r="AV167" s="1185"/>
      <c r="AW167" s="853"/>
      <c r="AX167" s="853"/>
      <c r="AY167" s="853"/>
      <c r="AZ167" s="853"/>
      <c r="BA167" s="853"/>
      <c r="BB167" s="853"/>
      <c r="BC167" s="853"/>
      <c r="BD167" s="853"/>
      <c r="BE167" s="853"/>
      <c r="BF167" s="853"/>
      <c r="BG167" s="853"/>
      <c r="BH167" s="853"/>
      <c r="BI167" s="853"/>
      <c r="BJ167" s="853"/>
      <c r="BK167" s="853"/>
      <c r="BL167" s="853"/>
      <c r="BM167" s="853"/>
      <c r="BN167" s="853"/>
      <c r="BO167" s="853"/>
      <c r="BP167" s="853"/>
    </row>
    <row r="168" ht="11.25" customHeight="1">
      <c r="A168" s="853"/>
      <c r="B168" s="853"/>
      <c r="C168" s="853"/>
      <c r="D168" s="853"/>
      <c r="E168" s="853"/>
      <c r="F168" s="853"/>
      <c r="G168" s="853"/>
      <c r="H168" s="853"/>
      <c r="I168" s="853"/>
      <c r="J168" s="853"/>
      <c r="K168" s="853"/>
      <c r="L168" s="853"/>
      <c r="M168" s="853"/>
      <c r="N168" s="853"/>
      <c r="O168" s="853"/>
      <c r="P168" s="853"/>
      <c r="Q168" s="853"/>
      <c r="R168" s="853"/>
      <c r="S168" s="853"/>
      <c r="T168" s="1181"/>
      <c r="U168" s="1181"/>
      <c r="V168" s="1181"/>
      <c r="W168" s="1181"/>
      <c r="X168" s="1181"/>
      <c r="Y168" s="1181"/>
      <c r="Z168" s="1181"/>
      <c r="AA168" s="1181"/>
      <c r="AB168" s="1182"/>
      <c r="AC168" s="1181"/>
      <c r="AD168" s="1183"/>
      <c r="AE168" s="1184"/>
      <c r="AF168" s="1181"/>
      <c r="AG168" s="1181"/>
      <c r="AH168" s="853"/>
      <c r="AI168" s="853"/>
      <c r="AJ168" s="853"/>
      <c r="AK168" s="853"/>
      <c r="AL168" s="1181"/>
      <c r="AM168" s="1181"/>
      <c r="AN168" s="853"/>
      <c r="AO168" s="853"/>
      <c r="AP168" s="853"/>
      <c r="AQ168" s="853"/>
      <c r="AR168" s="853"/>
      <c r="AS168" s="853"/>
      <c r="AT168" s="853"/>
      <c r="AU168" s="853"/>
      <c r="AV168" s="1185"/>
      <c r="AW168" s="853"/>
      <c r="AX168" s="853"/>
      <c r="AY168" s="853"/>
      <c r="AZ168" s="853"/>
      <c r="BA168" s="853"/>
      <c r="BB168" s="853"/>
      <c r="BC168" s="853"/>
      <c r="BD168" s="853"/>
      <c r="BE168" s="853"/>
      <c r="BF168" s="853"/>
      <c r="BG168" s="853"/>
      <c r="BH168" s="853"/>
      <c r="BI168" s="853"/>
      <c r="BJ168" s="853"/>
      <c r="BK168" s="853"/>
      <c r="BL168" s="853"/>
      <c r="BM168" s="853"/>
      <c r="BN168" s="853"/>
      <c r="BO168" s="853"/>
      <c r="BP168" s="853"/>
    </row>
    <row r="169" ht="11.25" customHeight="1">
      <c r="A169" s="853"/>
      <c r="B169" s="853"/>
      <c r="C169" s="853"/>
      <c r="D169" s="853"/>
      <c r="E169" s="853"/>
      <c r="F169" s="853"/>
      <c r="G169" s="853"/>
      <c r="H169" s="853"/>
      <c r="I169" s="853"/>
      <c r="J169" s="853"/>
      <c r="K169" s="853"/>
      <c r="L169" s="853"/>
      <c r="M169" s="853"/>
      <c r="N169" s="853"/>
      <c r="O169" s="853"/>
      <c r="P169" s="853"/>
      <c r="Q169" s="853"/>
      <c r="R169" s="853"/>
      <c r="S169" s="853"/>
      <c r="T169" s="1181"/>
      <c r="U169" s="1181"/>
      <c r="V169" s="1181"/>
      <c r="W169" s="1181"/>
      <c r="X169" s="1181"/>
      <c r="Y169" s="1181"/>
      <c r="Z169" s="1181"/>
      <c r="AA169" s="1181"/>
      <c r="AB169" s="1182"/>
      <c r="AC169" s="1181"/>
      <c r="AD169" s="1183"/>
      <c r="AE169" s="1184"/>
      <c r="AF169" s="1181"/>
      <c r="AG169" s="1181"/>
      <c r="AH169" s="853"/>
      <c r="AI169" s="853"/>
      <c r="AJ169" s="853"/>
      <c r="AK169" s="853"/>
      <c r="AL169" s="1181"/>
      <c r="AM169" s="1181"/>
      <c r="AN169" s="853"/>
      <c r="AO169" s="853"/>
      <c r="AP169" s="853"/>
      <c r="AQ169" s="853"/>
      <c r="AR169" s="853"/>
      <c r="AS169" s="853"/>
      <c r="AT169" s="853"/>
      <c r="AU169" s="853"/>
      <c r="AV169" s="1185"/>
      <c r="AW169" s="853"/>
      <c r="AX169" s="853"/>
      <c r="AY169" s="853"/>
      <c r="AZ169" s="853"/>
      <c r="BA169" s="853"/>
      <c r="BB169" s="853"/>
      <c r="BC169" s="853"/>
      <c r="BD169" s="853"/>
      <c r="BE169" s="853"/>
      <c r="BF169" s="853"/>
      <c r="BG169" s="853"/>
      <c r="BH169" s="853"/>
      <c r="BI169" s="853"/>
      <c r="BJ169" s="853"/>
      <c r="BK169" s="853"/>
      <c r="BL169" s="853"/>
      <c r="BM169" s="853"/>
      <c r="BN169" s="853"/>
      <c r="BO169" s="853"/>
      <c r="BP169" s="853"/>
    </row>
    <row r="170" ht="11.25" customHeight="1">
      <c r="A170" s="853"/>
      <c r="B170" s="853"/>
      <c r="C170" s="853"/>
      <c r="D170" s="853"/>
      <c r="E170" s="853"/>
      <c r="F170" s="853"/>
      <c r="G170" s="853"/>
      <c r="H170" s="853"/>
      <c r="I170" s="853"/>
      <c r="J170" s="853"/>
      <c r="K170" s="853"/>
      <c r="L170" s="853"/>
      <c r="M170" s="853"/>
      <c r="N170" s="853"/>
      <c r="O170" s="853"/>
      <c r="P170" s="853"/>
      <c r="Q170" s="853"/>
      <c r="R170" s="853"/>
      <c r="S170" s="853"/>
      <c r="T170" s="1181"/>
      <c r="U170" s="1181"/>
      <c r="V170" s="1181"/>
      <c r="W170" s="1181"/>
      <c r="X170" s="1181"/>
      <c r="Y170" s="1181"/>
      <c r="Z170" s="1181"/>
      <c r="AA170" s="1181"/>
      <c r="AB170" s="1182"/>
      <c r="AC170" s="1181"/>
      <c r="AD170" s="1183"/>
      <c r="AE170" s="1184"/>
      <c r="AF170" s="1181"/>
      <c r="AG170" s="1181"/>
      <c r="AH170" s="853"/>
      <c r="AI170" s="853"/>
      <c r="AJ170" s="853"/>
      <c r="AK170" s="853"/>
      <c r="AL170" s="1181"/>
      <c r="AM170" s="1181"/>
      <c r="AN170" s="853"/>
      <c r="AO170" s="853"/>
      <c r="AP170" s="853"/>
      <c r="AQ170" s="853"/>
      <c r="AR170" s="853"/>
      <c r="AS170" s="853"/>
      <c r="AT170" s="853"/>
      <c r="AU170" s="853"/>
      <c r="AV170" s="1185"/>
      <c r="AW170" s="853"/>
      <c r="AX170" s="853"/>
      <c r="AY170" s="853"/>
      <c r="AZ170" s="853"/>
      <c r="BA170" s="853"/>
      <c r="BB170" s="853"/>
      <c r="BC170" s="853"/>
      <c r="BD170" s="853"/>
      <c r="BE170" s="853"/>
      <c r="BF170" s="853"/>
      <c r="BG170" s="853"/>
      <c r="BH170" s="853"/>
      <c r="BI170" s="853"/>
      <c r="BJ170" s="853"/>
      <c r="BK170" s="853"/>
      <c r="BL170" s="853"/>
      <c r="BM170" s="853"/>
      <c r="BN170" s="853"/>
      <c r="BO170" s="853"/>
      <c r="BP170" s="853"/>
    </row>
    <row r="171" ht="11.25" customHeight="1">
      <c r="A171" s="853"/>
      <c r="B171" s="853"/>
      <c r="C171" s="853"/>
      <c r="D171" s="853"/>
      <c r="E171" s="853"/>
      <c r="F171" s="853"/>
      <c r="G171" s="853"/>
      <c r="H171" s="853"/>
      <c r="I171" s="853"/>
      <c r="J171" s="853"/>
      <c r="K171" s="853"/>
      <c r="L171" s="853"/>
      <c r="M171" s="853"/>
      <c r="N171" s="853"/>
      <c r="O171" s="853"/>
      <c r="P171" s="853"/>
      <c r="Q171" s="853"/>
      <c r="R171" s="853"/>
      <c r="S171" s="853"/>
      <c r="T171" s="1181"/>
      <c r="U171" s="1181"/>
      <c r="V171" s="1181"/>
      <c r="W171" s="1181"/>
      <c r="X171" s="1181"/>
      <c r="Y171" s="1181"/>
      <c r="Z171" s="1181"/>
      <c r="AA171" s="1181"/>
      <c r="AB171" s="1182"/>
      <c r="AC171" s="1181"/>
      <c r="AD171" s="1183"/>
      <c r="AE171" s="1184"/>
      <c r="AF171" s="1181"/>
      <c r="AG171" s="1181"/>
      <c r="AH171" s="853"/>
      <c r="AI171" s="853"/>
      <c r="AJ171" s="853"/>
      <c r="AK171" s="853"/>
      <c r="AL171" s="1181"/>
      <c r="AM171" s="1181"/>
      <c r="AN171" s="853"/>
      <c r="AO171" s="853"/>
      <c r="AP171" s="853"/>
      <c r="AQ171" s="853"/>
      <c r="AR171" s="853"/>
      <c r="AS171" s="853"/>
      <c r="AT171" s="853"/>
      <c r="AU171" s="853"/>
      <c r="AV171" s="1185"/>
      <c r="AW171" s="853"/>
      <c r="AX171" s="853"/>
      <c r="AY171" s="853"/>
      <c r="AZ171" s="853"/>
      <c r="BA171" s="853"/>
      <c r="BB171" s="853"/>
      <c r="BC171" s="853"/>
      <c r="BD171" s="853"/>
      <c r="BE171" s="853"/>
      <c r="BF171" s="853"/>
      <c r="BG171" s="853"/>
      <c r="BH171" s="853"/>
      <c r="BI171" s="853"/>
      <c r="BJ171" s="853"/>
      <c r="BK171" s="853"/>
      <c r="BL171" s="853"/>
      <c r="BM171" s="853"/>
      <c r="BN171" s="853"/>
      <c r="BO171" s="853"/>
      <c r="BP171" s="853"/>
    </row>
    <row r="172" ht="11.25" customHeight="1">
      <c r="A172" s="853"/>
      <c r="B172" s="853"/>
      <c r="C172" s="853"/>
      <c r="D172" s="853"/>
      <c r="E172" s="853"/>
      <c r="F172" s="853"/>
      <c r="G172" s="853"/>
      <c r="H172" s="853"/>
      <c r="I172" s="853"/>
      <c r="J172" s="853"/>
      <c r="K172" s="853"/>
      <c r="L172" s="853"/>
      <c r="M172" s="853"/>
      <c r="N172" s="853"/>
      <c r="O172" s="853"/>
      <c r="P172" s="853"/>
      <c r="Q172" s="853"/>
      <c r="R172" s="853"/>
      <c r="S172" s="853"/>
      <c r="T172" s="1181"/>
      <c r="U172" s="1181"/>
      <c r="V172" s="1181"/>
      <c r="W172" s="1181"/>
      <c r="X172" s="1181"/>
      <c r="Y172" s="1181"/>
      <c r="Z172" s="1181"/>
      <c r="AA172" s="1181"/>
      <c r="AB172" s="1182"/>
      <c r="AC172" s="1181"/>
      <c r="AD172" s="1183"/>
      <c r="AE172" s="1184"/>
      <c r="AF172" s="1181"/>
      <c r="AG172" s="1181"/>
      <c r="AH172" s="853"/>
      <c r="AI172" s="853"/>
      <c r="AJ172" s="853"/>
      <c r="AK172" s="853"/>
      <c r="AL172" s="1181"/>
      <c r="AM172" s="1181"/>
      <c r="AN172" s="853"/>
      <c r="AO172" s="853"/>
      <c r="AP172" s="853"/>
      <c r="AQ172" s="853"/>
      <c r="AR172" s="853"/>
      <c r="AS172" s="853"/>
      <c r="AT172" s="853"/>
      <c r="AU172" s="853"/>
      <c r="AV172" s="1185"/>
      <c r="AW172" s="853"/>
      <c r="AX172" s="853"/>
      <c r="AY172" s="853"/>
      <c r="AZ172" s="853"/>
      <c r="BA172" s="853"/>
      <c r="BB172" s="853"/>
      <c r="BC172" s="853"/>
      <c r="BD172" s="853"/>
      <c r="BE172" s="853"/>
      <c r="BF172" s="853"/>
      <c r="BG172" s="853"/>
      <c r="BH172" s="853"/>
      <c r="BI172" s="853"/>
      <c r="BJ172" s="853"/>
      <c r="BK172" s="853"/>
      <c r="BL172" s="853"/>
      <c r="BM172" s="853"/>
      <c r="BN172" s="853"/>
      <c r="BO172" s="853"/>
      <c r="BP172" s="853"/>
    </row>
    <row r="173" ht="11.25" customHeight="1">
      <c r="A173" s="853"/>
      <c r="B173" s="853"/>
      <c r="C173" s="853"/>
      <c r="D173" s="853"/>
      <c r="E173" s="853"/>
      <c r="F173" s="853"/>
      <c r="G173" s="853"/>
      <c r="H173" s="853"/>
      <c r="I173" s="853"/>
      <c r="J173" s="853"/>
      <c r="K173" s="853"/>
      <c r="L173" s="853"/>
      <c r="M173" s="853"/>
      <c r="N173" s="853"/>
      <c r="O173" s="853"/>
      <c r="P173" s="853"/>
      <c r="Q173" s="853"/>
      <c r="R173" s="853"/>
      <c r="S173" s="853"/>
      <c r="T173" s="1181"/>
      <c r="U173" s="1181"/>
      <c r="V173" s="1181"/>
      <c r="W173" s="1181"/>
      <c r="X173" s="1181"/>
      <c r="Y173" s="1181"/>
      <c r="Z173" s="1181"/>
      <c r="AA173" s="1181"/>
      <c r="AB173" s="1182"/>
      <c r="AC173" s="1181"/>
      <c r="AD173" s="1183"/>
      <c r="AE173" s="1184"/>
      <c r="AF173" s="1181"/>
      <c r="AG173" s="1181"/>
      <c r="AH173" s="853"/>
      <c r="AI173" s="853"/>
      <c r="AJ173" s="853"/>
      <c r="AK173" s="853"/>
      <c r="AL173" s="1181"/>
      <c r="AM173" s="1181"/>
      <c r="AN173" s="853"/>
      <c r="AO173" s="853"/>
      <c r="AP173" s="853"/>
      <c r="AQ173" s="853"/>
      <c r="AR173" s="853"/>
      <c r="AS173" s="853"/>
      <c r="AT173" s="853"/>
      <c r="AU173" s="853"/>
      <c r="AV173" s="1185"/>
      <c r="AW173" s="853"/>
      <c r="AX173" s="853"/>
      <c r="AY173" s="853"/>
      <c r="AZ173" s="853"/>
      <c r="BA173" s="853"/>
      <c r="BB173" s="853"/>
      <c r="BC173" s="853"/>
      <c r="BD173" s="853"/>
      <c r="BE173" s="853"/>
      <c r="BF173" s="853"/>
      <c r="BG173" s="853"/>
      <c r="BH173" s="853"/>
      <c r="BI173" s="853"/>
      <c r="BJ173" s="853"/>
      <c r="BK173" s="853"/>
      <c r="BL173" s="853"/>
      <c r="BM173" s="853"/>
      <c r="BN173" s="853"/>
      <c r="BO173" s="853"/>
      <c r="BP173" s="853"/>
    </row>
    <row r="174" ht="11.25" customHeight="1">
      <c r="A174" s="853"/>
      <c r="B174" s="853"/>
      <c r="C174" s="853"/>
      <c r="D174" s="853"/>
      <c r="E174" s="853"/>
      <c r="F174" s="853"/>
      <c r="G174" s="853"/>
      <c r="H174" s="853"/>
      <c r="I174" s="853"/>
      <c r="J174" s="853"/>
      <c r="K174" s="853"/>
      <c r="L174" s="853"/>
      <c r="M174" s="853"/>
      <c r="N174" s="853"/>
      <c r="O174" s="853"/>
      <c r="P174" s="853"/>
      <c r="Q174" s="853"/>
      <c r="R174" s="853"/>
      <c r="S174" s="853"/>
      <c r="T174" s="1181"/>
      <c r="U174" s="1181"/>
      <c r="V174" s="1181"/>
      <c r="W174" s="1181"/>
      <c r="X174" s="1181"/>
      <c r="Y174" s="1181"/>
      <c r="Z174" s="1181"/>
      <c r="AA174" s="1181"/>
      <c r="AB174" s="1182"/>
      <c r="AC174" s="1181"/>
      <c r="AD174" s="1183"/>
      <c r="AE174" s="1184"/>
      <c r="AF174" s="1181"/>
      <c r="AG174" s="1181"/>
      <c r="AH174" s="853"/>
      <c r="AI174" s="853"/>
      <c r="AJ174" s="853"/>
      <c r="AK174" s="853"/>
      <c r="AL174" s="1181"/>
      <c r="AM174" s="1181"/>
      <c r="AN174" s="853"/>
      <c r="AO174" s="853"/>
      <c r="AP174" s="853"/>
      <c r="AQ174" s="853"/>
      <c r="AR174" s="853"/>
      <c r="AS174" s="853"/>
      <c r="AT174" s="853"/>
      <c r="AU174" s="853"/>
      <c r="AV174" s="1185"/>
      <c r="AW174" s="853"/>
      <c r="AX174" s="853"/>
      <c r="AY174" s="853"/>
      <c r="AZ174" s="853"/>
      <c r="BA174" s="853"/>
      <c r="BB174" s="853"/>
      <c r="BC174" s="853"/>
      <c r="BD174" s="853"/>
      <c r="BE174" s="853"/>
      <c r="BF174" s="853"/>
      <c r="BG174" s="853"/>
      <c r="BH174" s="853"/>
      <c r="BI174" s="853"/>
      <c r="BJ174" s="853"/>
      <c r="BK174" s="853"/>
      <c r="BL174" s="853"/>
      <c r="BM174" s="853"/>
      <c r="BN174" s="853"/>
      <c r="BO174" s="853"/>
      <c r="BP174" s="853"/>
    </row>
    <row r="175" ht="11.25" customHeight="1">
      <c r="A175" s="853"/>
      <c r="B175" s="853"/>
      <c r="C175" s="853"/>
      <c r="D175" s="853"/>
      <c r="E175" s="853"/>
      <c r="F175" s="853"/>
      <c r="G175" s="853"/>
      <c r="H175" s="853"/>
      <c r="I175" s="853"/>
      <c r="J175" s="853"/>
      <c r="K175" s="853"/>
      <c r="L175" s="853"/>
      <c r="M175" s="853"/>
      <c r="N175" s="853"/>
      <c r="O175" s="853"/>
      <c r="P175" s="853"/>
      <c r="Q175" s="853"/>
      <c r="R175" s="853"/>
      <c r="S175" s="853"/>
      <c r="T175" s="1181"/>
      <c r="U175" s="1181"/>
      <c r="V175" s="1181"/>
      <c r="W175" s="1181"/>
      <c r="X175" s="1181"/>
      <c r="Y175" s="1181"/>
      <c r="Z175" s="1181"/>
      <c r="AA175" s="1181"/>
      <c r="AB175" s="1182"/>
      <c r="AC175" s="1181"/>
      <c r="AD175" s="1183"/>
      <c r="AE175" s="1184"/>
      <c r="AF175" s="1181"/>
      <c r="AG175" s="1181"/>
      <c r="AH175" s="853"/>
      <c r="AI175" s="853"/>
      <c r="AJ175" s="853"/>
      <c r="AK175" s="853"/>
      <c r="AL175" s="1181"/>
      <c r="AM175" s="1181"/>
      <c r="AN175" s="853"/>
      <c r="AO175" s="853"/>
      <c r="AP175" s="853"/>
      <c r="AQ175" s="853"/>
      <c r="AR175" s="853"/>
      <c r="AS175" s="853"/>
      <c r="AT175" s="853"/>
      <c r="AU175" s="853"/>
      <c r="AV175" s="1185"/>
      <c r="AW175" s="853"/>
      <c r="AX175" s="853"/>
      <c r="AY175" s="853"/>
      <c r="AZ175" s="853"/>
      <c r="BA175" s="853"/>
      <c r="BB175" s="853"/>
      <c r="BC175" s="853"/>
      <c r="BD175" s="853"/>
      <c r="BE175" s="853"/>
      <c r="BF175" s="853"/>
      <c r="BG175" s="853"/>
      <c r="BH175" s="853"/>
      <c r="BI175" s="853"/>
      <c r="BJ175" s="853"/>
      <c r="BK175" s="853"/>
      <c r="BL175" s="853"/>
      <c r="BM175" s="853"/>
      <c r="BN175" s="853"/>
      <c r="BO175" s="853"/>
      <c r="BP175" s="853"/>
    </row>
    <row r="176" ht="11.25" customHeight="1">
      <c r="A176" s="853"/>
      <c r="B176" s="853"/>
      <c r="C176" s="853"/>
      <c r="D176" s="853"/>
      <c r="E176" s="853"/>
      <c r="F176" s="853"/>
      <c r="G176" s="853"/>
      <c r="H176" s="853"/>
      <c r="I176" s="853"/>
      <c r="J176" s="853"/>
      <c r="K176" s="853"/>
      <c r="L176" s="853"/>
      <c r="M176" s="853"/>
      <c r="N176" s="853"/>
      <c r="O176" s="853"/>
      <c r="P176" s="853"/>
      <c r="Q176" s="853"/>
      <c r="R176" s="853"/>
      <c r="S176" s="853"/>
      <c r="T176" s="1181"/>
      <c r="U176" s="1181"/>
      <c r="V176" s="1181"/>
      <c r="W176" s="1181"/>
      <c r="X176" s="1181"/>
      <c r="Y176" s="1181"/>
      <c r="Z176" s="1181"/>
      <c r="AA176" s="1181"/>
      <c r="AB176" s="1182"/>
      <c r="AC176" s="1181"/>
      <c r="AD176" s="1183"/>
      <c r="AE176" s="1184"/>
      <c r="AF176" s="1181"/>
      <c r="AG176" s="1181"/>
      <c r="AH176" s="853"/>
      <c r="AI176" s="853"/>
      <c r="AJ176" s="853"/>
      <c r="AK176" s="853"/>
      <c r="AL176" s="1181"/>
      <c r="AM176" s="1181"/>
      <c r="AN176" s="853"/>
      <c r="AO176" s="853"/>
      <c r="AP176" s="853"/>
      <c r="AQ176" s="853"/>
      <c r="AR176" s="853"/>
      <c r="AS176" s="853"/>
      <c r="AT176" s="853"/>
      <c r="AU176" s="853"/>
      <c r="AV176" s="1185"/>
      <c r="AW176" s="853"/>
      <c r="AX176" s="853"/>
      <c r="AY176" s="853"/>
      <c r="AZ176" s="853"/>
      <c r="BA176" s="853"/>
      <c r="BB176" s="853"/>
      <c r="BC176" s="853"/>
      <c r="BD176" s="853"/>
      <c r="BE176" s="853"/>
      <c r="BF176" s="853"/>
      <c r="BG176" s="853"/>
      <c r="BH176" s="853"/>
      <c r="BI176" s="853"/>
      <c r="BJ176" s="853"/>
      <c r="BK176" s="853"/>
      <c r="BL176" s="853"/>
      <c r="BM176" s="853"/>
      <c r="BN176" s="853"/>
      <c r="BO176" s="853"/>
      <c r="BP176" s="853"/>
    </row>
    <row r="177" ht="11.25" customHeight="1">
      <c r="A177" s="853"/>
      <c r="B177" s="853"/>
      <c r="C177" s="853"/>
      <c r="D177" s="853"/>
      <c r="E177" s="853"/>
      <c r="F177" s="853"/>
      <c r="G177" s="853"/>
      <c r="H177" s="853"/>
      <c r="I177" s="853"/>
      <c r="J177" s="853"/>
      <c r="K177" s="853"/>
      <c r="L177" s="853"/>
      <c r="M177" s="853"/>
      <c r="N177" s="853"/>
      <c r="O177" s="853"/>
      <c r="P177" s="853"/>
      <c r="Q177" s="853"/>
      <c r="R177" s="853"/>
      <c r="S177" s="853"/>
      <c r="T177" s="1181"/>
      <c r="U177" s="1181"/>
      <c r="V177" s="1181"/>
      <c r="W177" s="1181"/>
      <c r="X177" s="1181"/>
      <c r="Y177" s="1181"/>
      <c r="Z177" s="1181"/>
      <c r="AA177" s="1181"/>
      <c r="AB177" s="1182"/>
      <c r="AC177" s="1181"/>
      <c r="AD177" s="1183"/>
      <c r="AE177" s="1184"/>
      <c r="AF177" s="1181"/>
      <c r="AG177" s="1181"/>
      <c r="AH177" s="853"/>
      <c r="AI177" s="853"/>
      <c r="AJ177" s="853"/>
      <c r="AK177" s="853"/>
      <c r="AL177" s="1181"/>
      <c r="AM177" s="1181"/>
      <c r="AN177" s="853"/>
      <c r="AO177" s="853"/>
      <c r="AP177" s="853"/>
      <c r="AQ177" s="853"/>
      <c r="AR177" s="853"/>
      <c r="AS177" s="853"/>
      <c r="AT177" s="853"/>
      <c r="AU177" s="853"/>
      <c r="AV177" s="1185"/>
      <c r="AW177" s="853"/>
      <c r="AX177" s="853"/>
      <c r="AY177" s="853"/>
      <c r="AZ177" s="853"/>
      <c r="BA177" s="853"/>
      <c r="BB177" s="853"/>
      <c r="BC177" s="853"/>
      <c r="BD177" s="853"/>
      <c r="BE177" s="853"/>
      <c r="BF177" s="853"/>
      <c r="BG177" s="853"/>
      <c r="BH177" s="853"/>
      <c r="BI177" s="853"/>
      <c r="BJ177" s="853"/>
      <c r="BK177" s="853"/>
      <c r="BL177" s="853"/>
      <c r="BM177" s="853"/>
      <c r="BN177" s="853"/>
      <c r="BO177" s="853"/>
      <c r="BP177" s="853"/>
    </row>
    <row r="178" ht="11.25" customHeight="1">
      <c r="A178" s="853"/>
      <c r="B178" s="853"/>
      <c r="C178" s="853"/>
      <c r="D178" s="853"/>
      <c r="E178" s="853"/>
      <c r="F178" s="853"/>
      <c r="G178" s="853"/>
      <c r="H178" s="853"/>
      <c r="I178" s="853"/>
      <c r="J178" s="853"/>
      <c r="K178" s="853"/>
      <c r="L178" s="853"/>
      <c r="M178" s="853"/>
      <c r="N178" s="853"/>
      <c r="O178" s="853"/>
      <c r="P178" s="853"/>
      <c r="Q178" s="853"/>
      <c r="R178" s="853"/>
      <c r="S178" s="853"/>
      <c r="T178" s="1181"/>
      <c r="U178" s="1181"/>
      <c r="V178" s="1181"/>
      <c r="W178" s="1181"/>
      <c r="X178" s="1181"/>
      <c r="Y178" s="1181"/>
      <c r="Z178" s="1181"/>
      <c r="AA178" s="1181"/>
      <c r="AB178" s="1182"/>
      <c r="AC178" s="1181"/>
      <c r="AD178" s="1183"/>
      <c r="AE178" s="1184"/>
      <c r="AF178" s="1181"/>
      <c r="AG178" s="1181"/>
      <c r="AH178" s="853"/>
      <c r="AI178" s="853"/>
      <c r="AJ178" s="853"/>
      <c r="AK178" s="853"/>
      <c r="AL178" s="1181"/>
      <c r="AM178" s="1181"/>
      <c r="AN178" s="853"/>
      <c r="AO178" s="853"/>
      <c r="AP178" s="853"/>
      <c r="AQ178" s="853"/>
      <c r="AR178" s="853"/>
      <c r="AS178" s="853"/>
      <c r="AT178" s="853"/>
      <c r="AU178" s="853"/>
      <c r="AV178" s="1185"/>
      <c r="AW178" s="853"/>
      <c r="AX178" s="853"/>
      <c r="AY178" s="853"/>
      <c r="AZ178" s="853"/>
      <c r="BA178" s="853"/>
      <c r="BB178" s="853"/>
      <c r="BC178" s="853"/>
      <c r="BD178" s="853"/>
      <c r="BE178" s="853"/>
      <c r="BF178" s="853"/>
      <c r="BG178" s="853"/>
      <c r="BH178" s="853"/>
      <c r="BI178" s="853"/>
      <c r="BJ178" s="853"/>
      <c r="BK178" s="853"/>
      <c r="BL178" s="853"/>
      <c r="BM178" s="853"/>
      <c r="BN178" s="853"/>
      <c r="BO178" s="853"/>
      <c r="BP178" s="853"/>
    </row>
    <row r="179" ht="11.25" customHeight="1">
      <c r="A179" s="853"/>
      <c r="B179" s="853"/>
      <c r="C179" s="853"/>
      <c r="D179" s="853"/>
      <c r="E179" s="853"/>
      <c r="F179" s="853"/>
      <c r="G179" s="853"/>
      <c r="H179" s="853"/>
      <c r="I179" s="853"/>
      <c r="J179" s="853"/>
      <c r="K179" s="853"/>
      <c r="L179" s="853"/>
      <c r="M179" s="853"/>
      <c r="N179" s="853"/>
      <c r="O179" s="853"/>
      <c r="P179" s="853"/>
      <c r="Q179" s="853"/>
      <c r="R179" s="853"/>
      <c r="S179" s="853"/>
      <c r="T179" s="1181"/>
      <c r="U179" s="1181"/>
      <c r="V179" s="1181"/>
      <c r="W179" s="1181"/>
      <c r="X179" s="1181"/>
      <c r="Y179" s="1181"/>
      <c r="Z179" s="1181"/>
      <c r="AA179" s="1181"/>
      <c r="AB179" s="1182"/>
      <c r="AC179" s="1181"/>
      <c r="AD179" s="1183"/>
      <c r="AE179" s="1184"/>
      <c r="AF179" s="1181"/>
      <c r="AG179" s="1181"/>
      <c r="AH179" s="853"/>
      <c r="AI179" s="853"/>
      <c r="AJ179" s="853"/>
      <c r="AK179" s="853"/>
      <c r="AL179" s="1181"/>
      <c r="AM179" s="1181"/>
      <c r="AN179" s="853"/>
      <c r="AO179" s="853"/>
      <c r="AP179" s="853"/>
      <c r="AQ179" s="853"/>
      <c r="AR179" s="853"/>
      <c r="AS179" s="853"/>
      <c r="AT179" s="853"/>
      <c r="AU179" s="853"/>
      <c r="AV179" s="1185"/>
      <c r="AW179" s="853"/>
      <c r="AX179" s="853"/>
      <c r="AY179" s="853"/>
      <c r="AZ179" s="853"/>
      <c r="BA179" s="853"/>
      <c r="BB179" s="853"/>
      <c r="BC179" s="853"/>
      <c r="BD179" s="853"/>
      <c r="BE179" s="853"/>
      <c r="BF179" s="853"/>
      <c r="BG179" s="853"/>
      <c r="BH179" s="853"/>
      <c r="BI179" s="853"/>
      <c r="BJ179" s="853"/>
      <c r="BK179" s="853"/>
      <c r="BL179" s="853"/>
      <c r="BM179" s="853"/>
      <c r="BN179" s="853"/>
      <c r="BO179" s="853"/>
      <c r="BP179" s="853"/>
    </row>
    <row r="180" ht="11.25" customHeight="1">
      <c r="A180" s="853"/>
      <c r="B180" s="853"/>
      <c r="C180" s="853"/>
      <c r="D180" s="853"/>
      <c r="E180" s="853"/>
      <c r="F180" s="853"/>
      <c r="G180" s="853"/>
      <c r="H180" s="853"/>
      <c r="I180" s="853"/>
      <c r="J180" s="853"/>
      <c r="K180" s="853"/>
      <c r="L180" s="853"/>
      <c r="M180" s="853"/>
      <c r="N180" s="853"/>
      <c r="O180" s="853"/>
      <c r="P180" s="853"/>
      <c r="Q180" s="853"/>
      <c r="R180" s="853"/>
      <c r="S180" s="853"/>
      <c r="T180" s="1181"/>
      <c r="U180" s="1181"/>
      <c r="V180" s="1181"/>
      <c r="W180" s="1181"/>
      <c r="X180" s="1181"/>
      <c r="Y180" s="1181"/>
      <c r="Z180" s="1181"/>
      <c r="AA180" s="1181"/>
      <c r="AB180" s="1182"/>
      <c r="AC180" s="1181"/>
      <c r="AD180" s="1183"/>
      <c r="AE180" s="1184"/>
      <c r="AF180" s="1181"/>
      <c r="AG180" s="1181"/>
      <c r="AH180" s="853"/>
      <c r="AI180" s="853"/>
      <c r="AJ180" s="853"/>
      <c r="AK180" s="853"/>
      <c r="AL180" s="1181"/>
      <c r="AM180" s="1181"/>
      <c r="AN180" s="853"/>
      <c r="AO180" s="853"/>
      <c r="AP180" s="853"/>
      <c r="AQ180" s="853"/>
      <c r="AR180" s="853"/>
      <c r="AS180" s="853"/>
      <c r="AT180" s="853"/>
      <c r="AU180" s="853"/>
      <c r="AV180" s="1185"/>
      <c r="AW180" s="853"/>
      <c r="AX180" s="853"/>
      <c r="AY180" s="853"/>
      <c r="AZ180" s="853"/>
      <c r="BA180" s="853"/>
      <c r="BB180" s="853"/>
      <c r="BC180" s="853"/>
      <c r="BD180" s="853"/>
      <c r="BE180" s="853"/>
      <c r="BF180" s="853"/>
      <c r="BG180" s="853"/>
      <c r="BH180" s="853"/>
      <c r="BI180" s="853"/>
      <c r="BJ180" s="853"/>
      <c r="BK180" s="853"/>
      <c r="BL180" s="853"/>
      <c r="BM180" s="853"/>
      <c r="BN180" s="853"/>
      <c r="BO180" s="853"/>
      <c r="BP180" s="853"/>
    </row>
    <row r="181" ht="11.25" customHeight="1">
      <c r="A181" s="853"/>
      <c r="B181" s="853"/>
      <c r="C181" s="853"/>
      <c r="D181" s="853"/>
      <c r="E181" s="853"/>
      <c r="F181" s="853"/>
      <c r="G181" s="853"/>
      <c r="H181" s="853"/>
      <c r="I181" s="853"/>
      <c r="J181" s="853"/>
      <c r="K181" s="853"/>
      <c r="L181" s="853"/>
      <c r="M181" s="853"/>
      <c r="N181" s="853"/>
      <c r="O181" s="853"/>
      <c r="P181" s="853"/>
      <c r="Q181" s="853"/>
      <c r="R181" s="853"/>
      <c r="S181" s="853"/>
      <c r="T181" s="1181"/>
      <c r="U181" s="1181"/>
      <c r="V181" s="1181"/>
      <c r="W181" s="1181"/>
      <c r="X181" s="1181"/>
      <c r="Y181" s="1181"/>
      <c r="Z181" s="1181"/>
      <c r="AA181" s="1181"/>
      <c r="AB181" s="1182"/>
      <c r="AC181" s="1181"/>
      <c r="AD181" s="1183"/>
      <c r="AE181" s="1184"/>
      <c r="AF181" s="1181"/>
      <c r="AG181" s="1181"/>
      <c r="AH181" s="853"/>
      <c r="AI181" s="853"/>
      <c r="AJ181" s="853"/>
      <c r="AK181" s="853"/>
      <c r="AL181" s="1181"/>
      <c r="AM181" s="1181"/>
      <c r="AN181" s="853"/>
      <c r="AO181" s="853"/>
      <c r="AP181" s="853"/>
      <c r="AQ181" s="853"/>
      <c r="AR181" s="853"/>
      <c r="AS181" s="853"/>
      <c r="AT181" s="853"/>
      <c r="AU181" s="853"/>
      <c r="AV181" s="1185"/>
      <c r="AW181" s="853"/>
      <c r="AX181" s="853"/>
      <c r="AY181" s="853"/>
      <c r="AZ181" s="853"/>
      <c r="BA181" s="853"/>
      <c r="BB181" s="853"/>
      <c r="BC181" s="853"/>
      <c r="BD181" s="853"/>
      <c r="BE181" s="853"/>
      <c r="BF181" s="853"/>
      <c r="BG181" s="853"/>
      <c r="BH181" s="853"/>
      <c r="BI181" s="853"/>
      <c r="BJ181" s="853"/>
      <c r="BK181" s="853"/>
      <c r="BL181" s="853"/>
      <c r="BM181" s="853"/>
      <c r="BN181" s="853"/>
      <c r="BO181" s="853"/>
      <c r="BP181" s="853"/>
    </row>
    <row r="182" ht="11.25" customHeight="1">
      <c r="A182" s="853"/>
      <c r="B182" s="853"/>
      <c r="C182" s="853"/>
      <c r="D182" s="853"/>
      <c r="E182" s="853"/>
      <c r="F182" s="853"/>
      <c r="G182" s="853"/>
      <c r="H182" s="853"/>
      <c r="I182" s="853"/>
      <c r="J182" s="853"/>
      <c r="K182" s="853"/>
      <c r="L182" s="853"/>
      <c r="M182" s="853"/>
      <c r="N182" s="853"/>
      <c r="O182" s="853"/>
      <c r="P182" s="853"/>
      <c r="Q182" s="853"/>
      <c r="R182" s="853"/>
      <c r="S182" s="853"/>
      <c r="T182" s="1181"/>
      <c r="U182" s="1181"/>
      <c r="V182" s="1181"/>
      <c r="W182" s="1181"/>
      <c r="X182" s="1181"/>
      <c r="Y182" s="1181"/>
      <c r="Z182" s="1181"/>
      <c r="AA182" s="1181"/>
      <c r="AB182" s="1182"/>
      <c r="AC182" s="1181"/>
      <c r="AD182" s="1183"/>
      <c r="AE182" s="1184"/>
      <c r="AF182" s="1181"/>
      <c r="AG182" s="1181"/>
      <c r="AH182" s="853"/>
      <c r="AI182" s="853"/>
      <c r="AJ182" s="853"/>
      <c r="AK182" s="853"/>
      <c r="AL182" s="1181"/>
      <c r="AM182" s="1181"/>
      <c r="AN182" s="853"/>
      <c r="AO182" s="853"/>
      <c r="AP182" s="853"/>
      <c r="AQ182" s="853"/>
      <c r="AR182" s="853"/>
      <c r="AS182" s="853"/>
      <c r="AT182" s="853"/>
      <c r="AU182" s="853"/>
      <c r="AV182" s="1185"/>
      <c r="AW182" s="853"/>
      <c r="AX182" s="853"/>
      <c r="AY182" s="853"/>
      <c r="AZ182" s="853"/>
      <c r="BA182" s="853"/>
      <c r="BB182" s="853"/>
      <c r="BC182" s="853"/>
      <c r="BD182" s="853"/>
      <c r="BE182" s="853"/>
      <c r="BF182" s="853"/>
      <c r="BG182" s="853"/>
      <c r="BH182" s="853"/>
      <c r="BI182" s="853"/>
      <c r="BJ182" s="853"/>
      <c r="BK182" s="853"/>
      <c r="BL182" s="853"/>
      <c r="BM182" s="853"/>
      <c r="BN182" s="853"/>
      <c r="BO182" s="853"/>
      <c r="BP182" s="853"/>
    </row>
    <row r="183" ht="11.25" customHeight="1">
      <c r="A183" s="853"/>
      <c r="B183" s="853"/>
      <c r="C183" s="853"/>
      <c r="D183" s="853"/>
      <c r="E183" s="853"/>
      <c r="F183" s="853"/>
      <c r="G183" s="853"/>
      <c r="H183" s="853"/>
      <c r="I183" s="853"/>
      <c r="J183" s="853"/>
      <c r="K183" s="853"/>
      <c r="L183" s="853"/>
      <c r="M183" s="853"/>
      <c r="N183" s="853"/>
      <c r="O183" s="853"/>
      <c r="P183" s="853"/>
      <c r="Q183" s="853"/>
      <c r="R183" s="853"/>
      <c r="S183" s="853"/>
      <c r="T183" s="1181"/>
      <c r="U183" s="1181"/>
      <c r="V183" s="1181"/>
      <c r="W183" s="1181"/>
      <c r="X183" s="1181"/>
      <c r="Y183" s="1181"/>
      <c r="Z183" s="1181"/>
      <c r="AA183" s="1181"/>
      <c r="AB183" s="1182"/>
      <c r="AC183" s="1181"/>
      <c r="AD183" s="1183"/>
      <c r="AE183" s="1184"/>
      <c r="AF183" s="1181"/>
      <c r="AG183" s="1181"/>
      <c r="AH183" s="853"/>
      <c r="AI183" s="853"/>
      <c r="AJ183" s="853"/>
      <c r="AK183" s="853"/>
      <c r="AL183" s="1181"/>
      <c r="AM183" s="1181"/>
      <c r="AN183" s="853"/>
      <c r="AO183" s="853"/>
      <c r="AP183" s="853"/>
      <c r="AQ183" s="853"/>
      <c r="AR183" s="853"/>
      <c r="AS183" s="853"/>
      <c r="AT183" s="853"/>
      <c r="AU183" s="853"/>
      <c r="AV183" s="1185"/>
      <c r="AW183" s="853"/>
      <c r="AX183" s="853"/>
      <c r="AY183" s="853"/>
      <c r="AZ183" s="853"/>
      <c r="BA183" s="853"/>
      <c r="BB183" s="853"/>
      <c r="BC183" s="853"/>
      <c r="BD183" s="853"/>
      <c r="BE183" s="853"/>
      <c r="BF183" s="853"/>
      <c r="BG183" s="853"/>
      <c r="BH183" s="853"/>
      <c r="BI183" s="853"/>
      <c r="BJ183" s="853"/>
      <c r="BK183" s="853"/>
      <c r="BL183" s="853"/>
      <c r="BM183" s="853"/>
      <c r="BN183" s="853"/>
      <c r="BO183" s="853"/>
      <c r="BP183" s="853"/>
    </row>
    <row r="184" ht="11.25" customHeight="1">
      <c r="A184" s="853"/>
      <c r="B184" s="853"/>
      <c r="C184" s="853"/>
      <c r="D184" s="853"/>
      <c r="E184" s="853"/>
      <c r="F184" s="853"/>
      <c r="G184" s="853"/>
      <c r="H184" s="853"/>
      <c r="I184" s="853"/>
      <c r="J184" s="853"/>
      <c r="K184" s="853"/>
      <c r="L184" s="853"/>
      <c r="M184" s="853"/>
      <c r="N184" s="853"/>
      <c r="O184" s="853"/>
      <c r="P184" s="853"/>
      <c r="Q184" s="853"/>
      <c r="R184" s="853"/>
      <c r="S184" s="853"/>
      <c r="T184" s="1181"/>
      <c r="U184" s="1181"/>
      <c r="V184" s="1181"/>
      <c r="W184" s="1181"/>
      <c r="X184" s="1181"/>
      <c r="Y184" s="1181"/>
      <c r="Z184" s="1181"/>
      <c r="AA184" s="1181"/>
      <c r="AB184" s="1182"/>
      <c r="AC184" s="1181"/>
      <c r="AD184" s="1183"/>
      <c r="AE184" s="1184"/>
      <c r="AF184" s="1181"/>
      <c r="AG184" s="1181"/>
      <c r="AH184" s="853"/>
      <c r="AI184" s="853"/>
      <c r="AJ184" s="853"/>
      <c r="AK184" s="853"/>
      <c r="AL184" s="1181"/>
      <c r="AM184" s="1181"/>
      <c r="AN184" s="853"/>
      <c r="AO184" s="853"/>
      <c r="AP184" s="853"/>
      <c r="AQ184" s="853"/>
      <c r="AR184" s="853"/>
      <c r="AS184" s="853"/>
      <c r="AT184" s="853"/>
      <c r="AU184" s="853"/>
      <c r="AV184" s="1185"/>
      <c r="AW184" s="853"/>
      <c r="AX184" s="853"/>
      <c r="AY184" s="853"/>
      <c r="AZ184" s="853"/>
      <c r="BA184" s="853"/>
      <c r="BB184" s="853"/>
      <c r="BC184" s="853"/>
      <c r="BD184" s="853"/>
      <c r="BE184" s="853"/>
      <c r="BF184" s="853"/>
      <c r="BG184" s="853"/>
      <c r="BH184" s="853"/>
      <c r="BI184" s="853"/>
      <c r="BJ184" s="853"/>
      <c r="BK184" s="853"/>
      <c r="BL184" s="853"/>
      <c r="BM184" s="853"/>
      <c r="BN184" s="853"/>
      <c r="BO184" s="853"/>
      <c r="BP184" s="853"/>
    </row>
    <row r="185" ht="11.25" customHeight="1">
      <c r="A185" s="853"/>
      <c r="B185" s="853"/>
      <c r="C185" s="853"/>
      <c r="D185" s="853"/>
      <c r="E185" s="853"/>
      <c r="F185" s="853"/>
      <c r="G185" s="853"/>
      <c r="H185" s="853"/>
      <c r="I185" s="853"/>
      <c r="J185" s="853"/>
      <c r="K185" s="853"/>
      <c r="L185" s="853"/>
      <c r="M185" s="853"/>
      <c r="N185" s="853"/>
      <c r="O185" s="853"/>
      <c r="P185" s="853"/>
      <c r="Q185" s="853"/>
      <c r="R185" s="853"/>
      <c r="S185" s="853"/>
      <c r="T185" s="1181"/>
      <c r="U185" s="1181"/>
      <c r="V185" s="1181"/>
      <c r="W185" s="1181"/>
      <c r="X185" s="1181"/>
      <c r="Y185" s="1181"/>
      <c r="Z185" s="1181"/>
      <c r="AA185" s="1181"/>
      <c r="AB185" s="1182"/>
      <c r="AC185" s="1181"/>
      <c r="AD185" s="1183"/>
      <c r="AE185" s="1184"/>
      <c r="AF185" s="1181"/>
      <c r="AG185" s="1181"/>
      <c r="AH185" s="853"/>
      <c r="AI185" s="853"/>
      <c r="AJ185" s="853"/>
      <c r="AK185" s="853"/>
      <c r="AL185" s="1181"/>
      <c r="AM185" s="1181"/>
      <c r="AN185" s="853"/>
      <c r="AO185" s="853"/>
      <c r="AP185" s="853"/>
      <c r="AQ185" s="853"/>
      <c r="AR185" s="853"/>
      <c r="AS185" s="853"/>
      <c r="AT185" s="853"/>
      <c r="AU185" s="853"/>
      <c r="AV185" s="1185"/>
      <c r="AW185" s="853"/>
      <c r="AX185" s="853"/>
      <c r="AY185" s="853"/>
      <c r="AZ185" s="853"/>
      <c r="BA185" s="853"/>
      <c r="BB185" s="853"/>
      <c r="BC185" s="853"/>
      <c r="BD185" s="853"/>
      <c r="BE185" s="853"/>
      <c r="BF185" s="853"/>
      <c r="BG185" s="853"/>
      <c r="BH185" s="853"/>
      <c r="BI185" s="853"/>
      <c r="BJ185" s="853"/>
      <c r="BK185" s="853"/>
      <c r="BL185" s="853"/>
      <c r="BM185" s="853"/>
      <c r="BN185" s="853"/>
      <c r="BO185" s="853"/>
      <c r="BP185" s="853"/>
    </row>
    <row r="186" ht="11.25" customHeight="1">
      <c r="A186" s="853"/>
      <c r="B186" s="853"/>
      <c r="C186" s="853"/>
      <c r="D186" s="853"/>
      <c r="E186" s="853"/>
      <c r="F186" s="853"/>
      <c r="G186" s="853"/>
      <c r="H186" s="853"/>
      <c r="I186" s="853"/>
      <c r="J186" s="853"/>
      <c r="K186" s="853"/>
      <c r="L186" s="853"/>
      <c r="M186" s="853"/>
      <c r="N186" s="853"/>
      <c r="O186" s="853"/>
      <c r="P186" s="853"/>
      <c r="Q186" s="853"/>
      <c r="R186" s="853"/>
      <c r="S186" s="853"/>
      <c r="T186" s="1181"/>
      <c r="U186" s="1181"/>
      <c r="V186" s="1181"/>
      <c r="W186" s="1181"/>
      <c r="X186" s="1181"/>
      <c r="Y186" s="1181"/>
      <c r="Z186" s="1181"/>
      <c r="AA186" s="1181"/>
      <c r="AB186" s="1182"/>
      <c r="AC186" s="1181"/>
      <c r="AD186" s="1183"/>
      <c r="AE186" s="1184"/>
      <c r="AF186" s="1181"/>
      <c r="AG186" s="1181"/>
      <c r="AH186" s="853"/>
      <c r="AI186" s="853"/>
      <c r="AJ186" s="853"/>
      <c r="AK186" s="853"/>
      <c r="AL186" s="1181"/>
      <c r="AM186" s="1181"/>
      <c r="AN186" s="853"/>
      <c r="AO186" s="853"/>
      <c r="AP186" s="853"/>
      <c r="AQ186" s="853"/>
      <c r="AR186" s="853"/>
      <c r="AS186" s="853"/>
      <c r="AT186" s="853"/>
      <c r="AU186" s="853"/>
      <c r="AV186" s="1185"/>
      <c r="AW186" s="853"/>
      <c r="AX186" s="853"/>
      <c r="AY186" s="853"/>
      <c r="AZ186" s="853"/>
      <c r="BA186" s="853"/>
      <c r="BB186" s="853"/>
      <c r="BC186" s="853"/>
      <c r="BD186" s="853"/>
      <c r="BE186" s="853"/>
      <c r="BF186" s="853"/>
      <c r="BG186" s="853"/>
      <c r="BH186" s="853"/>
      <c r="BI186" s="853"/>
      <c r="BJ186" s="853"/>
      <c r="BK186" s="853"/>
      <c r="BL186" s="853"/>
      <c r="BM186" s="853"/>
      <c r="BN186" s="853"/>
      <c r="BO186" s="853"/>
      <c r="BP186" s="853"/>
    </row>
    <row r="187" ht="11.25" customHeight="1">
      <c r="A187" s="853"/>
      <c r="B187" s="853"/>
      <c r="C187" s="853"/>
      <c r="D187" s="853"/>
      <c r="E187" s="853"/>
      <c r="F187" s="853"/>
      <c r="G187" s="853"/>
      <c r="H187" s="853"/>
      <c r="I187" s="853"/>
      <c r="J187" s="853"/>
      <c r="K187" s="853"/>
      <c r="L187" s="853"/>
      <c r="M187" s="853"/>
      <c r="N187" s="853"/>
      <c r="O187" s="853"/>
      <c r="P187" s="853"/>
      <c r="Q187" s="853"/>
      <c r="R187" s="853"/>
      <c r="S187" s="853"/>
      <c r="T187" s="1181"/>
      <c r="U187" s="1181"/>
      <c r="V187" s="1181"/>
      <c r="W187" s="1181"/>
      <c r="X187" s="1181"/>
      <c r="Y187" s="1181"/>
      <c r="Z187" s="1181"/>
      <c r="AA187" s="1181"/>
      <c r="AB187" s="1182"/>
      <c r="AC187" s="1181"/>
      <c r="AD187" s="1183"/>
      <c r="AE187" s="1184"/>
      <c r="AF187" s="1181"/>
      <c r="AG187" s="1181"/>
      <c r="AH187" s="853"/>
      <c r="AI187" s="853"/>
      <c r="AJ187" s="853"/>
      <c r="AK187" s="853"/>
      <c r="AL187" s="1181"/>
      <c r="AM187" s="1181"/>
      <c r="AN187" s="853"/>
      <c r="AO187" s="853"/>
      <c r="AP187" s="853"/>
      <c r="AQ187" s="853"/>
      <c r="AR187" s="853"/>
      <c r="AS187" s="853"/>
      <c r="AT187" s="853"/>
      <c r="AU187" s="853"/>
      <c r="AV187" s="1185"/>
      <c r="AW187" s="853"/>
      <c r="AX187" s="853"/>
      <c r="AY187" s="853"/>
      <c r="AZ187" s="853"/>
      <c r="BA187" s="853"/>
      <c r="BB187" s="853"/>
      <c r="BC187" s="853"/>
      <c r="BD187" s="853"/>
      <c r="BE187" s="853"/>
      <c r="BF187" s="853"/>
      <c r="BG187" s="853"/>
      <c r="BH187" s="853"/>
      <c r="BI187" s="853"/>
      <c r="BJ187" s="853"/>
      <c r="BK187" s="853"/>
      <c r="BL187" s="853"/>
      <c r="BM187" s="853"/>
      <c r="BN187" s="853"/>
      <c r="BO187" s="853"/>
      <c r="BP187" s="853"/>
    </row>
    <row r="188" ht="11.25" customHeight="1">
      <c r="A188" s="853"/>
      <c r="B188" s="853"/>
      <c r="C188" s="853"/>
      <c r="D188" s="853"/>
      <c r="E188" s="853"/>
      <c r="F188" s="853"/>
      <c r="G188" s="853"/>
      <c r="H188" s="853"/>
      <c r="I188" s="853"/>
      <c r="J188" s="853"/>
      <c r="K188" s="853"/>
      <c r="L188" s="853"/>
      <c r="M188" s="853"/>
      <c r="N188" s="853"/>
      <c r="O188" s="853"/>
      <c r="P188" s="853"/>
      <c r="Q188" s="853"/>
      <c r="R188" s="853"/>
      <c r="S188" s="853"/>
      <c r="T188" s="1181"/>
      <c r="U188" s="1181"/>
      <c r="V188" s="1181"/>
      <c r="W188" s="1181"/>
      <c r="X188" s="1181"/>
      <c r="Y188" s="1181"/>
      <c r="Z188" s="1181"/>
      <c r="AA188" s="1181"/>
      <c r="AB188" s="1182"/>
      <c r="AC188" s="1181"/>
      <c r="AD188" s="1183"/>
      <c r="AE188" s="1184"/>
      <c r="AF188" s="1181"/>
      <c r="AG188" s="1181"/>
      <c r="AH188" s="853"/>
      <c r="AI188" s="853"/>
      <c r="AJ188" s="853"/>
      <c r="AK188" s="853"/>
      <c r="AL188" s="1181"/>
      <c r="AM188" s="1181"/>
      <c r="AN188" s="853"/>
      <c r="AO188" s="853"/>
      <c r="AP188" s="853"/>
      <c r="AQ188" s="853"/>
      <c r="AR188" s="853"/>
      <c r="AS188" s="853"/>
      <c r="AT188" s="853"/>
      <c r="AU188" s="853"/>
      <c r="AV188" s="1185"/>
      <c r="AW188" s="853"/>
      <c r="AX188" s="853"/>
      <c r="AY188" s="853"/>
      <c r="AZ188" s="853"/>
      <c r="BA188" s="853"/>
      <c r="BB188" s="853"/>
      <c r="BC188" s="853"/>
      <c r="BD188" s="853"/>
      <c r="BE188" s="853"/>
      <c r="BF188" s="853"/>
      <c r="BG188" s="853"/>
      <c r="BH188" s="853"/>
      <c r="BI188" s="853"/>
      <c r="BJ188" s="853"/>
      <c r="BK188" s="853"/>
      <c r="BL188" s="853"/>
      <c r="BM188" s="853"/>
      <c r="BN188" s="853"/>
      <c r="BO188" s="853"/>
      <c r="BP188" s="853"/>
    </row>
    <row r="189" ht="11.25" customHeight="1">
      <c r="A189" s="853"/>
      <c r="B189" s="853"/>
      <c r="C189" s="853"/>
      <c r="D189" s="853"/>
      <c r="E189" s="853"/>
      <c r="F189" s="853"/>
      <c r="G189" s="853"/>
      <c r="H189" s="853"/>
      <c r="I189" s="853"/>
      <c r="J189" s="853"/>
      <c r="K189" s="853"/>
      <c r="L189" s="853"/>
      <c r="M189" s="853"/>
      <c r="N189" s="853"/>
      <c r="O189" s="853"/>
      <c r="P189" s="853"/>
      <c r="Q189" s="853"/>
      <c r="R189" s="853"/>
      <c r="S189" s="853"/>
      <c r="T189" s="1181"/>
      <c r="U189" s="1181"/>
      <c r="V189" s="1181"/>
      <c r="W189" s="1181"/>
      <c r="X189" s="1181"/>
      <c r="Y189" s="1181"/>
      <c r="Z189" s="1181"/>
      <c r="AA189" s="1181"/>
      <c r="AB189" s="1182"/>
      <c r="AC189" s="1181"/>
      <c r="AD189" s="1183"/>
      <c r="AE189" s="1184"/>
      <c r="AF189" s="1181"/>
      <c r="AG189" s="1181"/>
      <c r="AH189" s="853"/>
      <c r="AI189" s="853"/>
      <c r="AJ189" s="853"/>
      <c r="AK189" s="853"/>
      <c r="AL189" s="1181"/>
      <c r="AM189" s="1181"/>
      <c r="AN189" s="853"/>
      <c r="AO189" s="853"/>
      <c r="AP189" s="853"/>
      <c r="AQ189" s="853"/>
      <c r="AR189" s="853"/>
      <c r="AS189" s="853"/>
      <c r="AT189" s="853"/>
      <c r="AU189" s="853"/>
      <c r="AV189" s="1185"/>
      <c r="AW189" s="853"/>
      <c r="AX189" s="853"/>
      <c r="AY189" s="853"/>
      <c r="AZ189" s="853"/>
      <c r="BA189" s="853"/>
      <c r="BB189" s="853"/>
      <c r="BC189" s="853"/>
      <c r="BD189" s="853"/>
      <c r="BE189" s="853"/>
      <c r="BF189" s="853"/>
      <c r="BG189" s="853"/>
      <c r="BH189" s="853"/>
      <c r="BI189" s="853"/>
      <c r="BJ189" s="853"/>
      <c r="BK189" s="853"/>
      <c r="BL189" s="853"/>
      <c r="BM189" s="853"/>
      <c r="BN189" s="853"/>
      <c r="BO189" s="853"/>
      <c r="BP189" s="853"/>
    </row>
    <row r="190" ht="11.25" customHeight="1">
      <c r="A190" s="853"/>
      <c r="B190" s="853"/>
      <c r="C190" s="853"/>
      <c r="D190" s="853"/>
      <c r="E190" s="853"/>
      <c r="F190" s="853"/>
      <c r="G190" s="853"/>
      <c r="H190" s="853"/>
      <c r="I190" s="853"/>
      <c r="J190" s="853"/>
      <c r="K190" s="853"/>
      <c r="L190" s="853"/>
      <c r="M190" s="853"/>
      <c r="N190" s="853"/>
      <c r="O190" s="853"/>
      <c r="P190" s="853"/>
      <c r="Q190" s="853"/>
      <c r="R190" s="853"/>
      <c r="S190" s="853"/>
      <c r="T190" s="1181"/>
      <c r="U190" s="1181"/>
      <c r="V190" s="1181"/>
      <c r="W190" s="1181"/>
      <c r="X190" s="1181"/>
      <c r="Y190" s="1181"/>
      <c r="Z190" s="1181"/>
      <c r="AA190" s="1181"/>
      <c r="AB190" s="1182"/>
      <c r="AC190" s="1181"/>
      <c r="AD190" s="1183"/>
      <c r="AE190" s="1184"/>
      <c r="AF190" s="1181"/>
      <c r="AG190" s="1181"/>
      <c r="AH190" s="853"/>
      <c r="AI190" s="853"/>
      <c r="AJ190" s="853"/>
      <c r="AK190" s="853"/>
      <c r="AL190" s="1181"/>
      <c r="AM190" s="1181"/>
      <c r="AN190" s="853"/>
      <c r="AO190" s="853"/>
      <c r="AP190" s="853"/>
      <c r="AQ190" s="853"/>
      <c r="AR190" s="853"/>
      <c r="AS190" s="853"/>
      <c r="AT190" s="853"/>
      <c r="AU190" s="853"/>
      <c r="AV190" s="1185"/>
      <c r="AW190" s="853"/>
      <c r="AX190" s="853"/>
      <c r="AY190" s="853"/>
      <c r="AZ190" s="853"/>
      <c r="BA190" s="853"/>
      <c r="BB190" s="853"/>
      <c r="BC190" s="853"/>
      <c r="BD190" s="853"/>
      <c r="BE190" s="853"/>
      <c r="BF190" s="853"/>
      <c r="BG190" s="853"/>
      <c r="BH190" s="853"/>
      <c r="BI190" s="853"/>
      <c r="BJ190" s="853"/>
      <c r="BK190" s="853"/>
      <c r="BL190" s="853"/>
      <c r="BM190" s="853"/>
      <c r="BN190" s="853"/>
      <c r="BO190" s="853"/>
      <c r="BP190" s="853"/>
    </row>
    <row r="191" ht="11.25" customHeight="1">
      <c r="A191" s="853"/>
      <c r="B191" s="853"/>
      <c r="C191" s="853"/>
      <c r="D191" s="853"/>
      <c r="E191" s="853"/>
      <c r="F191" s="853"/>
      <c r="G191" s="853"/>
      <c r="H191" s="853"/>
      <c r="I191" s="853"/>
      <c r="J191" s="853"/>
      <c r="K191" s="853"/>
      <c r="L191" s="853"/>
      <c r="M191" s="853"/>
      <c r="N191" s="853"/>
      <c r="O191" s="853"/>
      <c r="P191" s="853"/>
      <c r="Q191" s="853"/>
      <c r="R191" s="853"/>
      <c r="S191" s="853"/>
      <c r="T191" s="1181"/>
      <c r="U191" s="1181"/>
      <c r="V191" s="1181"/>
      <c r="W191" s="1181"/>
      <c r="X191" s="1181"/>
      <c r="Y191" s="1181"/>
      <c r="Z191" s="1181"/>
      <c r="AA191" s="1181"/>
      <c r="AB191" s="1182"/>
      <c r="AC191" s="1181"/>
      <c r="AD191" s="1183"/>
      <c r="AE191" s="1184"/>
      <c r="AF191" s="1181"/>
      <c r="AG191" s="1181"/>
      <c r="AH191" s="853"/>
      <c r="AI191" s="853"/>
      <c r="AJ191" s="853"/>
      <c r="AK191" s="853"/>
      <c r="AL191" s="1181"/>
      <c r="AM191" s="1181"/>
      <c r="AN191" s="853"/>
      <c r="AO191" s="853"/>
      <c r="AP191" s="853"/>
      <c r="AQ191" s="853"/>
      <c r="AR191" s="853"/>
      <c r="AS191" s="853"/>
      <c r="AT191" s="853"/>
      <c r="AU191" s="853"/>
      <c r="AV191" s="1185"/>
      <c r="AW191" s="853"/>
      <c r="AX191" s="853"/>
      <c r="AY191" s="853"/>
      <c r="AZ191" s="853"/>
      <c r="BA191" s="853"/>
      <c r="BB191" s="853"/>
      <c r="BC191" s="853"/>
      <c r="BD191" s="853"/>
      <c r="BE191" s="853"/>
      <c r="BF191" s="853"/>
      <c r="BG191" s="853"/>
      <c r="BH191" s="853"/>
      <c r="BI191" s="853"/>
      <c r="BJ191" s="853"/>
      <c r="BK191" s="853"/>
      <c r="BL191" s="853"/>
      <c r="BM191" s="853"/>
      <c r="BN191" s="853"/>
      <c r="BO191" s="853"/>
      <c r="BP191" s="853"/>
    </row>
    <row r="192" ht="11.25" customHeight="1">
      <c r="A192" s="853"/>
      <c r="B192" s="853"/>
      <c r="C192" s="853"/>
      <c r="D192" s="853"/>
      <c r="E192" s="853"/>
      <c r="F192" s="853"/>
      <c r="G192" s="853"/>
      <c r="H192" s="853"/>
      <c r="I192" s="853"/>
      <c r="J192" s="853"/>
      <c r="K192" s="853"/>
      <c r="L192" s="853"/>
      <c r="M192" s="853"/>
      <c r="N192" s="853"/>
      <c r="O192" s="853"/>
      <c r="P192" s="853"/>
      <c r="Q192" s="853"/>
      <c r="R192" s="853"/>
      <c r="S192" s="853"/>
      <c r="T192" s="1181"/>
      <c r="U192" s="1181"/>
      <c r="V192" s="1181"/>
      <c r="W192" s="1181"/>
      <c r="X192" s="1181"/>
      <c r="Y192" s="1181"/>
      <c r="Z192" s="1181"/>
      <c r="AA192" s="1181"/>
      <c r="AB192" s="1182"/>
      <c r="AC192" s="1181"/>
      <c r="AD192" s="1183"/>
      <c r="AE192" s="1184"/>
      <c r="AF192" s="1181"/>
      <c r="AG192" s="1181"/>
      <c r="AH192" s="853"/>
      <c r="AI192" s="853"/>
      <c r="AJ192" s="853"/>
      <c r="AK192" s="853"/>
      <c r="AL192" s="1181"/>
      <c r="AM192" s="1181"/>
      <c r="AN192" s="853"/>
      <c r="AO192" s="853"/>
      <c r="AP192" s="853"/>
      <c r="AQ192" s="853"/>
      <c r="AR192" s="853"/>
      <c r="AS192" s="853"/>
      <c r="AT192" s="853"/>
      <c r="AU192" s="853"/>
      <c r="AV192" s="1185"/>
      <c r="AW192" s="853"/>
      <c r="AX192" s="853"/>
      <c r="AY192" s="853"/>
      <c r="AZ192" s="853"/>
      <c r="BA192" s="853"/>
      <c r="BB192" s="853"/>
      <c r="BC192" s="853"/>
      <c r="BD192" s="853"/>
      <c r="BE192" s="853"/>
      <c r="BF192" s="853"/>
      <c r="BG192" s="853"/>
      <c r="BH192" s="853"/>
      <c r="BI192" s="853"/>
      <c r="BJ192" s="853"/>
      <c r="BK192" s="853"/>
      <c r="BL192" s="853"/>
      <c r="BM192" s="853"/>
      <c r="BN192" s="853"/>
      <c r="BO192" s="853"/>
      <c r="BP192" s="853"/>
    </row>
    <row r="193" ht="11.25" customHeight="1">
      <c r="A193" s="853"/>
      <c r="B193" s="853"/>
      <c r="C193" s="853"/>
      <c r="D193" s="853"/>
      <c r="E193" s="853"/>
      <c r="F193" s="853"/>
      <c r="G193" s="853"/>
      <c r="H193" s="853"/>
      <c r="I193" s="853"/>
      <c r="J193" s="853"/>
      <c r="K193" s="853"/>
      <c r="L193" s="853"/>
      <c r="M193" s="853"/>
      <c r="N193" s="853"/>
      <c r="O193" s="853"/>
      <c r="P193" s="853"/>
      <c r="Q193" s="853"/>
      <c r="R193" s="853"/>
      <c r="S193" s="853"/>
      <c r="T193" s="1181"/>
      <c r="U193" s="1181"/>
      <c r="V193" s="1181"/>
      <c r="W193" s="1181"/>
      <c r="X193" s="1181"/>
      <c r="Y193" s="1181"/>
      <c r="Z193" s="1181"/>
      <c r="AA193" s="1181"/>
      <c r="AB193" s="1182"/>
      <c r="AC193" s="1181"/>
      <c r="AD193" s="1183"/>
      <c r="AE193" s="1184"/>
      <c r="AF193" s="1181"/>
      <c r="AG193" s="1181"/>
      <c r="AH193" s="853"/>
      <c r="AI193" s="853"/>
      <c r="AJ193" s="853"/>
      <c r="AK193" s="853"/>
      <c r="AL193" s="1181"/>
      <c r="AM193" s="1181"/>
      <c r="AN193" s="853"/>
      <c r="AO193" s="853"/>
      <c r="AP193" s="853"/>
      <c r="AQ193" s="853"/>
      <c r="AR193" s="853"/>
      <c r="AS193" s="853"/>
      <c r="AT193" s="853"/>
      <c r="AU193" s="853"/>
      <c r="AV193" s="1185"/>
      <c r="AW193" s="853"/>
      <c r="AX193" s="853"/>
      <c r="AY193" s="853"/>
      <c r="AZ193" s="853"/>
      <c r="BA193" s="853"/>
      <c r="BB193" s="853"/>
      <c r="BC193" s="853"/>
      <c r="BD193" s="853"/>
      <c r="BE193" s="853"/>
      <c r="BF193" s="853"/>
      <c r="BG193" s="853"/>
      <c r="BH193" s="853"/>
      <c r="BI193" s="853"/>
      <c r="BJ193" s="853"/>
      <c r="BK193" s="853"/>
      <c r="BL193" s="853"/>
      <c r="BM193" s="853"/>
      <c r="BN193" s="853"/>
      <c r="BO193" s="853"/>
      <c r="BP193" s="853"/>
    </row>
    <row r="194" ht="11.25" customHeight="1">
      <c r="A194" s="853"/>
      <c r="B194" s="853"/>
      <c r="C194" s="853"/>
      <c r="D194" s="853"/>
      <c r="E194" s="853"/>
      <c r="F194" s="853"/>
      <c r="G194" s="853"/>
      <c r="H194" s="853"/>
      <c r="I194" s="853"/>
      <c r="J194" s="853"/>
      <c r="K194" s="853"/>
      <c r="L194" s="853"/>
      <c r="M194" s="853"/>
      <c r="N194" s="853"/>
      <c r="O194" s="853"/>
      <c r="P194" s="853"/>
      <c r="Q194" s="853"/>
      <c r="R194" s="853"/>
      <c r="S194" s="853"/>
      <c r="T194" s="1181"/>
      <c r="U194" s="1181"/>
      <c r="V194" s="1181"/>
      <c r="W194" s="1181"/>
      <c r="X194" s="1181"/>
      <c r="Y194" s="1181"/>
      <c r="Z194" s="1181"/>
      <c r="AA194" s="1181"/>
      <c r="AB194" s="1182"/>
      <c r="AC194" s="1181"/>
      <c r="AD194" s="1183"/>
      <c r="AE194" s="1184"/>
      <c r="AF194" s="1181"/>
      <c r="AG194" s="1181"/>
      <c r="AH194" s="853"/>
      <c r="AI194" s="853"/>
      <c r="AJ194" s="853"/>
      <c r="AK194" s="853"/>
      <c r="AL194" s="1181"/>
      <c r="AM194" s="1181"/>
      <c r="AN194" s="853"/>
      <c r="AO194" s="853"/>
      <c r="AP194" s="853"/>
      <c r="AQ194" s="853"/>
      <c r="AR194" s="853"/>
      <c r="AS194" s="853"/>
      <c r="AT194" s="853"/>
      <c r="AU194" s="853"/>
      <c r="AV194" s="1185"/>
      <c r="AW194" s="853"/>
      <c r="AX194" s="853"/>
      <c r="AY194" s="853"/>
      <c r="AZ194" s="853"/>
      <c r="BA194" s="853"/>
      <c r="BB194" s="853"/>
      <c r="BC194" s="853"/>
      <c r="BD194" s="853"/>
      <c r="BE194" s="853"/>
      <c r="BF194" s="853"/>
      <c r="BG194" s="853"/>
      <c r="BH194" s="853"/>
      <c r="BI194" s="853"/>
      <c r="BJ194" s="853"/>
      <c r="BK194" s="853"/>
      <c r="BL194" s="853"/>
      <c r="BM194" s="853"/>
      <c r="BN194" s="853"/>
      <c r="BO194" s="853"/>
      <c r="BP194" s="853"/>
    </row>
    <row r="195" ht="11.25" customHeight="1">
      <c r="A195" s="853"/>
      <c r="B195" s="853"/>
      <c r="C195" s="853"/>
      <c r="D195" s="853"/>
      <c r="E195" s="853"/>
      <c r="F195" s="853"/>
      <c r="G195" s="853"/>
      <c r="H195" s="853"/>
      <c r="I195" s="853"/>
      <c r="J195" s="853"/>
      <c r="K195" s="853"/>
      <c r="L195" s="853"/>
      <c r="M195" s="853"/>
      <c r="N195" s="853"/>
      <c r="O195" s="853"/>
      <c r="P195" s="853"/>
      <c r="Q195" s="853"/>
      <c r="R195" s="853"/>
      <c r="S195" s="853"/>
      <c r="T195" s="1181"/>
      <c r="U195" s="1181"/>
      <c r="V195" s="1181"/>
      <c r="W195" s="1181"/>
      <c r="X195" s="1181"/>
      <c r="Y195" s="1181"/>
      <c r="Z195" s="1181"/>
      <c r="AA195" s="1181"/>
      <c r="AB195" s="1182"/>
      <c r="AC195" s="1181"/>
      <c r="AD195" s="1183"/>
      <c r="AE195" s="1184"/>
      <c r="AF195" s="1181"/>
      <c r="AG195" s="1181"/>
      <c r="AH195" s="853"/>
      <c r="AI195" s="853"/>
      <c r="AJ195" s="853"/>
      <c r="AK195" s="853"/>
      <c r="AL195" s="1181"/>
      <c r="AM195" s="1181"/>
      <c r="AN195" s="853"/>
      <c r="AO195" s="853"/>
      <c r="AP195" s="853"/>
      <c r="AQ195" s="853"/>
      <c r="AR195" s="853"/>
      <c r="AS195" s="853"/>
      <c r="AT195" s="853"/>
      <c r="AU195" s="853"/>
      <c r="AV195" s="1185"/>
      <c r="AW195" s="853"/>
      <c r="AX195" s="853"/>
      <c r="AY195" s="853"/>
      <c r="AZ195" s="853"/>
      <c r="BA195" s="853"/>
      <c r="BB195" s="853"/>
      <c r="BC195" s="853"/>
      <c r="BD195" s="853"/>
      <c r="BE195" s="853"/>
      <c r="BF195" s="853"/>
      <c r="BG195" s="853"/>
      <c r="BH195" s="853"/>
      <c r="BI195" s="853"/>
      <c r="BJ195" s="853"/>
      <c r="BK195" s="853"/>
      <c r="BL195" s="853"/>
      <c r="BM195" s="853"/>
      <c r="BN195" s="853"/>
      <c r="BO195" s="853"/>
      <c r="BP195" s="853"/>
    </row>
    <row r="196" ht="11.25" customHeight="1">
      <c r="A196" s="853"/>
      <c r="B196" s="853"/>
      <c r="C196" s="853"/>
      <c r="D196" s="853"/>
      <c r="E196" s="853"/>
      <c r="F196" s="853"/>
      <c r="G196" s="853"/>
      <c r="H196" s="853"/>
      <c r="I196" s="853"/>
      <c r="J196" s="853"/>
      <c r="K196" s="853"/>
      <c r="L196" s="853"/>
      <c r="M196" s="853"/>
      <c r="N196" s="853"/>
      <c r="O196" s="853"/>
      <c r="P196" s="853"/>
      <c r="Q196" s="853"/>
      <c r="R196" s="853"/>
      <c r="S196" s="853"/>
      <c r="T196" s="1181"/>
      <c r="U196" s="1181"/>
      <c r="V196" s="1181"/>
      <c r="W196" s="1181"/>
      <c r="X196" s="1181"/>
      <c r="Y196" s="1181"/>
      <c r="Z196" s="1181"/>
      <c r="AA196" s="1181"/>
      <c r="AB196" s="1182"/>
      <c r="AC196" s="1181"/>
      <c r="AD196" s="1183"/>
      <c r="AE196" s="1184"/>
      <c r="AF196" s="1181"/>
      <c r="AG196" s="1181"/>
      <c r="AH196" s="853"/>
      <c r="AI196" s="853"/>
      <c r="AJ196" s="853"/>
      <c r="AK196" s="853"/>
      <c r="AL196" s="1181"/>
      <c r="AM196" s="1181"/>
      <c r="AN196" s="853"/>
      <c r="AO196" s="853"/>
      <c r="AP196" s="853"/>
      <c r="AQ196" s="853"/>
      <c r="AR196" s="853"/>
      <c r="AS196" s="853"/>
      <c r="AT196" s="853"/>
      <c r="AU196" s="853"/>
      <c r="AV196" s="1185"/>
      <c r="AW196" s="853"/>
      <c r="AX196" s="853"/>
      <c r="AY196" s="853"/>
      <c r="AZ196" s="853"/>
      <c r="BA196" s="853"/>
      <c r="BB196" s="853"/>
      <c r="BC196" s="853"/>
      <c r="BD196" s="853"/>
      <c r="BE196" s="853"/>
      <c r="BF196" s="853"/>
      <c r="BG196" s="853"/>
      <c r="BH196" s="853"/>
      <c r="BI196" s="853"/>
      <c r="BJ196" s="853"/>
      <c r="BK196" s="853"/>
      <c r="BL196" s="853"/>
      <c r="BM196" s="853"/>
      <c r="BN196" s="853"/>
      <c r="BO196" s="853"/>
      <c r="BP196" s="853"/>
    </row>
    <row r="197" ht="11.25" customHeight="1">
      <c r="A197" s="853"/>
      <c r="B197" s="853"/>
      <c r="C197" s="853"/>
      <c r="D197" s="853"/>
      <c r="E197" s="853"/>
      <c r="F197" s="853"/>
      <c r="G197" s="853"/>
      <c r="H197" s="853"/>
      <c r="I197" s="853"/>
      <c r="J197" s="853"/>
      <c r="K197" s="853"/>
      <c r="L197" s="853"/>
      <c r="M197" s="853"/>
      <c r="N197" s="853"/>
      <c r="O197" s="853"/>
      <c r="P197" s="853"/>
      <c r="Q197" s="853"/>
      <c r="R197" s="853"/>
      <c r="S197" s="853"/>
      <c r="T197" s="1181"/>
      <c r="U197" s="1181"/>
      <c r="V197" s="1181"/>
      <c r="W197" s="1181"/>
      <c r="X197" s="1181"/>
      <c r="Y197" s="1181"/>
      <c r="Z197" s="1181"/>
      <c r="AA197" s="1181"/>
      <c r="AB197" s="1182"/>
      <c r="AC197" s="1181"/>
      <c r="AD197" s="1183"/>
      <c r="AE197" s="1184"/>
      <c r="AF197" s="1181"/>
      <c r="AG197" s="1181"/>
      <c r="AH197" s="853"/>
      <c r="AI197" s="853"/>
      <c r="AJ197" s="853"/>
      <c r="AK197" s="853"/>
      <c r="AL197" s="1181"/>
      <c r="AM197" s="1181"/>
      <c r="AN197" s="853"/>
      <c r="AO197" s="853"/>
      <c r="AP197" s="853"/>
      <c r="AQ197" s="853"/>
      <c r="AR197" s="853"/>
      <c r="AS197" s="853"/>
      <c r="AT197" s="853"/>
      <c r="AU197" s="853"/>
      <c r="AV197" s="1185"/>
      <c r="AW197" s="853"/>
      <c r="AX197" s="853"/>
      <c r="AY197" s="853"/>
      <c r="AZ197" s="853"/>
      <c r="BA197" s="853"/>
      <c r="BB197" s="853"/>
      <c r="BC197" s="853"/>
      <c r="BD197" s="853"/>
      <c r="BE197" s="853"/>
      <c r="BF197" s="853"/>
      <c r="BG197" s="853"/>
      <c r="BH197" s="853"/>
      <c r="BI197" s="853"/>
      <c r="BJ197" s="853"/>
      <c r="BK197" s="853"/>
      <c r="BL197" s="853"/>
      <c r="BM197" s="853"/>
      <c r="BN197" s="853"/>
      <c r="BO197" s="853"/>
      <c r="BP197" s="853"/>
    </row>
    <row r="198" ht="11.25" customHeight="1">
      <c r="A198" s="853"/>
      <c r="B198" s="853"/>
      <c r="C198" s="853"/>
      <c r="D198" s="853"/>
      <c r="E198" s="853"/>
      <c r="F198" s="853"/>
      <c r="G198" s="853"/>
      <c r="H198" s="853"/>
      <c r="I198" s="853"/>
      <c r="J198" s="853"/>
      <c r="K198" s="853"/>
      <c r="L198" s="853"/>
      <c r="M198" s="853"/>
      <c r="N198" s="853"/>
      <c r="O198" s="853"/>
      <c r="P198" s="853"/>
      <c r="Q198" s="853"/>
      <c r="R198" s="853"/>
      <c r="S198" s="853"/>
      <c r="T198" s="1181"/>
      <c r="U198" s="1181"/>
      <c r="V198" s="1181"/>
      <c r="W198" s="1181"/>
      <c r="X198" s="1181"/>
      <c r="Y198" s="1181"/>
      <c r="Z198" s="1181"/>
      <c r="AA198" s="1181"/>
      <c r="AB198" s="1182"/>
      <c r="AC198" s="1181"/>
      <c r="AD198" s="1183"/>
      <c r="AE198" s="1184"/>
      <c r="AF198" s="1181"/>
      <c r="AG198" s="1181"/>
      <c r="AH198" s="853"/>
      <c r="AI198" s="853"/>
      <c r="AJ198" s="853"/>
      <c r="AK198" s="853"/>
      <c r="AL198" s="1181"/>
      <c r="AM198" s="1181"/>
      <c r="AN198" s="853"/>
      <c r="AO198" s="853"/>
      <c r="AP198" s="853"/>
      <c r="AQ198" s="853"/>
      <c r="AR198" s="853"/>
      <c r="AS198" s="853"/>
      <c r="AT198" s="853"/>
      <c r="AU198" s="853"/>
      <c r="AV198" s="1185"/>
      <c r="AW198" s="853"/>
      <c r="AX198" s="853"/>
      <c r="AY198" s="853"/>
      <c r="AZ198" s="853"/>
      <c r="BA198" s="853"/>
      <c r="BB198" s="853"/>
      <c r="BC198" s="853"/>
      <c r="BD198" s="853"/>
      <c r="BE198" s="853"/>
      <c r="BF198" s="853"/>
      <c r="BG198" s="853"/>
      <c r="BH198" s="853"/>
      <c r="BI198" s="853"/>
      <c r="BJ198" s="853"/>
      <c r="BK198" s="853"/>
      <c r="BL198" s="853"/>
      <c r="BM198" s="853"/>
      <c r="BN198" s="853"/>
      <c r="BO198" s="853"/>
      <c r="BP198" s="853"/>
    </row>
    <row r="199" ht="11.25" customHeight="1">
      <c r="A199" s="853"/>
      <c r="B199" s="853"/>
      <c r="C199" s="853"/>
      <c r="D199" s="853"/>
      <c r="E199" s="853"/>
      <c r="F199" s="853"/>
      <c r="G199" s="853"/>
      <c r="H199" s="853"/>
      <c r="I199" s="853"/>
      <c r="J199" s="853"/>
      <c r="K199" s="853"/>
      <c r="L199" s="853"/>
      <c r="M199" s="853"/>
      <c r="N199" s="853"/>
      <c r="O199" s="853"/>
      <c r="P199" s="853"/>
      <c r="Q199" s="853"/>
      <c r="R199" s="853"/>
      <c r="S199" s="853"/>
      <c r="T199" s="1181"/>
      <c r="U199" s="1181"/>
      <c r="V199" s="1181"/>
      <c r="W199" s="1181"/>
      <c r="X199" s="1181"/>
      <c r="Y199" s="1181"/>
      <c r="Z199" s="1181"/>
      <c r="AA199" s="1181"/>
      <c r="AB199" s="1182"/>
      <c r="AC199" s="1181"/>
      <c r="AD199" s="1183"/>
      <c r="AE199" s="1184"/>
      <c r="AF199" s="1181"/>
      <c r="AG199" s="1181"/>
      <c r="AH199" s="853"/>
      <c r="AI199" s="853"/>
      <c r="AJ199" s="853"/>
      <c r="AK199" s="853"/>
      <c r="AL199" s="1181"/>
      <c r="AM199" s="1181"/>
      <c r="AN199" s="853"/>
      <c r="AO199" s="853"/>
      <c r="AP199" s="853"/>
      <c r="AQ199" s="853"/>
      <c r="AR199" s="853"/>
      <c r="AS199" s="853"/>
      <c r="AT199" s="853"/>
      <c r="AU199" s="853"/>
      <c r="AV199" s="1185"/>
      <c r="AW199" s="853"/>
      <c r="AX199" s="853"/>
      <c r="AY199" s="853"/>
      <c r="AZ199" s="853"/>
      <c r="BA199" s="853"/>
      <c r="BB199" s="853"/>
      <c r="BC199" s="853"/>
      <c r="BD199" s="853"/>
      <c r="BE199" s="853"/>
      <c r="BF199" s="853"/>
      <c r="BG199" s="853"/>
      <c r="BH199" s="853"/>
      <c r="BI199" s="853"/>
      <c r="BJ199" s="853"/>
      <c r="BK199" s="853"/>
      <c r="BL199" s="853"/>
      <c r="BM199" s="853"/>
      <c r="BN199" s="853"/>
      <c r="BO199" s="853"/>
      <c r="BP199" s="853"/>
    </row>
    <row r="200" ht="11.25" customHeight="1">
      <c r="A200" s="853"/>
      <c r="B200" s="853"/>
      <c r="C200" s="853"/>
      <c r="D200" s="853"/>
      <c r="E200" s="853"/>
      <c r="F200" s="853"/>
      <c r="G200" s="853"/>
      <c r="H200" s="853"/>
      <c r="I200" s="853"/>
      <c r="J200" s="853"/>
      <c r="K200" s="853"/>
      <c r="L200" s="853"/>
      <c r="M200" s="853"/>
      <c r="N200" s="853"/>
      <c r="O200" s="853"/>
      <c r="P200" s="853"/>
      <c r="Q200" s="853"/>
      <c r="R200" s="853"/>
      <c r="S200" s="853"/>
      <c r="T200" s="1181"/>
      <c r="U200" s="1181"/>
      <c r="V200" s="1181"/>
      <c r="W200" s="1181"/>
      <c r="X200" s="1181"/>
      <c r="Y200" s="1181"/>
      <c r="Z200" s="1181"/>
      <c r="AA200" s="1181"/>
      <c r="AB200" s="1182"/>
      <c r="AC200" s="1181"/>
      <c r="AD200" s="1183"/>
      <c r="AE200" s="1184"/>
      <c r="AF200" s="1181"/>
      <c r="AG200" s="1181"/>
      <c r="AH200" s="853"/>
      <c r="AI200" s="853"/>
      <c r="AJ200" s="853"/>
      <c r="AK200" s="853"/>
      <c r="AL200" s="1181"/>
      <c r="AM200" s="1181"/>
      <c r="AN200" s="853"/>
      <c r="AO200" s="853"/>
      <c r="AP200" s="853"/>
      <c r="AQ200" s="853"/>
      <c r="AR200" s="853"/>
      <c r="AS200" s="853"/>
      <c r="AT200" s="853"/>
      <c r="AU200" s="853"/>
      <c r="AV200" s="1185"/>
      <c r="AW200" s="853"/>
      <c r="AX200" s="853"/>
      <c r="AY200" s="853"/>
      <c r="AZ200" s="853"/>
      <c r="BA200" s="853"/>
      <c r="BB200" s="853"/>
      <c r="BC200" s="853"/>
      <c r="BD200" s="853"/>
      <c r="BE200" s="853"/>
      <c r="BF200" s="853"/>
      <c r="BG200" s="853"/>
      <c r="BH200" s="853"/>
      <c r="BI200" s="853"/>
      <c r="BJ200" s="853"/>
      <c r="BK200" s="853"/>
      <c r="BL200" s="853"/>
      <c r="BM200" s="853"/>
      <c r="BN200" s="853"/>
      <c r="BO200" s="853"/>
      <c r="BP200" s="853"/>
    </row>
    <row r="201" ht="11.25" customHeight="1">
      <c r="A201" s="853"/>
      <c r="B201" s="853"/>
      <c r="C201" s="853"/>
      <c r="D201" s="853"/>
      <c r="E201" s="853"/>
      <c r="F201" s="853"/>
      <c r="G201" s="853"/>
      <c r="H201" s="853"/>
      <c r="I201" s="853"/>
      <c r="J201" s="853"/>
      <c r="K201" s="853"/>
      <c r="L201" s="853"/>
      <c r="M201" s="853"/>
      <c r="N201" s="853"/>
      <c r="O201" s="853"/>
      <c r="P201" s="853"/>
      <c r="Q201" s="853"/>
      <c r="R201" s="853"/>
      <c r="S201" s="853"/>
      <c r="T201" s="1181"/>
      <c r="U201" s="1181"/>
      <c r="V201" s="1181"/>
      <c r="W201" s="1181"/>
      <c r="X201" s="1181"/>
      <c r="Y201" s="1181"/>
      <c r="Z201" s="1181"/>
      <c r="AA201" s="1181"/>
      <c r="AB201" s="1182"/>
      <c r="AC201" s="1181"/>
      <c r="AD201" s="1183"/>
      <c r="AE201" s="1184"/>
      <c r="AF201" s="1181"/>
      <c r="AG201" s="1181"/>
      <c r="AH201" s="853"/>
      <c r="AI201" s="853"/>
      <c r="AJ201" s="853"/>
      <c r="AK201" s="853"/>
      <c r="AL201" s="1181"/>
      <c r="AM201" s="1181"/>
      <c r="AN201" s="853"/>
      <c r="AO201" s="853"/>
      <c r="AP201" s="853"/>
      <c r="AQ201" s="853"/>
      <c r="AR201" s="853"/>
      <c r="AS201" s="853"/>
      <c r="AT201" s="853"/>
      <c r="AU201" s="853"/>
      <c r="AV201" s="1185"/>
      <c r="AW201" s="853"/>
      <c r="AX201" s="853"/>
      <c r="AY201" s="853"/>
      <c r="AZ201" s="853"/>
      <c r="BA201" s="853"/>
      <c r="BB201" s="853"/>
      <c r="BC201" s="853"/>
      <c r="BD201" s="853"/>
      <c r="BE201" s="853"/>
      <c r="BF201" s="853"/>
      <c r="BG201" s="853"/>
      <c r="BH201" s="853"/>
      <c r="BI201" s="853"/>
      <c r="BJ201" s="853"/>
      <c r="BK201" s="853"/>
      <c r="BL201" s="853"/>
      <c r="BM201" s="853"/>
      <c r="BN201" s="853"/>
      <c r="BO201" s="853"/>
      <c r="BP201" s="853"/>
    </row>
    <row r="202" ht="11.25" customHeight="1">
      <c r="A202" s="853"/>
      <c r="B202" s="853"/>
      <c r="C202" s="853"/>
      <c r="D202" s="853"/>
      <c r="E202" s="853"/>
      <c r="F202" s="853"/>
      <c r="G202" s="853"/>
      <c r="H202" s="853"/>
      <c r="I202" s="853"/>
      <c r="J202" s="853"/>
      <c r="K202" s="853"/>
      <c r="L202" s="853"/>
      <c r="M202" s="853"/>
      <c r="N202" s="853"/>
      <c r="O202" s="853"/>
      <c r="P202" s="853"/>
      <c r="Q202" s="853"/>
      <c r="R202" s="853"/>
      <c r="S202" s="853"/>
      <c r="T202" s="1181"/>
      <c r="U202" s="1181"/>
      <c r="V202" s="1181"/>
      <c r="W202" s="1181"/>
      <c r="X202" s="1181"/>
      <c r="Y202" s="1181"/>
      <c r="Z202" s="1181"/>
      <c r="AA202" s="1181"/>
      <c r="AB202" s="1182"/>
      <c r="AC202" s="1181"/>
      <c r="AD202" s="1183"/>
      <c r="AE202" s="1184"/>
      <c r="AF202" s="1181"/>
      <c r="AG202" s="1181"/>
      <c r="AH202" s="853"/>
      <c r="AI202" s="853"/>
      <c r="AJ202" s="853"/>
      <c r="AK202" s="853"/>
      <c r="AL202" s="1181"/>
      <c r="AM202" s="1181"/>
      <c r="AN202" s="853"/>
      <c r="AO202" s="853"/>
      <c r="AP202" s="853"/>
      <c r="AQ202" s="853"/>
      <c r="AR202" s="853"/>
      <c r="AS202" s="853"/>
      <c r="AT202" s="853"/>
      <c r="AU202" s="853"/>
      <c r="AV202" s="1185"/>
      <c r="AW202" s="853"/>
      <c r="AX202" s="853"/>
      <c r="AY202" s="853"/>
      <c r="AZ202" s="853"/>
      <c r="BA202" s="853"/>
      <c r="BB202" s="853"/>
      <c r="BC202" s="853"/>
      <c r="BD202" s="853"/>
      <c r="BE202" s="853"/>
      <c r="BF202" s="853"/>
      <c r="BG202" s="853"/>
      <c r="BH202" s="853"/>
      <c r="BI202" s="853"/>
      <c r="BJ202" s="853"/>
      <c r="BK202" s="853"/>
      <c r="BL202" s="853"/>
      <c r="BM202" s="853"/>
      <c r="BN202" s="853"/>
      <c r="BO202" s="853"/>
      <c r="BP202" s="853"/>
    </row>
    <row r="203" ht="11.25" customHeight="1">
      <c r="A203" s="853"/>
      <c r="B203" s="853"/>
      <c r="C203" s="853"/>
      <c r="D203" s="853"/>
      <c r="E203" s="853"/>
      <c r="F203" s="853"/>
      <c r="G203" s="853"/>
      <c r="H203" s="853"/>
      <c r="I203" s="853"/>
      <c r="J203" s="853"/>
      <c r="K203" s="853"/>
      <c r="L203" s="853"/>
      <c r="M203" s="853"/>
      <c r="N203" s="853"/>
      <c r="O203" s="853"/>
      <c r="P203" s="853"/>
      <c r="Q203" s="853"/>
      <c r="R203" s="853"/>
      <c r="S203" s="853"/>
      <c r="T203" s="1181"/>
      <c r="U203" s="1181"/>
      <c r="V203" s="1181"/>
      <c r="W203" s="1181"/>
      <c r="X203" s="1181"/>
      <c r="Y203" s="1181"/>
      <c r="Z203" s="1181"/>
      <c r="AA203" s="1181"/>
      <c r="AB203" s="1182"/>
      <c r="AC203" s="1181"/>
      <c r="AD203" s="1183"/>
      <c r="AE203" s="1184"/>
      <c r="AF203" s="1181"/>
      <c r="AG203" s="1181"/>
      <c r="AH203" s="853"/>
      <c r="AI203" s="853"/>
      <c r="AJ203" s="853"/>
      <c r="AK203" s="853"/>
      <c r="AL203" s="1181"/>
      <c r="AM203" s="1181"/>
      <c r="AN203" s="853"/>
      <c r="AO203" s="853"/>
      <c r="AP203" s="853"/>
      <c r="AQ203" s="853"/>
      <c r="AR203" s="853"/>
      <c r="AS203" s="853"/>
      <c r="AT203" s="853"/>
      <c r="AU203" s="853"/>
      <c r="AV203" s="1185"/>
      <c r="AW203" s="853"/>
      <c r="AX203" s="853"/>
      <c r="AY203" s="853"/>
      <c r="AZ203" s="853"/>
      <c r="BA203" s="853"/>
      <c r="BB203" s="853"/>
      <c r="BC203" s="853"/>
      <c r="BD203" s="853"/>
      <c r="BE203" s="853"/>
      <c r="BF203" s="853"/>
      <c r="BG203" s="853"/>
      <c r="BH203" s="853"/>
      <c r="BI203" s="853"/>
      <c r="BJ203" s="853"/>
      <c r="BK203" s="853"/>
      <c r="BL203" s="853"/>
      <c r="BM203" s="853"/>
      <c r="BN203" s="853"/>
      <c r="BO203" s="853"/>
      <c r="BP203" s="853"/>
    </row>
    <row r="204" ht="11.25" customHeight="1">
      <c r="A204" s="853"/>
      <c r="B204" s="853"/>
      <c r="C204" s="853"/>
      <c r="D204" s="853"/>
      <c r="E204" s="853"/>
      <c r="F204" s="853"/>
      <c r="G204" s="853"/>
      <c r="H204" s="853"/>
      <c r="I204" s="853"/>
      <c r="J204" s="853"/>
      <c r="K204" s="853"/>
      <c r="L204" s="853"/>
      <c r="M204" s="853"/>
      <c r="N204" s="853"/>
      <c r="O204" s="853"/>
      <c r="P204" s="853"/>
      <c r="Q204" s="853"/>
      <c r="R204" s="853"/>
      <c r="S204" s="853"/>
      <c r="T204" s="1181"/>
      <c r="U204" s="1181"/>
      <c r="V204" s="1181"/>
      <c r="W204" s="1181"/>
      <c r="X204" s="1181"/>
      <c r="Y204" s="1181"/>
      <c r="Z204" s="1181"/>
      <c r="AA204" s="1181"/>
      <c r="AB204" s="1182"/>
      <c r="AC204" s="1181"/>
      <c r="AD204" s="1183"/>
      <c r="AE204" s="1184"/>
      <c r="AF204" s="1181"/>
      <c r="AG204" s="1181"/>
      <c r="AH204" s="853"/>
      <c r="AI204" s="853"/>
      <c r="AJ204" s="853"/>
      <c r="AK204" s="853"/>
      <c r="AL204" s="1181"/>
      <c r="AM204" s="1181"/>
      <c r="AN204" s="853"/>
      <c r="AO204" s="853"/>
      <c r="AP204" s="853"/>
      <c r="AQ204" s="853"/>
      <c r="AR204" s="853"/>
      <c r="AS204" s="853"/>
      <c r="AT204" s="853"/>
      <c r="AU204" s="853"/>
      <c r="AV204" s="1185"/>
      <c r="AW204" s="853"/>
      <c r="AX204" s="853"/>
      <c r="AY204" s="853"/>
      <c r="AZ204" s="853"/>
      <c r="BA204" s="853"/>
      <c r="BB204" s="853"/>
      <c r="BC204" s="853"/>
      <c r="BD204" s="853"/>
      <c r="BE204" s="853"/>
      <c r="BF204" s="853"/>
      <c r="BG204" s="853"/>
      <c r="BH204" s="853"/>
      <c r="BI204" s="853"/>
      <c r="BJ204" s="853"/>
      <c r="BK204" s="853"/>
      <c r="BL204" s="853"/>
      <c r="BM204" s="853"/>
      <c r="BN204" s="853"/>
      <c r="BO204" s="853"/>
      <c r="BP204" s="853"/>
    </row>
    <row r="205" ht="11.25" customHeight="1">
      <c r="A205" s="853"/>
      <c r="B205" s="853"/>
      <c r="C205" s="853"/>
      <c r="D205" s="853"/>
      <c r="E205" s="853"/>
      <c r="F205" s="853"/>
      <c r="G205" s="853"/>
      <c r="H205" s="853"/>
      <c r="I205" s="853"/>
      <c r="J205" s="853"/>
      <c r="K205" s="853"/>
      <c r="L205" s="853"/>
      <c r="M205" s="853"/>
      <c r="N205" s="853"/>
      <c r="O205" s="853"/>
      <c r="P205" s="853"/>
      <c r="Q205" s="853"/>
      <c r="R205" s="853"/>
      <c r="S205" s="853"/>
      <c r="T205" s="1181"/>
      <c r="U205" s="1181"/>
      <c r="V205" s="1181"/>
      <c r="W205" s="1181"/>
      <c r="X205" s="1181"/>
      <c r="Y205" s="1181"/>
      <c r="Z205" s="1181"/>
      <c r="AA205" s="1181"/>
      <c r="AB205" s="1182"/>
      <c r="AC205" s="1181"/>
      <c r="AD205" s="1183"/>
      <c r="AE205" s="1184"/>
      <c r="AF205" s="1181"/>
      <c r="AG205" s="1181"/>
      <c r="AH205" s="853"/>
      <c r="AI205" s="853"/>
      <c r="AJ205" s="853"/>
      <c r="AK205" s="853"/>
      <c r="AL205" s="1181"/>
      <c r="AM205" s="1181"/>
      <c r="AN205" s="853"/>
      <c r="AO205" s="853"/>
      <c r="AP205" s="853"/>
      <c r="AQ205" s="853"/>
      <c r="AR205" s="853"/>
      <c r="AS205" s="853"/>
      <c r="AT205" s="853"/>
      <c r="AU205" s="853"/>
      <c r="AV205" s="1185"/>
      <c r="AW205" s="853"/>
      <c r="AX205" s="853"/>
      <c r="AY205" s="853"/>
      <c r="AZ205" s="853"/>
      <c r="BA205" s="853"/>
      <c r="BB205" s="853"/>
      <c r="BC205" s="853"/>
      <c r="BD205" s="853"/>
      <c r="BE205" s="853"/>
      <c r="BF205" s="853"/>
      <c r="BG205" s="853"/>
      <c r="BH205" s="853"/>
      <c r="BI205" s="853"/>
      <c r="BJ205" s="853"/>
      <c r="BK205" s="853"/>
      <c r="BL205" s="853"/>
      <c r="BM205" s="853"/>
      <c r="BN205" s="853"/>
      <c r="BO205" s="853"/>
      <c r="BP205" s="853"/>
    </row>
    <row r="206" ht="11.25" customHeight="1">
      <c r="A206" s="853"/>
      <c r="B206" s="853"/>
      <c r="C206" s="853"/>
      <c r="D206" s="853"/>
      <c r="E206" s="853"/>
      <c r="F206" s="853"/>
      <c r="G206" s="853"/>
      <c r="H206" s="853"/>
      <c r="I206" s="853"/>
      <c r="J206" s="853"/>
      <c r="K206" s="853"/>
      <c r="L206" s="853"/>
      <c r="M206" s="853"/>
      <c r="N206" s="853"/>
      <c r="O206" s="853"/>
      <c r="P206" s="853"/>
      <c r="Q206" s="853"/>
      <c r="R206" s="853"/>
      <c r="S206" s="853"/>
      <c r="T206" s="1181"/>
      <c r="U206" s="1181"/>
      <c r="V206" s="1181"/>
      <c r="W206" s="1181"/>
      <c r="X206" s="1181"/>
      <c r="Y206" s="1181"/>
      <c r="Z206" s="1181"/>
      <c r="AA206" s="1181"/>
      <c r="AB206" s="1182"/>
      <c r="AC206" s="1181"/>
      <c r="AD206" s="1183"/>
      <c r="AE206" s="1184"/>
      <c r="AF206" s="1181"/>
      <c r="AG206" s="1181"/>
      <c r="AH206" s="853"/>
      <c r="AI206" s="853"/>
      <c r="AJ206" s="853"/>
      <c r="AK206" s="853"/>
      <c r="AL206" s="1181"/>
      <c r="AM206" s="1181"/>
      <c r="AN206" s="853"/>
      <c r="AO206" s="853"/>
      <c r="AP206" s="853"/>
      <c r="AQ206" s="853"/>
      <c r="AR206" s="853"/>
      <c r="AS206" s="853"/>
      <c r="AT206" s="853"/>
      <c r="AU206" s="853"/>
      <c r="AV206" s="1185"/>
      <c r="AW206" s="853"/>
      <c r="AX206" s="853"/>
      <c r="AY206" s="853"/>
      <c r="AZ206" s="853"/>
      <c r="BA206" s="853"/>
      <c r="BB206" s="853"/>
      <c r="BC206" s="853"/>
      <c r="BD206" s="853"/>
      <c r="BE206" s="853"/>
      <c r="BF206" s="853"/>
      <c r="BG206" s="853"/>
      <c r="BH206" s="853"/>
      <c r="BI206" s="853"/>
      <c r="BJ206" s="853"/>
      <c r="BK206" s="853"/>
      <c r="BL206" s="853"/>
      <c r="BM206" s="853"/>
      <c r="BN206" s="853"/>
      <c r="BO206" s="853"/>
      <c r="BP206" s="853"/>
    </row>
    <row r="207" ht="11.25" customHeight="1">
      <c r="A207" s="853"/>
      <c r="B207" s="853"/>
      <c r="C207" s="853"/>
      <c r="D207" s="853"/>
      <c r="E207" s="853"/>
      <c r="F207" s="853"/>
      <c r="G207" s="853"/>
      <c r="H207" s="853"/>
      <c r="I207" s="853"/>
      <c r="J207" s="853"/>
      <c r="K207" s="853"/>
      <c r="L207" s="853"/>
      <c r="M207" s="853"/>
      <c r="N207" s="853"/>
      <c r="O207" s="853"/>
      <c r="P207" s="853"/>
      <c r="Q207" s="853"/>
      <c r="R207" s="853"/>
      <c r="S207" s="853"/>
      <c r="T207" s="1181"/>
      <c r="U207" s="1181"/>
      <c r="V207" s="1181"/>
      <c r="W207" s="1181"/>
      <c r="X207" s="1181"/>
      <c r="Y207" s="1181"/>
      <c r="Z207" s="1181"/>
      <c r="AA207" s="1181"/>
      <c r="AB207" s="1182"/>
      <c r="AC207" s="1181"/>
      <c r="AD207" s="1183"/>
      <c r="AE207" s="1184"/>
      <c r="AF207" s="1181"/>
      <c r="AG207" s="1181"/>
      <c r="AH207" s="853"/>
      <c r="AI207" s="853"/>
      <c r="AJ207" s="853"/>
      <c r="AK207" s="853"/>
      <c r="AL207" s="1181"/>
      <c r="AM207" s="1181"/>
      <c r="AN207" s="853"/>
      <c r="AO207" s="853"/>
      <c r="AP207" s="853"/>
      <c r="AQ207" s="853"/>
      <c r="AR207" s="853"/>
      <c r="AS207" s="853"/>
      <c r="AT207" s="853"/>
      <c r="AU207" s="853"/>
      <c r="AV207" s="1185"/>
      <c r="AW207" s="853"/>
      <c r="AX207" s="853"/>
      <c r="AY207" s="853"/>
      <c r="AZ207" s="853"/>
      <c r="BA207" s="853"/>
      <c r="BB207" s="853"/>
      <c r="BC207" s="853"/>
      <c r="BD207" s="853"/>
      <c r="BE207" s="853"/>
      <c r="BF207" s="853"/>
      <c r="BG207" s="853"/>
      <c r="BH207" s="853"/>
      <c r="BI207" s="853"/>
      <c r="BJ207" s="853"/>
      <c r="BK207" s="853"/>
      <c r="BL207" s="853"/>
      <c r="BM207" s="853"/>
      <c r="BN207" s="853"/>
      <c r="BO207" s="853"/>
      <c r="BP207" s="853"/>
    </row>
    <row r="208" ht="11.25" customHeight="1">
      <c r="A208" s="853"/>
      <c r="B208" s="853"/>
      <c r="C208" s="853"/>
      <c r="D208" s="853"/>
      <c r="E208" s="853"/>
      <c r="F208" s="853"/>
      <c r="G208" s="853"/>
      <c r="H208" s="853"/>
      <c r="I208" s="853"/>
      <c r="J208" s="853"/>
      <c r="K208" s="853"/>
      <c r="L208" s="853"/>
      <c r="M208" s="853"/>
      <c r="N208" s="853"/>
      <c r="O208" s="853"/>
      <c r="P208" s="853"/>
      <c r="Q208" s="853"/>
      <c r="R208" s="853"/>
      <c r="S208" s="853"/>
      <c r="T208" s="1181"/>
      <c r="U208" s="1181"/>
      <c r="V208" s="1181"/>
      <c r="W208" s="1181"/>
      <c r="X208" s="1181"/>
      <c r="Y208" s="1181"/>
      <c r="Z208" s="1181"/>
      <c r="AA208" s="1181"/>
      <c r="AB208" s="1182"/>
      <c r="AC208" s="1181"/>
      <c r="AD208" s="1183"/>
      <c r="AE208" s="1184"/>
      <c r="AF208" s="1181"/>
      <c r="AG208" s="1181"/>
      <c r="AH208" s="853"/>
      <c r="AI208" s="853"/>
      <c r="AJ208" s="853"/>
      <c r="AK208" s="853"/>
      <c r="AL208" s="1181"/>
      <c r="AM208" s="1181"/>
      <c r="AN208" s="853"/>
      <c r="AO208" s="853"/>
      <c r="AP208" s="853"/>
      <c r="AQ208" s="853"/>
      <c r="AR208" s="853"/>
      <c r="AS208" s="853"/>
      <c r="AT208" s="853"/>
      <c r="AU208" s="853"/>
      <c r="AV208" s="1185"/>
      <c r="AW208" s="853"/>
      <c r="AX208" s="853"/>
      <c r="AY208" s="853"/>
      <c r="AZ208" s="853"/>
      <c r="BA208" s="853"/>
      <c r="BB208" s="853"/>
      <c r="BC208" s="853"/>
      <c r="BD208" s="853"/>
      <c r="BE208" s="853"/>
      <c r="BF208" s="853"/>
      <c r="BG208" s="853"/>
      <c r="BH208" s="853"/>
      <c r="BI208" s="853"/>
      <c r="BJ208" s="853"/>
      <c r="BK208" s="853"/>
      <c r="BL208" s="853"/>
      <c r="BM208" s="853"/>
      <c r="BN208" s="853"/>
      <c r="BO208" s="853"/>
      <c r="BP208" s="853"/>
    </row>
    <row r="209" ht="11.25" customHeight="1">
      <c r="A209" s="853"/>
      <c r="B209" s="853"/>
      <c r="C209" s="853"/>
      <c r="D209" s="853"/>
      <c r="E209" s="853"/>
      <c r="F209" s="853"/>
      <c r="G209" s="853"/>
      <c r="H209" s="853"/>
      <c r="I209" s="853"/>
      <c r="J209" s="853"/>
      <c r="K209" s="853"/>
      <c r="L209" s="853"/>
      <c r="M209" s="853"/>
      <c r="N209" s="853"/>
      <c r="O209" s="853"/>
      <c r="P209" s="853"/>
      <c r="Q209" s="853"/>
      <c r="R209" s="853"/>
      <c r="S209" s="853"/>
      <c r="T209" s="1181"/>
      <c r="U209" s="1181"/>
      <c r="V209" s="1181"/>
      <c r="W209" s="1181"/>
      <c r="X209" s="1181"/>
      <c r="Y209" s="1181"/>
      <c r="Z209" s="1181"/>
      <c r="AA209" s="1181"/>
      <c r="AB209" s="1182"/>
      <c r="AC209" s="1181"/>
      <c r="AD209" s="1183"/>
      <c r="AE209" s="1184"/>
      <c r="AF209" s="1181"/>
      <c r="AG209" s="1181"/>
      <c r="AH209" s="853"/>
      <c r="AI209" s="853"/>
      <c r="AJ209" s="853"/>
      <c r="AK209" s="853"/>
      <c r="AL209" s="1181"/>
      <c r="AM209" s="1181"/>
      <c r="AN209" s="853"/>
      <c r="AO209" s="853"/>
      <c r="AP209" s="853"/>
      <c r="AQ209" s="853"/>
      <c r="AR209" s="853"/>
      <c r="AS209" s="853"/>
      <c r="AT209" s="853"/>
      <c r="AU209" s="853"/>
      <c r="AV209" s="1185"/>
      <c r="AW209" s="853"/>
      <c r="AX209" s="853"/>
      <c r="AY209" s="853"/>
      <c r="AZ209" s="853"/>
      <c r="BA209" s="853"/>
      <c r="BB209" s="853"/>
      <c r="BC209" s="853"/>
      <c r="BD209" s="853"/>
      <c r="BE209" s="853"/>
      <c r="BF209" s="853"/>
      <c r="BG209" s="853"/>
      <c r="BH209" s="853"/>
      <c r="BI209" s="853"/>
      <c r="BJ209" s="853"/>
      <c r="BK209" s="853"/>
      <c r="BL209" s="853"/>
      <c r="BM209" s="853"/>
      <c r="BN209" s="853"/>
      <c r="BO209" s="853"/>
      <c r="BP209" s="853"/>
    </row>
    <row r="210" ht="11.25" customHeight="1">
      <c r="A210" s="853"/>
      <c r="B210" s="853"/>
      <c r="C210" s="853"/>
      <c r="D210" s="853"/>
      <c r="E210" s="853"/>
      <c r="F210" s="853"/>
      <c r="G210" s="853"/>
      <c r="H210" s="853"/>
      <c r="I210" s="853"/>
      <c r="J210" s="853"/>
      <c r="K210" s="853"/>
      <c r="L210" s="853"/>
      <c r="M210" s="853"/>
      <c r="N210" s="853"/>
      <c r="O210" s="853"/>
      <c r="P210" s="853"/>
      <c r="Q210" s="853"/>
      <c r="R210" s="853"/>
      <c r="S210" s="853"/>
      <c r="T210" s="1181"/>
      <c r="U210" s="1181"/>
      <c r="V210" s="1181"/>
      <c r="W210" s="1181"/>
      <c r="X210" s="1181"/>
      <c r="Y210" s="1181"/>
      <c r="Z210" s="1181"/>
      <c r="AA210" s="1181"/>
      <c r="AB210" s="1182"/>
      <c r="AC210" s="1181"/>
      <c r="AD210" s="1183"/>
      <c r="AE210" s="1184"/>
      <c r="AF210" s="1181"/>
      <c r="AG210" s="1181"/>
      <c r="AH210" s="853"/>
      <c r="AI210" s="853"/>
      <c r="AJ210" s="853"/>
      <c r="AK210" s="853"/>
      <c r="AL210" s="1181"/>
      <c r="AM210" s="1181"/>
      <c r="AN210" s="853"/>
      <c r="AO210" s="853"/>
      <c r="AP210" s="853"/>
      <c r="AQ210" s="853"/>
      <c r="AR210" s="853"/>
      <c r="AS210" s="853"/>
      <c r="AT210" s="853"/>
      <c r="AU210" s="853"/>
      <c r="AV210" s="1185"/>
      <c r="AW210" s="853"/>
      <c r="AX210" s="853"/>
      <c r="AY210" s="853"/>
      <c r="AZ210" s="853"/>
      <c r="BA210" s="853"/>
      <c r="BB210" s="853"/>
      <c r="BC210" s="853"/>
      <c r="BD210" s="853"/>
      <c r="BE210" s="853"/>
      <c r="BF210" s="853"/>
      <c r="BG210" s="853"/>
      <c r="BH210" s="853"/>
      <c r="BI210" s="853"/>
      <c r="BJ210" s="853"/>
      <c r="BK210" s="853"/>
      <c r="BL210" s="853"/>
      <c r="BM210" s="853"/>
      <c r="BN210" s="853"/>
      <c r="BO210" s="853"/>
      <c r="BP210" s="853"/>
    </row>
    <row r="211" ht="11.25" customHeight="1">
      <c r="A211" s="853"/>
      <c r="B211" s="853"/>
      <c r="C211" s="853"/>
      <c r="D211" s="853"/>
      <c r="E211" s="853"/>
      <c r="F211" s="853"/>
      <c r="G211" s="853"/>
      <c r="H211" s="853"/>
      <c r="I211" s="853"/>
      <c r="J211" s="853"/>
      <c r="K211" s="853"/>
      <c r="L211" s="853"/>
      <c r="M211" s="853"/>
      <c r="N211" s="853"/>
      <c r="O211" s="853"/>
      <c r="P211" s="853"/>
      <c r="Q211" s="853"/>
      <c r="R211" s="853"/>
      <c r="S211" s="853"/>
      <c r="T211" s="1181"/>
      <c r="U211" s="1181"/>
      <c r="V211" s="1181"/>
      <c r="W211" s="1181"/>
      <c r="X211" s="1181"/>
      <c r="Y211" s="1181"/>
      <c r="Z211" s="1181"/>
      <c r="AA211" s="1181"/>
      <c r="AB211" s="1182"/>
      <c r="AC211" s="1181"/>
      <c r="AD211" s="1183"/>
      <c r="AE211" s="1184"/>
      <c r="AF211" s="1181"/>
      <c r="AG211" s="1181"/>
      <c r="AH211" s="853"/>
      <c r="AI211" s="853"/>
      <c r="AJ211" s="853"/>
      <c r="AK211" s="853"/>
      <c r="AL211" s="1181"/>
      <c r="AM211" s="1181"/>
      <c r="AN211" s="853"/>
      <c r="AO211" s="853"/>
      <c r="AP211" s="853"/>
      <c r="AQ211" s="853"/>
      <c r="AR211" s="853"/>
      <c r="AS211" s="853"/>
      <c r="AT211" s="853"/>
      <c r="AU211" s="853"/>
      <c r="AV211" s="1185"/>
      <c r="AW211" s="853"/>
      <c r="AX211" s="853"/>
      <c r="AY211" s="853"/>
      <c r="AZ211" s="853"/>
      <c r="BA211" s="853"/>
      <c r="BB211" s="853"/>
      <c r="BC211" s="853"/>
      <c r="BD211" s="853"/>
      <c r="BE211" s="853"/>
      <c r="BF211" s="853"/>
      <c r="BG211" s="853"/>
      <c r="BH211" s="853"/>
      <c r="BI211" s="853"/>
      <c r="BJ211" s="853"/>
      <c r="BK211" s="853"/>
      <c r="BL211" s="853"/>
      <c r="BM211" s="853"/>
      <c r="BN211" s="853"/>
      <c r="BO211" s="853"/>
      <c r="BP211" s="853"/>
    </row>
    <row r="212" ht="11.25" customHeight="1">
      <c r="A212" s="853"/>
      <c r="B212" s="853"/>
      <c r="C212" s="853"/>
      <c r="D212" s="853"/>
      <c r="E212" s="853"/>
      <c r="F212" s="853"/>
      <c r="G212" s="853"/>
      <c r="H212" s="853"/>
      <c r="I212" s="853"/>
      <c r="J212" s="853"/>
      <c r="K212" s="853"/>
      <c r="L212" s="853"/>
      <c r="M212" s="853"/>
      <c r="N212" s="853"/>
      <c r="O212" s="853"/>
      <c r="P212" s="853"/>
      <c r="Q212" s="853"/>
      <c r="R212" s="853"/>
      <c r="S212" s="853"/>
      <c r="T212" s="1181"/>
      <c r="U212" s="1181"/>
      <c r="V212" s="1181"/>
      <c r="W212" s="1181"/>
      <c r="X212" s="1181"/>
      <c r="Y212" s="1181"/>
      <c r="Z212" s="1181"/>
      <c r="AA212" s="1181"/>
      <c r="AB212" s="1182"/>
      <c r="AC212" s="1181"/>
      <c r="AD212" s="1183"/>
      <c r="AE212" s="1184"/>
      <c r="AF212" s="1181"/>
      <c r="AG212" s="1181"/>
      <c r="AH212" s="853"/>
      <c r="AI212" s="853"/>
      <c r="AJ212" s="853"/>
      <c r="AK212" s="853"/>
      <c r="AL212" s="1181"/>
      <c r="AM212" s="1181"/>
      <c r="AN212" s="853"/>
      <c r="AO212" s="853"/>
      <c r="AP212" s="853"/>
      <c r="AQ212" s="853"/>
      <c r="AR212" s="853"/>
      <c r="AS212" s="853"/>
      <c r="AT212" s="853"/>
      <c r="AU212" s="853"/>
      <c r="AV212" s="1185"/>
      <c r="AW212" s="853"/>
      <c r="AX212" s="853"/>
      <c r="AY212" s="853"/>
      <c r="AZ212" s="853"/>
      <c r="BA212" s="853"/>
      <c r="BB212" s="853"/>
      <c r="BC212" s="853"/>
      <c r="BD212" s="853"/>
      <c r="BE212" s="853"/>
      <c r="BF212" s="853"/>
      <c r="BG212" s="853"/>
      <c r="BH212" s="853"/>
      <c r="BI212" s="853"/>
      <c r="BJ212" s="853"/>
      <c r="BK212" s="853"/>
      <c r="BL212" s="853"/>
      <c r="BM212" s="853"/>
      <c r="BN212" s="853"/>
      <c r="BO212" s="853"/>
      <c r="BP212" s="853"/>
    </row>
    <row r="213" ht="11.25" customHeight="1">
      <c r="A213" s="853"/>
      <c r="B213" s="853"/>
      <c r="C213" s="853"/>
      <c r="D213" s="853"/>
      <c r="E213" s="853"/>
      <c r="F213" s="853"/>
      <c r="G213" s="853"/>
      <c r="H213" s="853"/>
      <c r="I213" s="853"/>
      <c r="J213" s="853"/>
      <c r="K213" s="853"/>
      <c r="L213" s="853"/>
      <c r="M213" s="853"/>
      <c r="N213" s="853"/>
      <c r="O213" s="853"/>
      <c r="P213" s="853"/>
      <c r="Q213" s="853"/>
      <c r="R213" s="853"/>
      <c r="S213" s="853"/>
      <c r="T213" s="1181"/>
      <c r="U213" s="1181"/>
      <c r="V213" s="1181"/>
      <c r="W213" s="1181"/>
      <c r="X213" s="1181"/>
      <c r="Y213" s="1181"/>
      <c r="Z213" s="1181"/>
      <c r="AA213" s="1181"/>
      <c r="AB213" s="1182"/>
      <c r="AC213" s="1181"/>
      <c r="AD213" s="1183"/>
      <c r="AE213" s="1184"/>
      <c r="AF213" s="1181"/>
      <c r="AG213" s="1181"/>
      <c r="AH213" s="853"/>
      <c r="AI213" s="853"/>
      <c r="AJ213" s="853"/>
      <c r="AK213" s="853"/>
      <c r="AL213" s="1181"/>
      <c r="AM213" s="1181"/>
      <c r="AN213" s="853"/>
      <c r="AO213" s="853"/>
      <c r="AP213" s="853"/>
      <c r="AQ213" s="853"/>
      <c r="AR213" s="853"/>
      <c r="AS213" s="853"/>
      <c r="AT213" s="853"/>
      <c r="AU213" s="853"/>
      <c r="AV213" s="1185"/>
      <c r="AW213" s="853"/>
      <c r="AX213" s="853"/>
      <c r="AY213" s="853"/>
      <c r="AZ213" s="853"/>
      <c r="BA213" s="853"/>
      <c r="BB213" s="853"/>
      <c r="BC213" s="853"/>
      <c r="BD213" s="853"/>
      <c r="BE213" s="853"/>
      <c r="BF213" s="853"/>
      <c r="BG213" s="853"/>
      <c r="BH213" s="853"/>
      <c r="BI213" s="853"/>
      <c r="BJ213" s="853"/>
      <c r="BK213" s="853"/>
      <c r="BL213" s="853"/>
      <c r="BM213" s="853"/>
      <c r="BN213" s="853"/>
      <c r="BO213" s="853"/>
      <c r="BP213" s="853"/>
    </row>
    <row r="214" ht="11.25" customHeight="1">
      <c r="A214" s="853"/>
      <c r="B214" s="853"/>
      <c r="C214" s="853"/>
      <c r="D214" s="853"/>
      <c r="E214" s="853"/>
      <c r="F214" s="853"/>
      <c r="G214" s="853"/>
      <c r="H214" s="853"/>
      <c r="I214" s="853"/>
      <c r="J214" s="853"/>
      <c r="K214" s="853"/>
      <c r="L214" s="853"/>
      <c r="M214" s="853"/>
      <c r="N214" s="853"/>
      <c r="O214" s="853"/>
      <c r="P214" s="853"/>
      <c r="Q214" s="853"/>
      <c r="R214" s="853"/>
      <c r="S214" s="853"/>
      <c r="T214" s="1181"/>
      <c r="U214" s="1181"/>
      <c r="V214" s="1181"/>
      <c r="W214" s="1181"/>
      <c r="X214" s="1181"/>
      <c r="Y214" s="1181"/>
      <c r="Z214" s="1181"/>
      <c r="AA214" s="1181"/>
      <c r="AB214" s="1182"/>
      <c r="AC214" s="1181"/>
      <c r="AD214" s="1183"/>
      <c r="AE214" s="1184"/>
      <c r="AF214" s="1181"/>
      <c r="AG214" s="1181"/>
      <c r="AH214" s="853"/>
      <c r="AI214" s="853"/>
      <c r="AJ214" s="853"/>
      <c r="AK214" s="853"/>
      <c r="AL214" s="1181"/>
      <c r="AM214" s="1181"/>
      <c r="AN214" s="853"/>
      <c r="AO214" s="853"/>
      <c r="AP214" s="853"/>
      <c r="AQ214" s="853"/>
      <c r="AR214" s="853"/>
      <c r="AS214" s="853"/>
      <c r="AT214" s="853"/>
      <c r="AU214" s="853"/>
      <c r="AV214" s="1185"/>
      <c r="AW214" s="853"/>
      <c r="AX214" s="853"/>
      <c r="AY214" s="853"/>
      <c r="AZ214" s="853"/>
      <c r="BA214" s="853"/>
      <c r="BB214" s="853"/>
      <c r="BC214" s="853"/>
      <c r="BD214" s="853"/>
      <c r="BE214" s="853"/>
      <c r="BF214" s="853"/>
      <c r="BG214" s="853"/>
      <c r="BH214" s="853"/>
      <c r="BI214" s="853"/>
      <c r="BJ214" s="853"/>
      <c r="BK214" s="853"/>
      <c r="BL214" s="853"/>
      <c r="BM214" s="853"/>
      <c r="BN214" s="853"/>
      <c r="BO214" s="853"/>
      <c r="BP214" s="853"/>
    </row>
    <row r="215" ht="11.25" customHeight="1">
      <c r="A215" s="853"/>
      <c r="B215" s="853"/>
      <c r="C215" s="853"/>
      <c r="D215" s="853"/>
      <c r="E215" s="853"/>
      <c r="F215" s="853"/>
      <c r="G215" s="853"/>
      <c r="H215" s="853"/>
      <c r="I215" s="853"/>
      <c r="J215" s="853"/>
      <c r="K215" s="853"/>
      <c r="L215" s="853"/>
      <c r="M215" s="853"/>
      <c r="N215" s="853"/>
      <c r="O215" s="853"/>
      <c r="P215" s="853"/>
      <c r="Q215" s="853"/>
      <c r="R215" s="853"/>
      <c r="S215" s="853"/>
      <c r="T215" s="1181"/>
      <c r="U215" s="1181"/>
      <c r="V215" s="1181"/>
      <c r="W215" s="1181"/>
      <c r="X215" s="1181"/>
      <c r="Y215" s="1181"/>
      <c r="Z215" s="1181"/>
      <c r="AA215" s="1181"/>
      <c r="AB215" s="1182"/>
      <c r="AC215" s="1181"/>
      <c r="AD215" s="1183"/>
      <c r="AE215" s="1184"/>
      <c r="AF215" s="1181"/>
      <c r="AG215" s="1181"/>
      <c r="AH215" s="853"/>
      <c r="AI215" s="853"/>
      <c r="AJ215" s="853"/>
      <c r="AK215" s="853"/>
      <c r="AL215" s="1181"/>
      <c r="AM215" s="1181"/>
      <c r="AN215" s="853"/>
      <c r="AO215" s="853"/>
      <c r="AP215" s="853"/>
      <c r="AQ215" s="853"/>
      <c r="AR215" s="853"/>
      <c r="AS215" s="853"/>
      <c r="AT215" s="853"/>
      <c r="AU215" s="853"/>
      <c r="AV215" s="1185"/>
      <c r="AW215" s="853"/>
      <c r="AX215" s="853"/>
      <c r="AY215" s="853"/>
      <c r="AZ215" s="853"/>
      <c r="BA215" s="853"/>
      <c r="BB215" s="853"/>
      <c r="BC215" s="853"/>
      <c r="BD215" s="853"/>
      <c r="BE215" s="853"/>
      <c r="BF215" s="853"/>
      <c r="BG215" s="853"/>
      <c r="BH215" s="853"/>
      <c r="BI215" s="853"/>
      <c r="BJ215" s="853"/>
      <c r="BK215" s="853"/>
      <c r="BL215" s="853"/>
      <c r="BM215" s="853"/>
      <c r="BN215" s="853"/>
      <c r="BO215" s="853"/>
      <c r="BP215" s="853"/>
    </row>
    <row r="216" ht="11.25" customHeight="1">
      <c r="A216" s="853"/>
      <c r="B216" s="853"/>
      <c r="C216" s="853"/>
      <c r="D216" s="853"/>
      <c r="E216" s="853"/>
      <c r="F216" s="853"/>
      <c r="G216" s="853"/>
      <c r="H216" s="853"/>
      <c r="I216" s="853"/>
      <c r="J216" s="853"/>
      <c r="K216" s="853"/>
      <c r="L216" s="853"/>
      <c r="M216" s="853"/>
      <c r="N216" s="853"/>
      <c r="O216" s="853"/>
      <c r="P216" s="853"/>
      <c r="Q216" s="853"/>
      <c r="R216" s="853"/>
      <c r="S216" s="853"/>
      <c r="T216" s="1181"/>
      <c r="U216" s="1181"/>
      <c r="V216" s="1181"/>
      <c r="W216" s="1181"/>
      <c r="X216" s="1181"/>
      <c r="Y216" s="1181"/>
      <c r="Z216" s="1181"/>
      <c r="AA216" s="1181"/>
      <c r="AB216" s="1182"/>
      <c r="AC216" s="1181"/>
      <c r="AD216" s="1183"/>
      <c r="AE216" s="1184"/>
      <c r="AF216" s="1181"/>
      <c r="AG216" s="1181"/>
      <c r="AH216" s="853"/>
      <c r="AI216" s="853"/>
      <c r="AJ216" s="853"/>
      <c r="AK216" s="853"/>
      <c r="AL216" s="1181"/>
      <c r="AM216" s="1181"/>
      <c r="AN216" s="853"/>
      <c r="AO216" s="853"/>
      <c r="AP216" s="853"/>
      <c r="AQ216" s="853"/>
      <c r="AR216" s="853"/>
      <c r="AS216" s="853"/>
      <c r="AT216" s="853"/>
      <c r="AU216" s="853"/>
      <c r="AV216" s="1185"/>
      <c r="AW216" s="853"/>
      <c r="AX216" s="853"/>
      <c r="AY216" s="853"/>
      <c r="AZ216" s="853"/>
      <c r="BA216" s="853"/>
      <c r="BB216" s="853"/>
      <c r="BC216" s="853"/>
      <c r="BD216" s="853"/>
      <c r="BE216" s="853"/>
      <c r="BF216" s="853"/>
      <c r="BG216" s="853"/>
      <c r="BH216" s="853"/>
      <c r="BI216" s="853"/>
      <c r="BJ216" s="853"/>
      <c r="BK216" s="853"/>
      <c r="BL216" s="853"/>
      <c r="BM216" s="853"/>
      <c r="BN216" s="853"/>
      <c r="BO216" s="853"/>
      <c r="BP216" s="853"/>
    </row>
    <row r="217" ht="11.25" customHeight="1">
      <c r="A217" s="853"/>
      <c r="B217" s="853"/>
      <c r="C217" s="853"/>
      <c r="D217" s="853"/>
      <c r="E217" s="853"/>
      <c r="F217" s="853"/>
      <c r="G217" s="853"/>
      <c r="H217" s="853"/>
      <c r="I217" s="853"/>
      <c r="J217" s="853"/>
      <c r="K217" s="853"/>
      <c r="L217" s="853"/>
      <c r="M217" s="853"/>
      <c r="N217" s="853"/>
      <c r="O217" s="853"/>
      <c r="P217" s="853"/>
      <c r="Q217" s="853"/>
      <c r="R217" s="853"/>
      <c r="S217" s="853"/>
      <c r="T217" s="1181"/>
      <c r="U217" s="1181"/>
      <c r="V217" s="1181"/>
      <c r="W217" s="1181"/>
      <c r="X217" s="1181"/>
      <c r="Y217" s="1181"/>
      <c r="Z217" s="1181"/>
      <c r="AA217" s="1181"/>
      <c r="AB217" s="1182"/>
      <c r="AC217" s="1181"/>
      <c r="AD217" s="1183"/>
      <c r="AE217" s="1184"/>
      <c r="AF217" s="1181"/>
      <c r="AG217" s="1181"/>
      <c r="AH217" s="853"/>
      <c r="AI217" s="853"/>
      <c r="AJ217" s="853"/>
      <c r="AK217" s="853"/>
      <c r="AL217" s="1181"/>
      <c r="AM217" s="1181"/>
      <c r="AN217" s="853"/>
      <c r="AO217" s="853"/>
      <c r="AP217" s="853"/>
      <c r="AQ217" s="853"/>
      <c r="AR217" s="853"/>
      <c r="AS217" s="853"/>
      <c r="AT217" s="853"/>
      <c r="AU217" s="853"/>
      <c r="AV217" s="1185"/>
      <c r="AW217" s="853"/>
      <c r="AX217" s="853"/>
      <c r="AY217" s="853"/>
      <c r="AZ217" s="853"/>
      <c r="BA217" s="853"/>
      <c r="BB217" s="853"/>
      <c r="BC217" s="853"/>
      <c r="BD217" s="853"/>
      <c r="BE217" s="853"/>
      <c r="BF217" s="853"/>
      <c r="BG217" s="853"/>
      <c r="BH217" s="853"/>
      <c r="BI217" s="853"/>
      <c r="BJ217" s="853"/>
      <c r="BK217" s="853"/>
      <c r="BL217" s="853"/>
      <c r="BM217" s="853"/>
      <c r="BN217" s="853"/>
      <c r="BO217" s="853"/>
      <c r="BP217" s="853"/>
    </row>
    <row r="218" ht="11.25" customHeight="1">
      <c r="A218" s="853"/>
      <c r="B218" s="853"/>
      <c r="C218" s="853"/>
      <c r="D218" s="853"/>
      <c r="E218" s="853"/>
      <c r="F218" s="853"/>
      <c r="G218" s="853"/>
      <c r="H218" s="853"/>
      <c r="I218" s="853"/>
      <c r="J218" s="853"/>
      <c r="K218" s="853"/>
      <c r="L218" s="853"/>
      <c r="M218" s="853"/>
      <c r="N218" s="853"/>
      <c r="O218" s="853"/>
      <c r="P218" s="853"/>
      <c r="Q218" s="853"/>
      <c r="R218" s="853"/>
      <c r="S218" s="853"/>
      <c r="T218" s="1181"/>
      <c r="U218" s="1181"/>
      <c r="V218" s="1181"/>
      <c r="W218" s="1181"/>
      <c r="X218" s="1181"/>
      <c r="Y218" s="1181"/>
      <c r="Z218" s="1181"/>
      <c r="AA218" s="1181"/>
      <c r="AB218" s="1182"/>
      <c r="AC218" s="1181"/>
      <c r="AD218" s="1183"/>
      <c r="AE218" s="1184"/>
      <c r="AF218" s="1181"/>
      <c r="AG218" s="1181"/>
      <c r="AH218" s="853"/>
      <c r="AI218" s="853"/>
      <c r="AJ218" s="853"/>
      <c r="AK218" s="853"/>
      <c r="AL218" s="1181"/>
      <c r="AM218" s="1181"/>
      <c r="AN218" s="853"/>
      <c r="AO218" s="853"/>
      <c r="AP218" s="853"/>
      <c r="AQ218" s="853"/>
      <c r="AR218" s="853"/>
      <c r="AS218" s="853"/>
      <c r="AT218" s="853"/>
      <c r="AU218" s="853"/>
      <c r="AV218" s="1185"/>
      <c r="AW218" s="853"/>
      <c r="AX218" s="853"/>
      <c r="AY218" s="853"/>
      <c r="AZ218" s="853"/>
      <c r="BA218" s="853"/>
      <c r="BB218" s="853"/>
      <c r="BC218" s="853"/>
      <c r="BD218" s="853"/>
      <c r="BE218" s="853"/>
      <c r="BF218" s="853"/>
      <c r="BG218" s="853"/>
      <c r="BH218" s="853"/>
      <c r="BI218" s="853"/>
      <c r="BJ218" s="853"/>
      <c r="BK218" s="853"/>
      <c r="BL218" s="853"/>
      <c r="BM218" s="853"/>
      <c r="BN218" s="853"/>
      <c r="BO218" s="853"/>
      <c r="BP218" s="853"/>
    </row>
    <row r="219" ht="11.25" customHeight="1">
      <c r="A219" s="853"/>
      <c r="B219" s="853"/>
      <c r="C219" s="853"/>
      <c r="D219" s="853"/>
      <c r="E219" s="853"/>
      <c r="F219" s="853"/>
      <c r="G219" s="853"/>
      <c r="H219" s="853"/>
      <c r="I219" s="853"/>
      <c r="J219" s="853"/>
      <c r="K219" s="853"/>
      <c r="L219" s="853"/>
      <c r="M219" s="853"/>
      <c r="N219" s="853"/>
      <c r="O219" s="853"/>
      <c r="P219" s="853"/>
      <c r="Q219" s="853"/>
      <c r="R219" s="853"/>
      <c r="S219" s="853"/>
      <c r="T219" s="1181"/>
      <c r="U219" s="1181"/>
      <c r="V219" s="1181"/>
      <c r="W219" s="1181"/>
      <c r="X219" s="1181"/>
      <c r="Y219" s="1181"/>
      <c r="Z219" s="1181"/>
      <c r="AA219" s="1181"/>
      <c r="AB219" s="1182"/>
      <c r="AC219" s="1181"/>
      <c r="AD219" s="1183"/>
      <c r="AE219" s="1184"/>
      <c r="AF219" s="1181"/>
      <c r="AG219" s="1181"/>
      <c r="AH219" s="853"/>
      <c r="AI219" s="853"/>
      <c r="AJ219" s="853"/>
      <c r="AK219" s="853"/>
      <c r="AL219" s="1181"/>
      <c r="AM219" s="1181"/>
      <c r="AN219" s="853"/>
      <c r="AO219" s="853"/>
      <c r="AP219" s="853"/>
      <c r="AQ219" s="853"/>
      <c r="AR219" s="853"/>
      <c r="AS219" s="853"/>
      <c r="AT219" s="853"/>
      <c r="AU219" s="853"/>
      <c r="AV219" s="1185"/>
      <c r="AW219" s="853"/>
      <c r="AX219" s="853"/>
      <c r="AY219" s="853"/>
      <c r="AZ219" s="853"/>
      <c r="BA219" s="853"/>
      <c r="BB219" s="853"/>
      <c r="BC219" s="853"/>
      <c r="BD219" s="853"/>
      <c r="BE219" s="853"/>
      <c r="BF219" s="853"/>
      <c r="BG219" s="853"/>
      <c r="BH219" s="853"/>
      <c r="BI219" s="853"/>
      <c r="BJ219" s="853"/>
      <c r="BK219" s="853"/>
      <c r="BL219" s="853"/>
      <c r="BM219" s="853"/>
      <c r="BN219" s="853"/>
      <c r="BO219" s="853"/>
      <c r="BP219" s="853"/>
    </row>
    <row r="220" ht="11.25" customHeight="1">
      <c r="A220" s="853"/>
      <c r="B220" s="853"/>
      <c r="C220" s="853"/>
      <c r="D220" s="853"/>
      <c r="E220" s="853"/>
      <c r="F220" s="853"/>
      <c r="G220" s="853"/>
      <c r="H220" s="853"/>
      <c r="I220" s="853"/>
      <c r="J220" s="853"/>
      <c r="K220" s="853"/>
      <c r="L220" s="853"/>
      <c r="M220" s="853"/>
      <c r="N220" s="853"/>
      <c r="O220" s="853"/>
      <c r="P220" s="853"/>
      <c r="Q220" s="853"/>
      <c r="R220" s="853"/>
      <c r="S220" s="853"/>
      <c r="T220" s="1181"/>
      <c r="U220" s="1181"/>
      <c r="V220" s="1181"/>
      <c r="W220" s="1181"/>
      <c r="X220" s="1181"/>
      <c r="Y220" s="1181"/>
      <c r="Z220" s="1181"/>
      <c r="AA220" s="1181"/>
      <c r="AB220" s="1182"/>
      <c r="AC220" s="1181"/>
      <c r="AD220" s="1183"/>
      <c r="AE220" s="1184"/>
      <c r="AF220" s="1181"/>
      <c r="AG220" s="1181"/>
      <c r="AH220" s="853"/>
      <c r="AI220" s="853"/>
      <c r="AJ220" s="853"/>
      <c r="AK220" s="853"/>
      <c r="AL220" s="1181"/>
      <c r="AM220" s="1181"/>
      <c r="AN220" s="853"/>
      <c r="AO220" s="853"/>
      <c r="AP220" s="853"/>
      <c r="AQ220" s="853"/>
      <c r="AR220" s="853"/>
      <c r="AS220" s="853"/>
      <c r="AT220" s="853"/>
      <c r="AU220" s="853"/>
      <c r="AV220" s="1185"/>
      <c r="AW220" s="853"/>
      <c r="AX220" s="853"/>
      <c r="AY220" s="853"/>
      <c r="AZ220" s="853"/>
      <c r="BA220" s="853"/>
      <c r="BB220" s="853"/>
      <c r="BC220" s="853"/>
      <c r="BD220" s="853"/>
      <c r="BE220" s="853"/>
      <c r="BF220" s="853"/>
      <c r="BG220" s="853"/>
      <c r="BH220" s="853"/>
      <c r="BI220" s="853"/>
      <c r="BJ220" s="853"/>
      <c r="BK220" s="853"/>
      <c r="BL220" s="853"/>
      <c r="BM220" s="853"/>
      <c r="BN220" s="853"/>
      <c r="BO220" s="853"/>
      <c r="BP220" s="853"/>
    </row>
    <row r="221" ht="11.25" customHeight="1">
      <c r="A221" s="853"/>
      <c r="B221" s="853"/>
      <c r="C221" s="853"/>
      <c r="D221" s="853"/>
      <c r="E221" s="853"/>
      <c r="F221" s="853"/>
      <c r="G221" s="853"/>
      <c r="H221" s="853"/>
      <c r="I221" s="853"/>
      <c r="J221" s="853"/>
      <c r="K221" s="853"/>
      <c r="L221" s="853"/>
      <c r="M221" s="853"/>
      <c r="N221" s="853"/>
      <c r="O221" s="853"/>
      <c r="P221" s="853"/>
      <c r="Q221" s="853"/>
      <c r="R221" s="853"/>
      <c r="S221" s="853"/>
      <c r="T221" s="1181"/>
      <c r="U221" s="1181"/>
      <c r="V221" s="1181"/>
      <c r="W221" s="1181"/>
      <c r="X221" s="1181"/>
      <c r="Y221" s="1181"/>
      <c r="Z221" s="1181"/>
      <c r="AA221" s="1181"/>
      <c r="AB221" s="1182"/>
      <c r="AC221" s="1181"/>
      <c r="AD221" s="1183"/>
      <c r="AE221" s="1184"/>
      <c r="AF221" s="1181"/>
      <c r="AG221" s="1181"/>
      <c r="AH221" s="853"/>
      <c r="AI221" s="853"/>
      <c r="AJ221" s="853"/>
      <c r="AK221" s="853"/>
      <c r="AL221" s="1181"/>
      <c r="AM221" s="1181"/>
      <c r="AN221" s="853"/>
      <c r="AO221" s="853"/>
      <c r="AP221" s="853"/>
      <c r="AQ221" s="853"/>
      <c r="AR221" s="853"/>
      <c r="AS221" s="853"/>
      <c r="AT221" s="853"/>
      <c r="AU221" s="853"/>
      <c r="AV221" s="1185"/>
      <c r="AW221" s="853"/>
      <c r="AX221" s="853"/>
      <c r="AY221" s="853"/>
      <c r="AZ221" s="853"/>
      <c r="BA221" s="853"/>
      <c r="BB221" s="853"/>
      <c r="BC221" s="853"/>
      <c r="BD221" s="853"/>
      <c r="BE221" s="853"/>
      <c r="BF221" s="853"/>
      <c r="BG221" s="853"/>
      <c r="BH221" s="853"/>
      <c r="BI221" s="853"/>
      <c r="BJ221" s="853"/>
      <c r="BK221" s="853"/>
      <c r="BL221" s="853"/>
      <c r="BM221" s="853"/>
      <c r="BN221" s="853"/>
      <c r="BO221" s="853"/>
      <c r="BP221" s="853"/>
    </row>
    <row r="222" ht="11.25" customHeight="1">
      <c r="A222" s="853"/>
      <c r="B222" s="853"/>
      <c r="C222" s="853"/>
      <c r="D222" s="853"/>
      <c r="E222" s="853"/>
      <c r="F222" s="853"/>
      <c r="G222" s="853"/>
      <c r="H222" s="853"/>
      <c r="I222" s="853"/>
      <c r="J222" s="853"/>
      <c r="K222" s="853"/>
      <c r="L222" s="853"/>
      <c r="M222" s="853"/>
      <c r="N222" s="853"/>
      <c r="O222" s="853"/>
      <c r="P222" s="853"/>
      <c r="Q222" s="853"/>
      <c r="R222" s="853"/>
      <c r="S222" s="853"/>
      <c r="T222" s="1181"/>
      <c r="U222" s="1181"/>
      <c r="V222" s="1181"/>
      <c r="W222" s="1181"/>
      <c r="X222" s="1181"/>
      <c r="Y222" s="1181"/>
      <c r="Z222" s="1181"/>
      <c r="AA222" s="1181"/>
      <c r="AB222" s="1182"/>
      <c r="AC222" s="1181"/>
      <c r="AD222" s="1183"/>
      <c r="AE222" s="1184"/>
      <c r="AF222" s="1181"/>
      <c r="AG222" s="1181"/>
      <c r="AH222" s="853"/>
      <c r="AI222" s="853"/>
      <c r="AJ222" s="853"/>
      <c r="AK222" s="853"/>
      <c r="AL222" s="1181"/>
      <c r="AM222" s="1181"/>
      <c r="AN222" s="853"/>
      <c r="AO222" s="853"/>
      <c r="AP222" s="853"/>
      <c r="AQ222" s="853"/>
      <c r="AR222" s="853"/>
      <c r="AS222" s="853"/>
      <c r="AT222" s="853"/>
      <c r="AU222" s="853"/>
      <c r="AV222" s="1185"/>
      <c r="AW222" s="853"/>
      <c r="AX222" s="853"/>
      <c r="AY222" s="853"/>
      <c r="AZ222" s="853"/>
      <c r="BA222" s="853"/>
      <c r="BB222" s="853"/>
      <c r="BC222" s="853"/>
      <c r="BD222" s="853"/>
      <c r="BE222" s="853"/>
      <c r="BF222" s="853"/>
      <c r="BG222" s="853"/>
      <c r="BH222" s="853"/>
      <c r="BI222" s="853"/>
      <c r="BJ222" s="853"/>
      <c r="BK222" s="853"/>
      <c r="BL222" s="853"/>
      <c r="BM222" s="853"/>
      <c r="BN222" s="853"/>
      <c r="BO222" s="853"/>
      <c r="BP222" s="853"/>
    </row>
    <row r="223" ht="11.25" customHeight="1">
      <c r="A223" s="853"/>
      <c r="B223" s="853"/>
      <c r="C223" s="853"/>
      <c r="D223" s="853"/>
      <c r="E223" s="853"/>
      <c r="F223" s="853"/>
      <c r="G223" s="853"/>
      <c r="H223" s="853"/>
      <c r="I223" s="853"/>
      <c r="J223" s="853"/>
      <c r="K223" s="853"/>
      <c r="L223" s="853"/>
      <c r="M223" s="853"/>
      <c r="N223" s="853"/>
      <c r="O223" s="853"/>
      <c r="P223" s="853"/>
      <c r="Q223" s="853"/>
      <c r="R223" s="853"/>
      <c r="S223" s="853"/>
      <c r="T223" s="1181"/>
      <c r="U223" s="1181"/>
      <c r="V223" s="1181"/>
      <c r="W223" s="1181"/>
      <c r="X223" s="1181"/>
      <c r="Y223" s="1181"/>
      <c r="Z223" s="1181"/>
      <c r="AA223" s="1181"/>
      <c r="AB223" s="1182"/>
      <c r="AC223" s="1181"/>
      <c r="AD223" s="1183"/>
      <c r="AE223" s="1184"/>
      <c r="AF223" s="1181"/>
      <c r="AG223" s="1181"/>
      <c r="AH223" s="853"/>
      <c r="AI223" s="853"/>
      <c r="AJ223" s="853"/>
      <c r="AK223" s="853"/>
      <c r="AL223" s="1181"/>
      <c r="AM223" s="1181"/>
      <c r="AN223" s="853"/>
      <c r="AO223" s="853"/>
      <c r="AP223" s="853"/>
      <c r="AQ223" s="853"/>
      <c r="AR223" s="853"/>
      <c r="AS223" s="853"/>
      <c r="AT223" s="853"/>
      <c r="AU223" s="853"/>
      <c r="AV223" s="1185"/>
      <c r="AW223" s="853"/>
      <c r="AX223" s="853"/>
      <c r="AY223" s="853"/>
      <c r="AZ223" s="853"/>
      <c r="BA223" s="853"/>
      <c r="BB223" s="853"/>
      <c r="BC223" s="853"/>
      <c r="BD223" s="853"/>
      <c r="BE223" s="853"/>
      <c r="BF223" s="853"/>
      <c r="BG223" s="853"/>
      <c r="BH223" s="853"/>
      <c r="BI223" s="853"/>
      <c r="BJ223" s="853"/>
      <c r="BK223" s="853"/>
      <c r="BL223" s="853"/>
      <c r="BM223" s="853"/>
      <c r="BN223" s="853"/>
      <c r="BO223" s="853"/>
      <c r="BP223" s="853"/>
    </row>
    <row r="224" ht="11.25" customHeight="1">
      <c r="A224" s="853"/>
      <c r="B224" s="853"/>
      <c r="C224" s="853"/>
      <c r="D224" s="853"/>
      <c r="E224" s="853"/>
      <c r="F224" s="853"/>
      <c r="G224" s="853"/>
      <c r="H224" s="853"/>
      <c r="I224" s="853"/>
      <c r="J224" s="853"/>
      <c r="K224" s="853"/>
      <c r="L224" s="853"/>
      <c r="M224" s="853"/>
      <c r="N224" s="853"/>
      <c r="O224" s="853"/>
      <c r="P224" s="853"/>
      <c r="Q224" s="853"/>
      <c r="R224" s="853"/>
      <c r="S224" s="853"/>
      <c r="T224" s="1181"/>
      <c r="U224" s="1181"/>
      <c r="V224" s="1181"/>
      <c r="W224" s="1181"/>
      <c r="X224" s="1181"/>
      <c r="Y224" s="1181"/>
      <c r="Z224" s="1181"/>
      <c r="AA224" s="1181"/>
      <c r="AB224" s="1182"/>
      <c r="AC224" s="1181"/>
      <c r="AD224" s="1183"/>
      <c r="AE224" s="1184"/>
      <c r="AF224" s="1181"/>
      <c r="AG224" s="1181"/>
      <c r="AH224" s="853"/>
      <c r="AI224" s="853"/>
      <c r="AJ224" s="853"/>
      <c r="AK224" s="853"/>
      <c r="AL224" s="1181"/>
      <c r="AM224" s="1181"/>
      <c r="AN224" s="853"/>
      <c r="AO224" s="853"/>
      <c r="AP224" s="853"/>
      <c r="AQ224" s="853"/>
      <c r="AR224" s="853"/>
      <c r="AS224" s="853"/>
      <c r="AT224" s="853"/>
      <c r="AU224" s="853"/>
      <c r="AV224" s="1185"/>
      <c r="AW224" s="853"/>
      <c r="AX224" s="853"/>
      <c r="AY224" s="853"/>
      <c r="AZ224" s="853"/>
      <c r="BA224" s="853"/>
      <c r="BB224" s="853"/>
      <c r="BC224" s="853"/>
      <c r="BD224" s="853"/>
      <c r="BE224" s="853"/>
      <c r="BF224" s="853"/>
      <c r="BG224" s="853"/>
      <c r="BH224" s="853"/>
      <c r="BI224" s="853"/>
      <c r="BJ224" s="853"/>
      <c r="BK224" s="853"/>
      <c r="BL224" s="853"/>
      <c r="BM224" s="853"/>
      <c r="BN224" s="853"/>
      <c r="BO224" s="853"/>
      <c r="BP224" s="853"/>
    </row>
    <row r="225" ht="11.25" customHeight="1">
      <c r="A225" s="853"/>
      <c r="B225" s="853"/>
      <c r="C225" s="853"/>
      <c r="D225" s="853"/>
      <c r="E225" s="853"/>
      <c r="F225" s="853"/>
      <c r="G225" s="853"/>
      <c r="H225" s="853"/>
      <c r="I225" s="853"/>
      <c r="J225" s="853"/>
      <c r="K225" s="853"/>
      <c r="L225" s="853"/>
      <c r="M225" s="853"/>
      <c r="N225" s="853"/>
      <c r="O225" s="853"/>
      <c r="P225" s="853"/>
      <c r="Q225" s="853"/>
      <c r="R225" s="853"/>
      <c r="S225" s="853"/>
      <c r="T225" s="1181"/>
      <c r="U225" s="1181"/>
      <c r="V225" s="1181"/>
      <c r="W225" s="1181"/>
      <c r="X225" s="1181"/>
      <c r="Y225" s="1181"/>
      <c r="Z225" s="1181"/>
      <c r="AA225" s="1181"/>
      <c r="AB225" s="1182"/>
      <c r="AC225" s="1181"/>
      <c r="AD225" s="1183"/>
      <c r="AE225" s="1184"/>
      <c r="AF225" s="1181"/>
      <c r="AG225" s="1181"/>
      <c r="AH225" s="853"/>
      <c r="AI225" s="853"/>
      <c r="AJ225" s="853"/>
      <c r="AK225" s="853"/>
      <c r="AL225" s="1181"/>
      <c r="AM225" s="1181"/>
      <c r="AN225" s="853"/>
      <c r="AO225" s="853"/>
      <c r="AP225" s="853"/>
      <c r="AQ225" s="853"/>
      <c r="AR225" s="853"/>
      <c r="AS225" s="853"/>
      <c r="AT225" s="853"/>
      <c r="AU225" s="853"/>
      <c r="AV225" s="1185"/>
      <c r="AW225" s="853"/>
      <c r="AX225" s="853"/>
      <c r="AY225" s="853"/>
      <c r="AZ225" s="853"/>
      <c r="BA225" s="853"/>
      <c r="BB225" s="853"/>
      <c r="BC225" s="853"/>
      <c r="BD225" s="853"/>
      <c r="BE225" s="853"/>
      <c r="BF225" s="853"/>
      <c r="BG225" s="853"/>
      <c r="BH225" s="853"/>
      <c r="BI225" s="853"/>
      <c r="BJ225" s="853"/>
      <c r="BK225" s="853"/>
      <c r="BL225" s="853"/>
      <c r="BM225" s="853"/>
      <c r="BN225" s="853"/>
      <c r="BO225" s="853"/>
      <c r="BP225" s="853"/>
    </row>
    <row r="226" ht="11.25" customHeight="1">
      <c r="A226" s="853"/>
      <c r="B226" s="853"/>
      <c r="C226" s="853"/>
      <c r="D226" s="853"/>
      <c r="E226" s="853"/>
      <c r="F226" s="853"/>
      <c r="G226" s="853"/>
      <c r="H226" s="853"/>
      <c r="I226" s="853"/>
      <c r="J226" s="853"/>
      <c r="K226" s="853"/>
      <c r="L226" s="853"/>
      <c r="M226" s="853"/>
      <c r="N226" s="853"/>
      <c r="O226" s="853"/>
      <c r="P226" s="853"/>
      <c r="Q226" s="853"/>
      <c r="R226" s="853"/>
      <c r="S226" s="853"/>
      <c r="T226" s="1181"/>
      <c r="U226" s="1181"/>
      <c r="V226" s="1181"/>
      <c r="W226" s="1181"/>
      <c r="X226" s="1181"/>
      <c r="Y226" s="1181"/>
      <c r="Z226" s="1181"/>
      <c r="AA226" s="1181"/>
      <c r="AB226" s="1182"/>
      <c r="AC226" s="1181"/>
      <c r="AD226" s="1183"/>
      <c r="AE226" s="1184"/>
      <c r="AF226" s="1181"/>
      <c r="AG226" s="1181"/>
      <c r="AH226" s="853"/>
      <c r="AI226" s="853"/>
      <c r="AJ226" s="853"/>
      <c r="AK226" s="853"/>
      <c r="AL226" s="1181"/>
      <c r="AM226" s="1181"/>
      <c r="AN226" s="853"/>
      <c r="AO226" s="853"/>
      <c r="AP226" s="853"/>
      <c r="AQ226" s="853"/>
      <c r="AR226" s="853"/>
      <c r="AS226" s="853"/>
      <c r="AT226" s="853"/>
      <c r="AU226" s="853"/>
      <c r="AV226" s="1185"/>
      <c r="AW226" s="853"/>
      <c r="AX226" s="853"/>
      <c r="AY226" s="853"/>
      <c r="AZ226" s="853"/>
      <c r="BA226" s="853"/>
      <c r="BB226" s="853"/>
      <c r="BC226" s="853"/>
      <c r="BD226" s="853"/>
      <c r="BE226" s="853"/>
      <c r="BF226" s="853"/>
      <c r="BG226" s="853"/>
      <c r="BH226" s="853"/>
      <c r="BI226" s="853"/>
      <c r="BJ226" s="853"/>
      <c r="BK226" s="853"/>
      <c r="BL226" s="853"/>
      <c r="BM226" s="853"/>
      <c r="BN226" s="853"/>
      <c r="BO226" s="853"/>
      <c r="BP226" s="853"/>
    </row>
    <row r="227" ht="11.25" customHeight="1">
      <c r="A227" s="853"/>
      <c r="B227" s="853"/>
      <c r="C227" s="853"/>
      <c r="D227" s="853"/>
      <c r="E227" s="853"/>
      <c r="F227" s="853"/>
      <c r="G227" s="853"/>
      <c r="H227" s="853"/>
      <c r="I227" s="853"/>
      <c r="J227" s="853"/>
      <c r="K227" s="853"/>
      <c r="L227" s="853"/>
      <c r="M227" s="853"/>
      <c r="N227" s="853"/>
      <c r="O227" s="853"/>
      <c r="P227" s="853"/>
      <c r="Q227" s="853"/>
      <c r="R227" s="853"/>
      <c r="S227" s="853"/>
      <c r="T227" s="1181"/>
      <c r="U227" s="1181"/>
      <c r="V227" s="1181"/>
      <c r="W227" s="1181"/>
      <c r="X227" s="1181"/>
      <c r="Y227" s="1181"/>
      <c r="Z227" s="1181"/>
      <c r="AA227" s="1181"/>
      <c r="AB227" s="1182"/>
      <c r="AC227" s="1181"/>
      <c r="AD227" s="1183"/>
      <c r="AE227" s="1184"/>
      <c r="AF227" s="1181"/>
      <c r="AG227" s="1181"/>
      <c r="AH227" s="853"/>
      <c r="AI227" s="853"/>
      <c r="AJ227" s="853"/>
      <c r="AK227" s="853"/>
      <c r="AL227" s="1181"/>
      <c r="AM227" s="1181"/>
      <c r="AN227" s="853"/>
      <c r="AO227" s="853"/>
      <c r="AP227" s="853"/>
      <c r="AQ227" s="853"/>
      <c r="AR227" s="853"/>
      <c r="AS227" s="853"/>
      <c r="AT227" s="853"/>
      <c r="AU227" s="853"/>
      <c r="AV227" s="1185"/>
      <c r="AW227" s="853"/>
      <c r="AX227" s="853"/>
      <c r="AY227" s="853"/>
      <c r="AZ227" s="853"/>
      <c r="BA227" s="853"/>
      <c r="BB227" s="853"/>
      <c r="BC227" s="853"/>
      <c r="BD227" s="853"/>
      <c r="BE227" s="853"/>
      <c r="BF227" s="853"/>
      <c r="BG227" s="853"/>
      <c r="BH227" s="853"/>
      <c r="BI227" s="853"/>
      <c r="BJ227" s="853"/>
      <c r="BK227" s="853"/>
      <c r="BL227" s="853"/>
      <c r="BM227" s="853"/>
      <c r="BN227" s="853"/>
      <c r="BO227" s="853"/>
      <c r="BP227" s="853"/>
    </row>
    <row r="228" ht="11.25" customHeight="1">
      <c r="A228" s="853"/>
      <c r="B228" s="853"/>
      <c r="C228" s="853"/>
      <c r="D228" s="853"/>
      <c r="E228" s="853"/>
      <c r="F228" s="853"/>
      <c r="G228" s="853"/>
      <c r="H228" s="853"/>
      <c r="I228" s="853"/>
      <c r="J228" s="853"/>
      <c r="K228" s="853"/>
      <c r="L228" s="853"/>
      <c r="M228" s="853"/>
      <c r="N228" s="853"/>
      <c r="O228" s="853"/>
      <c r="P228" s="853"/>
      <c r="Q228" s="853"/>
      <c r="R228" s="853"/>
      <c r="S228" s="853"/>
      <c r="T228" s="1181"/>
      <c r="U228" s="1181"/>
      <c r="V228" s="1181"/>
      <c r="W228" s="1181"/>
      <c r="X228" s="1181"/>
      <c r="Y228" s="1181"/>
      <c r="Z228" s="1181"/>
      <c r="AA228" s="1181"/>
      <c r="AB228" s="1182"/>
      <c r="AC228" s="1181"/>
      <c r="AD228" s="1183"/>
      <c r="AE228" s="1184"/>
      <c r="AF228" s="1181"/>
      <c r="AG228" s="1181"/>
      <c r="AH228" s="853"/>
      <c r="AI228" s="853"/>
      <c r="AJ228" s="853"/>
      <c r="AK228" s="853"/>
      <c r="AL228" s="1181"/>
      <c r="AM228" s="1181"/>
      <c r="AN228" s="853"/>
      <c r="AO228" s="853"/>
      <c r="AP228" s="853"/>
      <c r="AQ228" s="853"/>
      <c r="AR228" s="853"/>
      <c r="AS228" s="853"/>
      <c r="AT228" s="853"/>
      <c r="AU228" s="853"/>
      <c r="AV228" s="1185"/>
      <c r="AW228" s="853"/>
      <c r="AX228" s="853"/>
      <c r="AY228" s="853"/>
      <c r="AZ228" s="853"/>
      <c r="BA228" s="853"/>
      <c r="BB228" s="853"/>
      <c r="BC228" s="853"/>
      <c r="BD228" s="853"/>
      <c r="BE228" s="853"/>
      <c r="BF228" s="853"/>
      <c r="BG228" s="853"/>
      <c r="BH228" s="853"/>
      <c r="BI228" s="853"/>
      <c r="BJ228" s="853"/>
      <c r="BK228" s="853"/>
      <c r="BL228" s="853"/>
      <c r="BM228" s="853"/>
      <c r="BN228" s="853"/>
      <c r="BO228" s="853"/>
      <c r="BP228" s="853"/>
    </row>
    <row r="229" ht="11.25" customHeight="1">
      <c r="A229" s="853"/>
      <c r="B229" s="853"/>
      <c r="C229" s="853"/>
      <c r="D229" s="853"/>
      <c r="E229" s="853"/>
      <c r="F229" s="853"/>
      <c r="G229" s="853"/>
      <c r="H229" s="853"/>
      <c r="I229" s="853"/>
      <c r="J229" s="853"/>
      <c r="K229" s="853"/>
      <c r="L229" s="853"/>
      <c r="M229" s="853"/>
      <c r="N229" s="853"/>
      <c r="O229" s="853"/>
      <c r="P229" s="853"/>
      <c r="Q229" s="853"/>
      <c r="R229" s="853"/>
      <c r="S229" s="853"/>
      <c r="T229" s="1181"/>
      <c r="U229" s="1181"/>
      <c r="V229" s="1181"/>
      <c r="W229" s="1181"/>
      <c r="X229" s="1181"/>
      <c r="Y229" s="1181"/>
      <c r="Z229" s="1181"/>
      <c r="AA229" s="1181"/>
      <c r="AB229" s="1182"/>
      <c r="AC229" s="1181"/>
      <c r="AD229" s="1183"/>
      <c r="AE229" s="1184"/>
      <c r="AF229" s="1181"/>
      <c r="AG229" s="1181"/>
      <c r="AH229" s="853"/>
      <c r="AI229" s="853"/>
      <c r="AJ229" s="853"/>
      <c r="AK229" s="853"/>
      <c r="AL229" s="1181"/>
      <c r="AM229" s="1181"/>
      <c r="AN229" s="853"/>
      <c r="AO229" s="853"/>
      <c r="AP229" s="853"/>
      <c r="AQ229" s="853"/>
      <c r="AR229" s="853"/>
      <c r="AS229" s="853"/>
      <c r="AT229" s="853"/>
      <c r="AU229" s="853"/>
      <c r="AV229" s="1185"/>
      <c r="AW229" s="853"/>
      <c r="AX229" s="853"/>
      <c r="AY229" s="853"/>
      <c r="AZ229" s="853"/>
      <c r="BA229" s="853"/>
      <c r="BB229" s="853"/>
      <c r="BC229" s="853"/>
      <c r="BD229" s="853"/>
      <c r="BE229" s="853"/>
      <c r="BF229" s="853"/>
      <c r="BG229" s="853"/>
      <c r="BH229" s="853"/>
      <c r="BI229" s="853"/>
      <c r="BJ229" s="853"/>
      <c r="BK229" s="853"/>
      <c r="BL229" s="853"/>
      <c r="BM229" s="853"/>
      <c r="BN229" s="853"/>
      <c r="BO229" s="853"/>
      <c r="BP229" s="853"/>
    </row>
    <row r="230" ht="11.25" customHeight="1">
      <c r="A230" s="853"/>
      <c r="B230" s="853"/>
      <c r="C230" s="853"/>
      <c r="D230" s="853"/>
      <c r="E230" s="853"/>
      <c r="F230" s="853"/>
      <c r="G230" s="853"/>
      <c r="H230" s="853"/>
      <c r="I230" s="853"/>
      <c r="J230" s="853"/>
      <c r="K230" s="853"/>
      <c r="L230" s="853"/>
      <c r="M230" s="853"/>
      <c r="N230" s="853"/>
      <c r="O230" s="853"/>
      <c r="P230" s="853"/>
      <c r="Q230" s="853"/>
      <c r="R230" s="853"/>
      <c r="S230" s="853"/>
      <c r="T230" s="1181"/>
      <c r="U230" s="1181"/>
      <c r="V230" s="1181"/>
      <c r="W230" s="1181"/>
      <c r="X230" s="1181"/>
      <c r="Y230" s="1181"/>
      <c r="Z230" s="1181"/>
      <c r="AA230" s="1181"/>
      <c r="AB230" s="1182"/>
      <c r="AC230" s="1181"/>
      <c r="AD230" s="1183"/>
      <c r="AE230" s="1184"/>
      <c r="AF230" s="1181"/>
      <c r="AG230" s="1181"/>
      <c r="AH230" s="853"/>
      <c r="AI230" s="853"/>
      <c r="AJ230" s="853"/>
      <c r="AK230" s="853"/>
      <c r="AL230" s="1181"/>
      <c r="AM230" s="1181"/>
      <c r="AN230" s="853"/>
      <c r="AO230" s="853"/>
      <c r="AP230" s="853"/>
      <c r="AQ230" s="853"/>
      <c r="AR230" s="853"/>
      <c r="AS230" s="853"/>
      <c r="AT230" s="853"/>
      <c r="AU230" s="853"/>
      <c r="AV230" s="1185"/>
      <c r="AW230" s="853"/>
      <c r="AX230" s="853"/>
      <c r="AY230" s="853"/>
      <c r="AZ230" s="853"/>
      <c r="BA230" s="853"/>
      <c r="BB230" s="853"/>
      <c r="BC230" s="853"/>
      <c r="BD230" s="853"/>
      <c r="BE230" s="853"/>
      <c r="BF230" s="853"/>
      <c r="BG230" s="853"/>
      <c r="BH230" s="853"/>
      <c r="BI230" s="853"/>
      <c r="BJ230" s="853"/>
      <c r="BK230" s="853"/>
      <c r="BL230" s="853"/>
      <c r="BM230" s="853"/>
      <c r="BN230" s="853"/>
      <c r="BO230" s="853"/>
      <c r="BP230" s="853"/>
    </row>
    <row r="231" ht="11.25" customHeight="1">
      <c r="A231" s="853"/>
      <c r="B231" s="853"/>
      <c r="C231" s="853"/>
      <c r="D231" s="853"/>
      <c r="E231" s="853"/>
      <c r="F231" s="853"/>
      <c r="G231" s="853"/>
      <c r="H231" s="853"/>
      <c r="I231" s="853"/>
      <c r="J231" s="853"/>
      <c r="K231" s="853"/>
      <c r="L231" s="853"/>
      <c r="M231" s="853"/>
      <c r="N231" s="853"/>
      <c r="O231" s="853"/>
      <c r="P231" s="853"/>
      <c r="Q231" s="853"/>
      <c r="R231" s="853"/>
      <c r="S231" s="853"/>
      <c r="T231" s="1181"/>
      <c r="U231" s="1181"/>
      <c r="V231" s="1181"/>
      <c r="W231" s="1181"/>
      <c r="X231" s="1181"/>
      <c r="Y231" s="1181"/>
      <c r="Z231" s="1181"/>
      <c r="AA231" s="1181"/>
      <c r="AB231" s="1182"/>
      <c r="AC231" s="1181"/>
      <c r="AD231" s="1183"/>
      <c r="AE231" s="1184"/>
      <c r="AF231" s="1181"/>
      <c r="AG231" s="1181"/>
      <c r="AH231" s="853"/>
      <c r="AI231" s="853"/>
      <c r="AJ231" s="853"/>
      <c r="AK231" s="853"/>
      <c r="AL231" s="1181"/>
      <c r="AM231" s="1181"/>
      <c r="AN231" s="853"/>
      <c r="AO231" s="853"/>
      <c r="AP231" s="853"/>
      <c r="AQ231" s="853"/>
      <c r="AR231" s="853"/>
      <c r="AS231" s="853"/>
      <c r="AT231" s="853"/>
      <c r="AU231" s="853"/>
      <c r="AV231" s="1185"/>
      <c r="AW231" s="853"/>
      <c r="AX231" s="853"/>
      <c r="AY231" s="853"/>
      <c r="AZ231" s="853"/>
      <c r="BA231" s="853"/>
      <c r="BB231" s="853"/>
      <c r="BC231" s="853"/>
      <c r="BD231" s="853"/>
      <c r="BE231" s="853"/>
      <c r="BF231" s="853"/>
      <c r="BG231" s="853"/>
      <c r="BH231" s="853"/>
      <c r="BI231" s="853"/>
      <c r="BJ231" s="853"/>
      <c r="BK231" s="853"/>
      <c r="BL231" s="853"/>
      <c r="BM231" s="853"/>
      <c r="BN231" s="853"/>
      <c r="BO231" s="853"/>
      <c r="BP231" s="853"/>
    </row>
    <row r="232" ht="11.25" customHeight="1">
      <c r="A232" s="853"/>
      <c r="B232" s="853"/>
      <c r="C232" s="853"/>
      <c r="D232" s="853"/>
      <c r="E232" s="853"/>
      <c r="F232" s="853"/>
      <c r="G232" s="853"/>
      <c r="H232" s="853"/>
      <c r="I232" s="853"/>
      <c r="J232" s="853"/>
      <c r="K232" s="853"/>
      <c r="L232" s="853"/>
      <c r="M232" s="853"/>
      <c r="N232" s="853"/>
      <c r="O232" s="853"/>
      <c r="P232" s="853"/>
      <c r="Q232" s="853"/>
      <c r="R232" s="853"/>
      <c r="S232" s="853"/>
      <c r="T232" s="1181"/>
      <c r="U232" s="1181"/>
      <c r="V232" s="1181"/>
      <c r="W232" s="1181"/>
      <c r="X232" s="1181"/>
      <c r="Y232" s="1181"/>
      <c r="Z232" s="1181"/>
      <c r="AA232" s="1181"/>
      <c r="AB232" s="1182"/>
      <c r="AC232" s="1181"/>
      <c r="AD232" s="1183"/>
      <c r="AE232" s="1184"/>
      <c r="AF232" s="1181"/>
      <c r="AG232" s="1181"/>
      <c r="AH232" s="853"/>
      <c r="AI232" s="853"/>
      <c r="AJ232" s="853"/>
      <c r="AK232" s="853"/>
      <c r="AL232" s="1181"/>
      <c r="AM232" s="1181"/>
      <c r="AN232" s="853"/>
      <c r="AO232" s="853"/>
      <c r="AP232" s="853"/>
      <c r="AQ232" s="853"/>
      <c r="AR232" s="853"/>
      <c r="AS232" s="853"/>
      <c r="AT232" s="853"/>
      <c r="AU232" s="853"/>
      <c r="AV232" s="1185"/>
      <c r="AW232" s="853"/>
      <c r="AX232" s="853"/>
      <c r="AY232" s="853"/>
      <c r="AZ232" s="853"/>
      <c r="BA232" s="853"/>
      <c r="BB232" s="853"/>
      <c r="BC232" s="853"/>
      <c r="BD232" s="853"/>
      <c r="BE232" s="853"/>
      <c r="BF232" s="853"/>
      <c r="BG232" s="853"/>
      <c r="BH232" s="853"/>
      <c r="BI232" s="853"/>
      <c r="BJ232" s="853"/>
      <c r="BK232" s="853"/>
      <c r="BL232" s="853"/>
      <c r="BM232" s="853"/>
      <c r="BN232" s="853"/>
      <c r="BO232" s="853"/>
      <c r="BP232" s="853"/>
    </row>
    <row r="233" ht="11.25" customHeight="1">
      <c r="A233" s="853"/>
      <c r="B233" s="853"/>
      <c r="C233" s="853"/>
      <c r="D233" s="853"/>
      <c r="E233" s="853"/>
      <c r="F233" s="853"/>
      <c r="G233" s="853"/>
      <c r="H233" s="853"/>
      <c r="I233" s="853"/>
      <c r="J233" s="853"/>
      <c r="K233" s="853"/>
      <c r="L233" s="853"/>
      <c r="M233" s="853"/>
      <c r="N233" s="853"/>
      <c r="O233" s="853"/>
      <c r="P233" s="853"/>
      <c r="Q233" s="853"/>
      <c r="R233" s="853"/>
      <c r="S233" s="853"/>
      <c r="T233" s="1181"/>
      <c r="U233" s="1181"/>
      <c r="V233" s="1181"/>
      <c r="W233" s="1181"/>
      <c r="X233" s="1181"/>
      <c r="Y233" s="1181"/>
      <c r="Z233" s="1181"/>
      <c r="AA233" s="1181"/>
      <c r="AB233" s="1182"/>
      <c r="AC233" s="1181"/>
      <c r="AD233" s="1183"/>
      <c r="AE233" s="1184"/>
      <c r="AF233" s="1181"/>
      <c r="AG233" s="1181"/>
      <c r="AH233" s="853"/>
      <c r="AI233" s="853"/>
      <c r="AJ233" s="853"/>
      <c r="AK233" s="853"/>
      <c r="AL233" s="1181"/>
      <c r="AM233" s="1181"/>
      <c r="AN233" s="853"/>
      <c r="AO233" s="853"/>
      <c r="AP233" s="853"/>
      <c r="AQ233" s="853"/>
      <c r="AR233" s="853"/>
      <c r="AS233" s="853"/>
      <c r="AT233" s="853"/>
      <c r="AU233" s="853"/>
      <c r="AV233" s="1185"/>
      <c r="AW233" s="853"/>
      <c r="AX233" s="853"/>
      <c r="AY233" s="853"/>
      <c r="AZ233" s="853"/>
      <c r="BA233" s="853"/>
      <c r="BB233" s="853"/>
      <c r="BC233" s="853"/>
      <c r="BD233" s="853"/>
      <c r="BE233" s="853"/>
      <c r="BF233" s="853"/>
      <c r="BG233" s="853"/>
      <c r="BH233" s="853"/>
      <c r="BI233" s="853"/>
      <c r="BJ233" s="853"/>
      <c r="BK233" s="853"/>
      <c r="BL233" s="853"/>
      <c r="BM233" s="853"/>
      <c r="BN233" s="853"/>
      <c r="BO233" s="853"/>
      <c r="BP233" s="853"/>
    </row>
    <row r="234" ht="11.25" customHeight="1">
      <c r="A234" s="853"/>
      <c r="B234" s="853"/>
      <c r="C234" s="853"/>
      <c r="D234" s="853"/>
      <c r="E234" s="853"/>
      <c r="F234" s="853"/>
      <c r="G234" s="853"/>
      <c r="H234" s="853"/>
      <c r="I234" s="853"/>
      <c r="J234" s="853"/>
      <c r="K234" s="853"/>
      <c r="L234" s="853"/>
      <c r="M234" s="853"/>
      <c r="N234" s="853"/>
      <c r="O234" s="853"/>
      <c r="P234" s="853"/>
      <c r="Q234" s="853"/>
      <c r="R234" s="853"/>
      <c r="S234" s="853"/>
      <c r="T234" s="1181"/>
      <c r="U234" s="1181"/>
      <c r="V234" s="1181"/>
      <c r="W234" s="1181"/>
      <c r="X234" s="1181"/>
      <c r="Y234" s="1181"/>
      <c r="Z234" s="1181"/>
      <c r="AA234" s="1181"/>
      <c r="AB234" s="1182"/>
      <c r="AC234" s="1181"/>
      <c r="AD234" s="1183"/>
      <c r="AE234" s="1184"/>
      <c r="AF234" s="1181"/>
      <c r="AG234" s="1181"/>
      <c r="AH234" s="853"/>
      <c r="AI234" s="853"/>
      <c r="AJ234" s="853"/>
      <c r="AK234" s="853"/>
      <c r="AL234" s="1181"/>
      <c r="AM234" s="1181"/>
      <c r="AN234" s="853"/>
      <c r="AO234" s="853"/>
      <c r="AP234" s="853"/>
      <c r="AQ234" s="853"/>
      <c r="AR234" s="853"/>
      <c r="AS234" s="853"/>
      <c r="AT234" s="853"/>
      <c r="AU234" s="853"/>
      <c r="AV234" s="1185"/>
      <c r="AW234" s="853"/>
      <c r="AX234" s="853"/>
      <c r="AY234" s="853"/>
      <c r="AZ234" s="853"/>
      <c r="BA234" s="853"/>
      <c r="BB234" s="853"/>
      <c r="BC234" s="853"/>
      <c r="BD234" s="853"/>
      <c r="BE234" s="853"/>
      <c r="BF234" s="853"/>
      <c r="BG234" s="853"/>
      <c r="BH234" s="853"/>
      <c r="BI234" s="853"/>
      <c r="BJ234" s="853"/>
      <c r="BK234" s="853"/>
      <c r="BL234" s="853"/>
      <c r="BM234" s="853"/>
      <c r="BN234" s="853"/>
      <c r="BO234" s="853"/>
      <c r="BP234" s="853"/>
    </row>
    <row r="235" ht="11.25" customHeight="1">
      <c r="A235" s="853"/>
      <c r="B235" s="853"/>
      <c r="C235" s="853"/>
      <c r="D235" s="853"/>
      <c r="E235" s="853"/>
      <c r="F235" s="853"/>
      <c r="G235" s="853"/>
      <c r="H235" s="853"/>
      <c r="I235" s="853"/>
      <c r="J235" s="853"/>
      <c r="K235" s="853"/>
      <c r="L235" s="853"/>
      <c r="M235" s="853"/>
      <c r="N235" s="853"/>
      <c r="O235" s="853"/>
      <c r="P235" s="853"/>
      <c r="Q235" s="853"/>
      <c r="R235" s="853"/>
      <c r="S235" s="853"/>
      <c r="T235" s="1181"/>
      <c r="U235" s="1181"/>
      <c r="V235" s="1181"/>
      <c r="W235" s="1181"/>
      <c r="X235" s="1181"/>
      <c r="Y235" s="1181"/>
      <c r="Z235" s="1181"/>
      <c r="AA235" s="1181"/>
      <c r="AB235" s="1182"/>
      <c r="AC235" s="1181"/>
      <c r="AD235" s="1183"/>
      <c r="AE235" s="1184"/>
      <c r="AF235" s="1181"/>
      <c r="AG235" s="1181"/>
      <c r="AH235" s="853"/>
      <c r="AI235" s="853"/>
      <c r="AJ235" s="853"/>
      <c r="AK235" s="853"/>
      <c r="AL235" s="1181"/>
      <c r="AM235" s="1181"/>
      <c r="AN235" s="853"/>
      <c r="AO235" s="853"/>
      <c r="AP235" s="853"/>
      <c r="AQ235" s="853"/>
      <c r="AR235" s="853"/>
      <c r="AS235" s="853"/>
      <c r="AT235" s="853"/>
      <c r="AU235" s="853"/>
      <c r="AV235" s="1185"/>
      <c r="AW235" s="853"/>
      <c r="AX235" s="853"/>
      <c r="AY235" s="853"/>
      <c r="AZ235" s="853"/>
      <c r="BA235" s="853"/>
      <c r="BB235" s="853"/>
      <c r="BC235" s="853"/>
      <c r="BD235" s="853"/>
      <c r="BE235" s="853"/>
      <c r="BF235" s="853"/>
      <c r="BG235" s="853"/>
      <c r="BH235" s="853"/>
      <c r="BI235" s="853"/>
      <c r="BJ235" s="853"/>
      <c r="BK235" s="853"/>
      <c r="BL235" s="853"/>
      <c r="BM235" s="853"/>
      <c r="BN235" s="853"/>
      <c r="BO235" s="853"/>
      <c r="BP235" s="853"/>
    </row>
    <row r="236" ht="11.25" customHeight="1">
      <c r="A236" s="853"/>
      <c r="B236" s="853"/>
      <c r="C236" s="853"/>
      <c r="D236" s="853"/>
      <c r="E236" s="853"/>
      <c r="F236" s="853"/>
      <c r="G236" s="853"/>
      <c r="H236" s="853"/>
      <c r="I236" s="853"/>
      <c r="J236" s="853"/>
      <c r="K236" s="853"/>
      <c r="L236" s="853"/>
      <c r="M236" s="853"/>
      <c r="N236" s="853"/>
      <c r="O236" s="853"/>
      <c r="P236" s="853"/>
      <c r="Q236" s="853"/>
      <c r="R236" s="853"/>
      <c r="S236" s="853"/>
      <c r="T236" s="1181"/>
      <c r="U236" s="1181"/>
      <c r="V236" s="1181"/>
      <c r="W236" s="1181"/>
      <c r="X236" s="1181"/>
      <c r="Y236" s="1181"/>
      <c r="Z236" s="1181"/>
      <c r="AA236" s="1181"/>
      <c r="AB236" s="1182"/>
      <c r="AC236" s="1181"/>
      <c r="AD236" s="1183"/>
      <c r="AE236" s="1184"/>
      <c r="AF236" s="1181"/>
      <c r="AG236" s="1181"/>
      <c r="AH236" s="853"/>
      <c r="AI236" s="853"/>
      <c r="AJ236" s="853"/>
      <c r="AK236" s="853"/>
      <c r="AL236" s="1181"/>
      <c r="AM236" s="1181"/>
      <c r="AN236" s="853"/>
      <c r="AO236" s="853"/>
      <c r="AP236" s="853"/>
      <c r="AQ236" s="853"/>
      <c r="AR236" s="853"/>
      <c r="AS236" s="853"/>
      <c r="AT236" s="853"/>
      <c r="AU236" s="853"/>
      <c r="AV236" s="1185"/>
      <c r="AW236" s="853"/>
      <c r="AX236" s="853"/>
      <c r="AY236" s="853"/>
      <c r="AZ236" s="853"/>
      <c r="BA236" s="853"/>
      <c r="BB236" s="853"/>
      <c r="BC236" s="853"/>
      <c r="BD236" s="853"/>
      <c r="BE236" s="853"/>
      <c r="BF236" s="853"/>
      <c r="BG236" s="853"/>
      <c r="BH236" s="853"/>
      <c r="BI236" s="853"/>
      <c r="BJ236" s="853"/>
      <c r="BK236" s="853"/>
      <c r="BL236" s="853"/>
      <c r="BM236" s="853"/>
      <c r="BN236" s="853"/>
      <c r="BO236" s="853"/>
      <c r="BP236" s="853"/>
    </row>
    <row r="237" ht="11.25" customHeight="1">
      <c r="A237" s="853"/>
      <c r="B237" s="853"/>
      <c r="C237" s="853"/>
      <c r="D237" s="853"/>
      <c r="E237" s="853"/>
      <c r="F237" s="853"/>
      <c r="G237" s="853"/>
      <c r="H237" s="853"/>
      <c r="I237" s="853"/>
      <c r="J237" s="853"/>
      <c r="K237" s="853"/>
      <c r="L237" s="853"/>
      <c r="M237" s="853"/>
      <c r="N237" s="853"/>
      <c r="O237" s="853"/>
      <c r="P237" s="853"/>
      <c r="Q237" s="853"/>
      <c r="R237" s="853"/>
      <c r="S237" s="853"/>
      <c r="T237" s="1181"/>
      <c r="U237" s="1181"/>
      <c r="V237" s="1181"/>
      <c r="W237" s="1181"/>
      <c r="X237" s="1181"/>
      <c r="Y237" s="1181"/>
      <c r="Z237" s="1181"/>
      <c r="AA237" s="1181"/>
      <c r="AB237" s="1182"/>
      <c r="AC237" s="1181"/>
      <c r="AD237" s="1183"/>
      <c r="AE237" s="1184"/>
      <c r="AF237" s="1181"/>
      <c r="AG237" s="1181"/>
      <c r="AH237" s="853"/>
      <c r="AI237" s="853"/>
      <c r="AJ237" s="853"/>
      <c r="AK237" s="853"/>
      <c r="AL237" s="1181"/>
      <c r="AM237" s="1181"/>
      <c r="AN237" s="853"/>
      <c r="AO237" s="853"/>
      <c r="AP237" s="853"/>
      <c r="AQ237" s="853"/>
      <c r="AR237" s="853"/>
      <c r="AS237" s="853"/>
      <c r="AT237" s="853"/>
      <c r="AU237" s="853"/>
      <c r="AV237" s="1185"/>
      <c r="AW237" s="853"/>
      <c r="AX237" s="853"/>
      <c r="AY237" s="853"/>
      <c r="AZ237" s="853"/>
      <c r="BA237" s="853"/>
      <c r="BB237" s="853"/>
      <c r="BC237" s="853"/>
      <c r="BD237" s="853"/>
      <c r="BE237" s="853"/>
      <c r="BF237" s="853"/>
      <c r="BG237" s="853"/>
      <c r="BH237" s="853"/>
      <c r="BI237" s="853"/>
      <c r="BJ237" s="853"/>
      <c r="BK237" s="853"/>
      <c r="BL237" s="853"/>
      <c r="BM237" s="853"/>
      <c r="BN237" s="853"/>
      <c r="BO237" s="853"/>
      <c r="BP237" s="853"/>
    </row>
    <row r="238" ht="11.25" customHeight="1">
      <c r="A238" s="853"/>
      <c r="B238" s="853"/>
      <c r="C238" s="853"/>
      <c r="D238" s="853"/>
      <c r="E238" s="853"/>
      <c r="F238" s="853"/>
      <c r="G238" s="853"/>
      <c r="H238" s="853"/>
      <c r="I238" s="853"/>
      <c r="J238" s="853"/>
      <c r="K238" s="853"/>
      <c r="L238" s="853"/>
      <c r="M238" s="853"/>
      <c r="N238" s="853"/>
      <c r="O238" s="853"/>
      <c r="P238" s="853"/>
      <c r="Q238" s="853"/>
      <c r="R238" s="853"/>
      <c r="S238" s="853"/>
      <c r="T238" s="1181"/>
      <c r="U238" s="1181"/>
      <c r="V238" s="1181"/>
      <c r="W238" s="1181"/>
      <c r="X238" s="1181"/>
      <c r="Y238" s="1181"/>
      <c r="Z238" s="1181"/>
      <c r="AA238" s="1181"/>
      <c r="AB238" s="1182"/>
      <c r="AC238" s="1181"/>
      <c r="AD238" s="1183"/>
      <c r="AE238" s="1184"/>
      <c r="AF238" s="1181"/>
      <c r="AG238" s="1181"/>
      <c r="AH238" s="853"/>
      <c r="AI238" s="853"/>
      <c r="AJ238" s="853"/>
      <c r="AK238" s="853"/>
      <c r="AL238" s="1181"/>
      <c r="AM238" s="1181"/>
      <c r="AN238" s="853"/>
      <c r="AO238" s="853"/>
      <c r="AP238" s="853"/>
      <c r="AQ238" s="853"/>
      <c r="AR238" s="853"/>
      <c r="AS238" s="853"/>
      <c r="AT238" s="853"/>
      <c r="AU238" s="853"/>
      <c r="AV238" s="1185"/>
      <c r="AW238" s="853"/>
      <c r="AX238" s="853"/>
      <c r="AY238" s="853"/>
      <c r="AZ238" s="853"/>
      <c r="BA238" s="853"/>
      <c r="BB238" s="853"/>
      <c r="BC238" s="853"/>
      <c r="BD238" s="853"/>
      <c r="BE238" s="853"/>
      <c r="BF238" s="853"/>
      <c r="BG238" s="853"/>
      <c r="BH238" s="853"/>
      <c r="BI238" s="853"/>
      <c r="BJ238" s="853"/>
      <c r="BK238" s="853"/>
      <c r="BL238" s="853"/>
      <c r="BM238" s="853"/>
      <c r="BN238" s="853"/>
      <c r="BO238" s="853"/>
      <c r="BP238" s="853"/>
    </row>
    <row r="239" ht="11.25" customHeight="1">
      <c r="A239" s="853"/>
      <c r="B239" s="853"/>
      <c r="C239" s="853"/>
      <c r="D239" s="853"/>
      <c r="E239" s="853"/>
      <c r="F239" s="853"/>
      <c r="G239" s="853"/>
      <c r="H239" s="853"/>
      <c r="I239" s="853"/>
      <c r="J239" s="853"/>
      <c r="K239" s="853"/>
      <c r="L239" s="853"/>
      <c r="M239" s="853"/>
      <c r="N239" s="853"/>
      <c r="O239" s="853"/>
      <c r="P239" s="853"/>
      <c r="Q239" s="853"/>
      <c r="R239" s="853"/>
      <c r="S239" s="853"/>
      <c r="T239" s="1181"/>
      <c r="U239" s="1181"/>
      <c r="V239" s="1181"/>
      <c r="W239" s="1181"/>
      <c r="X239" s="1181"/>
      <c r="Y239" s="1181"/>
      <c r="Z239" s="1181"/>
      <c r="AA239" s="1181"/>
      <c r="AB239" s="1182"/>
      <c r="AC239" s="1181"/>
      <c r="AD239" s="1183"/>
      <c r="AE239" s="1184"/>
      <c r="AF239" s="1181"/>
      <c r="AG239" s="1181"/>
      <c r="AH239" s="853"/>
      <c r="AI239" s="853"/>
      <c r="AJ239" s="853"/>
      <c r="AK239" s="853"/>
      <c r="AL239" s="1181"/>
      <c r="AM239" s="1181"/>
      <c r="AN239" s="853"/>
      <c r="AO239" s="853"/>
      <c r="AP239" s="853"/>
      <c r="AQ239" s="853"/>
      <c r="AR239" s="853"/>
      <c r="AS239" s="853"/>
      <c r="AT239" s="853"/>
      <c r="AU239" s="853"/>
      <c r="AV239" s="1185"/>
      <c r="AW239" s="853"/>
      <c r="AX239" s="853"/>
      <c r="AY239" s="853"/>
      <c r="AZ239" s="853"/>
      <c r="BA239" s="853"/>
      <c r="BB239" s="853"/>
      <c r="BC239" s="853"/>
      <c r="BD239" s="853"/>
      <c r="BE239" s="853"/>
      <c r="BF239" s="853"/>
      <c r="BG239" s="853"/>
      <c r="BH239" s="853"/>
      <c r="BI239" s="853"/>
      <c r="BJ239" s="853"/>
      <c r="BK239" s="853"/>
      <c r="BL239" s="853"/>
      <c r="BM239" s="853"/>
      <c r="BN239" s="853"/>
      <c r="BO239" s="853"/>
      <c r="BP239" s="853"/>
    </row>
    <row r="240" ht="11.25" customHeight="1">
      <c r="A240" s="853"/>
      <c r="B240" s="853"/>
      <c r="C240" s="853"/>
      <c r="D240" s="853"/>
      <c r="E240" s="853"/>
      <c r="F240" s="853"/>
      <c r="G240" s="853"/>
      <c r="H240" s="853"/>
      <c r="I240" s="853"/>
      <c r="J240" s="853"/>
      <c r="K240" s="853"/>
      <c r="L240" s="853"/>
      <c r="M240" s="853"/>
      <c r="N240" s="853"/>
      <c r="O240" s="853"/>
      <c r="P240" s="853"/>
      <c r="Q240" s="853"/>
      <c r="R240" s="853"/>
      <c r="S240" s="853"/>
      <c r="T240" s="1181"/>
      <c r="U240" s="1181"/>
      <c r="V240" s="1181"/>
      <c r="W240" s="1181"/>
      <c r="X240" s="1181"/>
      <c r="Y240" s="1181"/>
      <c r="Z240" s="1181"/>
      <c r="AA240" s="1181"/>
      <c r="AB240" s="1182"/>
      <c r="AC240" s="1181"/>
      <c r="AD240" s="1183"/>
      <c r="AE240" s="1184"/>
      <c r="AF240" s="1181"/>
      <c r="AG240" s="1181"/>
      <c r="AH240" s="853"/>
      <c r="AI240" s="853"/>
      <c r="AJ240" s="853"/>
      <c r="AK240" s="853"/>
      <c r="AL240" s="1181"/>
      <c r="AM240" s="1181"/>
      <c r="AN240" s="853"/>
      <c r="AO240" s="853"/>
      <c r="AP240" s="853"/>
      <c r="AQ240" s="853"/>
      <c r="AR240" s="853"/>
      <c r="AS240" s="853"/>
      <c r="AT240" s="853"/>
      <c r="AU240" s="853"/>
      <c r="AV240" s="1185"/>
      <c r="AW240" s="853"/>
      <c r="AX240" s="853"/>
      <c r="AY240" s="853"/>
      <c r="AZ240" s="853"/>
      <c r="BA240" s="853"/>
      <c r="BB240" s="853"/>
      <c r="BC240" s="853"/>
      <c r="BD240" s="853"/>
      <c r="BE240" s="853"/>
      <c r="BF240" s="853"/>
      <c r="BG240" s="853"/>
      <c r="BH240" s="853"/>
      <c r="BI240" s="853"/>
      <c r="BJ240" s="853"/>
      <c r="BK240" s="853"/>
      <c r="BL240" s="853"/>
      <c r="BM240" s="853"/>
      <c r="BN240" s="853"/>
      <c r="BO240" s="853"/>
      <c r="BP240" s="853"/>
    </row>
    <row r="241" ht="11.25" customHeight="1">
      <c r="A241" s="853"/>
      <c r="B241" s="853"/>
      <c r="C241" s="853"/>
      <c r="D241" s="853"/>
      <c r="E241" s="853"/>
      <c r="F241" s="853"/>
      <c r="G241" s="853"/>
      <c r="H241" s="853"/>
      <c r="I241" s="853"/>
      <c r="J241" s="853"/>
      <c r="K241" s="853"/>
      <c r="L241" s="853"/>
      <c r="M241" s="853"/>
      <c r="N241" s="853"/>
      <c r="O241" s="853"/>
      <c r="P241" s="853"/>
      <c r="Q241" s="853"/>
      <c r="R241" s="853"/>
      <c r="S241" s="853"/>
      <c r="T241" s="1181"/>
      <c r="U241" s="1181"/>
      <c r="V241" s="1181"/>
      <c r="W241" s="1181"/>
      <c r="X241" s="1181"/>
      <c r="Y241" s="1181"/>
      <c r="Z241" s="1181"/>
      <c r="AA241" s="1181"/>
      <c r="AB241" s="1182"/>
      <c r="AC241" s="1181"/>
      <c r="AD241" s="1183"/>
      <c r="AE241" s="1184"/>
      <c r="AF241" s="1181"/>
      <c r="AG241" s="1181"/>
      <c r="AH241" s="853"/>
      <c r="AI241" s="853"/>
      <c r="AJ241" s="853"/>
      <c r="AK241" s="853"/>
      <c r="AL241" s="1181"/>
      <c r="AM241" s="1181"/>
      <c r="AN241" s="853"/>
      <c r="AO241" s="853"/>
      <c r="AP241" s="853"/>
      <c r="AQ241" s="853"/>
      <c r="AR241" s="853"/>
      <c r="AS241" s="853"/>
      <c r="AT241" s="853"/>
      <c r="AU241" s="853"/>
      <c r="AV241" s="1185"/>
      <c r="AW241" s="853"/>
      <c r="AX241" s="853"/>
      <c r="AY241" s="853"/>
      <c r="AZ241" s="853"/>
      <c r="BA241" s="853"/>
      <c r="BB241" s="853"/>
      <c r="BC241" s="853"/>
      <c r="BD241" s="853"/>
      <c r="BE241" s="853"/>
      <c r="BF241" s="853"/>
      <c r="BG241" s="853"/>
      <c r="BH241" s="853"/>
      <c r="BI241" s="853"/>
      <c r="BJ241" s="853"/>
      <c r="BK241" s="853"/>
      <c r="BL241" s="853"/>
      <c r="BM241" s="853"/>
      <c r="BN241" s="853"/>
      <c r="BO241" s="853"/>
      <c r="BP241" s="853"/>
    </row>
    <row r="242" ht="11.25" customHeight="1">
      <c r="A242" s="853"/>
      <c r="B242" s="853"/>
      <c r="C242" s="853"/>
      <c r="D242" s="853"/>
      <c r="E242" s="853"/>
      <c r="F242" s="853"/>
      <c r="G242" s="853"/>
      <c r="H242" s="853"/>
      <c r="I242" s="853"/>
      <c r="J242" s="853"/>
      <c r="K242" s="853"/>
      <c r="L242" s="853"/>
      <c r="M242" s="853"/>
      <c r="N242" s="853"/>
      <c r="O242" s="853"/>
      <c r="P242" s="853"/>
      <c r="Q242" s="853"/>
      <c r="R242" s="853"/>
      <c r="S242" s="853"/>
      <c r="T242" s="1181"/>
      <c r="U242" s="1181"/>
      <c r="V242" s="1181"/>
      <c r="W242" s="1181"/>
      <c r="X242" s="1181"/>
      <c r="Y242" s="1181"/>
      <c r="Z242" s="1181"/>
      <c r="AA242" s="1181"/>
      <c r="AB242" s="1182"/>
      <c r="AC242" s="1181"/>
      <c r="AD242" s="1183"/>
      <c r="AE242" s="1184"/>
      <c r="AF242" s="1181"/>
      <c r="AG242" s="1181"/>
      <c r="AH242" s="853"/>
      <c r="AI242" s="853"/>
      <c r="AJ242" s="853"/>
      <c r="AK242" s="853"/>
      <c r="AL242" s="1181"/>
      <c r="AM242" s="1181"/>
      <c r="AN242" s="853"/>
      <c r="AO242" s="853"/>
      <c r="AP242" s="853"/>
      <c r="AQ242" s="853"/>
      <c r="AR242" s="853"/>
      <c r="AS242" s="853"/>
      <c r="AT242" s="853"/>
      <c r="AU242" s="853"/>
      <c r="AV242" s="1185"/>
      <c r="AW242" s="853"/>
      <c r="AX242" s="853"/>
      <c r="AY242" s="853"/>
      <c r="AZ242" s="853"/>
      <c r="BA242" s="853"/>
      <c r="BB242" s="853"/>
      <c r="BC242" s="853"/>
      <c r="BD242" s="853"/>
      <c r="BE242" s="853"/>
      <c r="BF242" s="853"/>
      <c r="BG242" s="853"/>
      <c r="BH242" s="853"/>
      <c r="BI242" s="853"/>
      <c r="BJ242" s="853"/>
      <c r="BK242" s="853"/>
      <c r="BL242" s="853"/>
      <c r="BM242" s="853"/>
      <c r="BN242" s="853"/>
      <c r="BO242" s="853"/>
      <c r="BP242" s="853"/>
    </row>
    <row r="243" ht="11.25" customHeight="1">
      <c r="A243" s="853"/>
      <c r="B243" s="853"/>
      <c r="C243" s="853"/>
      <c r="D243" s="853"/>
      <c r="E243" s="853"/>
      <c r="F243" s="853"/>
      <c r="G243" s="853"/>
      <c r="H243" s="853"/>
      <c r="I243" s="853"/>
      <c r="J243" s="853"/>
      <c r="K243" s="853"/>
      <c r="L243" s="853"/>
      <c r="M243" s="853"/>
      <c r="N243" s="853"/>
      <c r="O243" s="853"/>
      <c r="P243" s="853"/>
      <c r="Q243" s="853"/>
      <c r="R243" s="853"/>
      <c r="S243" s="853"/>
      <c r="T243" s="1181"/>
      <c r="U243" s="1181"/>
      <c r="V243" s="1181"/>
      <c r="W243" s="1181"/>
      <c r="X243" s="1181"/>
      <c r="Y243" s="1181"/>
      <c r="Z243" s="1181"/>
      <c r="AA243" s="1181"/>
      <c r="AB243" s="1182"/>
      <c r="AC243" s="1181"/>
      <c r="AD243" s="1183"/>
      <c r="AE243" s="1184"/>
      <c r="AF243" s="1181"/>
      <c r="AG243" s="1181"/>
      <c r="AH243" s="853"/>
      <c r="AI243" s="853"/>
      <c r="AJ243" s="853"/>
      <c r="AK243" s="853"/>
      <c r="AL243" s="1181"/>
      <c r="AM243" s="1181"/>
      <c r="AN243" s="853"/>
      <c r="AO243" s="853"/>
      <c r="AP243" s="853"/>
      <c r="AQ243" s="853"/>
      <c r="AR243" s="853"/>
      <c r="AS243" s="853"/>
      <c r="AT243" s="853"/>
      <c r="AU243" s="853"/>
      <c r="AV243" s="1185"/>
      <c r="AW243" s="853"/>
      <c r="AX243" s="853"/>
      <c r="AY243" s="853"/>
      <c r="AZ243" s="853"/>
      <c r="BA243" s="853"/>
      <c r="BB243" s="853"/>
      <c r="BC243" s="853"/>
      <c r="BD243" s="853"/>
      <c r="BE243" s="853"/>
      <c r="BF243" s="853"/>
      <c r="BG243" s="853"/>
      <c r="BH243" s="853"/>
      <c r="BI243" s="853"/>
      <c r="BJ243" s="853"/>
      <c r="BK243" s="853"/>
      <c r="BL243" s="853"/>
      <c r="BM243" s="853"/>
      <c r="BN243" s="853"/>
      <c r="BO243" s="853"/>
      <c r="BP243" s="853"/>
    </row>
    <row r="244" ht="11.25" customHeight="1">
      <c r="A244" s="853"/>
      <c r="B244" s="853"/>
      <c r="C244" s="853"/>
      <c r="D244" s="853"/>
      <c r="E244" s="853"/>
      <c r="F244" s="853"/>
      <c r="G244" s="853"/>
      <c r="H244" s="853"/>
      <c r="I244" s="853"/>
      <c r="J244" s="853"/>
      <c r="K244" s="853"/>
      <c r="L244" s="853"/>
      <c r="M244" s="853"/>
      <c r="N244" s="853"/>
      <c r="O244" s="853"/>
      <c r="P244" s="853"/>
      <c r="Q244" s="853"/>
      <c r="R244" s="853"/>
      <c r="S244" s="853"/>
      <c r="T244" s="1181"/>
      <c r="U244" s="1181"/>
      <c r="V244" s="1181"/>
      <c r="W244" s="1181"/>
      <c r="X244" s="1181"/>
      <c r="Y244" s="1181"/>
      <c r="Z244" s="1181"/>
      <c r="AA244" s="1181"/>
      <c r="AB244" s="1182"/>
      <c r="AC244" s="1181"/>
      <c r="AD244" s="1183"/>
      <c r="AE244" s="1184"/>
      <c r="AF244" s="1181"/>
      <c r="AG244" s="1181"/>
      <c r="AH244" s="853"/>
      <c r="AI244" s="853"/>
      <c r="AJ244" s="853"/>
      <c r="AK244" s="853"/>
      <c r="AL244" s="1181"/>
      <c r="AM244" s="1181"/>
      <c r="AN244" s="853"/>
      <c r="AO244" s="853"/>
      <c r="AP244" s="853"/>
      <c r="AQ244" s="853"/>
      <c r="AR244" s="853"/>
      <c r="AS244" s="853"/>
      <c r="AT244" s="853"/>
      <c r="AU244" s="853"/>
      <c r="AV244" s="1185"/>
      <c r="AW244" s="853"/>
      <c r="AX244" s="853"/>
      <c r="AY244" s="853"/>
      <c r="AZ244" s="853"/>
      <c r="BA244" s="853"/>
      <c r="BB244" s="853"/>
      <c r="BC244" s="853"/>
      <c r="BD244" s="853"/>
      <c r="BE244" s="853"/>
      <c r="BF244" s="853"/>
      <c r="BG244" s="853"/>
      <c r="BH244" s="853"/>
      <c r="BI244" s="853"/>
      <c r="BJ244" s="853"/>
      <c r="BK244" s="853"/>
      <c r="BL244" s="853"/>
      <c r="BM244" s="853"/>
      <c r="BN244" s="853"/>
      <c r="BO244" s="853"/>
      <c r="BP244" s="853"/>
    </row>
    <row r="245" ht="11.25" customHeight="1">
      <c r="A245" s="853"/>
      <c r="B245" s="853"/>
      <c r="C245" s="853"/>
      <c r="D245" s="853"/>
      <c r="E245" s="853"/>
      <c r="F245" s="853"/>
      <c r="G245" s="853"/>
      <c r="H245" s="853"/>
      <c r="I245" s="853"/>
      <c r="J245" s="853"/>
      <c r="K245" s="853"/>
      <c r="L245" s="853"/>
      <c r="M245" s="853"/>
      <c r="N245" s="853"/>
      <c r="O245" s="853"/>
      <c r="P245" s="853"/>
      <c r="Q245" s="853"/>
      <c r="R245" s="853"/>
      <c r="S245" s="853"/>
      <c r="T245" s="1181"/>
      <c r="U245" s="1181"/>
      <c r="V245" s="1181"/>
      <c r="W245" s="1181"/>
      <c r="X245" s="1181"/>
      <c r="Y245" s="1181"/>
      <c r="Z245" s="1181"/>
      <c r="AA245" s="1181"/>
      <c r="AB245" s="1182"/>
      <c r="AC245" s="1181"/>
      <c r="AD245" s="1183"/>
      <c r="AE245" s="1184"/>
      <c r="AF245" s="1181"/>
      <c r="AG245" s="1181"/>
      <c r="AH245" s="853"/>
      <c r="AI245" s="853"/>
      <c r="AJ245" s="853"/>
      <c r="AK245" s="853"/>
      <c r="AL245" s="1181"/>
      <c r="AM245" s="1181"/>
      <c r="AN245" s="853"/>
      <c r="AO245" s="853"/>
      <c r="AP245" s="853"/>
      <c r="AQ245" s="853"/>
      <c r="AR245" s="853"/>
      <c r="AS245" s="853"/>
      <c r="AT245" s="853"/>
      <c r="AU245" s="853"/>
      <c r="AV245" s="1185"/>
      <c r="AW245" s="853"/>
      <c r="AX245" s="853"/>
      <c r="AY245" s="853"/>
      <c r="AZ245" s="853"/>
      <c r="BA245" s="853"/>
      <c r="BB245" s="853"/>
      <c r="BC245" s="853"/>
      <c r="BD245" s="853"/>
      <c r="BE245" s="853"/>
      <c r="BF245" s="853"/>
      <c r="BG245" s="853"/>
      <c r="BH245" s="853"/>
      <c r="BI245" s="853"/>
      <c r="BJ245" s="853"/>
      <c r="BK245" s="853"/>
      <c r="BL245" s="853"/>
      <c r="BM245" s="853"/>
      <c r="BN245" s="853"/>
      <c r="BO245" s="853"/>
      <c r="BP245" s="853"/>
    </row>
    <row r="246" ht="11.25" customHeight="1">
      <c r="A246" s="853"/>
      <c r="B246" s="853"/>
      <c r="C246" s="853"/>
      <c r="D246" s="853"/>
      <c r="E246" s="853"/>
      <c r="F246" s="853"/>
      <c r="G246" s="853"/>
      <c r="H246" s="853"/>
      <c r="I246" s="853"/>
      <c r="J246" s="853"/>
      <c r="K246" s="853"/>
      <c r="L246" s="853"/>
      <c r="M246" s="853"/>
      <c r="N246" s="853"/>
      <c r="O246" s="853"/>
      <c r="P246" s="853"/>
      <c r="Q246" s="853"/>
      <c r="R246" s="853"/>
      <c r="S246" s="853"/>
      <c r="T246" s="1181"/>
      <c r="U246" s="1181"/>
      <c r="V246" s="1181"/>
      <c r="W246" s="1181"/>
      <c r="X246" s="1181"/>
      <c r="Y246" s="1181"/>
      <c r="Z246" s="1181"/>
      <c r="AA246" s="1181"/>
      <c r="AB246" s="1182"/>
      <c r="AC246" s="1181"/>
      <c r="AD246" s="1183"/>
      <c r="AE246" s="1184"/>
      <c r="AF246" s="1181"/>
      <c r="AG246" s="1181"/>
      <c r="AH246" s="853"/>
      <c r="AI246" s="853"/>
      <c r="AJ246" s="853"/>
      <c r="AK246" s="853"/>
      <c r="AL246" s="1181"/>
      <c r="AM246" s="1181"/>
      <c r="AN246" s="853"/>
      <c r="AO246" s="853"/>
      <c r="AP246" s="853"/>
      <c r="AQ246" s="853"/>
      <c r="AR246" s="853"/>
      <c r="AS246" s="853"/>
      <c r="AT246" s="853"/>
      <c r="AU246" s="853"/>
      <c r="AV246" s="1185"/>
      <c r="AW246" s="853"/>
      <c r="AX246" s="853"/>
      <c r="AY246" s="853"/>
      <c r="AZ246" s="853"/>
      <c r="BA246" s="853"/>
      <c r="BB246" s="853"/>
      <c r="BC246" s="853"/>
      <c r="BD246" s="853"/>
      <c r="BE246" s="853"/>
      <c r="BF246" s="853"/>
      <c r="BG246" s="853"/>
      <c r="BH246" s="853"/>
      <c r="BI246" s="853"/>
      <c r="BJ246" s="853"/>
      <c r="BK246" s="853"/>
      <c r="BL246" s="853"/>
      <c r="BM246" s="853"/>
      <c r="BN246" s="853"/>
      <c r="BO246" s="853"/>
      <c r="BP246" s="853"/>
    </row>
    <row r="247" ht="11.25" customHeight="1">
      <c r="A247" s="853"/>
      <c r="B247" s="853"/>
      <c r="C247" s="853"/>
      <c r="D247" s="853"/>
      <c r="E247" s="853"/>
      <c r="F247" s="853"/>
      <c r="G247" s="853"/>
      <c r="H247" s="853"/>
      <c r="I247" s="853"/>
      <c r="J247" s="853"/>
      <c r="K247" s="853"/>
      <c r="L247" s="853"/>
      <c r="M247" s="853"/>
      <c r="N247" s="853"/>
      <c r="O247" s="853"/>
      <c r="P247" s="853"/>
      <c r="Q247" s="853"/>
      <c r="R247" s="853"/>
      <c r="S247" s="853"/>
      <c r="T247" s="1181"/>
      <c r="U247" s="1181"/>
      <c r="V247" s="1181"/>
      <c r="W247" s="1181"/>
      <c r="X247" s="1181"/>
      <c r="Y247" s="1181"/>
      <c r="Z247" s="1181"/>
      <c r="AA247" s="1181"/>
      <c r="AB247" s="1182"/>
      <c r="AC247" s="1181"/>
      <c r="AD247" s="1183"/>
      <c r="AE247" s="1184"/>
      <c r="AF247" s="1181"/>
      <c r="AG247" s="1181"/>
      <c r="AH247" s="853"/>
      <c r="AI247" s="853"/>
      <c r="AJ247" s="853"/>
      <c r="AK247" s="853"/>
      <c r="AL247" s="1181"/>
      <c r="AM247" s="1181"/>
      <c r="AN247" s="853"/>
      <c r="AO247" s="853"/>
      <c r="AP247" s="853"/>
      <c r="AQ247" s="853"/>
      <c r="AR247" s="853"/>
      <c r="AS247" s="853"/>
      <c r="AT247" s="853"/>
      <c r="AU247" s="853"/>
      <c r="AV247" s="1185"/>
      <c r="AW247" s="853"/>
      <c r="AX247" s="853"/>
      <c r="AY247" s="853"/>
      <c r="AZ247" s="853"/>
      <c r="BA247" s="853"/>
      <c r="BB247" s="853"/>
      <c r="BC247" s="853"/>
      <c r="BD247" s="853"/>
      <c r="BE247" s="853"/>
      <c r="BF247" s="853"/>
      <c r="BG247" s="853"/>
      <c r="BH247" s="853"/>
      <c r="BI247" s="853"/>
      <c r="BJ247" s="853"/>
      <c r="BK247" s="853"/>
      <c r="BL247" s="853"/>
      <c r="BM247" s="853"/>
      <c r="BN247" s="853"/>
      <c r="BO247" s="853"/>
      <c r="BP247" s="853"/>
    </row>
    <row r="248" ht="11.25" customHeight="1">
      <c r="A248" s="853"/>
      <c r="B248" s="853"/>
      <c r="C248" s="853"/>
      <c r="D248" s="853"/>
      <c r="E248" s="853"/>
      <c r="F248" s="853"/>
      <c r="G248" s="853"/>
      <c r="H248" s="853"/>
      <c r="I248" s="853"/>
      <c r="J248" s="853"/>
      <c r="K248" s="853"/>
      <c r="L248" s="853"/>
      <c r="M248" s="853"/>
      <c r="N248" s="853"/>
      <c r="O248" s="853"/>
      <c r="P248" s="853"/>
      <c r="Q248" s="853"/>
      <c r="R248" s="853"/>
      <c r="S248" s="853"/>
      <c r="T248" s="1181"/>
      <c r="U248" s="1181"/>
      <c r="V248" s="1181"/>
      <c r="W248" s="1181"/>
      <c r="X248" s="1181"/>
      <c r="Y248" s="1181"/>
      <c r="Z248" s="1181"/>
      <c r="AA248" s="1181"/>
      <c r="AB248" s="1182"/>
      <c r="AC248" s="1181"/>
      <c r="AD248" s="1183"/>
      <c r="AE248" s="1184"/>
      <c r="AF248" s="1181"/>
      <c r="AG248" s="1181"/>
      <c r="AH248" s="853"/>
      <c r="AI248" s="853"/>
      <c r="AJ248" s="853"/>
      <c r="AK248" s="853"/>
      <c r="AL248" s="1181"/>
      <c r="AM248" s="1181"/>
      <c r="AN248" s="853"/>
      <c r="AO248" s="853"/>
      <c r="AP248" s="853"/>
      <c r="AQ248" s="853"/>
      <c r="AR248" s="853"/>
      <c r="AS248" s="853"/>
      <c r="AT248" s="853"/>
      <c r="AU248" s="853"/>
      <c r="AV248" s="1185"/>
      <c r="AW248" s="853"/>
      <c r="AX248" s="853"/>
      <c r="AY248" s="853"/>
      <c r="AZ248" s="853"/>
      <c r="BA248" s="853"/>
      <c r="BB248" s="853"/>
      <c r="BC248" s="853"/>
      <c r="BD248" s="853"/>
      <c r="BE248" s="853"/>
      <c r="BF248" s="853"/>
      <c r="BG248" s="853"/>
      <c r="BH248" s="853"/>
      <c r="BI248" s="853"/>
      <c r="BJ248" s="853"/>
      <c r="BK248" s="853"/>
      <c r="BL248" s="853"/>
      <c r="BM248" s="853"/>
      <c r="BN248" s="853"/>
      <c r="BO248" s="853"/>
      <c r="BP248" s="853"/>
    </row>
    <row r="249" ht="11.25" customHeight="1">
      <c r="A249" s="853"/>
      <c r="B249" s="853"/>
      <c r="C249" s="853"/>
      <c r="D249" s="853"/>
      <c r="E249" s="853"/>
      <c r="F249" s="853"/>
      <c r="G249" s="853"/>
      <c r="H249" s="853"/>
      <c r="I249" s="853"/>
      <c r="J249" s="853"/>
      <c r="K249" s="853"/>
      <c r="L249" s="853"/>
      <c r="M249" s="853"/>
      <c r="N249" s="853"/>
      <c r="O249" s="853"/>
      <c r="P249" s="853"/>
      <c r="Q249" s="853"/>
      <c r="R249" s="853"/>
      <c r="S249" s="853"/>
      <c r="T249" s="1181"/>
      <c r="U249" s="1181"/>
      <c r="V249" s="1181"/>
      <c r="W249" s="1181"/>
      <c r="X249" s="1181"/>
      <c r="Y249" s="1181"/>
      <c r="Z249" s="1181"/>
      <c r="AA249" s="1181"/>
      <c r="AB249" s="1182"/>
      <c r="AC249" s="1181"/>
      <c r="AD249" s="1183"/>
      <c r="AE249" s="1184"/>
      <c r="AF249" s="1181"/>
      <c r="AG249" s="1181"/>
      <c r="AH249" s="853"/>
      <c r="AI249" s="853"/>
      <c r="AJ249" s="853"/>
      <c r="AK249" s="853"/>
      <c r="AL249" s="1181"/>
      <c r="AM249" s="1181"/>
      <c r="AN249" s="853"/>
      <c r="AO249" s="853"/>
      <c r="AP249" s="853"/>
      <c r="AQ249" s="853"/>
      <c r="AR249" s="853"/>
      <c r="AS249" s="853"/>
      <c r="AT249" s="853"/>
      <c r="AU249" s="853"/>
      <c r="AV249" s="1185"/>
      <c r="AW249" s="853"/>
      <c r="AX249" s="853"/>
      <c r="AY249" s="853"/>
      <c r="AZ249" s="853"/>
      <c r="BA249" s="853"/>
      <c r="BB249" s="853"/>
      <c r="BC249" s="853"/>
      <c r="BD249" s="853"/>
      <c r="BE249" s="853"/>
      <c r="BF249" s="853"/>
      <c r="BG249" s="853"/>
      <c r="BH249" s="853"/>
      <c r="BI249" s="853"/>
      <c r="BJ249" s="853"/>
      <c r="BK249" s="853"/>
      <c r="BL249" s="853"/>
      <c r="BM249" s="853"/>
      <c r="BN249" s="853"/>
      <c r="BO249" s="853"/>
      <c r="BP249" s="853"/>
    </row>
    <row r="250" ht="11.25" customHeight="1">
      <c r="A250" s="853"/>
      <c r="B250" s="853"/>
      <c r="C250" s="853"/>
      <c r="D250" s="853"/>
      <c r="E250" s="853"/>
      <c r="F250" s="853"/>
      <c r="G250" s="853"/>
      <c r="H250" s="853"/>
      <c r="I250" s="853"/>
      <c r="J250" s="853"/>
      <c r="K250" s="853"/>
      <c r="L250" s="853"/>
      <c r="M250" s="853"/>
      <c r="N250" s="853"/>
      <c r="O250" s="853"/>
      <c r="P250" s="853"/>
      <c r="Q250" s="853"/>
      <c r="R250" s="853"/>
      <c r="S250" s="853"/>
      <c r="T250" s="1181"/>
      <c r="U250" s="1181"/>
      <c r="V250" s="1181"/>
      <c r="W250" s="1181"/>
      <c r="X250" s="1181"/>
      <c r="Y250" s="1181"/>
      <c r="Z250" s="1181"/>
      <c r="AA250" s="1181"/>
      <c r="AB250" s="1182"/>
      <c r="AC250" s="1181"/>
      <c r="AD250" s="1183"/>
      <c r="AE250" s="1184"/>
      <c r="AF250" s="1181"/>
      <c r="AG250" s="1181"/>
      <c r="AH250" s="853"/>
      <c r="AI250" s="853"/>
      <c r="AJ250" s="853"/>
      <c r="AK250" s="853"/>
      <c r="AL250" s="1181"/>
      <c r="AM250" s="1181"/>
      <c r="AN250" s="853"/>
      <c r="AO250" s="853"/>
      <c r="AP250" s="853"/>
      <c r="AQ250" s="853"/>
      <c r="AR250" s="853"/>
      <c r="AS250" s="853"/>
      <c r="AT250" s="853"/>
      <c r="AU250" s="853"/>
      <c r="AV250" s="1185"/>
      <c r="AW250" s="853"/>
      <c r="AX250" s="853"/>
      <c r="AY250" s="853"/>
      <c r="AZ250" s="853"/>
      <c r="BA250" s="853"/>
      <c r="BB250" s="853"/>
      <c r="BC250" s="853"/>
      <c r="BD250" s="853"/>
      <c r="BE250" s="853"/>
      <c r="BF250" s="853"/>
      <c r="BG250" s="853"/>
      <c r="BH250" s="853"/>
      <c r="BI250" s="853"/>
      <c r="BJ250" s="853"/>
      <c r="BK250" s="853"/>
      <c r="BL250" s="853"/>
      <c r="BM250" s="853"/>
      <c r="BN250" s="853"/>
      <c r="BO250" s="853"/>
      <c r="BP250" s="853"/>
    </row>
    <row r="251" ht="11.25" customHeight="1">
      <c r="A251" s="853"/>
      <c r="B251" s="853"/>
      <c r="C251" s="853"/>
      <c r="D251" s="853"/>
      <c r="E251" s="853"/>
      <c r="F251" s="853"/>
      <c r="G251" s="853"/>
      <c r="H251" s="853"/>
      <c r="I251" s="853"/>
      <c r="J251" s="853"/>
      <c r="K251" s="853"/>
      <c r="L251" s="853"/>
      <c r="M251" s="853"/>
      <c r="N251" s="853"/>
      <c r="O251" s="853"/>
      <c r="P251" s="853"/>
      <c r="Q251" s="853"/>
      <c r="R251" s="853"/>
      <c r="S251" s="853"/>
      <c r="T251" s="1181"/>
      <c r="U251" s="1181"/>
      <c r="V251" s="1181"/>
      <c r="W251" s="1181"/>
      <c r="X251" s="1181"/>
      <c r="Y251" s="1181"/>
      <c r="Z251" s="1181"/>
      <c r="AA251" s="1181"/>
      <c r="AB251" s="1182"/>
      <c r="AC251" s="1181"/>
      <c r="AD251" s="1183"/>
      <c r="AE251" s="1184"/>
      <c r="AF251" s="1181"/>
      <c r="AG251" s="1181"/>
      <c r="AH251" s="853"/>
      <c r="AI251" s="853"/>
      <c r="AJ251" s="853"/>
      <c r="AK251" s="853"/>
      <c r="AL251" s="1181"/>
      <c r="AM251" s="1181"/>
      <c r="AN251" s="853"/>
      <c r="AO251" s="853"/>
      <c r="AP251" s="853"/>
      <c r="AQ251" s="853"/>
      <c r="AR251" s="853"/>
      <c r="AS251" s="853"/>
      <c r="AT251" s="853"/>
      <c r="AU251" s="853"/>
      <c r="AV251" s="1185"/>
      <c r="AW251" s="853"/>
      <c r="AX251" s="853"/>
      <c r="AY251" s="853"/>
      <c r="AZ251" s="853"/>
      <c r="BA251" s="853"/>
      <c r="BB251" s="853"/>
      <c r="BC251" s="853"/>
      <c r="BD251" s="853"/>
      <c r="BE251" s="853"/>
      <c r="BF251" s="853"/>
      <c r="BG251" s="853"/>
      <c r="BH251" s="853"/>
      <c r="BI251" s="853"/>
      <c r="BJ251" s="853"/>
      <c r="BK251" s="853"/>
      <c r="BL251" s="853"/>
      <c r="BM251" s="853"/>
      <c r="BN251" s="853"/>
      <c r="BO251" s="853"/>
      <c r="BP251" s="853"/>
    </row>
    <row r="252" ht="11.25" customHeight="1">
      <c r="A252" s="853"/>
      <c r="B252" s="853"/>
      <c r="C252" s="853"/>
      <c r="D252" s="853"/>
      <c r="E252" s="853"/>
      <c r="F252" s="853"/>
      <c r="G252" s="853"/>
      <c r="H252" s="853"/>
      <c r="I252" s="853"/>
      <c r="J252" s="853"/>
      <c r="K252" s="853"/>
      <c r="L252" s="853"/>
      <c r="M252" s="853"/>
      <c r="N252" s="853"/>
      <c r="O252" s="853"/>
      <c r="P252" s="853"/>
      <c r="Q252" s="853"/>
      <c r="R252" s="853"/>
      <c r="S252" s="853"/>
      <c r="T252" s="1181"/>
      <c r="U252" s="1181"/>
      <c r="V252" s="1181"/>
      <c r="W252" s="1181"/>
      <c r="X252" s="1181"/>
      <c r="Y252" s="1181"/>
      <c r="Z252" s="1181"/>
      <c r="AA252" s="1181"/>
      <c r="AB252" s="1182"/>
      <c r="AC252" s="1181"/>
      <c r="AD252" s="1183"/>
      <c r="AE252" s="1184"/>
      <c r="AF252" s="1181"/>
      <c r="AG252" s="1181"/>
      <c r="AH252" s="853"/>
      <c r="AI252" s="853"/>
      <c r="AJ252" s="853"/>
      <c r="AK252" s="853"/>
      <c r="AL252" s="1181"/>
      <c r="AM252" s="1181"/>
      <c r="AN252" s="853"/>
      <c r="AO252" s="853"/>
      <c r="AP252" s="853"/>
      <c r="AQ252" s="853"/>
      <c r="AR252" s="853"/>
      <c r="AS252" s="853"/>
      <c r="AT252" s="853"/>
      <c r="AU252" s="853"/>
      <c r="AV252" s="1185"/>
      <c r="AW252" s="853"/>
      <c r="AX252" s="853"/>
      <c r="AY252" s="853"/>
      <c r="AZ252" s="853"/>
      <c r="BA252" s="853"/>
      <c r="BB252" s="853"/>
      <c r="BC252" s="853"/>
      <c r="BD252" s="853"/>
      <c r="BE252" s="853"/>
      <c r="BF252" s="853"/>
      <c r="BG252" s="853"/>
      <c r="BH252" s="853"/>
      <c r="BI252" s="853"/>
      <c r="BJ252" s="853"/>
      <c r="BK252" s="853"/>
      <c r="BL252" s="853"/>
      <c r="BM252" s="853"/>
      <c r="BN252" s="853"/>
      <c r="BO252" s="853"/>
      <c r="BP252" s="853"/>
    </row>
    <row r="253" ht="11.25" customHeight="1">
      <c r="A253" s="853"/>
      <c r="B253" s="853"/>
      <c r="C253" s="853"/>
      <c r="D253" s="853"/>
      <c r="E253" s="853"/>
      <c r="F253" s="853"/>
      <c r="G253" s="853"/>
      <c r="H253" s="853"/>
      <c r="I253" s="853"/>
      <c r="J253" s="853"/>
      <c r="K253" s="853"/>
      <c r="L253" s="853"/>
      <c r="M253" s="853"/>
      <c r="N253" s="853"/>
      <c r="O253" s="853"/>
      <c r="P253" s="853"/>
      <c r="Q253" s="853"/>
      <c r="R253" s="853"/>
      <c r="S253" s="853"/>
      <c r="T253" s="1181"/>
      <c r="U253" s="1181"/>
      <c r="V253" s="1181"/>
      <c r="W253" s="1181"/>
      <c r="X253" s="1181"/>
      <c r="Y253" s="1181"/>
      <c r="Z253" s="1181"/>
      <c r="AA253" s="1181"/>
      <c r="AB253" s="1182"/>
      <c r="AC253" s="1181"/>
      <c r="AD253" s="1183"/>
      <c r="AE253" s="1184"/>
      <c r="AF253" s="1181"/>
      <c r="AG253" s="1181"/>
      <c r="AH253" s="853"/>
      <c r="AI253" s="853"/>
      <c r="AJ253" s="853"/>
      <c r="AK253" s="853"/>
      <c r="AL253" s="1181"/>
      <c r="AM253" s="1181"/>
      <c r="AN253" s="853"/>
      <c r="AO253" s="853"/>
      <c r="AP253" s="853"/>
      <c r="AQ253" s="853"/>
      <c r="AR253" s="853"/>
      <c r="AS253" s="853"/>
      <c r="AT253" s="853"/>
      <c r="AU253" s="853"/>
      <c r="AV253" s="1185"/>
      <c r="AW253" s="853"/>
      <c r="AX253" s="853"/>
      <c r="AY253" s="853"/>
      <c r="AZ253" s="853"/>
      <c r="BA253" s="853"/>
      <c r="BB253" s="853"/>
      <c r="BC253" s="853"/>
      <c r="BD253" s="853"/>
      <c r="BE253" s="853"/>
      <c r="BF253" s="853"/>
      <c r="BG253" s="853"/>
      <c r="BH253" s="853"/>
      <c r="BI253" s="853"/>
      <c r="BJ253" s="853"/>
      <c r="BK253" s="853"/>
      <c r="BL253" s="853"/>
      <c r="BM253" s="853"/>
      <c r="BN253" s="853"/>
      <c r="BO253" s="853"/>
      <c r="BP253" s="853"/>
    </row>
    <row r="254" ht="11.25" customHeight="1">
      <c r="A254" s="853"/>
      <c r="B254" s="853"/>
      <c r="C254" s="853"/>
      <c r="D254" s="853"/>
      <c r="E254" s="853"/>
      <c r="F254" s="853"/>
      <c r="G254" s="853"/>
      <c r="H254" s="853"/>
      <c r="I254" s="853"/>
      <c r="J254" s="853"/>
      <c r="K254" s="853"/>
      <c r="L254" s="853"/>
      <c r="M254" s="853"/>
      <c r="N254" s="853"/>
      <c r="O254" s="853"/>
      <c r="P254" s="853"/>
      <c r="Q254" s="853"/>
      <c r="R254" s="853"/>
      <c r="S254" s="853"/>
      <c r="T254" s="1181"/>
      <c r="U254" s="1181"/>
      <c r="V254" s="1181"/>
      <c r="W254" s="1181"/>
      <c r="X254" s="1181"/>
      <c r="Y254" s="1181"/>
      <c r="Z254" s="1181"/>
      <c r="AA254" s="1181"/>
      <c r="AB254" s="1182"/>
      <c r="AC254" s="1181"/>
      <c r="AD254" s="1183"/>
      <c r="AE254" s="1184"/>
      <c r="AF254" s="1181"/>
      <c r="AG254" s="1181"/>
      <c r="AH254" s="853"/>
      <c r="AI254" s="853"/>
      <c r="AJ254" s="853"/>
      <c r="AK254" s="853"/>
      <c r="AL254" s="1181"/>
      <c r="AM254" s="1181"/>
      <c r="AN254" s="853"/>
      <c r="AO254" s="853"/>
      <c r="AP254" s="853"/>
      <c r="AQ254" s="853"/>
      <c r="AR254" s="853"/>
      <c r="AS254" s="853"/>
      <c r="AT254" s="853"/>
      <c r="AU254" s="853"/>
      <c r="AV254" s="1185"/>
      <c r="AW254" s="853"/>
      <c r="AX254" s="853"/>
      <c r="AY254" s="853"/>
      <c r="AZ254" s="853"/>
      <c r="BA254" s="853"/>
      <c r="BB254" s="853"/>
      <c r="BC254" s="853"/>
      <c r="BD254" s="853"/>
      <c r="BE254" s="853"/>
      <c r="BF254" s="853"/>
      <c r="BG254" s="853"/>
      <c r="BH254" s="853"/>
      <c r="BI254" s="853"/>
      <c r="BJ254" s="853"/>
      <c r="BK254" s="853"/>
      <c r="BL254" s="853"/>
      <c r="BM254" s="853"/>
      <c r="BN254" s="853"/>
      <c r="BO254" s="853"/>
      <c r="BP254" s="853"/>
    </row>
    <row r="255" ht="11.25" customHeight="1">
      <c r="A255" s="853"/>
      <c r="B255" s="853"/>
      <c r="C255" s="853"/>
      <c r="D255" s="853"/>
      <c r="E255" s="853"/>
      <c r="F255" s="853"/>
      <c r="G255" s="853"/>
      <c r="H255" s="853"/>
      <c r="I255" s="853"/>
      <c r="J255" s="853"/>
      <c r="K255" s="853"/>
      <c r="L255" s="853"/>
      <c r="M255" s="853"/>
      <c r="N255" s="853"/>
      <c r="O255" s="853"/>
      <c r="P255" s="853"/>
      <c r="Q255" s="853"/>
      <c r="R255" s="853"/>
      <c r="S255" s="853"/>
      <c r="T255" s="1181"/>
      <c r="U255" s="1181"/>
      <c r="V255" s="1181"/>
      <c r="W255" s="1181"/>
      <c r="X255" s="1181"/>
      <c r="Y255" s="1181"/>
      <c r="Z255" s="1181"/>
      <c r="AA255" s="1181"/>
      <c r="AB255" s="1182"/>
      <c r="AC255" s="1181"/>
      <c r="AD255" s="1183"/>
      <c r="AE255" s="1184"/>
      <c r="AF255" s="1181"/>
      <c r="AG255" s="1181"/>
      <c r="AH255" s="853"/>
      <c r="AI255" s="853"/>
      <c r="AJ255" s="853"/>
      <c r="AK255" s="853"/>
      <c r="AL255" s="1181"/>
      <c r="AM255" s="1181"/>
      <c r="AN255" s="853"/>
      <c r="AO255" s="853"/>
      <c r="AP255" s="853"/>
      <c r="AQ255" s="853"/>
      <c r="AR255" s="853"/>
      <c r="AS255" s="853"/>
      <c r="AT255" s="853"/>
      <c r="AU255" s="853"/>
      <c r="AV255" s="1185"/>
      <c r="AW255" s="853"/>
      <c r="AX255" s="853"/>
      <c r="AY255" s="853"/>
      <c r="AZ255" s="853"/>
      <c r="BA255" s="853"/>
      <c r="BB255" s="853"/>
      <c r="BC255" s="853"/>
      <c r="BD255" s="853"/>
      <c r="BE255" s="853"/>
      <c r="BF255" s="853"/>
      <c r="BG255" s="853"/>
      <c r="BH255" s="853"/>
      <c r="BI255" s="853"/>
      <c r="BJ255" s="853"/>
      <c r="BK255" s="853"/>
      <c r="BL255" s="853"/>
      <c r="BM255" s="853"/>
      <c r="BN255" s="853"/>
      <c r="BO255" s="853"/>
      <c r="BP255" s="853"/>
    </row>
    <row r="256" ht="11.25" customHeight="1">
      <c r="A256" s="853"/>
      <c r="B256" s="853"/>
      <c r="C256" s="853"/>
      <c r="D256" s="853"/>
      <c r="E256" s="853"/>
      <c r="F256" s="853"/>
      <c r="G256" s="853"/>
      <c r="H256" s="853"/>
      <c r="I256" s="853"/>
      <c r="J256" s="853"/>
      <c r="K256" s="853"/>
      <c r="L256" s="853"/>
      <c r="M256" s="853"/>
      <c r="N256" s="853"/>
      <c r="O256" s="853"/>
      <c r="P256" s="853"/>
      <c r="Q256" s="853"/>
      <c r="R256" s="853"/>
      <c r="S256" s="853"/>
      <c r="T256" s="1181"/>
      <c r="U256" s="1181"/>
      <c r="V256" s="1181"/>
      <c r="W256" s="1181"/>
      <c r="X256" s="1181"/>
      <c r="Y256" s="1181"/>
      <c r="Z256" s="1181"/>
      <c r="AA256" s="1181"/>
      <c r="AB256" s="1182"/>
      <c r="AC256" s="1181"/>
      <c r="AD256" s="1183"/>
      <c r="AE256" s="1184"/>
      <c r="AF256" s="1181"/>
      <c r="AG256" s="1181"/>
      <c r="AH256" s="853"/>
      <c r="AI256" s="853"/>
      <c r="AJ256" s="853"/>
      <c r="AK256" s="853"/>
      <c r="AL256" s="1181"/>
      <c r="AM256" s="1181"/>
      <c r="AN256" s="853"/>
      <c r="AO256" s="853"/>
      <c r="AP256" s="853"/>
      <c r="AQ256" s="853"/>
      <c r="AR256" s="853"/>
      <c r="AS256" s="853"/>
      <c r="AT256" s="853"/>
      <c r="AU256" s="853"/>
      <c r="AV256" s="1185"/>
      <c r="AW256" s="853"/>
      <c r="AX256" s="853"/>
      <c r="AY256" s="853"/>
      <c r="AZ256" s="853"/>
      <c r="BA256" s="853"/>
      <c r="BB256" s="853"/>
      <c r="BC256" s="853"/>
      <c r="BD256" s="853"/>
      <c r="BE256" s="853"/>
      <c r="BF256" s="853"/>
      <c r="BG256" s="853"/>
      <c r="BH256" s="853"/>
      <c r="BI256" s="853"/>
      <c r="BJ256" s="853"/>
      <c r="BK256" s="853"/>
      <c r="BL256" s="853"/>
      <c r="BM256" s="853"/>
      <c r="BN256" s="853"/>
      <c r="BO256" s="853"/>
      <c r="BP256" s="853"/>
    </row>
    <row r="257" ht="11.25" customHeight="1">
      <c r="A257" s="853"/>
      <c r="B257" s="853"/>
      <c r="C257" s="853"/>
      <c r="D257" s="853"/>
      <c r="E257" s="853"/>
      <c r="F257" s="853"/>
      <c r="G257" s="853"/>
      <c r="H257" s="853"/>
      <c r="I257" s="853"/>
      <c r="J257" s="853"/>
      <c r="K257" s="853"/>
      <c r="L257" s="853"/>
      <c r="M257" s="853"/>
      <c r="N257" s="853"/>
      <c r="O257" s="853"/>
      <c r="P257" s="853"/>
      <c r="Q257" s="853"/>
      <c r="R257" s="853"/>
      <c r="S257" s="853"/>
      <c r="T257" s="1181"/>
      <c r="U257" s="1181"/>
      <c r="V257" s="1181"/>
      <c r="W257" s="1181"/>
      <c r="X257" s="1181"/>
      <c r="Y257" s="1181"/>
      <c r="Z257" s="1181"/>
      <c r="AA257" s="1181"/>
      <c r="AB257" s="1182"/>
      <c r="AC257" s="1181"/>
      <c r="AD257" s="1183"/>
      <c r="AE257" s="1184"/>
      <c r="AF257" s="1181"/>
      <c r="AG257" s="1181"/>
      <c r="AH257" s="853"/>
      <c r="AI257" s="853"/>
      <c r="AJ257" s="853"/>
      <c r="AK257" s="853"/>
      <c r="AL257" s="1181"/>
      <c r="AM257" s="1181"/>
      <c r="AN257" s="853"/>
      <c r="AO257" s="853"/>
      <c r="AP257" s="853"/>
      <c r="AQ257" s="853"/>
      <c r="AR257" s="853"/>
      <c r="AS257" s="853"/>
      <c r="AT257" s="853"/>
      <c r="AU257" s="853"/>
      <c r="AV257" s="1185"/>
      <c r="AW257" s="853"/>
      <c r="AX257" s="853"/>
      <c r="AY257" s="853"/>
      <c r="AZ257" s="853"/>
      <c r="BA257" s="853"/>
      <c r="BB257" s="853"/>
      <c r="BC257" s="853"/>
      <c r="BD257" s="853"/>
      <c r="BE257" s="853"/>
      <c r="BF257" s="853"/>
      <c r="BG257" s="853"/>
      <c r="BH257" s="853"/>
      <c r="BI257" s="853"/>
      <c r="BJ257" s="853"/>
      <c r="BK257" s="853"/>
      <c r="BL257" s="853"/>
      <c r="BM257" s="853"/>
      <c r="BN257" s="853"/>
      <c r="BO257" s="853"/>
      <c r="BP257" s="853"/>
    </row>
    <row r="258" ht="11.25" customHeight="1">
      <c r="A258" s="853"/>
      <c r="B258" s="853"/>
      <c r="C258" s="853"/>
      <c r="D258" s="853"/>
      <c r="E258" s="853"/>
      <c r="F258" s="853"/>
      <c r="G258" s="853"/>
      <c r="H258" s="853"/>
      <c r="I258" s="853"/>
      <c r="J258" s="853"/>
      <c r="K258" s="853"/>
      <c r="L258" s="853"/>
      <c r="M258" s="853"/>
      <c r="N258" s="853"/>
      <c r="O258" s="853"/>
      <c r="P258" s="853"/>
      <c r="Q258" s="853"/>
      <c r="R258" s="853"/>
      <c r="S258" s="853"/>
      <c r="T258" s="1181"/>
      <c r="U258" s="1181"/>
      <c r="V258" s="1181"/>
      <c r="W258" s="1181"/>
      <c r="X258" s="1181"/>
      <c r="Y258" s="1181"/>
      <c r="Z258" s="1181"/>
      <c r="AA258" s="1181"/>
      <c r="AB258" s="1182"/>
      <c r="AC258" s="1181"/>
      <c r="AD258" s="1183"/>
      <c r="AE258" s="1184"/>
      <c r="AF258" s="1181"/>
      <c r="AG258" s="1181"/>
      <c r="AH258" s="853"/>
      <c r="AI258" s="853"/>
      <c r="AJ258" s="853"/>
      <c r="AK258" s="853"/>
      <c r="AL258" s="1181"/>
      <c r="AM258" s="1181"/>
      <c r="AN258" s="853"/>
      <c r="AO258" s="853"/>
      <c r="AP258" s="853"/>
      <c r="AQ258" s="853"/>
      <c r="AR258" s="853"/>
      <c r="AS258" s="853"/>
      <c r="AT258" s="853"/>
      <c r="AU258" s="853"/>
      <c r="AV258" s="1185"/>
      <c r="AW258" s="853"/>
      <c r="AX258" s="853"/>
      <c r="AY258" s="853"/>
      <c r="AZ258" s="853"/>
      <c r="BA258" s="853"/>
      <c r="BB258" s="853"/>
      <c r="BC258" s="853"/>
      <c r="BD258" s="853"/>
      <c r="BE258" s="853"/>
      <c r="BF258" s="853"/>
      <c r="BG258" s="853"/>
      <c r="BH258" s="853"/>
      <c r="BI258" s="853"/>
      <c r="BJ258" s="853"/>
      <c r="BK258" s="853"/>
      <c r="BL258" s="853"/>
      <c r="BM258" s="853"/>
      <c r="BN258" s="853"/>
      <c r="BO258" s="853"/>
      <c r="BP258" s="853"/>
    </row>
    <row r="259" ht="11.25" customHeight="1">
      <c r="A259" s="853"/>
      <c r="B259" s="853"/>
      <c r="C259" s="853"/>
      <c r="D259" s="853"/>
      <c r="E259" s="853"/>
      <c r="F259" s="853"/>
      <c r="G259" s="853"/>
      <c r="H259" s="853"/>
      <c r="I259" s="853"/>
      <c r="J259" s="853"/>
      <c r="K259" s="853"/>
      <c r="L259" s="853"/>
      <c r="M259" s="853"/>
      <c r="N259" s="853"/>
      <c r="O259" s="853"/>
      <c r="P259" s="853"/>
      <c r="Q259" s="853"/>
      <c r="R259" s="853"/>
      <c r="S259" s="853"/>
      <c r="T259" s="1181"/>
      <c r="U259" s="1181"/>
      <c r="V259" s="1181"/>
      <c r="W259" s="1181"/>
      <c r="X259" s="1181"/>
      <c r="Y259" s="1181"/>
      <c r="Z259" s="1181"/>
      <c r="AA259" s="1181"/>
      <c r="AB259" s="1182"/>
      <c r="AC259" s="1181"/>
      <c r="AD259" s="1183"/>
      <c r="AE259" s="1184"/>
      <c r="AF259" s="1181"/>
      <c r="AG259" s="1181"/>
      <c r="AH259" s="853"/>
      <c r="AI259" s="853"/>
      <c r="AJ259" s="853"/>
      <c r="AK259" s="853"/>
      <c r="AL259" s="1181"/>
      <c r="AM259" s="1181"/>
      <c r="AN259" s="853"/>
      <c r="AO259" s="853"/>
      <c r="AP259" s="853"/>
      <c r="AQ259" s="853"/>
      <c r="AR259" s="853"/>
      <c r="AS259" s="853"/>
      <c r="AT259" s="853"/>
      <c r="AU259" s="853"/>
      <c r="AV259" s="1185"/>
      <c r="AW259" s="853"/>
      <c r="AX259" s="853"/>
      <c r="AY259" s="853"/>
      <c r="AZ259" s="853"/>
      <c r="BA259" s="853"/>
      <c r="BB259" s="853"/>
      <c r="BC259" s="853"/>
      <c r="BD259" s="853"/>
      <c r="BE259" s="853"/>
      <c r="BF259" s="853"/>
      <c r="BG259" s="853"/>
      <c r="BH259" s="853"/>
      <c r="BI259" s="853"/>
      <c r="BJ259" s="853"/>
      <c r="BK259" s="853"/>
      <c r="BL259" s="853"/>
      <c r="BM259" s="853"/>
      <c r="BN259" s="853"/>
      <c r="BO259" s="853"/>
      <c r="BP259" s="853"/>
    </row>
    <row r="260" ht="11.25" customHeight="1">
      <c r="A260" s="853"/>
      <c r="B260" s="853"/>
      <c r="C260" s="853"/>
      <c r="D260" s="853"/>
      <c r="E260" s="853"/>
      <c r="F260" s="853"/>
      <c r="G260" s="853"/>
      <c r="H260" s="853"/>
      <c r="I260" s="853"/>
      <c r="J260" s="853"/>
      <c r="K260" s="853"/>
      <c r="L260" s="853"/>
      <c r="M260" s="853"/>
      <c r="N260" s="853"/>
      <c r="O260" s="853"/>
      <c r="P260" s="853"/>
      <c r="Q260" s="853"/>
      <c r="R260" s="853"/>
      <c r="S260" s="853"/>
      <c r="T260" s="1181"/>
      <c r="U260" s="1181"/>
      <c r="V260" s="1181"/>
      <c r="W260" s="1181"/>
      <c r="X260" s="1181"/>
      <c r="Y260" s="1181"/>
      <c r="Z260" s="1181"/>
      <c r="AA260" s="1181"/>
      <c r="AB260" s="1182"/>
      <c r="AC260" s="1181"/>
      <c r="AD260" s="1183"/>
      <c r="AE260" s="1184"/>
      <c r="AF260" s="1181"/>
      <c r="AG260" s="1181"/>
      <c r="AH260" s="853"/>
      <c r="AI260" s="853"/>
      <c r="AJ260" s="853"/>
      <c r="AK260" s="853"/>
      <c r="AL260" s="1181"/>
      <c r="AM260" s="1181"/>
      <c r="AN260" s="853"/>
      <c r="AO260" s="853"/>
      <c r="AP260" s="853"/>
      <c r="AQ260" s="853"/>
      <c r="AR260" s="853"/>
      <c r="AS260" s="853"/>
      <c r="AT260" s="853"/>
      <c r="AU260" s="853"/>
      <c r="AV260" s="1185"/>
      <c r="AW260" s="853"/>
      <c r="AX260" s="853"/>
      <c r="AY260" s="853"/>
      <c r="AZ260" s="853"/>
      <c r="BA260" s="853"/>
      <c r="BB260" s="853"/>
      <c r="BC260" s="853"/>
      <c r="BD260" s="853"/>
      <c r="BE260" s="853"/>
      <c r="BF260" s="853"/>
      <c r="BG260" s="853"/>
      <c r="BH260" s="853"/>
      <c r="BI260" s="853"/>
      <c r="BJ260" s="853"/>
      <c r="BK260" s="853"/>
      <c r="BL260" s="853"/>
      <c r="BM260" s="853"/>
      <c r="BN260" s="853"/>
      <c r="BO260" s="853"/>
      <c r="BP260" s="853"/>
    </row>
    <row r="261" ht="11.25" customHeight="1">
      <c r="A261" s="853"/>
      <c r="B261" s="853"/>
      <c r="C261" s="853"/>
      <c r="D261" s="853"/>
      <c r="E261" s="853"/>
      <c r="F261" s="853"/>
      <c r="G261" s="853"/>
      <c r="H261" s="853"/>
      <c r="I261" s="853"/>
      <c r="J261" s="853"/>
      <c r="K261" s="853"/>
      <c r="L261" s="853"/>
      <c r="M261" s="853"/>
      <c r="N261" s="853"/>
      <c r="O261" s="853"/>
      <c r="P261" s="853"/>
      <c r="Q261" s="853"/>
      <c r="R261" s="853"/>
      <c r="S261" s="853"/>
      <c r="T261" s="1181"/>
      <c r="U261" s="1181"/>
      <c r="V261" s="1181"/>
      <c r="W261" s="1181"/>
      <c r="X261" s="1181"/>
      <c r="Y261" s="1181"/>
      <c r="Z261" s="1181"/>
      <c r="AA261" s="1181"/>
      <c r="AB261" s="1182"/>
      <c r="AC261" s="1181"/>
      <c r="AD261" s="1183"/>
      <c r="AE261" s="1184"/>
      <c r="AF261" s="1181"/>
      <c r="AG261" s="1181"/>
      <c r="AH261" s="853"/>
      <c r="AI261" s="853"/>
      <c r="AJ261" s="853"/>
      <c r="AK261" s="853"/>
      <c r="AL261" s="1181"/>
      <c r="AM261" s="1181"/>
      <c r="AN261" s="853"/>
      <c r="AO261" s="853"/>
      <c r="AP261" s="853"/>
      <c r="AQ261" s="853"/>
      <c r="AR261" s="853"/>
      <c r="AS261" s="853"/>
      <c r="AT261" s="853"/>
      <c r="AU261" s="853"/>
      <c r="AV261" s="1185"/>
      <c r="AW261" s="853"/>
      <c r="AX261" s="853"/>
      <c r="AY261" s="853"/>
      <c r="AZ261" s="853"/>
      <c r="BA261" s="853"/>
      <c r="BB261" s="853"/>
      <c r="BC261" s="853"/>
      <c r="BD261" s="853"/>
      <c r="BE261" s="853"/>
      <c r="BF261" s="853"/>
      <c r="BG261" s="853"/>
      <c r="BH261" s="853"/>
      <c r="BI261" s="853"/>
      <c r="BJ261" s="853"/>
      <c r="BK261" s="853"/>
      <c r="BL261" s="853"/>
      <c r="BM261" s="853"/>
      <c r="BN261" s="853"/>
      <c r="BO261" s="853"/>
      <c r="BP261" s="853"/>
    </row>
    <row r="262" ht="11.25" customHeight="1">
      <c r="A262" s="853"/>
      <c r="B262" s="853"/>
      <c r="C262" s="853"/>
      <c r="D262" s="853"/>
      <c r="E262" s="853"/>
      <c r="F262" s="853"/>
      <c r="G262" s="853"/>
      <c r="H262" s="853"/>
      <c r="I262" s="853"/>
      <c r="J262" s="853"/>
      <c r="K262" s="853"/>
      <c r="L262" s="853"/>
      <c r="M262" s="853"/>
      <c r="N262" s="853"/>
      <c r="O262" s="853"/>
      <c r="P262" s="853"/>
      <c r="Q262" s="853"/>
      <c r="R262" s="853"/>
      <c r="S262" s="853"/>
      <c r="T262" s="1181"/>
      <c r="U262" s="1181"/>
      <c r="V262" s="1181"/>
      <c r="W262" s="1181"/>
      <c r="X262" s="1181"/>
      <c r="Y262" s="1181"/>
      <c r="Z262" s="1181"/>
      <c r="AA262" s="1181"/>
      <c r="AB262" s="1182"/>
      <c r="AC262" s="1181"/>
      <c r="AD262" s="1183"/>
      <c r="AE262" s="1184"/>
      <c r="AF262" s="1181"/>
      <c r="AG262" s="1181"/>
      <c r="AH262" s="853"/>
      <c r="AI262" s="853"/>
      <c r="AJ262" s="853"/>
      <c r="AK262" s="853"/>
      <c r="AL262" s="1181"/>
      <c r="AM262" s="1181"/>
      <c r="AN262" s="853"/>
      <c r="AO262" s="853"/>
      <c r="AP262" s="853"/>
      <c r="AQ262" s="853"/>
      <c r="AR262" s="853"/>
      <c r="AS262" s="853"/>
      <c r="AT262" s="853"/>
      <c r="AU262" s="853"/>
      <c r="AV262" s="1185"/>
      <c r="AW262" s="853"/>
      <c r="AX262" s="853"/>
      <c r="AY262" s="853"/>
      <c r="AZ262" s="853"/>
      <c r="BA262" s="853"/>
      <c r="BB262" s="853"/>
      <c r="BC262" s="853"/>
      <c r="BD262" s="853"/>
      <c r="BE262" s="853"/>
      <c r="BF262" s="853"/>
      <c r="BG262" s="853"/>
      <c r="BH262" s="853"/>
      <c r="BI262" s="853"/>
      <c r="BJ262" s="853"/>
      <c r="BK262" s="853"/>
      <c r="BL262" s="853"/>
      <c r="BM262" s="853"/>
      <c r="BN262" s="853"/>
      <c r="BO262" s="853"/>
      <c r="BP262" s="853"/>
    </row>
    <row r="263" ht="11.25" customHeight="1">
      <c r="A263" s="853"/>
      <c r="B263" s="853"/>
      <c r="C263" s="853"/>
      <c r="D263" s="853"/>
      <c r="E263" s="853"/>
      <c r="F263" s="853"/>
      <c r="G263" s="853"/>
      <c r="H263" s="853"/>
      <c r="I263" s="853"/>
      <c r="J263" s="853"/>
      <c r="K263" s="853"/>
      <c r="L263" s="853"/>
      <c r="M263" s="853"/>
      <c r="N263" s="853"/>
      <c r="O263" s="853"/>
      <c r="P263" s="853"/>
      <c r="Q263" s="853"/>
      <c r="R263" s="853"/>
      <c r="S263" s="853"/>
      <c r="T263" s="1181"/>
      <c r="U263" s="1181"/>
      <c r="V263" s="1181"/>
      <c r="W263" s="1181"/>
      <c r="X263" s="1181"/>
      <c r="Y263" s="1181"/>
      <c r="Z263" s="1181"/>
      <c r="AA263" s="1181"/>
      <c r="AB263" s="1182"/>
      <c r="AC263" s="1181"/>
      <c r="AD263" s="1183"/>
      <c r="AE263" s="1184"/>
      <c r="AF263" s="1181"/>
      <c r="AG263" s="1181"/>
      <c r="AH263" s="853"/>
      <c r="AI263" s="853"/>
      <c r="AJ263" s="853"/>
      <c r="AK263" s="853"/>
      <c r="AL263" s="1181"/>
      <c r="AM263" s="1181"/>
      <c r="AN263" s="853"/>
      <c r="AO263" s="853"/>
      <c r="AP263" s="853"/>
      <c r="AQ263" s="853"/>
      <c r="AR263" s="853"/>
      <c r="AS263" s="853"/>
      <c r="AT263" s="853"/>
      <c r="AU263" s="853"/>
      <c r="AV263" s="1185"/>
      <c r="AW263" s="853"/>
      <c r="AX263" s="853"/>
      <c r="AY263" s="853"/>
      <c r="AZ263" s="853"/>
      <c r="BA263" s="853"/>
      <c r="BB263" s="853"/>
      <c r="BC263" s="853"/>
      <c r="BD263" s="853"/>
      <c r="BE263" s="853"/>
      <c r="BF263" s="853"/>
      <c r="BG263" s="853"/>
      <c r="BH263" s="853"/>
      <c r="BI263" s="853"/>
      <c r="BJ263" s="853"/>
      <c r="BK263" s="853"/>
      <c r="BL263" s="853"/>
      <c r="BM263" s="853"/>
      <c r="BN263" s="853"/>
      <c r="BO263" s="853"/>
      <c r="BP263" s="853"/>
    </row>
    <row r="264" ht="11.25" customHeight="1">
      <c r="A264" s="853"/>
      <c r="B264" s="853"/>
      <c r="C264" s="853"/>
      <c r="D264" s="853"/>
      <c r="E264" s="853"/>
      <c r="F264" s="853"/>
      <c r="G264" s="853"/>
      <c r="H264" s="853"/>
      <c r="I264" s="853"/>
      <c r="J264" s="853"/>
      <c r="K264" s="853"/>
      <c r="L264" s="853"/>
      <c r="M264" s="853"/>
      <c r="N264" s="853"/>
      <c r="O264" s="853"/>
      <c r="P264" s="853"/>
      <c r="Q264" s="853"/>
      <c r="R264" s="853"/>
      <c r="S264" s="853"/>
      <c r="T264" s="1181"/>
      <c r="U264" s="1181"/>
      <c r="V264" s="1181"/>
      <c r="W264" s="1181"/>
      <c r="X264" s="1181"/>
      <c r="Y264" s="1181"/>
      <c r="Z264" s="1181"/>
      <c r="AA264" s="1181"/>
      <c r="AB264" s="1182"/>
      <c r="AC264" s="1181"/>
      <c r="AD264" s="1183"/>
      <c r="AE264" s="1184"/>
      <c r="AF264" s="1181"/>
      <c r="AG264" s="1181"/>
      <c r="AH264" s="853"/>
      <c r="AI264" s="853"/>
      <c r="AJ264" s="853"/>
      <c r="AK264" s="853"/>
      <c r="AL264" s="1181"/>
      <c r="AM264" s="1181"/>
      <c r="AN264" s="853"/>
      <c r="AO264" s="853"/>
      <c r="AP264" s="853"/>
      <c r="AQ264" s="853"/>
      <c r="AR264" s="853"/>
      <c r="AS264" s="853"/>
      <c r="AT264" s="853"/>
      <c r="AU264" s="853"/>
      <c r="AV264" s="1185"/>
      <c r="AW264" s="853"/>
      <c r="AX264" s="853"/>
      <c r="AY264" s="853"/>
      <c r="AZ264" s="853"/>
      <c r="BA264" s="853"/>
      <c r="BB264" s="853"/>
      <c r="BC264" s="853"/>
      <c r="BD264" s="853"/>
      <c r="BE264" s="853"/>
      <c r="BF264" s="853"/>
      <c r="BG264" s="853"/>
      <c r="BH264" s="853"/>
      <c r="BI264" s="853"/>
      <c r="BJ264" s="853"/>
      <c r="BK264" s="853"/>
      <c r="BL264" s="853"/>
      <c r="BM264" s="853"/>
      <c r="BN264" s="853"/>
      <c r="BO264" s="853"/>
      <c r="BP264" s="853"/>
    </row>
    <row r="265" ht="11.25" customHeight="1">
      <c r="A265" s="853"/>
      <c r="B265" s="853"/>
      <c r="C265" s="853"/>
      <c r="D265" s="853"/>
      <c r="E265" s="853"/>
      <c r="F265" s="853"/>
      <c r="G265" s="853"/>
      <c r="H265" s="853"/>
      <c r="I265" s="853"/>
      <c r="J265" s="853"/>
      <c r="K265" s="853"/>
      <c r="L265" s="853"/>
      <c r="M265" s="853"/>
      <c r="N265" s="853"/>
      <c r="O265" s="853"/>
      <c r="P265" s="853"/>
      <c r="Q265" s="853"/>
      <c r="R265" s="853"/>
      <c r="S265" s="853"/>
      <c r="T265" s="1181"/>
      <c r="U265" s="1181"/>
      <c r="V265" s="1181"/>
      <c r="W265" s="1181"/>
      <c r="X265" s="1181"/>
      <c r="Y265" s="1181"/>
      <c r="Z265" s="1181"/>
      <c r="AA265" s="1181"/>
      <c r="AB265" s="1182"/>
      <c r="AC265" s="1181"/>
      <c r="AD265" s="1183"/>
      <c r="AE265" s="1184"/>
      <c r="AF265" s="1181"/>
      <c r="AG265" s="1181"/>
      <c r="AH265" s="853"/>
      <c r="AI265" s="853"/>
      <c r="AJ265" s="853"/>
      <c r="AK265" s="853"/>
      <c r="AL265" s="1181"/>
      <c r="AM265" s="1181"/>
      <c r="AN265" s="853"/>
      <c r="AO265" s="853"/>
      <c r="AP265" s="853"/>
      <c r="AQ265" s="853"/>
      <c r="AR265" s="853"/>
      <c r="AS265" s="853"/>
      <c r="AT265" s="853"/>
      <c r="AU265" s="853"/>
      <c r="AV265" s="1185"/>
      <c r="AW265" s="853"/>
      <c r="AX265" s="853"/>
      <c r="AY265" s="853"/>
      <c r="AZ265" s="853"/>
      <c r="BA265" s="853"/>
      <c r="BB265" s="853"/>
      <c r="BC265" s="853"/>
      <c r="BD265" s="853"/>
      <c r="BE265" s="853"/>
      <c r="BF265" s="853"/>
      <c r="BG265" s="853"/>
      <c r="BH265" s="853"/>
      <c r="BI265" s="853"/>
      <c r="BJ265" s="853"/>
      <c r="BK265" s="853"/>
      <c r="BL265" s="853"/>
      <c r="BM265" s="853"/>
      <c r="BN265" s="853"/>
      <c r="BO265" s="853"/>
      <c r="BP265" s="853"/>
    </row>
    <row r="266" ht="11.25" customHeight="1">
      <c r="A266" s="853"/>
      <c r="B266" s="853"/>
      <c r="C266" s="853"/>
      <c r="D266" s="853"/>
      <c r="E266" s="853"/>
      <c r="F266" s="853"/>
      <c r="G266" s="853"/>
      <c r="H266" s="853"/>
      <c r="I266" s="853"/>
      <c r="J266" s="853"/>
      <c r="K266" s="853"/>
      <c r="L266" s="853"/>
      <c r="M266" s="853"/>
      <c r="N266" s="853"/>
      <c r="O266" s="853"/>
      <c r="P266" s="853"/>
      <c r="Q266" s="853"/>
      <c r="R266" s="853"/>
      <c r="S266" s="853"/>
      <c r="T266" s="1181"/>
      <c r="U266" s="1181"/>
      <c r="V266" s="1181"/>
      <c r="W266" s="1181"/>
      <c r="X266" s="1181"/>
      <c r="Y266" s="1181"/>
      <c r="Z266" s="1181"/>
      <c r="AA266" s="1181"/>
      <c r="AB266" s="1182"/>
      <c r="AC266" s="1181"/>
      <c r="AD266" s="1183"/>
      <c r="AE266" s="1184"/>
      <c r="AF266" s="1181"/>
      <c r="AG266" s="1181"/>
      <c r="AH266" s="853"/>
      <c r="AI266" s="853"/>
      <c r="AJ266" s="853"/>
      <c r="AK266" s="853"/>
      <c r="AL266" s="1181"/>
      <c r="AM266" s="1181"/>
      <c r="AN266" s="853"/>
      <c r="AO266" s="853"/>
      <c r="AP266" s="853"/>
      <c r="AQ266" s="853"/>
      <c r="AR266" s="853"/>
      <c r="AS266" s="853"/>
      <c r="AT266" s="853"/>
      <c r="AU266" s="853"/>
      <c r="AV266" s="1185"/>
      <c r="AW266" s="853"/>
      <c r="AX266" s="853"/>
      <c r="AY266" s="853"/>
      <c r="AZ266" s="853"/>
      <c r="BA266" s="853"/>
      <c r="BB266" s="853"/>
      <c r="BC266" s="853"/>
      <c r="BD266" s="853"/>
      <c r="BE266" s="853"/>
      <c r="BF266" s="853"/>
      <c r="BG266" s="853"/>
      <c r="BH266" s="853"/>
      <c r="BI266" s="853"/>
      <c r="BJ266" s="853"/>
      <c r="BK266" s="853"/>
      <c r="BL266" s="853"/>
      <c r="BM266" s="853"/>
      <c r="BN266" s="853"/>
      <c r="BO266" s="853"/>
      <c r="BP266" s="853"/>
    </row>
    <row r="267" ht="11.25" customHeight="1">
      <c r="A267" s="853"/>
      <c r="B267" s="853"/>
      <c r="C267" s="853"/>
      <c r="D267" s="853"/>
      <c r="E267" s="853"/>
      <c r="F267" s="853"/>
      <c r="G267" s="853"/>
      <c r="H267" s="853"/>
      <c r="I267" s="853"/>
      <c r="J267" s="853"/>
      <c r="K267" s="853"/>
      <c r="L267" s="853"/>
      <c r="M267" s="853"/>
      <c r="N267" s="853"/>
      <c r="O267" s="853"/>
      <c r="P267" s="853"/>
      <c r="Q267" s="853"/>
      <c r="R267" s="853"/>
      <c r="S267" s="853"/>
      <c r="T267" s="1181"/>
      <c r="U267" s="1181"/>
      <c r="V267" s="1181"/>
      <c r="W267" s="1181"/>
      <c r="X267" s="1181"/>
      <c r="Y267" s="1181"/>
      <c r="Z267" s="1181"/>
      <c r="AA267" s="1181"/>
      <c r="AB267" s="1182"/>
      <c r="AC267" s="1181"/>
      <c r="AD267" s="1183"/>
      <c r="AE267" s="1184"/>
      <c r="AF267" s="1181"/>
      <c r="AG267" s="1181"/>
      <c r="AH267" s="853"/>
      <c r="AI267" s="853"/>
      <c r="AJ267" s="853"/>
      <c r="AK267" s="853"/>
      <c r="AL267" s="1181"/>
      <c r="AM267" s="1181"/>
      <c r="AN267" s="853"/>
      <c r="AO267" s="853"/>
      <c r="AP267" s="853"/>
      <c r="AQ267" s="853"/>
      <c r="AR267" s="853"/>
      <c r="AS267" s="853"/>
      <c r="AT267" s="853"/>
      <c r="AU267" s="853"/>
      <c r="AV267" s="1185"/>
      <c r="AW267" s="853"/>
      <c r="AX267" s="853"/>
      <c r="AY267" s="853"/>
      <c r="AZ267" s="853"/>
      <c r="BA267" s="853"/>
      <c r="BB267" s="853"/>
      <c r="BC267" s="853"/>
      <c r="BD267" s="853"/>
      <c r="BE267" s="853"/>
      <c r="BF267" s="853"/>
      <c r="BG267" s="853"/>
      <c r="BH267" s="853"/>
      <c r="BI267" s="853"/>
      <c r="BJ267" s="853"/>
      <c r="BK267" s="853"/>
      <c r="BL267" s="853"/>
      <c r="BM267" s="853"/>
      <c r="BN267" s="853"/>
      <c r="BO267" s="853"/>
      <c r="BP267" s="853"/>
    </row>
    <row r="268" ht="11.25" customHeight="1">
      <c r="A268" s="853"/>
      <c r="B268" s="853"/>
      <c r="C268" s="853"/>
      <c r="D268" s="853"/>
      <c r="E268" s="853"/>
      <c r="F268" s="853"/>
      <c r="G268" s="853"/>
      <c r="H268" s="853"/>
      <c r="I268" s="853"/>
      <c r="J268" s="853"/>
      <c r="K268" s="853"/>
      <c r="L268" s="853"/>
      <c r="M268" s="853"/>
      <c r="N268" s="853"/>
      <c r="O268" s="853"/>
      <c r="P268" s="853"/>
      <c r="Q268" s="853"/>
      <c r="R268" s="853"/>
      <c r="S268" s="853"/>
      <c r="T268" s="1181"/>
      <c r="U268" s="1181"/>
      <c r="V268" s="1181"/>
      <c r="W268" s="1181"/>
      <c r="X268" s="1181"/>
      <c r="Y268" s="1181"/>
      <c r="Z268" s="1181"/>
      <c r="AA268" s="1181"/>
      <c r="AB268" s="1182"/>
      <c r="AC268" s="1181"/>
      <c r="AD268" s="1183"/>
      <c r="AE268" s="1184"/>
      <c r="AF268" s="1181"/>
      <c r="AG268" s="1181"/>
      <c r="AH268" s="853"/>
      <c r="AI268" s="853"/>
      <c r="AJ268" s="853"/>
      <c r="AK268" s="853"/>
      <c r="AL268" s="1181"/>
      <c r="AM268" s="1181"/>
      <c r="AN268" s="853"/>
      <c r="AO268" s="853"/>
      <c r="AP268" s="853"/>
      <c r="AQ268" s="853"/>
      <c r="AR268" s="853"/>
      <c r="AS268" s="853"/>
      <c r="AT268" s="853"/>
      <c r="AU268" s="853"/>
      <c r="AV268" s="1185"/>
      <c r="AW268" s="853"/>
      <c r="AX268" s="853"/>
      <c r="AY268" s="853"/>
      <c r="AZ268" s="853"/>
      <c r="BA268" s="853"/>
      <c r="BB268" s="853"/>
      <c r="BC268" s="853"/>
      <c r="BD268" s="853"/>
      <c r="BE268" s="853"/>
      <c r="BF268" s="853"/>
      <c r="BG268" s="853"/>
      <c r="BH268" s="853"/>
      <c r="BI268" s="853"/>
      <c r="BJ268" s="853"/>
      <c r="BK268" s="853"/>
      <c r="BL268" s="853"/>
      <c r="BM268" s="853"/>
      <c r="BN268" s="853"/>
      <c r="BO268" s="853"/>
      <c r="BP268" s="853"/>
    </row>
    <row r="269" ht="11.25" customHeight="1">
      <c r="A269" s="853"/>
      <c r="B269" s="853"/>
      <c r="C269" s="853"/>
      <c r="D269" s="853"/>
      <c r="E269" s="853"/>
      <c r="F269" s="853"/>
      <c r="G269" s="853"/>
      <c r="H269" s="853"/>
      <c r="I269" s="853"/>
      <c r="J269" s="853"/>
      <c r="K269" s="853"/>
      <c r="L269" s="853"/>
      <c r="M269" s="853"/>
      <c r="N269" s="853"/>
      <c r="O269" s="853"/>
      <c r="P269" s="853"/>
      <c r="Q269" s="853"/>
      <c r="R269" s="853"/>
      <c r="S269" s="853"/>
      <c r="T269" s="1181"/>
      <c r="U269" s="1181"/>
      <c r="V269" s="1181"/>
      <c r="W269" s="1181"/>
      <c r="X269" s="1181"/>
      <c r="Y269" s="1181"/>
      <c r="Z269" s="1181"/>
      <c r="AA269" s="1181"/>
      <c r="AB269" s="1182"/>
      <c r="AC269" s="1181"/>
      <c r="AD269" s="1183"/>
      <c r="AE269" s="1184"/>
      <c r="AF269" s="1181"/>
      <c r="AG269" s="1181"/>
      <c r="AH269" s="853"/>
      <c r="AI269" s="853"/>
      <c r="AJ269" s="853"/>
      <c r="AK269" s="853"/>
      <c r="AL269" s="1181"/>
      <c r="AM269" s="1181"/>
      <c r="AN269" s="853"/>
      <c r="AO269" s="853"/>
      <c r="AP269" s="853"/>
      <c r="AQ269" s="853"/>
      <c r="AR269" s="853"/>
      <c r="AS269" s="853"/>
      <c r="AT269" s="853"/>
      <c r="AU269" s="853"/>
      <c r="AV269" s="1185"/>
      <c r="AW269" s="853"/>
      <c r="AX269" s="853"/>
      <c r="AY269" s="853"/>
      <c r="AZ269" s="853"/>
      <c r="BA269" s="853"/>
      <c r="BB269" s="853"/>
      <c r="BC269" s="853"/>
      <c r="BD269" s="853"/>
      <c r="BE269" s="853"/>
      <c r="BF269" s="853"/>
      <c r="BG269" s="853"/>
      <c r="BH269" s="853"/>
      <c r="BI269" s="853"/>
      <c r="BJ269" s="853"/>
      <c r="BK269" s="853"/>
      <c r="BL269" s="853"/>
      <c r="BM269" s="853"/>
      <c r="BN269" s="853"/>
      <c r="BO269" s="853"/>
      <c r="BP269" s="853"/>
    </row>
    <row r="270" ht="11.25" customHeight="1">
      <c r="A270" s="853"/>
      <c r="B270" s="853"/>
      <c r="C270" s="853"/>
      <c r="D270" s="853"/>
      <c r="E270" s="853"/>
      <c r="F270" s="853"/>
      <c r="G270" s="853"/>
      <c r="H270" s="853"/>
      <c r="I270" s="853"/>
      <c r="J270" s="853"/>
      <c r="K270" s="853"/>
      <c r="L270" s="853"/>
      <c r="M270" s="853"/>
      <c r="N270" s="853"/>
      <c r="O270" s="853"/>
      <c r="P270" s="853"/>
      <c r="Q270" s="853"/>
      <c r="R270" s="853"/>
      <c r="S270" s="853"/>
      <c r="T270" s="1181"/>
      <c r="U270" s="1181"/>
      <c r="V270" s="1181"/>
      <c r="W270" s="1181"/>
      <c r="X270" s="1181"/>
      <c r="Y270" s="1181"/>
      <c r="Z270" s="1181"/>
      <c r="AA270" s="1181"/>
      <c r="AB270" s="1182"/>
      <c r="AC270" s="1181"/>
      <c r="AD270" s="1183"/>
      <c r="AE270" s="1184"/>
      <c r="AF270" s="1181"/>
      <c r="AG270" s="1181"/>
      <c r="AH270" s="853"/>
      <c r="AI270" s="853"/>
      <c r="AJ270" s="853"/>
      <c r="AK270" s="853"/>
      <c r="AL270" s="1181"/>
      <c r="AM270" s="1181"/>
      <c r="AN270" s="853"/>
      <c r="AO270" s="853"/>
      <c r="AP270" s="853"/>
      <c r="AQ270" s="853"/>
      <c r="AR270" s="853"/>
      <c r="AS270" s="853"/>
      <c r="AT270" s="853"/>
      <c r="AU270" s="853"/>
      <c r="AV270" s="1185"/>
      <c r="AW270" s="853"/>
      <c r="AX270" s="853"/>
      <c r="AY270" s="853"/>
      <c r="AZ270" s="853"/>
      <c r="BA270" s="853"/>
      <c r="BB270" s="853"/>
      <c r="BC270" s="853"/>
      <c r="BD270" s="853"/>
      <c r="BE270" s="853"/>
      <c r="BF270" s="853"/>
      <c r="BG270" s="853"/>
      <c r="BH270" s="853"/>
      <c r="BI270" s="853"/>
      <c r="BJ270" s="853"/>
      <c r="BK270" s="853"/>
      <c r="BL270" s="853"/>
      <c r="BM270" s="853"/>
      <c r="BN270" s="853"/>
      <c r="BO270" s="853"/>
      <c r="BP270" s="853"/>
    </row>
    <row r="271" ht="11.25" customHeight="1">
      <c r="A271" s="853"/>
      <c r="B271" s="853"/>
      <c r="C271" s="853"/>
      <c r="D271" s="853"/>
      <c r="E271" s="853"/>
      <c r="F271" s="853"/>
      <c r="G271" s="853"/>
      <c r="H271" s="853"/>
      <c r="I271" s="853"/>
      <c r="J271" s="853"/>
      <c r="K271" s="853"/>
      <c r="L271" s="853"/>
      <c r="M271" s="853"/>
      <c r="N271" s="853"/>
      <c r="O271" s="853"/>
      <c r="P271" s="853"/>
      <c r="Q271" s="853"/>
      <c r="R271" s="853"/>
      <c r="S271" s="853"/>
      <c r="T271" s="1181"/>
      <c r="U271" s="1181"/>
      <c r="V271" s="1181"/>
      <c r="W271" s="1181"/>
      <c r="X271" s="1181"/>
      <c r="Y271" s="1181"/>
      <c r="Z271" s="1181"/>
      <c r="AA271" s="1181"/>
      <c r="AB271" s="1182"/>
      <c r="AC271" s="1181"/>
      <c r="AD271" s="1183"/>
      <c r="AE271" s="1184"/>
      <c r="AF271" s="1181"/>
      <c r="AG271" s="1181"/>
      <c r="AH271" s="853"/>
      <c r="AI271" s="853"/>
      <c r="AJ271" s="853"/>
      <c r="AK271" s="853"/>
      <c r="AL271" s="1181"/>
      <c r="AM271" s="1181"/>
      <c r="AN271" s="853"/>
      <c r="AO271" s="853"/>
      <c r="AP271" s="853"/>
      <c r="AQ271" s="853"/>
      <c r="AR271" s="853"/>
      <c r="AS271" s="853"/>
      <c r="AT271" s="853"/>
      <c r="AU271" s="853"/>
      <c r="AV271" s="1185"/>
      <c r="AW271" s="853"/>
      <c r="AX271" s="853"/>
      <c r="AY271" s="853"/>
      <c r="AZ271" s="853"/>
      <c r="BA271" s="853"/>
      <c r="BB271" s="853"/>
      <c r="BC271" s="853"/>
      <c r="BD271" s="853"/>
      <c r="BE271" s="853"/>
      <c r="BF271" s="853"/>
      <c r="BG271" s="853"/>
      <c r="BH271" s="853"/>
      <c r="BI271" s="853"/>
      <c r="BJ271" s="853"/>
      <c r="BK271" s="853"/>
      <c r="BL271" s="853"/>
      <c r="BM271" s="853"/>
      <c r="BN271" s="853"/>
      <c r="BO271" s="853"/>
      <c r="BP271" s="853"/>
    </row>
    <row r="272" ht="11.25" customHeight="1">
      <c r="A272" s="853"/>
      <c r="B272" s="853"/>
      <c r="C272" s="853"/>
      <c r="D272" s="853"/>
      <c r="E272" s="853"/>
      <c r="F272" s="853"/>
      <c r="G272" s="853"/>
      <c r="H272" s="853"/>
      <c r="I272" s="853"/>
      <c r="J272" s="853"/>
      <c r="K272" s="853"/>
      <c r="L272" s="853"/>
      <c r="M272" s="853"/>
      <c r="N272" s="853"/>
      <c r="O272" s="853"/>
      <c r="P272" s="853"/>
      <c r="Q272" s="853"/>
      <c r="R272" s="853"/>
      <c r="S272" s="853"/>
      <c r="T272" s="1181"/>
      <c r="U272" s="1181"/>
      <c r="V272" s="1181"/>
      <c r="W272" s="1181"/>
      <c r="X272" s="1181"/>
      <c r="Y272" s="1181"/>
      <c r="Z272" s="1181"/>
      <c r="AA272" s="1181"/>
      <c r="AB272" s="1182"/>
      <c r="AC272" s="1181"/>
      <c r="AD272" s="1183"/>
      <c r="AE272" s="1184"/>
      <c r="AF272" s="1181"/>
      <c r="AG272" s="1181"/>
      <c r="AH272" s="853"/>
      <c r="AI272" s="853"/>
      <c r="AJ272" s="853"/>
      <c r="AK272" s="853"/>
      <c r="AL272" s="1181"/>
      <c r="AM272" s="1181"/>
      <c r="AN272" s="853"/>
      <c r="AO272" s="853"/>
      <c r="AP272" s="853"/>
      <c r="AQ272" s="853"/>
      <c r="AR272" s="853"/>
      <c r="AS272" s="853"/>
      <c r="AT272" s="853"/>
      <c r="AU272" s="853"/>
      <c r="AV272" s="1185"/>
      <c r="AW272" s="853"/>
      <c r="AX272" s="853"/>
      <c r="AY272" s="853"/>
      <c r="AZ272" s="853"/>
      <c r="BA272" s="853"/>
      <c r="BB272" s="853"/>
      <c r="BC272" s="853"/>
      <c r="BD272" s="853"/>
      <c r="BE272" s="853"/>
      <c r="BF272" s="853"/>
      <c r="BG272" s="853"/>
      <c r="BH272" s="853"/>
      <c r="BI272" s="853"/>
      <c r="BJ272" s="853"/>
      <c r="BK272" s="853"/>
      <c r="BL272" s="853"/>
      <c r="BM272" s="853"/>
      <c r="BN272" s="853"/>
      <c r="BO272" s="853"/>
      <c r="BP272" s="853"/>
    </row>
    <row r="273" ht="11.25" customHeight="1">
      <c r="A273" s="853"/>
      <c r="B273" s="853"/>
      <c r="C273" s="853"/>
      <c r="D273" s="853"/>
      <c r="E273" s="853"/>
      <c r="F273" s="853"/>
      <c r="G273" s="853"/>
      <c r="H273" s="853"/>
      <c r="I273" s="853"/>
      <c r="J273" s="853"/>
      <c r="K273" s="853"/>
      <c r="L273" s="853"/>
      <c r="M273" s="853"/>
      <c r="N273" s="853"/>
      <c r="O273" s="853"/>
      <c r="P273" s="853"/>
      <c r="Q273" s="853"/>
      <c r="R273" s="853"/>
      <c r="S273" s="853"/>
      <c r="T273" s="1181"/>
      <c r="U273" s="1181"/>
      <c r="V273" s="1181"/>
      <c r="W273" s="1181"/>
      <c r="X273" s="1181"/>
      <c r="Y273" s="1181"/>
      <c r="Z273" s="1181"/>
      <c r="AA273" s="1181"/>
      <c r="AB273" s="1182"/>
      <c r="AC273" s="1181"/>
      <c r="AD273" s="1183"/>
      <c r="AE273" s="1184"/>
      <c r="AF273" s="1181"/>
      <c r="AG273" s="1181"/>
      <c r="AH273" s="853"/>
      <c r="AI273" s="853"/>
      <c r="AJ273" s="853"/>
      <c r="AK273" s="853"/>
      <c r="AL273" s="1181"/>
      <c r="AM273" s="1181"/>
      <c r="AN273" s="853"/>
      <c r="AO273" s="853"/>
      <c r="AP273" s="853"/>
      <c r="AQ273" s="853"/>
      <c r="AR273" s="853"/>
      <c r="AS273" s="853"/>
      <c r="AT273" s="853"/>
      <c r="AU273" s="853"/>
      <c r="AV273" s="1185"/>
      <c r="AW273" s="853"/>
      <c r="AX273" s="853"/>
      <c r="AY273" s="853"/>
      <c r="AZ273" s="853"/>
      <c r="BA273" s="853"/>
      <c r="BB273" s="853"/>
      <c r="BC273" s="853"/>
      <c r="BD273" s="853"/>
      <c r="BE273" s="853"/>
      <c r="BF273" s="853"/>
      <c r="BG273" s="853"/>
      <c r="BH273" s="853"/>
      <c r="BI273" s="853"/>
      <c r="BJ273" s="853"/>
      <c r="BK273" s="853"/>
      <c r="BL273" s="853"/>
      <c r="BM273" s="853"/>
      <c r="BN273" s="853"/>
      <c r="BO273" s="853"/>
      <c r="BP273" s="853"/>
    </row>
    <row r="274" ht="11.25" customHeight="1">
      <c r="A274" s="853"/>
      <c r="B274" s="853"/>
      <c r="C274" s="853"/>
      <c r="D274" s="853"/>
      <c r="E274" s="853"/>
      <c r="F274" s="853"/>
      <c r="G274" s="853"/>
      <c r="H274" s="853"/>
      <c r="I274" s="853"/>
      <c r="J274" s="853"/>
      <c r="K274" s="853"/>
      <c r="L274" s="853"/>
      <c r="M274" s="853"/>
      <c r="N274" s="853"/>
      <c r="O274" s="853"/>
      <c r="P274" s="853"/>
      <c r="Q274" s="853"/>
      <c r="R274" s="853"/>
      <c r="S274" s="853"/>
      <c r="T274" s="1181"/>
      <c r="U274" s="1181"/>
      <c r="V274" s="1181"/>
      <c r="W274" s="1181"/>
      <c r="X274" s="1181"/>
      <c r="Y274" s="1181"/>
      <c r="Z274" s="1181"/>
      <c r="AA274" s="1181"/>
      <c r="AB274" s="1182"/>
      <c r="AC274" s="1181"/>
      <c r="AD274" s="1183"/>
      <c r="AE274" s="1184"/>
      <c r="AF274" s="1181"/>
      <c r="AG274" s="1181"/>
      <c r="AH274" s="853"/>
      <c r="AI274" s="853"/>
      <c r="AJ274" s="853"/>
      <c r="AK274" s="853"/>
      <c r="AL274" s="1181"/>
      <c r="AM274" s="1181"/>
      <c r="AN274" s="853"/>
      <c r="AO274" s="853"/>
      <c r="AP274" s="853"/>
      <c r="AQ274" s="853"/>
      <c r="AR274" s="853"/>
      <c r="AS274" s="853"/>
      <c r="AT274" s="853"/>
      <c r="AU274" s="853"/>
      <c r="AV274" s="1185"/>
      <c r="AW274" s="853"/>
      <c r="AX274" s="853"/>
      <c r="AY274" s="853"/>
      <c r="AZ274" s="853"/>
      <c r="BA274" s="853"/>
      <c r="BB274" s="853"/>
      <c r="BC274" s="853"/>
      <c r="BD274" s="853"/>
      <c r="BE274" s="853"/>
      <c r="BF274" s="853"/>
      <c r="BG274" s="853"/>
      <c r="BH274" s="853"/>
      <c r="BI274" s="853"/>
      <c r="BJ274" s="853"/>
      <c r="BK274" s="853"/>
      <c r="BL274" s="853"/>
      <c r="BM274" s="853"/>
      <c r="BN274" s="853"/>
      <c r="BO274" s="853"/>
      <c r="BP274" s="853"/>
    </row>
    <row r="275" ht="11.25" customHeight="1">
      <c r="A275" s="853"/>
      <c r="B275" s="853"/>
      <c r="C275" s="853"/>
      <c r="D275" s="853"/>
      <c r="E275" s="853"/>
      <c r="F275" s="853"/>
      <c r="G275" s="853"/>
      <c r="H275" s="853"/>
      <c r="I275" s="853"/>
      <c r="J275" s="853"/>
      <c r="K275" s="853"/>
      <c r="L275" s="853"/>
      <c r="M275" s="853"/>
      <c r="N275" s="853"/>
      <c r="O275" s="853"/>
      <c r="P275" s="853"/>
      <c r="Q275" s="853"/>
      <c r="R275" s="853"/>
      <c r="S275" s="853"/>
      <c r="T275" s="1181"/>
      <c r="U275" s="1181"/>
      <c r="V275" s="1181"/>
      <c r="W275" s="1181"/>
      <c r="X275" s="1181"/>
      <c r="Y275" s="1181"/>
      <c r="Z275" s="1181"/>
      <c r="AA275" s="1181"/>
      <c r="AB275" s="1182"/>
      <c r="AC275" s="1181"/>
      <c r="AD275" s="1183"/>
      <c r="AE275" s="1184"/>
      <c r="AF275" s="1181"/>
      <c r="AG275" s="1181"/>
      <c r="AH275" s="853"/>
      <c r="AI275" s="853"/>
      <c r="AJ275" s="853"/>
      <c r="AK275" s="853"/>
      <c r="AL275" s="1181"/>
      <c r="AM275" s="1181"/>
      <c r="AN275" s="853"/>
      <c r="AO275" s="853"/>
      <c r="AP275" s="853"/>
      <c r="AQ275" s="853"/>
      <c r="AR275" s="853"/>
      <c r="AS275" s="853"/>
      <c r="AT275" s="853"/>
      <c r="AU275" s="853"/>
      <c r="AV275" s="1185"/>
      <c r="AW275" s="853"/>
      <c r="AX275" s="853"/>
      <c r="AY275" s="853"/>
      <c r="AZ275" s="853"/>
      <c r="BA275" s="853"/>
      <c r="BB275" s="853"/>
      <c r="BC275" s="853"/>
      <c r="BD275" s="853"/>
      <c r="BE275" s="853"/>
      <c r="BF275" s="853"/>
      <c r="BG275" s="853"/>
      <c r="BH275" s="853"/>
      <c r="BI275" s="853"/>
      <c r="BJ275" s="853"/>
      <c r="BK275" s="853"/>
      <c r="BL275" s="853"/>
      <c r="BM275" s="853"/>
      <c r="BN275" s="853"/>
      <c r="BO275" s="853"/>
      <c r="BP275" s="853"/>
    </row>
    <row r="276" ht="11.25" customHeight="1">
      <c r="A276" s="853"/>
      <c r="B276" s="853"/>
      <c r="C276" s="853"/>
      <c r="D276" s="853"/>
      <c r="E276" s="853"/>
      <c r="F276" s="853"/>
      <c r="G276" s="853"/>
      <c r="H276" s="853"/>
      <c r="I276" s="853"/>
      <c r="J276" s="853"/>
      <c r="K276" s="853"/>
      <c r="L276" s="853"/>
      <c r="M276" s="853"/>
      <c r="N276" s="853"/>
      <c r="O276" s="853"/>
      <c r="P276" s="853"/>
      <c r="Q276" s="853"/>
      <c r="R276" s="853"/>
      <c r="S276" s="853"/>
      <c r="T276" s="1181"/>
      <c r="U276" s="1181"/>
      <c r="V276" s="1181"/>
      <c r="W276" s="1181"/>
      <c r="X276" s="1181"/>
      <c r="Y276" s="1181"/>
      <c r="Z276" s="1181"/>
      <c r="AA276" s="1181"/>
      <c r="AB276" s="1182"/>
      <c r="AC276" s="1181"/>
      <c r="AD276" s="1183"/>
      <c r="AE276" s="1184"/>
      <c r="AF276" s="1181"/>
      <c r="AG276" s="1181"/>
      <c r="AH276" s="853"/>
      <c r="AI276" s="853"/>
      <c r="AJ276" s="853"/>
      <c r="AK276" s="853"/>
      <c r="AL276" s="1181"/>
      <c r="AM276" s="1181"/>
      <c r="AN276" s="853"/>
      <c r="AO276" s="853"/>
      <c r="AP276" s="853"/>
      <c r="AQ276" s="853"/>
      <c r="AR276" s="853"/>
      <c r="AS276" s="853"/>
      <c r="AT276" s="853"/>
      <c r="AU276" s="853"/>
      <c r="AV276" s="1185"/>
      <c r="AW276" s="853"/>
      <c r="AX276" s="853"/>
      <c r="AY276" s="853"/>
      <c r="AZ276" s="853"/>
      <c r="BA276" s="853"/>
      <c r="BB276" s="853"/>
      <c r="BC276" s="853"/>
      <c r="BD276" s="853"/>
      <c r="BE276" s="853"/>
      <c r="BF276" s="853"/>
      <c r="BG276" s="853"/>
      <c r="BH276" s="853"/>
      <c r="BI276" s="853"/>
      <c r="BJ276" s="853"/>
      <c r="BK276" s="853"/>
      <c r="BL276" s="853"/>
      <c r="BM276" s="853"/>
      <c r="BN276" s="853"/>
      <c r="BO276" s="853"/>
      <c r="BP276" s="853"/>
    </row>
    <row r="277" ht="11.25" customHeight="1">
      <c r="A277" s="853"/>
      <c r="B277" s="853"/>
      <c r="C277" s="853"/>
      <c r="D277" s="853"/>
      <c r="E277" s="853"/>
      <c r="F277" s="853"/>
      <c r="G277" s="853"/>
      <c r="H277" s="853"/>
      <c r="I277" s="853"/>
      <c r="J277" s="853"/>
      <c r="K277" s="853"/>
      <c r="L277" s="853"/>
      <c r="M277" s="853"/>
      <c r="N277" s="853"/>
      <c r="O277" s="853"/>
      <c r="P277" s="853"/>
      <c r="Q277" s="853"/>
      <c r="R277" s="853"/>
      <c r="S277" s="853"/>
      <c r="T277" s="1181"/>
      <c r="U277" s="1181"/>
      <c r="V277" s="1181"/>
      <c r="W277" s="1181"/>
      <c r="X277" s="1181"/>
      <c r="Y277" s="1181"/>
      <c r="Z277" s="1181"/>
      <c r="AA277" s="1181"/>
      <c r="AB277" s="1182"/>
      <c r="AC277" s="1181"/>
      <c r="AD277" s="1183"/>
      <c r="AE277" s="1184"/>
      <c r="AF277" s="1181"/>
      <c r="AG277" s="1181"/>
      <c r="AH277" s="853"/>
      <c r="AI277" s="853"/>
      <c r="AJ277" s="853"/>
      <c r="AK277" s="853"/>
      <c r="AL277" s="1181"/>
      <c r="AM277" s="1181"/>
      <c r="AN277" s="853"/>
      <c r="AO277" s="853"/>
      <c r="AP277" s="853"/>
      <c r="AQ277" s="853"/>
      <c r="AR277" s="853"/>
      <c r="AS277" s="853"/>
      <c r="AT277" s="853"/>
      <c r="AU277" s="853"/>
      <c r="AV277" s="1185"/>
      <c r="AW277" s="853"/>
      <c r="AX277" s="853"/>
      <c r="AY277" s="853"/>
      <c r="AZ277" s="853"/>
      <c r="BA277" s="853"/>
      <c r="BB277" s="853"/>
      <c r="BC277" s="853"/>
      <c r="BD277" s="853"/>
      <c r="BE277" s="853"/>
      <c r="BF277" s="853"/>
      <c r="BG277" s="853"/>
      <c r="BH277" s="853"/>
      <c r="BI277" s="853"/>
      <c r="BJ277" s="853"/>
      <c r="BK277" s="853"/>
      <c r="BL277" s="853"/>
      <c r="BM277" s="853"/>
      <c r="BN277" s="853"/>
      <c r="BO277" s="853"/>
      <c r="BP277" s="853"/>
    </row>
    <row r="278" ht="11.25" customHeight="1">
      <c r="A278" s="853"/>
      <c r="B278" s="853"/>
      <c r="C278" s="853"/>
      <c r="D278" s="853"/>
      <c r="E278" s="853"/>
      <c r="F278" s="853"/>
      <c r="G278" s="853"/>
      <c r="H278" s="853"/>
      <c r="I278" s="853"/>
      <c r="J278" s="853"/>
      <c r="K278" s="853"/>
      <c r="L278" s="853"/>
      <c r="M278" s="853"/>
      <c r="N278" s="853"/>
      <c r="O278" s="853"/>
      <c r="P278" s="853"/>
      <c r="Q278" s="853"/>
      <c r="R278" s="853"/>
      <c r="S278" s="853"/>
      <c r="T278" s="1181"/>
      <c r="U278" s="1181"/>
      <c r="V278" s="1181"/>
      <c r="W278" s="1181"/>
      <c r="X278" s="1181"/>
      <c r="Y278" s="1181"/>
      <c r="Z278" s="1181"/>
      <c r="AA278" s="1181"/>
      <c r="AB278" s="1182"/>
      <c r="AC278" s="1181"/>
      <c r="AD278" s="1183"/>
      <c r="AE278" s="1184"/>
      <c r="AF278" s="1181"/>
      <c r="AG278" s="1181"/>
      <c r="AH278" s="853"/>
      <c r="AI278" s="853"/>
      <c r="AJ278" s="853"/>
      <c r="AK278" s="853"/>
      <c r="AL278" s="1181"/>
      <c r="AM278" s="1181"/>
      <c r="AN278" s="853"/>
      <c r="AO278" s="853"/>
      <c r="AP278" s="853"/>
      <c r="AQ278" s="853"/>
      <c r="AR278" s="853"/>
      <c r="AS278" s="853"/>
      <c r="AT278" s="853"/>
      <c r="AU278" s="853"/>
      <c r="AV278" s="1185"/>
      <c r="AW278" s="853"/>
      <c r="AX278" s="853"/>
      <c r="AY278" s="853"/>
      <c r="AZ278" s="853"/>
      <c r="BA278" s="853"/>
      <c r="BB278" s="853"/>
      <c r="BC278" s="853"/>
      <c r="BD278" s="853"/>
      <c r="BE278" s="853"/>
      <c r="BF278" s="853"/>
      <c r="BG278" s="853"/>
      <c r="BH278" s="853"/>
      <c r="BI278" s="853"/>
      <c r="BJ278" s="853"/>
      <c r="BK278" s="853"/>
      <c r="BL278" s="853"/>
      <c r="BM278" s="853"/>
      <c r="BN278" s="853"/>
      <c r="BO278" s="853"/>
      <c r="BP278" s="853"/>
    </row>
    <row r="279" ht="11.25" customHeight="1">
      <c r="A279" s="853"/>
      <c r="B279" s="853"/>
      <c r="C279" s="853"/>
      <c r="D279" s="853"/>
      <c r="E279" s="853"/>
      <c r="F279" s="853"/>
      <c r="G279" s="853"/>
      <c r="H279" s="853"/>
      <c r="I279" s="853"/>
      <c r="J279" s="853"/>
      <c r="K279" s="853"/>
      <c r="L279" s="853"/>
      <c r="M279" s="853"/>
      <c r="N279" s="853"/>
      <c r="O279" s="853"/>
      <c r="P279" s="853"/>
      <c r="Q279" s="853"/>
      <c r="R279" s="853"/>
      <c r="S279" s="853"/>
      <c r="T279" s="1181"/>
      <c r="U279" s="1181"/>
      <c r="V279" s="1181"/>
      <c r="W279" s="1181"/>
      <c r="X279" s="1181"/>
      <c r="Y279" s="1181"/>
      <c r="Z279" s="1181"/>
      <c r="AA279" s="1181"/>
      <c r="AB279" s="1182"/>
      <c r="AC279" s="1181"/>
      <c r="AD279" s="1183"/>
      <c r="AE279" s="1184"/>
      <c r="AF279" s="1181"/>
      <c r="AG279" s="1181"/>
      <c r="AH279" s="853"/>
      <c r="AI279" s="853"/>
      <c r="AJ279" s="853"/>
      <c r="AK279" s="853"/>
      <c r="AL279" s="1181"/>
      <c r="AM279" s="1181"/>
      <c r="AN279" s="853"/>
      <c r="AO279" s="853"/>
      <c r="AP279" s="853"/>
      <c r="AQ279" s="853"/>
      <c r="AR279" s="853"/>
      <c r="AS279" s="853"/>
      <c r="AT279" s="853"/>
      <c r="AU279" s="853"/>
      <c r="AV279" s="1185"/>
      <c r="AW279" s="853"/>
      <c r="AX279" s="853"/>
      <c r="AY279" s="853"/>
      <c r="AZ279" s="853"/>
      <c r="BA279" s="853"/>
      <c r="BB279" s="853"/>
      <c r="BC279" s="853"/>
      <c r="BD279" s="853"/>
      <c r="BE279" s="853"/>
      <c r="BF279" s="853"/>
      <c r="BG279" s="853"/>
      <c r="BH279" s="853"/>
      <c r="BI279" s="853"/>
      <c r="BJ279" s="853"/>
      <c r="BK279" s="853"/>
      <c r="BL279" s="853"/>
      <c r="BM279" s="853"/>
      <c r="BN279" s="853"/>
      <c r="BO279" s="853"/>
      <c r="BP279" s="853"/>
    </row>
    <row r="280" ht="11.25" customHeight="1">
      <c r="A280" s="853"/>
      <c r="B280" s="853"/>
      <c r="C280" s="853"/>
      <c r="D280" s="853"/>
      <c r="E280" s="853"/>
      <c r="F280" s="853"/>
      <c r="G280" s="853"/>
      <c r="H280" s="853"/>
      <c r="I280" s="853"/>
      <c r="J280" s="853"/>
      <c r="K280" s="853"/>
      <c r="L280" s="853"/>
      <c r="M280" s="853"/>
      <c r="N280" s="853"/>
      <c r="O280" s="853"/>
      <c r="P280" s="853"/>
      <c r="Q280" s="853"/>
      <c r="R280" s="853"/>
      <c r="S280" s="853"/>
      <c r="T280" s="1181"/>
      <c r="U280" s="1181"/>
      <c r="V280" s="1181"/>
      <c r="W280" s="1181"/>
      <c r="X280" s="1181"/>
      <c r="Y280" s="1181"/>
      <c r="Z280" s="1181"/>
      <c r="AA280" s="1181"/>
      <c r="AB280" s="1182"/>
      <c r="AC280" s="1181"/>
      <c r="AD280" s="1183"/>
      <c r="AE280" s="1184"/>
      <c r="AF280" s="1181"/>
      <c r="AG280" s="1181"/>
      <c r="AH280" s="853"/>
      <c r="AI280" s="853"/>
      <c r="AJ280" s="853"/>
      <c r="AK280" s="853"/>
      <c r="AL280" s="1181"/>
      <c r="AM280" s="1181"/>
      <c r="AN280" s="853"/>
      <c r="AO280" s="853"/>
      <c r="AP280" s="853"/>
      <c r="AQ280" s="853"/>
      <c r="AR280" s="853"/>
      <c r="AS280" s="853"/>
      <c r="AT280" s="853"/>
      <c r="AU280" s="853"/>
      <c r="AV280" s="1185"/>
      <c r="AW280" s="853"/>
      <c r="AX280" s="853"/>
      <c r="AY280" s="853"/>
      <c r="AZ280" s="853"/>
      <c r="BA280" s="853"/>
      <c r="BB280" s="853"/>
      <c r="BC280" s="853"/>
      <c r="BD280" s="853"/>
      <c r="BE280" s="853"/>
      <c r="BF280" s="853"/>
      <c r="BG280" s="853"/>
      <c r="BH280" s="853"/>
      <c r="BI280" s="853"/>
      <c r="BJ280" s="853"/>
      <c r="BK280" s="853"/>
      <c r="BL280" s="853"/>
      <c r="BM280" s="853"/>
      <c r="BN280" s="853"/>
      <c r="BO280" s="853"/>
      <c r="BP280" s="853"/>
    </row>
    <row r="281" ht="11.25" customHeight="1">
      <c r="A281" s="853"/>
      <c r="B281" s="853"/>
      <c r="C281" s="853"/>
      <c r="D281" s="853"/>
      <c r="E281" s="853"/>
      <c r="F281" s="853"/>
      <c r="G281" s="853"/>
      <c r="H281" s="853"/>
      <c r="I281" s="853"/>
      <c r="J281" s="853"/>
      <c r="K281" s="853"/>
      <c r="L281" s="853"/>
      <c r="M281" s="853"/>
      <c r="N281" s="853"/>
      <c r="O281" s="853"/>
      <c r="P281" s="853"/>
      <c r="Q281" s="853"/>
      <c r="R281" s="853"/>
      <c r="S281" s="853"/>
      <c r="T281" s="1181"/>
      <c r="U281" s="1181"/>
      <c r="V281" s="1181"/>
      <c r="W281" s="1181"/>
      <c r="X281" s="1181"/>
      <c r="Y281" s="1181"/>
      <c r="Z281" s="1181"/>
      <c r="AA281" s="1181"/>
      <c r="AB281" s="1182"/>
      <c r="AC281" s="1181"/>
      <c r="AD281" s="1183"/>
      <c r="AE281" s="1184"/>
      <c r="AF281" s="1181"/>
      <c r="AG281" s="1181"/>
      <c r="AH281" s="853"/>
      <c r="AI281" s="853"/>
      <c r="AJ281" s="853"/>
      <c r="AK281" s="853"/>
      <c r="AL281" s="1181"/>
      <c r="AM281" s="1181"/>
      <c r="AN281" s="853"/>
      <c r="AO281" s="853"/>
      <c r="AP281" s="853"/>
      <c r="AQ281" s="853"/>
      <c r="AR281" s="853"/>
      <c r="AS281" s="853"/>
      <c r="AT281" s="853"/>
      <c r="AU281" s="853"/>
      <c r="AV281" s="1185"/>
      <c r="AW281" s="853"/>
      <c r="AX281" s="853"/>
      <c r="AY281" s="853"/>
      <c r="AZ281" s="853"/>
      <c r="BA281" s="853"/>
      <c r="BB281" s="853"/>
      <c r="BC281" s="853"/>
      <c r="BD281" s="853"/>
      <c r="BE281" s="853"/>
      <c r="BF281" s="853"/>
      <c r="BG281" s="853"/>
      <c r="BH281" s="853"/>
      <c r="BI281" s="853"/>
      <c r="BJ281" s="853"/>
      <c r="BK281" s="853"/>
      <c r="BL281" s="853"/>
      <c r="BM281" s="853"/>
      <c r="BN281" s="853"/>
      <c r="BO281" s="853"/>
      <c r="BP281" s="853"/>
    </row>
    <row r="282" ht="11.25" customHeight="1">
      <c r="A282" s="853"/>
      <c r="B282" s="853"/>
      <c r="C282" s="853"/>
      <c r="D282" s="853"/>
      <c r="E282" s="853"/>
      <c r="F282" s="853"/>
      <c r="G282" s="853"/>
      <c r="H282" s="853"/>
      <c r="I282" s="853"/>
      <c r="J282" s="853"/>
      <c r="K282" s="853"/>
      <c r="L282" s="853"/>
      <c r="M282" s="853"/>
      <c r="N282" s="853"/>
      <c r="O282" s="853"/>
      <c r="P282" s="853"/>
      <c r="Q282" s="853"/>
      <c r="R282" s="853"/>
      <c r="S282" s="853"/>
      <c r="T282" s="1181"/>
      <c r="U282" s="1181"/>
      <c r="V282" s="1181"/>
      <c r="W282" s="1181"/>
      <c r="X282" s="1181"/>
      <c r="Y282" s="1181"/>
      <c r="Z282" s="1181"/>
      <c r="AA282" s="1181"/>
      <c r="AB282" s="1182"/>
      <c r="AC282" s="1181"/>
      <c r="AD282" s="1183"/>
      <c r="AE282" s="1184"/>
      <c r="AF282" s="1181"/>
      <c r="AG282" s="1181"/>
      <c r="AH282" s="853"/>
      <c r="AI282" s="853"/>
      <c r="AJ282" s="853"/>
      <c r="AK282" s="853"/>
      <c r="AL282" s="1181"/>
      <c r="AM282" s="1181"/>
      <c r="AN282" s="853"/>
      <c r="AO282" s="853"/>
      <c r="AP282" s="853"/>
      <c r="AQ282" s="853"/>
      <c r="AR282" s="853"/>
      <c r="AS282" s="853"/>
      <c r="AT282" s="853"/>
      <c r="AU282" s="853"/>
      <c r="AV282" s="1185"/>
      <c r="AW282" s="853"/>
      <c r="AX282" s="853"/>
      <c r="AY282" s="853"/>
      <c r="AZ282" s="853"/>
      <c r="BA282" s="853"/>
      <c r="BB282" s="853"/>
      <c r="BC282" s="853"/>
      <c r="BD282" s="853"/>
      <c r="BE282" s="853"/>
      <c r="BF282" s="853"/>
      <c r="BG282" s="853"/>
      <c r="BH282" s="853"/>
      <c r="BI282" s="853"/>
      <c r="BJ282" s="853"/>
      <c r="BK282" s="853"/>
      <c r="BL282" s="853"/>
      <c r="BM282" s="853"/>
      <c r="BN282" s="853"/>
      <c r="BO282" s="853"/>
      <c r="BP282" s="853"/>
    </row>
    <row r="283" ht="11.25" customHeight="1">
      <c r="A283" s="853"/>
      <c r="B283" s="853"/>
      <c r="C283" s="853"/>
      <c r="D283" s="853"/>
      <c r="E283" s="853"/>
      <c r="F283" s="853"/>
      <c r="G283" s="853"/>
      <c r="H283" s="853"/>
      <c r="I283" s="853"/>
      <c r="J283" s="853"/>
      <c r="K283" s="853"/>
      <c r="L283" s="853"/>
      <c r="M283" s="853"/>
      <c r="N283" s="853"/>
      <c r="O283" s="853"/>
      <c r="P283" s="853"/>
      <c r="Q283" s="853"/>
      <c r="R283" s="853"/>
      <c r="S283" s="853"/>
      <c r="T283" s="1181"/>
      <c r="U283" s="1181"/>
      <c r="V283" s="1181"/>
      <c r="W283" s="1181"/>
      <c r="X283" s="1181"/>
      <c r="Y283" s="1181"/>
      <c r="Z283" s="1181"/>
      <c r="AA283" s="1181"/>
      <c r="AB283" s="1182"/>
      <c r="AC283" s="1181"/>
      <c r="AD283" s="1183"/>
      <c r="AE283" s="1184"/>
      <c r="AF283" s="1181"/>
      <c r="AG283" s="1181"/>
      <c r="AH283" s="853"/>
      <c r="AI283" s="853"/>
      <c r="AJ283" s="853"/>
      <c r="AK283" s="853"/>
      <c r="AL283" s="1181"/>
      <c r="AM283" s="1181"/>
      <c r="AN283" s="853"/>
      <c r="AO283" s="853"/>
      <c r="AP283" s="853"/>
      <c r="AQ283" s="853"/>
      <c r="AR283" s="853"/>
      <c r="AS283" s="853"/>
      <c r="AT283" s="853"/>
      <c r="AU283" s="853"/>
      <c r="AV283" s="1185"/>
      <c r="AW283" s="853"/>
      <c r="AX283" s="853"/>
      <c r="AY283" s="853"/>
      <c r="AZ283" s="853"/>
      <c r="BA283" s="853"/>
      <c r="BB283" s="853"/>
      <c r="BC283" s="853"/>
      <c r="BD283" s="853"/>
      <c r="BE283" s="853"/>
      <c r="BF283" s="853"/>
      <c r="BG283" s="853"/>
      <c r="BH283" s="853"/>
      <c r="BI283" s="853"/>
      <c r="BJ283" s="853"/>
      <c r="BK283" s="853"/>
      <c r="BL283" s="853"/>
      <c r="BM283" s="853"/>
      <c r="BN283" s="853"/>
      <c r="BO283" s="853"/>
      <c r="BP283" s="853"/>
    </row>
    <row r="284" ht="11.25" customHeight="1">
      <c r="A284" s="853"/>
      <c r="B284" s="853"/>
      <c r="C284" s="853"/>
      <c r="D284" s="853"/>
      <c r="E284" s="853"/>
      <c r="F284" s="853"/>
      <c r="G284" s="853"/>
      <c r="H284" s="853"/>
      <c r="I284" s="853"/>
      <c r="J284" s="853"/>
      <c r="K284" s="853"/>
      <c r="L284" s="853"/>
      <c r="M284" s="853"/>
      <c r="N284" s="853"/>
      <c r="O284" s="853"/>
      <c r="P284" s="853"/>
      <c r="Q284" s="853"/>
      <c r="R284" s="853"/>
      <c r="S284" s="853"/>
      <c r="T284" s="1181"/>
      <c r="U284" s="1181"/>
      <c r="V284" s="1181"/>
      <c r="W284" s="1181"/>
      <c r="X284" s="1181"/>
      <c r="Y284" s="1181"/>
      <c r="Z284" s="1181"/>
      <c r="AA284" s="1181"/>
      <c r="AB284" s="1182"/>
      <c r="AC284" s="1181"/>
      <c r="AD284" s="1183"/>
      <c r="AE284" s="1184"/>
      <c r="AF284" s="1181"/>
      <c r="AG284" s="1181"/>
      <c r="AH284" s="853"/>
      <c r="AI284" s="853"/>
      <c r="AJ284" s="853"/>
      <c r="AK284" s="853"/>
      <c r="AL284" s="1181"/>
      <c r="AM284" s="1181"/>
      <c r="AN284" s="853"/>
      <c r="AO284" s="853"/>
      <c r="AP284" s="853"/>
      <c r="AQ284" s="853"/>
      <c r="AR284" s="853"/>
      <c r="AS284" s="853"/>
      <c r="AT284" s="853"/>
      <c r="AU284" s="853"/>
      <c r="AV284" s="1185"/>
      <c r="AW284" s="853"/>
      <c r="AX284" s="853"/>
      <c r="AY284" s="853"/>
      <c r="AZ284" s="853"/>
      <c r="BA284" s="853"/>
      <c r="BB284" s="853"/>
      <c r="BC284" s="853"/>
      <c r="BD284" s="853"/>
      <c r="BE284" s="853"/>
      <c r="BF284" s="853"/>
      <c r="BG284" s="853"/>
      <c r="BH284" s="853"/>
      <c r="BI284" s="853"/>
      <c r="BJ284" s="853"/>
      <c r="BK284" s="853"/>
      <c r="BL284" s="853"/>
      <c r="BM284" s="853"/>
      <c r="BN284" s="853"/>
      <c r="BO284" s="853"/>
      <c r="BP284" s="853"/>
    </row>
    <row r="285" ht="11.25" customHeight="1">
      <c r="A285" s="853"/>
      <c r="B285" s="853"/>
      <c r="C285" s="853"/>
      <c r="D285" s="853"/>
      <c r="E285" s="853"/>
      <c r="F285" s="853"/>
      <c r="G285" s="853"/>
      <c r="H285" s="853"/>
      <c r="I285" s="853"/>
      <c r="J285" s="853"/>
      <c r="K285" s="853"/>
      <c r="L285" s="853"/>
      <c r="M285" s="853"/>
      <c r="N285" s="853"/>
      <c r="O285" s="853"/>
      <c r="P285" s="853"/>
      <c r="Q285" s="853"/>
      <c r="R285" s="853"/>
      <c r="S285" s="853"/>
      <c r="T285" s="1181"/>
      <c r="U285" s="1181"/>
      <c r="V285" s="1181"/>
      <c r="W285" s="1181"/>
      <c r="X285" s="1181"/>
      <c r="Y285" s="1181"/>
      <c r="Z285" s="1181"/>
      <c r="AA285" s="1181"/>
      <c r="AB285" s="1182"/>
      <c r="AC285" s="1181"/>
      <c r="AD285" s="1183"/>
      <c r="AE285" s="1184"/>
      <c r="AF285" s="1181"/>
      <c r="AG285" s="1181"/>
      <c r="AH285" s="853"/>
      <c r="AI285" s="853"/>
      <c r="AJ285" s="853"/>
      <c r="AK285" s="853"/>
      <c r="AL285" s="1181"/>
      <c r="AM285" s="1181"/>
      <c r="AN285" s="853"/>
      <c r="AO285" s="853"/>
      <c r="AP285" s="853"/>
      <c r="AQ285" s="853"/>
      <c r="AR285" s="853"/>
      <c r="AS285" s="853"/>
      <c r="AT285" s="853"/>
      <c r="AU285" s="853"/>
      <c r="AV285" s="1185"/>
      <c r="AW285" s="853"/>
      <c r="AX285" s="853"/>
      <c r="AY285" s="853"/>
      <c r="AZ285" s="853"/>
      <c r="BA285" s="853"/>
      <c r="BB285" s="853"/>
      <c r="BC285" s="853"/>
      <c r="BD285" s="853"/>
      <c r="BE285" s="853"/>
      <c r="BF285" s="853"/>
      <c r="BG285" s="853"/>
      <c r="BH285" s="853"/>
      <c r="BI285" s="853"/>
      <c r="BJ285" s="853"/>
      <c r="BK285" s="853"/>
      <c r="BL285" s="853"/>
      <c r="BM285" s="853"/>
      <c r="BN285" s="853"/>
      <c r="BO285" s="853"/>
      <c r="BP285" s="853"/>
    </row>
    <row r="286" ht="11.25" customHeight="1">
      <c r="A286" s="853"/>
      <c r="B286" s="853"/>
      <c r="C286" s="853"/>
      <c r="D286" s="853"/>
      <c r="E286" s="853"/>
      <c r="F286" s="853"/>
      <c r="G286" s="853"/>
      <c r="H286" s="853"/>
      <c r="I286" s="853"/>
      <c r="J286" s="853"/>
      <c r="K286" s="853"/>
      <c r="L286" s="853"/>
      <c r="M286" s="853"/>
      <c r="N286" s="853"/>
      <c r="O286" s="853"/>
      <c r="P286" s="853"/>
      <c r="Q286" s="853"/>
      <c r="R286" s="853"/>
      <c r="S286" s="853"/>
      <c r="T286" s="1181"/>
      <c r="U286" s="1181"/>
      <c r="V286" s="1181"/>
      <c r="W286" s="1181"/>
      <c r="X286" s="1181"/>
      <c r="Y286" s="1181"/>
      <c r="Z286" s="1181"/>
      <c r="AA286" s="1181"/>
      <c r="AB286" s="1182"/>
      <c r="AC286" s="1181"/>
      <c r="AD286" s="1183"/>
      <c r="AE286" s="1184"/>
      <c r="AF286" s="1181"/>
      <c r="AG286" s="1181"/>
      <c r="AH286" s="853"/>
      <c r="AI286" s="853"/>
      <c r="AJ286" s="853"/>
      <c r="AK286" s="853"/>
      <c r="AL286" s="1181"/>
      <c r="AM286" s="1181"/>
      <c r="AN286" s="853"/>
      <c r="AO286" s="853"/>
      <c r="AP286" s="853"/>
      <c r="AQ286" s="853"/>
      <c r="AR286" s="853"/>
      <c r="AS286" s="853"/>
      <c r="AT286" s="853"/>
      <c r="AU286" s="853"/>
      <c r="AV286" s="1185"/>
      <c r="AW286" s="853"/>
      <c r="AX286" s="853"/>
      <c r="AY286" s="853"/>
      <c r="AZ286" s="853"/>
      <c r="BA286" s="853"/>
      <c r="BB286" s="853"/>
      <c r="BC286" s="853"/>
      <c r="BD286" s="853"/>
      <c r="BE286" s="853"/>
      <c r="BF286" s="853"/>
      <c r="BG286" s="853"/>
      <c r="BH286" s="853"/>
      <c r="BI286" s="853"/>
      <c r="BJ286" s="853"/>
      <c r="BK286" s="853"/>
      <c r="BL286" s="853"/>
      <c r="BM286" s="853"/>
      <c r="BN286" s="853"/>
      <c r="BO286" s="853"/>
      <c r="BP286" s="853"/>
    </row>
    <row r="287" ht="11.25" customHeight="1">
      <c r="A287" s="853"/>
      <c r="B287" s="853"/>
      <c r="C287" s="853"/>
      <c r="D287" s="853"/>
      <c r="E287" s="853"/>
      <c r="F287" s="853"/>
      <c r="G287" s="853"/>
      <c r="H287" s="853"/>
      <c r="I287" s="853"/>
      <c r="J287" s="853"/>
      <c r="K287" s="853"/>
      <c r="L287" s="853"/>
      <c r="M287" s="853"/>
      <c r="N287" s="853"/>
      <c r="O287" s="853"/>
      <c r="P287" s="853"/>
      <c r="Q287" s="853"/>
      <c r="R287" s="853"/>
      <c r="S287" s="853"/>
      <c r="T287" s="1181"/>
      <c r="U287" s="1181"/>
      <c r="V287" s="1181"/>
      <c r="W287" s="1181"/>
      <c r="X287" s="1181"/>
      <c r="Y287" s="1181"/>
      <c r="Z287" s="1181"/>
      <c r="AA287" s="1181"/>
      <c r="AB287" s="1182"/>
      <c r="AC287" s="1181"/>
      <c r="AD287" s="1183"/>
      <c r="AE287" s="1184"/>
      <c r="AF287" s="1181"/>
      <c r="AG287" s="1181"/>
      <c r="AH287" s="853"/>
      <c r="AI287" s="853"/>
      <c r="AJ287" s="853"/>
      <c r="AK287" s="853"/>
      <c r="AL287" s="1181"/>
      <c r="AM287" s="1181"/>
      <c r="AN287" s="853"/>
      <c r="AO287" s="853"/>
      <c r="AP287" s="853"/>
      <c r="AQ287" s="853"/>
      <c r="AR287" s="853"/>
      <c r="AS287" s="853"/>
      <c r="AT287" s="853"/>
      <c r="AU287" s="853"/>
      <c r="AV287" s="1185"/>
      <c r="AW287" s="853"/>
      <c r="AX287" s="853"/>
      <c r="AY287" s="853"/>
      <c r="AZ287" s="853"/>
      <c r="BA287" s="853"/>
      <c r="BB287" s="853"/>
      <c r="BC287" s="853"/>
      <c r="BD287" s="853"/>
      <c r="BE287" s="853"/>
      <c r="BF287" s="853"/>
      <c r="BG287" s="853"/>
      <c r="BH287" s="853"/>
      <c r="BI287" s="853"/>
      <c r="BJ287" s="853"/>
      <c r="BK287" s="853"/>
      <c r="BL287" s="853"/>
      <c r="BM287" s="853"/>
      <c r="BN287" s="853"/>
      <c r="BO287" s="853"/>
      <c r="BP287" s="853"/>
    </row>
    <row r="288" ht="11.25" customHeight="1">
      <c r="A288" s="853"/>
      <c r="B288" s="853"/>
      <c r="C288" s="853"/>
      <c r="D288" s="853"/>
      <c r="E288" s="853"/>
      <c r="F288" s="853"/>
      <c r="G288" s="853"/>
      <c r="H288" s="853"/>
      <c r="I288" s="853"/>
      <c r="J288" s="853"/>
      <c r="K288" s="853"/>
      <c r="L288" s="853"/>
      <c r="M288" s="853"/>
      <c r="N288" s="853"/>
      <c r="O288" s="853"/>
      <c r="P288" s="853"/>
      <c r="Q288" s="853"/>
      <c r="R288" s="853"/>
      <c r="S288" s="853"/>
      <c r="T288" s="1181"/>
      <c r="U288" s="1181"/>
      <c r="V288" s="1181"/>
      <c r="W288" s="1181"/>
      <c r="X288" s="1181"/>
      <c r="Y288" s="1181"/>
      <c r="Z288" s="1181"/>
      <c r="AA288" s="1181"/>
      <c r="AB288" s="1182"/>
      <c r="AC288" s="1181"/>
      <c r="AD288" s="1183"/>
      <c r="AE288" s="1184"/>
      <c r="AF288" s="1181"/>
      <c r="AG288" s="1181"/>
      <c r="AH288" s="853"/>
      <c r="AI288" s="853"/>
      <c r="AJ288" s="853"/>
      <c r="AK288" s="853"/>
      <c r="AL288" s="1181"/>
      <c r="AM288" s="1181"/>
      <c r="AN288" s="853"/>
      <c r="AO288" s="853"/>
      <c r="AP288" s="853"/>
      <c r="AQ288" s="853"/>
      <c r="AR288" s="853"/>
      <c r="AS288" s="853"/>
      <c r="AT288" s="853"/>
      <c r="AU288" s="853"/>
      <c r="AV288" s="1185"/>
      <c r="AW288" s="853"/>
      <c r="AX288" s="853"/>
      <c r="AY288" s="853"/>
      <c r="AZ288" s="853"/>
      <c r="BA288" s="853"/>
      <c r="BB288" s="853"/>
      <c r="BC288" s="853"/>
      <c r="BD288" s="853"/>
      <c r="BE288" s="853"/>
      <c r="BF288" s="853"/>
      <c r="BG288" s="853"/>
      <c r="BH288" s="853"/>
      <c r="BI288" s="853"/>
      <c r="BJ288" s="853"/>
      <c r="BK288" s="853"/>
      <c r="BL288" s="853"/>
      <c r="BM288" s="853"/>
      <c r="BN288" s="853"/>
      <c r="BO288" s="853"/>
      <c r="BP288" s="853"/>
    </row>
    <row r="289" ht="11.25" customHeight="1">
      <c r="A289" s="853"/>
      <c r="B289" s="853"/>
      <c r="C289" s="853"/>
      <c r="D289" s="853"/>
      <c r="E289" s="853"/>
      <c r="F289" s="853"/>
      <c r="G289" s="853"/>
      <c r="H289" s="853"/>
      <c r="I289" s="853"/>
      <c r="J289" s="853"/>
      <c r="K289" s="853"/>
      <c r="L289" s="853"/>
      <c r="M289" s="853"/>
      <c r="N289" s="853"/>
      <c r="O289" s="853"/>
      <c r="P289" s="853"/>
      <c r="Q289" s="853"/>
      <c r="R289" s="853"/>
      <c r="S289" s="853"/>
      <c r="T289" s="1181"/>
      <c r="U289" s="1181"/>
      <c r="V289" s="1181"/>
      <c r="W289" s="1181"/>
      <c r="X289" s="1181"/>
      <c r="Y289" s="1181"/>
      <c r="Z289" s="1181"/>
      <c r="AA289" s="1181"/>
      <c r="AB289" s="1182"/>
      <c r="AC289" s="1181"/>
      <c r="AD289" s="1183"/>
      <c r="AE289" s="1184"/>
      <c r="AF289" s="1181"/>
      <c r="AG289" s="1181"/>
      <c r="AH289" s="853"/>
      <c r="AI289" s="853"/>
      <c r="AJ289" s="853"/>
      <c r="AK289" s="853"/>
      <c r="AL289" s="1181"/>
      <c r="AM289" s="1181"/>
      <c r="AN289" s="853"/>
      <c r="AO289" s="853"/>
      <c r="AP289" s="853"/>
      <c r="AQ289" s="853"/>
      <c r="AR289" s="853"/>
      <c r="AS289" s="853"/>
      <c r="AT289" s="853"/>
      <c r="AU289" s="853"/>
      <c r="AV289" s="1185"/>
      <c r="AW289" s="853"/>
      <c r="AX289" s="853"/>
      <c r="AY289" s="853"/>
      <c r="AZ289" s="853"/>
      <c r="BA289" s="853"/>
      <c r="BB289" s="853"/>
      <c r="BC289" s="853"/>
      <c r="BD289" s="853"/>
      <c r="BE289" s="853"/>
      <c r="BF289" s="853"/>
      <c r="BG289" s="853"/>
      <c r="BH289" s="853"/>
      <c r="BI289" s="853"/>
      <c r="BJ289" s="853"/>
      <c r="BK289" s="853"/>
      <c r="BL289" s="853"/>
      <c r="BM289" s="853"/>
      <c r="BN289" s="853"/>
      <c r="BO289" s="853"/>
      <c r="BP289" s="853"/>
    </row>
    <row r="290" ht="11.25" customHeight="1">
      <c r="A290" s="853"/>
      <c r="B290" s="853"/>
      <c r="C290" s="853"/>
      <c r="D290" s="853"/>
      <c r="E290" s="853"/>
      <c r="F290" s="853"/>
      <c r="G290" s="853"/>
      <c r="H290" s="853"/>
      <c r="I290" s="853"/>
      <c r="J290" s="853"/>
      <c r="K290" s="853"/>
      <c r="L290" s="853"/>
      <c r="M290" s="853"/>
      <c r="N290" s="853"/>
      <c r="O290" s="853"/>
      <c r="P290" s="853"/>
      <c r="Q290" s="853"/>
      <c r="R290" s="853"/>
      <c r="S290" s="853"/>
      <c r="T290" s="1181"/>
      <c r="U290" s="1181"/>
      <c r="V290" s="1181"/>
      <c r="W290" s="1181"/>
      <c r="X290" s="1181"/>
      <c r="Y290" s="1181"/>
      <c r="Z290" s="1181"/>
      <c r="AA290" s="1181"/>
      <c r="AB290" s="1182"/>
      <c r="AC290" s="1181"/>
      <c r="AD290" s="1183"/>
      <c r="AE290" s="1184"/>
      <c r="AF290" s="1181"/>
      <c r="AG290" s="1181"/>
      <c r="AH290" s="853"/>
      <c r="AI290" s="853"/>
      <c r="AJ290" s="853"/>
      <c r="AK290" s="853"/>
      <c r="AL290" s="1181"/>
      <c r="AM290" s="1181"/>
      <c r="AN290" s="853"/>
      <c r="AO290" s="853"/>
      <c r="AP290" s="853"/>
      <c r="AQ290" s="853"/>
      <c r="AR290" s="853"/>
      <c r="AS290" s="853"/>
      <c r="AT290" s="853"/>
      <c r="AU290" s="853"/>
      <c r="AV290" s="1185"/>
      <c r="AW290" s="853"/>
      <c r="AX290" s="853"/>
      <c r="AY290" s="853"/>
      <c r="AZ290" s="853"/>
      <c r="BA290" s="853"/>
      <c r="BB290" s="853"/>
      <c r="BC290" s="853"/>
      <c r="BD290" s="853"/>
      <c r="BE290" s="853"/>
      <c r="BF290" s="853"/>
      <c r="BG290" s="853"/>
      <c r="BH290" s="853"/>
      <c r="BI290" s="853"/>
      <c r="BJ290" s="853"/>
      <c r="BK290" s="853"/>
      <c r="BL290" s="853"/>
      <c r="BM290" s="853"/>
      <c r="BN290" s="853"/>
      <c r="BO290" s="853"/>
      <c r="BP290" s="853"/>
    </row>
    <row r="291" ht="11.25" customHeight="1">
      <c r="A291" s="853"/>
      <c r="B291" s="853"/>
      <c r="C291" s="853"/>
      <c r="D291" s="853"/>
      <c r="E291" s="853"/>
      <c r="F291" s="853"/>
      <c r="G291" s="853"/>
      <c r="H291" s="853"/>
      <c r="I291" s="853"/>
      <c r="J291" s="853"/>
      <c r="K291" s="853"/>
      <c r="L291" s="853"/>
      <c r="M291" s="853"/>
      <c r="N291" s="853"/>
      <c r="O291" s="853"/>
      <c r="P291" s="853"/>
      <c r="Q291" s="853"/>
      <c r="R291" s="853"/>
      <c r="S291" s="853"/>
      <c r="T291" s="1181"/>
      <c r="U291" s="1181"/>
      <c r="V291" s="1181"/>
      <c r="W291" s="1181"/>
      <c r="X291" s="1181"/>
      <c r="Y291" s="1181"/>
      <c r="Z291" s="1181"/>
      <c r="AA291" s="1181"/>
      <c r="AB291" s="1182"/>
      <c r="AC291" s="1181"/>
      <c r="AD291" s="1183"/>
      <c r="AE291" s="1184"/>
      <c r="AF291" s="1181"/>
      <c r="AG291" s="1181"/>
      <c r="AH291" s="853"/>
      <c r="AI291" s="853"/>
      <c r="AJ291" s="853"/>
      <c r="AK291" s="853"/>
      <c r="AL291" s="1181"/>
      <c r="AM291" s="1181"/>
      <c r="AN291" s="853"/>
      <c r="AO291" s="853"/>
      <c r="AP291" s="853"/>
      <c r="AQ291" s="853"/>
      <c r="AR291" s="853"/>
      <c r="AS291" s="853"/>
      <c r="AT291" s="853"/>
      <c r="AU291" s="853"/>
      <c r="AV291" s="1185"/>
      <c r="AW291" s="853"/>
      <c r="AX291" s="853"/>
      <c r="AY291" s="853"/>
      <c r="AZ291" s="853"/>
      <c r="BA291" s="853"/>
      <c r="BB291" s="853"/>
      <c r="BC291" s="853"/>
      <c r="BD291" s="853"/>
      <c r="BE291" s="853"/>
      <c r="BF291" s="853"/>
      <c r="BG291" s="853"/>
      <c r="BH291" s="853"/>
      <c r="BI291" s="853"/>
      <c r="BJ291" s="853"/>
      <c r="BK291" s="853"/>
      <c r="BL291" s="853"/>
      <c r="BM291" s="853"/>
      <c r="BN291" s="853"/>
      <c r="BO291" s="853"/>
      <c r="BP291" s="853"/>
    </row>
    <row r="292" ht="11.25" customHeight="1">
      <c r="A292" s="853"/>
      <c r="B292" s="853"/>
      <c r="C292" s="853"/>
      <c r="D292" s="853"/>
      <c r="E292" s="853"/>
      <c r="F292" s="853"/>
      <c r="G292" s="853"/>
      <c r="H292" s="853"/>
      <c r="I292" s="853"/>
      <c r="J292" s="853"/>
      <c r="K292" s="853"/>
      <c r="L292" s="853"/>
      <c r="M292" s="853"/>
      <c r="N292" s="853"/>
      <c r="O292" s="853"/>
      <c r="P292" s="853"/>
      <c r="Q292" s="853"/>
      <c r="R292" s="853"/>
      <c r="S292" s="853"/>
      <c r="T292" s="1181"/>
      <c r="U292" s="1181"/>
      <c r="V292" s="1181"/>
      <c r="W292" s="1181"/>
      <c r="X292" s="1181"/>
      <c r="Y292" s="1181"/>
      <c r="Z292" s="1181"/>
      <c r="AA292" s="1181"/>
      <c r="AB292" s="1182"/>
      <c r="AC292" s="1181"/>
      <c r="AD292" s="1183"/>
      <c r="AE292" s="1184"/>
      <c r="AF292" s="1181"/>
      <c r="AG292" s="1181"/>
      <c r="AH292" s="853"/>
      <c r="AI292" s="853"/>
      <c r="AJ292" s="853"/>
      <c r="AK292" s="853"/>
      <c r="AL292" s="1181"/>
      <c r="AM292" s="1181"/>
      <c r="AN292" s="853"/>
      <c r="AO292" s="853"/>
      <c r="AP292" s="853"/>
      <c r="AQ292" s="853"/>
      <c r="AR292" s="853"/>
      <c r="AS292" s="853"/>
      <c r="AT292" s="853"/>
      <c r="AU292" s="853"/>
      <c r="AV292" s="1185"/>
      <c r="AW292" s="853"/>
      <c r="AX292" s="853"/>
      <c r="AY292" s="853"/>
      <c r="AZ292" s="853"/>
      <c r="BA292" s="853"/>
      <c r="BB292" s="853"/>
      <c r="BC292" s="853"/>
      <c r="BD292" s="853"/>
      <c r="BE292" s="853"/>
      <c r="BF292" s="853"/>
      <c r="BG292" s="853"/>
      <c r="BH292" s="853"/>
      <c r="BI292" s="853"/>
      <c r="BJ292" s="853"/>
      <c r="BK292" s="853"/>
      <c r="BL292" s="853"/>
      <c r="BM292" s="853"/>
      <c r="BN292" s="853"/>
      <c r="BO292" s="853"/>
      <c r="BP292" s="853"/>
    </row>
    <row r="293" ht="11.25" customHeight="1">
      <c r="A293" s="853"/>
      <c r="B293" s="853"/>
      <c r="C293" s="853"/>
      <c r="D293" s="853"/>
      <c r="E293" s="853"/>
      <c r="F293" s="853"/>
      <c r="G293" s="853"/>
      <c r="H293" s="853"/>
      <c r="I293" s="853"/>
      <c r="J293" s="853"/>
      <c r="K293" s="853"/>
      <c r="L293" s="853"/>
      <c r="M293" s="853"/>
      <c r="N293" s="853"/>
      <c r="O293" s="853"/>
      <c r="P293" s="853"/>
      <c r="Q293" s="853"/>
      <c r="R293" s="853"/>
      <c r="S293" s="853"/>
      <c r="T293" s="1181"/>
      <c r="U293" s="1181"/>
      <c r="V293" s="1181"/>
      <c r="W293" s="1181"/>
      <c r="X293" s="1181"/>
      <c r="Y293" s="1181"/>
      <c r="Z293" s="1181"/>
      <c r="AA293" s="1181"/>
      <c r="AB293" s="1182"/>
      <c r="AC293" s="1181"/>
      <c r="AD293" s="1183"/>
      <c r="AE293" s="1184"/>
      <c r="AF293" s="1181"/>
      <c r="AG293" s="1181"/>
      <c r="AH293" s="853"/>
      <c r="AI293" s="853"/>
      <c r="AJ293" s="853"/>
      <c r="AK293" s="853"/>
      <c r="AL293" s="1181"/>
      <c r="AM293" s="1181"/>
      <c r="AN293" s="853"/>
      <c r="AO293" s="853"/>
      <c r="AP293" s="853"/>
      <c r="AQ293" s="853"/>
      <c r="AR293" s="853"/>
      <c r="AS293" s="853"/>
      <c r="AT293" s="853"/>
      <c r="AU293" s="853"/>
      <c r="AV293" s="1185"/>
      <c r="AW293" s="853"/>
      <c r="AX293" s="853"/>
      <c r="AY293" s="853"/>
      <c r="AZ293" s="853"/>
      <c r="BA293" s="853"/>
      <c r="BB293" s="853"/>
      <c r="BC293" s="853"/>
      <c r="BD293" s="853"/>
      <c r="BE293" s="853"/>
      <c r="BF293" s="853"/>
      <c r="BG293" s="853"/>
      <c r="BH293" s="853"/>
      <c r="BI293" s="853"/>
      <c r="BJ293" s="853"/>
      <c r="BK293" s="853"/>
      <c r="BL293" s="853"/>
      <c r="BM293" s="853"/>
      <c r="BN293" s="853"/>
      <c r="BO293" s="853"/>
      <c r="BP293" s="853"/>
    </row>
    <row r="294" ht="11.25" customHeight="1">
      <c r="A294" s="853"/>
      <c r="B294" s="853"/>
      <c r="C294" s="853"/>
      <c r="D294" s="853"/>
      <c r="E294" s="853"/>
      <c r="F294" s="853"/>
      <c r="G294" s="853"/>
      <c r="H294" s="853"/>
      <c r="I294" s="853"/>
      <c r="J294" s="853"/>
      <c r="K294" s="853"/>
      <c r="L294" s="853"/>
      <c r="M294" s="853"/>
      <c r="N294" s="853"/>
      <c r="O294" s="853"/>
      <c r="P294" s="853"/>
      <c r="Q294" s="853"/>
      <c r="R294" s="853"/>
      <c r="S294" s="853"/>
      <c r="T294" s="1181"/>
      <c r="U294" s="1181"/>
      <c r="V294" s="1181"/>
      <c r="W294" s="1181"/>
      <c r="X294" s="1181"/>
      <c r="Y294" s="1181"/>
      <c r="Z294" s="1181"/>
      <c r="AA294" s="1181"/>
      <c r="AB294" s="1182"/>
      <c r="AC294" s="1181"/>
      <c r="AD294" s="1183"/>
      <c r="AE294" s="1184"/>
      <c r="AF294" s="1181"/>
      <c r="AG294" s="1181"/>
      <c r="AH294" s="853"/>
      <c r="AI294" s="853"/>
      <c r="AJ294" s="853"/>
      <c r="AK294" s="853"/>
      <c r="AL294" s="1181"/>
      <c r="AM294" s="1181"/>
      <c r="AN294" s="853"/>
      <c r="AO294" s="853"/>
      <c r="AP294" s="853"/>
      <c r="AQ294" s="853"/>
      <c r="AR294" s="853"/>
      <c r="AS294" s="853"/>
      <c r="AT294" s="853"/>
      <c r="AU294" s="853"/>
      <c r="AV294" s="1185"/>
      <c r="AW294" s="853"/>
      <c r="AX294" s="853"/>
      <c r="AY294" s="853"/>
      <c r="AZ294" s="853"/>
      <c r="BA294" s="853"/>
      <c r="BB294" s="853"/>
      <c r="BC294" s="853"/>
      <c r="BD294" s="853"/>
      <c r="BE294" s="853"/>
      <c r="BF294" s="853"/>
      <c r="BG294" s="853"/>
      <c r="BH294" s="853"/>
      <c r="BI294" s="853"/>
      <c r="BJ294" s="853"/>
      <c r="BK294" s="853"/>
      <c r="BL294" s="853"/>
      <c r="BM294" s="853"/>
      <c r="BN294" s="853"/>
      <c r="BO294" s="853"/>
      <c r="BP294" s="853"/>
    </row>
    <row r="295" ht="11.25" customHeight="1">
      <c r="A295" s="853"/>
      <c r="B295" s="853"/>
      <c r="C295" s="853"/>
      <c r="D295" s="853"/>
      <c r="E295" s="853"/>
      <c r="F295" s="853"/>
      <c r="G295" s="853"/>
      <c r="H295" s="853"/>
      <c r="I295" s="853"/>
      <c r="J295" s="853"/>
      <c r="K295" s="853"/>
      <c r="L295" s="853"/>
      <c r="M295" s="853"/>
      <c r="N295" s="853"/>
      <c r="O295" s="853"/>
      <c r="P295" s="853"/>
      <c r="Q295" s="853"/>
      <c r="R295" s="853"/>
      <c r="S295" s="853"/>
      <c r="T295" s="1181"/>
      <c r="U295" s="1181"/>
      <c r="V295" s="1181"/>
      <c r="W295" s="1181"/>
      <c r="X295" s="1181"/>
      <c r="Y295" s="1181"/>
      <c r="Z295" s="1181"/>
      <c r="AA295" s="1181"/>
      <c r="AB295" s="1182"/>
      <c r="AC295" s="1181"/>
      <c r="AD295" s="1183"/>
      <c r="AE295" s="1184"/>
      <c r="AF295" s="1181"/>
      <c r="AG295" s="1181"/>
      <c r="AH295" s="853"/>
      <c r="AI295" s="853"/>
      <c r="AJ295" s="853"/>
      <c r="AK295" s="853"/>
      <c r="AL295" s="1181"/>
      <c r="AM295" s="1181"/>
      <c r="AN295" s="853"/>
      <c r="AO295" s="853"/>
      <c r="AP295" s="853"/>
      <c r="AQ295" s="853"/>
      <c r="AR295" s="853"/>
      <c r="AS295" s="853"/>
      <c r="AT295" s="853"/>
      <c r="AU295" s="853"/>
      <c r="AV295" s="1185"/>
      <c r="AW295" s="853"/>
      <c r="AX295" s="853"/>
      <c r="AY295" s="853"/>
      <c r="AZ295" s="853"/>
      <c r="BA295" s="853"/>
      <c r="BB295" s="853"/>
      <c r="BC295" s="853"/>
      <c r="BD295" s="853"/>
      <c r="BE295" s="853"/>
      <c r="BF295" s="853"/>
      <c r="BG295" s="853"/>
      <c r="BH295" s="853"/>
      <c r="BI295" s="853"/>
      <c r="BJ295" s="853"/>
      <c r="BK295" s="853"/>
      <c r="BL295" s="853"/>
      <c r="BM295" s="853"/>
      <c r="BN295" s="853"/>
      <c r="BO295" s="853"/>
      <c r="BP295" s="853"/>
    </row>
    <row r="296" ht="11.25" customHeight="1">
      <c r="A296" s="853"/>
      <c r="B296" s="853"/>
      <c r="C296" s="853"/>
      <c r="D296" s="853"/>
      <c r="E296" s="853"/>
      <c r="F296" s="853"/>
      <c r="G296" s="853"/>
      <c r="H296" s="853"/>
      <c r="I296" s="853"/>
      <c r="J296" s="853"/>
      <c r="K296" s="853"/>
      <c r="L296" s="853"/>
      <c r="M296" s="853"/>
      <c r="N296" s="853"/>
      <c r="O296" s="853"/>
      <c r="P296" s="853"/>
      <c r="Q296" s="853"/>
      <c r="R296" s="853"/>
      <c r="S296" s="853"/>
      <c r="T296" s="1181"/>
      <c r="U296" s="1181"/>
      <c r="V296" s="1181"/>
      <c r="W296" s="1181"/>
      <c r="X296" s="1181"/>
      <c r="Y296" s="1181"/>
      <c r="Z296" s="1181"/>
      <c r="AA296" s="1181"/>
      <c r="AB296" s="1182"/>
      <c r="AC296" s="1181"/>
      <c r="AD296" s="1183"/>
      <c r="AE296" s="1184"/>
      <c r="AF296" s="1181"/>
      <c r="AG296" s="1181"/>
      <c r="AH296" s="853"/>
      <c r="AI296" s="853"/>
      <c r="AJ296" s="853"/>
      <c r="AK296" s="853"/>
      <c r="AL296" s="1181"/>
      <c r="AM296" s="1181"/>
      <c r="AN296" s="853"/>
      <c r="AO296" s="853"/>
      <c r="AP296" s="853"/>
      <c r="AQ296" s="853"/>
      <c r="AR296" s="853"/>
      <c r="AS296" s="853"/>
      <c r="AT296" s="853"/>
      <c r="AU296" s="853"/>
      <c r="AV296" s="1185"/>
      <c r="AW296" s="853"/>
      <c r="AX296" s="853"/>
      <c r="AY296" s="853"/>
      <c r="AZ296" s="853"/>
      <c r="BA296" s="853"/>
      <c r="BB296" s="853"/>
      <c r="BC296" s="853"/>
      <c r="BD296" s="853"/>
      <c r="BE296" s="853"/>
      <c r="BF296" s="853"/>
      <c r="BG296" s="853"/>
      <c r="BH296" s="853"/>
      <c r="BI296" s="853"/>
      <c r="BJ296" s="853"/>
      <c r="BK296" s="853"/>
      <c r="BL296" s="853"/>
      <c r="BM296" s="853"/>
      <c r="BN296" s="853"/>
      <c r="BO296" s="853"/>
      <c r="BP296" s="853"/>
    </row>
    <row r="297" ht="11.25" customHeight="1">
      <c r="A297" s="853"/>
      <c r="B297" s="853"/>
      <c r="C297" s="853"/>
      <c r="D297" s="853"/>
      <c r="E297" s="853"/>
      <c r="F297" s="853"/>
      <c r="G297" s="853"/>
      <c r="H297" s="853"/>
      <c r="I297" s="853"/>
      <c r="J297" s="853"/>
      <c r="K297" s="853"/>
      <c r="L297" s="853"/>
      <c r="M297" s="853"/>
      <c r="N297" s="853"/>
      <c r="O297" s="853"/>
      <c r="P297" s="853"/>
      <c r="Q297" s="853"/>
      <c r="R297" s="853"/>
      <c r="S297" s="853"/>
      <c r="T297" s="1181"/>
      <c r="U297" s="1181"/>
      <c r="V297" s="1181"/>
      <c r="W297" s="1181"/>
      <c r="X297" s="1181"/>
      <c r="Y297" s="1181"/>
      <c r="Z297" s="1181"/>
      <c r="AA297" s="1181"/>
      <c r="AB297" s="1182"/>
      <c r="AC297" s="1181"/>
      <c r="AD297" s="1183"/>
      <c r="AE297" s="1184"/>
      <c r="AF297" s="1181"/>
      <c r="AG297" s="1181"/>
      <c r="AH297" s="853"/>
      <c r="AI297" s="853"/>
      <c r="AJ297" s="853"/>
      <c r="AK297" s="853"/>
      <c r="AL297" s="1181"/>
      <c r="AM297" s="1181"/>
      <c r="AN297" s="853"/>
      <c r="AO297" s="853"/>
      <c r="AP297" s="853"/>
      <c r="AQ297" s="853"/>
      <c r="AR297" s="853"/>
      <c r="AS297" s="853"/>
      <c r="AT297" s="853"/>
      <c r="AU297" s="853"/>
      <c r="AV297" s="1185"/>
      <c r="AW297" s="853"/>
      <c r="AX297" s="853"/>
      <c r="AY297" s="853"/>
      <c r="AZ297" s="853"/>
      <c r="BA297" s="853"/>
      <c r="BB297" s="853"/>
      <c r="BC297" s="853"/>
      <c r="BD297" s="853"/>
      <c r="BE297" s="853"/>
      <c r="BF297" s="853"/>
      <c r="BG297" s="853"/>
      <c r="BH297" s="853"/>
      <c r="BI297" s="853"/>
      <c r="BJ297" s="853"/>
      <c r="BK297" s="853"/>
      <c r="BL297" s="853"/>
      <c r="BM297" s="853"/>
      <c r="BN297" s="853"/>
      <c r="BO297" s="853"/>
      <c r="BP297" s="853"/>
    </row>
    <row r="298" ht="11.25" customHeight="1">
      <c r="A298" s="853"/>
      <c r="B298" s="853"/>
      <c r="C298" s="853"/>
      <c r="D298" s="853"/>
      <c r="E298" s="853"/>
      <c r="F298" s="853"/>
      <c r="G298" s="853"/>
      <c r="H298" s="853"/>
      <c r="I298" s="853"/>
      <c r="J298" s="853"/>
      <c r="K298" s="853"/>
      <c r="L298" s="853"/>
      <c r="M298" s="853"/>
      <c r="N298" s="853"/>
      <c r="O298" s="853"/>
      <c r="P298" s="853"/>
      <c r="Q298" s="853"/>
      <c r="R298" s="853"/>
      <c r="S298" s="853"/>
      <c r="T298" s="1181"/>
      <c r="U298" s="1181"/>
      <c r="V298" s="1181"/>
      <c r="W298" s="1181"/>
      <c r="X298" s="1181"/>
      <c r="Y298" s="1181"/>
      <c r="Z298" s="1181"/>
      <c r="AA298" s="1181"/>
      <c r="AB298" s="1182"/>
      <c r="AC298" s="1181"/>
      <c r="AD298" s="1183"/>
      <c r="AE298" s="1184"/>
      <c r="AF298" s="1181"/>
      <c r="AG298" s="1181"/>
      <c r="AH298" s="853"/>
      <c r="AI298" s="853"/>
      <c r="AJ298" s="853"/>
      <c r="AK298" s="853"/>
      <c r="AL298" s="1181"/>
      <c r="AM298" s="1181"/>
      <c r="AN298" s="853"/>
      <c r="AO298" s="853"/>
      <c r="AP298" s="853"/>
      <c r="AQ298" s="853"/>
      <c r="AR298" s="853"/>
      <c r="AS298" s="853"/>
      <c r="AT298" s="853"/>
      <c r="AU298" s="853"/>
      <c r="AV298" s="1185"/>
      <c r="AW298" s="853"/>
      <c r="AX298" s="853"/>
      <c r="AY298" s="853"/>
      <c r="AZ298" s="853"/>
      <c r="BA298" s="853"/>
      <c r="BB298" s="853"/>
      <c r="BC298" s="853"/>
      <c r="BD298" s="853"/>
      <c r="BE298" s="853"/>
      <c r="BF298" s="853"/>
      <c r="BG298" s="853"/>
      <c r="BH298" s="853"/>
      <c r="BI298" s="853"/>
      <c r="BJ298" s="853"/>
      <c r="BK298" s="853"/>
      <c r="BL298" s="853"/>
      <c r="BM298" s="853"/>
      <c r="BN298" s="853"/>
      <c r="BO298" s="853"/>
      <c r="BP298" s="853"/>
    </row>
    <row r="299" ht="11.25" customHeight="1">
      <c r="A299" s="853"/>
      <c r="B299" s="853"/>
      <c r="C299" s="853"/>
      <c r="D299" s="853"/>
      <c r="E299" s="853"/>
      <c r="F299" s="853"/>
      <c r="G299" s="853"/>
      <c r="H299" s="853"/>
      <c r="I299" s="853"/>
      <c r="J299" s="853"/>
      <c r="K299" s="853"/>
      <c r="L299" s="853"/>
      <c r="M299" s="853"/>
      <c r="N299" s="853"/>
      <c r="O299" s="853"/>
      <c r="P299" s="853"/>
      <c r="Q299" s="853"/>
      <c r="R299" s="853"/>
      <c r="S299" s="853"/>
      <c r="T299" s="1181"/>
      <c r="U299" s="1181"/>
      <c r="V299" s="1181"/>
      <c r="W299" s="1181"/>
      <c r="X299" s="1181"/>
      <c r="Y299" s="1181"/>
      <c r="Z299" s="1181"/>
      <c r="AA299" s="1181"/>
      <c r="AB299" s="1182"/>
      <c r="AC299" s="1181"/>
      <c r="AD299" s="1183"/>
      <c r="AE299" s="1184"/>
      <c r="AF299" s="1181"/>
      <c r="AG299" s="1181"/>
      <c r="AH299" s="853"/>
      <c r="AI299" s="853"/>
      <c r="AJ299" s="853"/>
      <c r="AK299" s="853"/>
      <c r="AL299" s="1181"/>
      <c r="AM299" s="1181"/>
      <c r="AN299" s="853"/>
      <c r="AO299" s="853"/>
      <c r="AP299" s="853"/>
      <c r="AQ299" s="853"/>
      <c r="AR299" s="853"/>
      <c r="AS299" s="853"/>
      <c r="AT299" s="853"/>
      <c r="AU299" s="853"/>
      <c r="AV299" s="1185"/>
      <c r="AW299" s="853"/>
      <c r="AX299" s="853"/>
      <c r="AY299" s="853"/>
      <c r="AZ299" s="853"/>
      <c r="BA299" s="853"/>
      <c r="BB299" s="853"/>
      <c r="BC299" s="853"/>
      <c r="BD299" s="853"/>
      <c r="BE299" s="853"/>
      <c r="BF299" s="853"/>
      <c r="BG299" s="853"/>
      <c r="BH299" s="853"/>
      <c r="BI299" s="853"/>
      <c r="BJ299" s="853"/>
      <c r="BK299" s="853"/>
      <c r="BL299" s="853"/>
      <c r="BM299" s="853"/>
      <c r="BN299" s="853"/>
      <c r="BO299" s="853"/>
      <c r="BP299" s="853"/>
    </row>
    <row r="300" ht="11.25" customHeight="1">
      <c r="A300" s="853"/>
      <c r="B300" s="853"/>
      <c r="C300" s="853"/>
      <c r="D300" s="853"/>
      <c r="E300" s="853"/>
      <c r="F300" s="853"/>
      <c r="G300" s="853"/>
      <c r="H300" s="853"/>
      <c r="I300" s="853"/>
      <c r="J300" s="853"/>
      <c r="K300" s="853"/>
      <c r="L300" s="853"/>
      <c r="M300" s="853"/>
      <c r="N300" s="853"/>
      <c r="O300" s="853"/>
      <c r="P300" s="853"/>
      <c r="Q300" s="853"/>
      <c r="R300" s="853"/>
      <c r="S300" s="853"/>
      <c r="T300" s="1181"/>
      <c r="U300" s="1181"/>
      <c r="V300" s="1181"/>
      <c r="W300" s="1181"/>
      <c r="X300" s="1181"/>
      <c r="Y300" s="1181"/>
      <c r="Z300" s="1181"/>
      <c r="AA300" s="1181"/>
      <c r="AB300" s="1182"/>
      <c r="AC300" s="1181"/>
      <c r="AD300" s="1183"/>
      <c r="AE300" s="1184"/>
      <c r="AF300" s="1181"/>
      <c r="AG300" s="1181"/>
      <c r="AH300" s="853"/>
      <c r="AI300" s="853"/>
      <c r="AJ300" s="853"/>
      <c r="AK300" s="853"/>
      <c r="AL300" s="1181"/>
      <c r="AM300" s="1181"/>
      <c r="AN300" s="853"/>
      <c r="AO300" s="853"/>
      <c r="AP300" s="853"/>
      <c r="AQ300" s="853"/>
      <c r="AR300" s="853"/>
      <c r="AS300" s="853"/>
      <c r="AT300" s="853"/>
      <c r="AU300" s="853"/>
      <c r="AV300" s="1185"/>
      <c r="AW300" s="853"/>
      <c r="AX300" s="853"/>
      <c r="AY300" s="853"/>
      <c r="AZ300" s="853"/>
      <c r="BA300" s="853"/>
      <c r="BB300" s="853"/>
      <c r="BC300" s="853"/>
      <c r="BD300" s="853"/>
      <c r="BE300" s="853"/>
      <c r="BF300" s="853"/>
      <c r="BG300" s="853"/>
      <c r="BH300" s="853"/>
      <c r="BI300" s="853"/>
      <c r="BJ300" s="853"/>
      <c r="BK300" s="853"/>
      <c r="BL300" s="853"/>
      <c r="BM300" s="853"/>
      <c r="BN300" s="853"/>
      <c r="BO300" s="853"/>
      <c r="BP300" s="853"/>
    </row>
    <row r="301" ht="11.25" customHeight="1">
      <c r="A301" s="853"/>
      <c r="B301" s="853"/>
      <c r="C301" s="853"/>
      <c r="D301" s="853"/>
      <c r="E301" s="853"/>
      <c r="F301" s="853"/>
      <c r="G301" s="853"/>
      <c r="H301" s="853"/>
      <c r="I301" s="853"/>
      <c r="J301" s="853"/>
      <c r="K301" s="853"/>
      <c r="L301" s="853"/>
      <c r="M301" s="853"/>
      <c r="N301" s="853"/>
      <c r="O301" s="853"/>
      <c r="P301" s="853"/>
      <c r="Q301" s="853"/>
      <c r="R301" s="853"/>
      <c r="S301" s="853"/>
      <c r="T301" s="1181"/>
      <c r="U301" s="1181"/>
      <c r="V301" s="1181"/>
      <c r="W301" s="1181"/>
      <c r="X301" s="1181"/>
      <c r="Y301" s="1181"/>
      <c r="Z301" s="1181"/>
      <c r="AA301" s="1181"/>
      <c r="AB301" s="1182"/>
      <c r="AC301" s="1181"/>
      <c r="AD301" s="1183"/>
      <c r="AE301" s="1184"/>
      <c r="AF301" s="1181"/>
      <c r="AG301" s="1181"/>
      <c r="AH301" s="853"/>
      <c r="AI301" s="853"/>
      <c r="AJ301" s="853"/>
      <c r="AK301" s="853"/>
      <c r="AL301" s="1181"/>
      <c r="AM301" s="1181"/>
      <c r="AN301" s="853"/>
      <c r="AO301" s="853"/>
      <c r="AP301" s="853"/>
      <c r="AQ301" s="853"/>
      <c r="AR301" s="853"/>
      <c r="AS301" s="853"/>
      <c r="AT301" s="853"/>
      <c r="AU301" s="853"/>
      <c r="AV301" s="1185"/>
      <c r="AW301" s="853"/>
      <c r="AX301" s="853"/>
      <c r="AY301" s="853"/>
      <c r="AZ301" s="853"/>
      <c r="BA301" s="853"/>
      <c r="BB301" s="853"/>
      <c r="BC301" s="853"/>
      <c r="BD301" s="853"/>
      <c r="BE301" s="853"/>
      <c r="BF301" s="853"/>
      <c r="BG301" s="853"/>
      <c r="BH301" s="853"/>
      <c r="BI301" s="853"/>
      <c r="BJ301" s="853"/>
      <c r="BK301" s="853"/>
      <c r="BL301" s="853"/>
      <c r="BM301" s="853"/>
      <c r="BN301" s="853"/>
      <c r="BO301" s="853"/>
      <c r="BP301" s="853"/>
    </row>
    <row r="302" ht="11.25" customHeight="1">
      <c r="A302" s="853"/>
      <c r="B302" s="853"/>
      <c r="C302" s="853"/>
      <c r="D302" s="853"/>
      <c r="E302" s="853"/>
      <c r="F302" s="853"/>
      <c r="G302" s="853"/>
      <c r="H302" s="853"/>
      <c r="I302" s="853"/>
      <c r="J302" s="853"/>
      <c r="K302" s="853"/>
      <c r="L302" s="853"/>
      <c r="M302" s="853"/>
      <c r="N302" s="853"/>
      <c r="O302" s="853"/>
      <c r="P302" s="853"/>
      <c r="Q302" s="853"/>
      <c r="R302" s="853"/>
      <c r="S302" s="853"/>
      <c r="T302" s="1181"/>
      <c r="U302" s="1181"/>
      <c r="V302" s="1181"/>
      <c r="W302" s="1181"/>
      <c r="X302" s="1181"/>
      <c r="Y302" s="1181"/>
      <c r="Z302" s="1181"/>
      <c r="AA302" s="1181"/>
      <c r="AB302" s="1182"/>
      <c r="AC302" s="1181"/>
      <c r="AD302" s="1183"/>
      <c r="AE302" s="1184"/>
      <c r="AF302" s="1181"/>
      <c r="AG302" s="1181"/>
      <c r="AH302" s="853"/>
      <c r="AI302" s="853"/>
      <c r="AJ302" s="853"/>
      <c r="AK302" s="853"/>
      <c r="AL302" s="1181"/>
      <c r="AM302" s="1181"/>
      <c r="AN302" s="853"/>
      <c r="AO302" s="853"/>
      <c r="AP302" s="853"/>
      <c r="AQ302" s="853"/>
      <c r="AR302" s="853"/>
      <c r="AS302" s="853"/>
      <c r="AT302" s="853"/>
      <c r="AU302" s="853"/>
      <c r="AV302" s="1185"/>
      <c r="AW302" s="853"/>
      <c r="AX302" s="853"/>
      <c r="AY302" s="853"/>
      <c r="AZ302" s="853"/>
      <c r="BA302" s="853"/>
      <c r="BB302" s="853"/>
      <c r="BC302" s="853"/>
      <c r="BD302" s="853"/>
      <c r="BE302" s="853"/>
      <c r="BF302" s="853"/>
      <c r="BG302" s="853"/>
      <c r="BH302" s="853"/>
      <c r="BI302" s="853"/>
      <c r="BJ302" s="853"/>
      <c r="BK302" s="853"/>
      <c r="BL302" s="853"/>
      <c r="BM302" s="853"/>
      <c r="BN302" s="853"/>
      <c r="BO302" s="853"/>
      <c r="BP302" s="853"/>
    </row>
    <row r="303" ht="11.25" customHeight="1">
      <c r="A303" s="853"/>
      <c r="B303" s="853"/>
      <c r="C303" s="853"/>
      <c r="D303" s="853"/>
      <c r="E303" s="853"/>
      <c r="F303" s="853"/>
      <c r="G303" s="853"/>
      <c r="H303" s="853"/>
      <c r="I303" s="853"/>
      <c r="J303" s="853"/>
      <c r="K303" s="853"/>
      <c r="L303" s="853"/>
      <c r="M303" s="853"/>
      <c r="N303" s="853"/>
      <c r="O303" s="853"/>
      <c r="P303" s="853"/>
      <c r="Q303" s="853"/>
      <c r="R303" s="853"/>
      <c r="S303" s="853"/>
      <c r="T303" s="1181"/>
      <c r="U303" s="1181"/>
      <c r="V303" s="1181"/>
      <c r="W303" s="1181"/>
      <c r="X303" s="1181"/>
      <c r="Y303" s="1181"/>
      <c r="Z303" s="1181"/>
      <c r="AA303" s="1181"/>
      <c r="AB303" s="1182"/>
      <c r="AC303" s="1181"/>
      <c r="AD303" s="1183"/>
      <c r="AE303" s="1184"/>
      <c r="AF303" s="1181"/>
      <c r="AG303" s="1181"/>
      <c r="AH303" s="853"/>
      <c r="AI303" s="853"/>
      <c r="AJ303" s="853"/>
      <c r="AK303" s="853"/>
      <c r="AL303" s="1181"/>
      <c r="AM303" s="1181"/>
      <c r="AN303" s="853"/>
      <c r="AO303" s="853"/>
      <c r="AP303" s="853"/>
      <c r="AQ303" s="853"/>
      <c r="AR303" s="853"/>
      <c r="AS303" s="853"/>
      <c r="AT303" s="853"/>
      <c r="AU303" s="853"/>
      <c r="AV303" s="1185"/>
      <c r="AW303" s="853"/>
      <c r="AX303" s="853"/>
      <c r="AY303" s="853"/>
      <c r="AZ303" s="853"/>
      <c r="BA303" s="853"/>
      <c r="BB303" s="853"/>
      <c r="BC303" s="853"/>
      <c r="BD303" s="853"/>
      <c r="BE303" s="853"/>
      <c r="BF303" s="853"/>
      <c r="BG303" s="853"/>
      <c r="BH303" s="853"/>
      <c r="BI303" s="853"/>
      <c r="BJ303" s="853"/>
      <c r="BK303" s="853"/>
      <c r="BL303" s="853"/>
      <c r="BM303" s="853"/>
      <c r="BN303" s="853"/>
      <c r="BO303" s="853"/>
      <c r="BP303" s="853"/>
    </row>
    <row r="304" ht="11.25" customHeight="1">
      <c r="A304" s="853"/>
      <c r="B304" s="853"/>
      <c r="C304" s="853"/>
      <c r="D304" s="853"/>
      <c r="E304" s="853"/>
      <c r="F304" s="853"/>
      <c r="G304" s="853"/>
      <c r="H304" s="853"/>
      <c r="I304" s="853"/>
      <c r="J304" s="853"/>
      <c r="K304" s="853"/>
      <c r="L304" s="853"/>
      <c r="M304" s="853"/>
      <c r="N304" s="853"/>
      <c r="O304" s="853"/>
      <c r="P304" s="853"/>
      <c r="Q304" s="853"/>
      <c r="R304" s="853"/>
      <c r="S304" s="853"/>
      <c r="T304" s="1181"/>
      <c r="U304" s="1181"/>
      <c r="V304" s="1181"/>
      <c r="W304" s="1181"/>
      <c r="X304" s="1181"/>
      <c r="Y304" s="1181"/>
      <c r="Z304" s="1181"/>
      <c r="AA304" s="1181"/>
      <c r="AB304" s="1182"/>
      <c r="AC304" s="1181"/>
      <c r="AD304" s="1183"/>
      <c r="AE304" s="1184"/>
      <c r="AF304" s="1181"/>
      <c r="AG304" s="1181"/>
      <c r="AH304" s="853"/>
      <c r="AI304" s="853"/>
      <c r="AJ304" s="853"/>
      <c r="AK304" s="853"/>
      <c r="AL304" s="1181"/>
      <c r="AM304" s="1181"/>
      <c r="AN304" s="853"/>
      <c r="AO304" s="853"/>
      <c r="AP304" s="853"/>
      <c r="AQ304" s="853"/>
      <c r="AR304" s="853"/>
      <c r="AS304" s="853"/>
      <c r="AT304" s="853"/>
      <c r="AU304" s="853"/>
      <c r="AV304" s="1185"/>
      <c r="AW304" s="853"/>
      <c r="AX304" s="853"/>
      <c r="AY304" s="853"/>
      <c r="AZ304" s="853"/>
      <c r="BA304" s="853"/>
      <c r="BB304" s="853"/>
      <c r="BC304" s="853"/>
      <c r="BD304" s="853"/>
      <c r="BE304" s="853"/>
      <c r="BF304" s="853"/>
      <c r="BG304" s="853"/>
      <c r="BH304" s="853"/>
      <c r="BI304" s="853"/>
      <c r="BJ304" s="853"/>
      <c r="BK304" s="853"/>
      <c r="BL304" s="853"/>
      <c r="BM304" s="853"/>
      <c r="BN304" s="853"/>
      <c r="BO304" s="853"/>
      <c r="BP304" s="853"/>
    </row>
    <row r="305" ht="11.25" customHeight="1">
      <c r="A305" s="853"/>
      <c r="B305" s="853"/>
      <c r="C305" s="853"/>
      <c r="D305" s="853"/>
      <c r="E305" s="853"/>
      <c r="F305" s="853"/>
      <c r="G305" s="853"/>
      <c r="H305" s="853"/>
      <c r="I305" s="853"/>
      <c r="J305" s="853"/>
      <c r="K305" s="853"/>
      <c r="L305" s="853"/>
      <c r="M305" s="853"/>
      <c r="N305" s="853"/>
      <c r="O305" s="853"/>
      <c r="P305" s="853"/>
      <c r="Q305" s="853"/>
      <c r="R305" s="853"/>
      <c r="S305" s="853"/>
      <c r="T305" s="1181"/>
      <c r="U305" s="1181"/>
      <c r="V305" s="1181"/>
      <c r="W305" s="1181"/>
      <c r="X305" s="1181"/>
      <c r="Y305" s="1181"/>
      <c r="Z305" s="1181"/>
      <c r="AA305" s="1181"/>
      <c r="AB305" s="1182"/>
      <c r="AC305" s="1181"/>
      <c r="AD305" s="1183"/>
      <c r="AE305" s="1184"/>
      <c r="AF305" s="1181"/>
      <c r="AG305" s="1181"/>
      <c r="AH305" s="853"/>
      <c r="AI305" s="853"/>
      <c r="AJ305" s="853"/>
      <c r="AK305" s="853"/>
      <c r="AL305" s="1181"/>
      <c r="AM305" s="1181"/>
      <c r="AN305" s="853"/>
      <c r="AO305" s="853"/>
      <c r="AP305" s="853"/>
      <c r="AQ305" s="853"/>
      <c r="AR305" s="853"/>
      <c r="AS305" s="853"/>
      <c r="AT305" s="853"/>
      <c r="AU305" s="853"/>
      <c r="AV305" s="1185"/>
      <c r="AW305" s="853"/>
      <c r="AX305" s="853"/>
      <c r="AY305" s="853"/>
      <c r="AZ305" s="853"/>
      <c r="BA305" s="853"/>
      <c r="BB305" s="853"/>
      <c r="BC305" s="853"/>
      <c r="BD305" s="853"/>
      <c r="BE305" s="853"/>
      <c r="BF305" s="853"/>
      <c r="BG305" s="853"/>
      <c r="BH305" s="853"/>
      <c r="BI305" s="853"/>
      <c r="BJ305" s="853"/>
      <c r="BK305" s="853"/>
      <c r="BL305" s="853"/>
      <c r="BM305" s="853"/>
      <c r="BN305" s="853"/>
      <c r="BO305" s="853"/>
      <c r="BP305" s="853"/>
    </row>
    <row r="306" ht="11.25" customHeight="1">
      <c r="A306" s="853"/>
      <c r="B306" s="853"/>
      <c r="C306" s="853"/>
      <c r="D306" s="853"/>
      <c r="E306" s="853"/>
      <c r="F306" s="853"/>
      <c r="G306" s="853"/>
      <c r="H306" s="853"/>
      <c r="I306" s="853"/>
      <c r="J306" s="853"/>
      <c r="K306" s="853"/>
      <c r="L306" s="853"/>
      <c r="M306" s="853"/>
      <c r="N306" s="853"/>
      <c r="O306" s="853"/>
      <c r="P306" s="853"/>
      <c r="Q306" s="853"/>
      <c r="R306" s="853"/>
      <c r="S306" s="853"/>
      <c r="T306" s="1181"/>
      <c r="U306" s="1181"/>
      <c r="V306" s="1181"/>
      <c r="W306" s="1181"/>
      <c r="X306" s="1181"/>
      <c r="Y306" s="1181"/>
      <c r="Z306" s="1181"/>
      <c r="AA306" s="1181"/>
      <c r="AB306" s="1182"/>
      <c r="AC306" s="1181"/>
      <c r="AD306" s="1183"/>
      <c r="AE306" s="1184"/>
      <c r="AF306" s="1181"/>
      <c r="AG306" s="1181"/>
      <c r="AH306" s="853"/>
      <c r="AI306" s="853"/>
      <c r="AJ306" s="853"/>
      <c r="AK306" s="853"/>
      <c r="AL306" s="1181"/>
      <c r="AM306" s="1181"/>
      <c r="AN306" s="853"/>
      <c r="AO306" s="853"/>
      <c r="AP306" s="853"/>
      <c r="AQ306" s="853"/>
      <c r="AR306" s="853"/>
      <c r="AS306" s="853"/>
      <c r="AT306" s="853"/>
      <c r="AU306" s="853"/>
      <c r="AV306" s="1185"/>
      <c r="AW306" s="853"/>
      <c r="AX306" s="853"/>
      <c r="AY306" s="853"/>
      <c r="AZ306" s="853"/>
      <c r="BA306" s="853"/>
      <c r="BB306" s="853"/>
      <c r="BC306" s="853"/>
      <c r="BD306" s="853"/>
      <c r="BE306" s="853"/>
      <c r="BF306" s="853"/>
      <c r="BG306" s="853"/>
      <c r="BH306" s="853"/>
      <c r="BI306" s="853"/>
      <c r="BJ306" s="853"/>
      <c r="BK306" s="853"/>
      <c r="BL306" s="853"/>
      <c r="BM306" s="853"/>
      <c r="BN306" s="853"/>
      <c r="BO306" s="853"/>
      <c r="BP306" s="853"/>
    </row>
    <row r="307" ht="11.25" customHeight="1">
      <c r="A307" s="853"/>
      <c r="B307" s="853"/>
      <c r="C307" s="853"/>
      <c r="D307" s="853"/>
      <c r="E307" s="853"/>
      <c r="F307" s="853"/>
      <c r="G307" s="853"/>
      <c r="H307" s="853"/>
      <c r="I307" s="853"/>
      <c r="J307" s="853"/>
      <c r="K307" s="853"/>
      <c r="L307" s="853"/>
      <c r="M307" s="853"/>
      <c r="N307" s="853"/>
      <c r="O307" s="853"/>
      <c r="P307" s="853"/>
      <c r="Q307" s="853"/>
      <c r="R307" s="853"/>
      <c r="S307" s="853"/>
      <c r="T307" s="1181"/>
      <c r="U307" s="1181"/>
      <c r="V307" s="1181"/>
      <c r="W307" s="1181"/>
      <c r="X307" s="1181"/>
      <c r="Y307" s="1181"/>
      <c r="Z307" s="1181"/>
      <c r="AA307" s="1181"/>
      <c r="AB307" s="1182"/>
      <c r="AC307" s="1181"/>
      <c r="AD307" s="1183"/>
      <c r="AE307" s="1184"/>
      <c r="AF307" s="1181"/>
      <c r="AG307" s="1181"/>
      <c r="AH307" s="853"/>
      <c r="AI307" s="853"/>
      <c r="AJ307" s="853"/>
      <c r="AK307" s="853"/>
      <c r="AL307" s="1181"/>
      <c r="AM307" s="1181"/>
      <c r="AN307" s="853"/>
      <c r="AO307" s="853"/>
      <c r="AP307" s="853"/>
      <c r="AQ307" s="853"/>
      <c r="AR307" s="853"/>
      <c r="AS307" s="853"/>
      <c r="AT307" s="853"/>
      <c r="AU307" s="853"/>
      <c r="AV307" s="1185"/>
      <c r="AW307" s="853"/>
      <c r="AX307" s="853"/>
      <c r="AY307" s="853"/>
      <c r="AZ307" s="853"/>
      <c r="BA307" s="853"/>
      <c r="BB307" s="853"/>
      <c r="BC307" s="853"/>
      <c r="BD307" s="853"/>
      <c r="BE307" s="853"/>
      <c r="BF307" s="853"/>
      <c r="BG307" s="853"/>
      <c r="BH307" s="853"/>
      <c r="BI307" s="853"/>
      <c r="BJ307" s="853"/>
      <c r="BK307" s="853"/>
      <c r="BL307" s="853"/>
      <c r="BM307" s="853"/>
      <c r="BN307" s="853"/>
      <c r="BO307" s="853"/>
      <c r="BP307" s="853"/>
    </row>
    <row r="308" ht="11.25" customHeight="1">
      <c r="A308" s="853"/>
      <c r="B308" s="853"/>
      <c r="C308" s="853"/>
      <c r="D308" s="853"/>
      <c r="E308" s="853"/>
      <c r="F308" s="853"/>
      <c r="G308" s="853"/>
      <c r="H308" s="853"/>
      <c r="I308" s="853"/>
      <c r="J308" s="853"/>
      <c r="K308" s="853"/>
      <c r="L308" s="853"/>
      <c r="M308" s="853"/>
      <c r="N308" s="853"/>
      <c r="O308" s="853"/>
      <c r="P308" s="853"/>
      <c r="Q308" s="853"/>
      <c r="R308" s="853"/>
      <c r="S308" s="853"/>
      <c r="T308" s="1181"/>
      <c r="U308" s="1181"/>
      <c r="V308" s="1181"/>
      <c r="W308" s="1181"/>
      <c r="X308" s="1181"/>
      <c r="Y308" s="1181"/>
      <c r="Z308" s="1181"/>
      <c r="AA308" s="1181"/>
      <c r="AB308" s="1182"/>
      <c r="AC308" s="1181"/>
      <c r="AD308" s="1183"/>
      <c r="AE308" s="1184"/>
      <c r="AF308" s="1181"/>
      <c r="AG308" s="1181"/>
      <c r="AH308" s="853"/>
      <c r="AI308" s="853"/>
      <c r="AJ308" s="853"/>
      <c r="AK308" s="853"/>
      <c r="AL308" s="1181"/>
      <c r="AM308" s="1181"/>
      <c r="AN308" s="853"/>
      <c r="AO308" s="853"/>
      <c r="AP308" s="853"/>
      <c r="AQ308" s="853"/>
      <c r="AR308" s="853"/>
      <c r="AS308" s="853"/>
      <c r="AT308" s="853"/>
      <c r="AU308" s="853"/>
      <c r="AV308" s="1185"/>
      <c r="AW308" s="853"/>
      <c r="AX308" s="853"/>
      <c r="AY308" s="853"/>
      <c r="AZ308" s="853"/>
      <c r="BA308" s="853"/>
      <c r="BB308" s="853"/>
      <c r="BC308" s="853"/>
      <c r="BD308" s="853"/>
      <c r="BE308" s="853"/>
      <c r="BF308" s="853"/>
      <c r="BG308" s="853"/>
      <c r="BH308" s="853"/>
      <c r="BI308" s="853"/>
      <c r="BJ308" s="853"/>
      <c r="BK308" s="853"/>
      <c r="BL308" s="853"/>
      <c r="BM308" s="853"/>
      <c r="BN308" s="853"/>
      <c r="BO308" s="853"/>
      <c r="BP308" s="853"/>
    </row>
    <row r="309" ht="11.25" customHeight="1">
      <c r="A309" s="853"/>
      <c r="B309" s="853"/>
      <c r="C309" s="853"/>
      <c r="D309" s="853"/>
      <c r="E309" s="853"/>
      <c r="F309" s="853"/>
      <c r="G309" s="853"/>
      <c r="H309" s="853"/>
      <c r="I309" s="853"/>
      <c r="J309" s="853"/>
      <c r="K309" s="853"/>
      <c r="L309" s="853"/>
      <c r="M309" s="853"/>
      <c r="N309" s="853"/>
      <c r="O309" s="853"/>
      <c r="P309" s="853"/>
      <c r="Q309" s="853"/>
      <c r="R309" s="853"/>
      <c r="S309" s="853"/>
      <c r="T309" s="1181"/>
      <c r="U309" s="1181"/>
      <c r="V309" s="1181"/>
      <c r="W309" s="1181"/>
      <c r="X309" s="1181"/>
      <c r="Y309" s="1181"/>
      <c r="Z309" s="1181"/>
      <c r="AA309" s="1181"/>
      <c r="AB309" s="1182"/>
      <c r="AC309" s="1181"/>
      <c r="AD309" s="1183"/>
      <c r="AE309" s="1184"/>
      <c r="AF309" s="1181"/>
      <c r="AG309" s="1181"/>
      <c r="AH309" s="853"/>
      <c r="AI309" s="853"/>
      <c r="AJ309" s="853"/>
      <c r="AK309" s="853"/>
      <c r="AL309" s="1181"/>
      <c r="AM309" s="1181"/>
      <c r="AN309" s="853"/>
      <c r="AO309" s="853"/>
      <c r="AP309" s="853"/>
      <c r="AQ309" s="853"/>
      <c r="AR309" s="853"/>
      <c r="AS309" s="853"/>
      <c r="AT309" s="853"/>
      <c r="AU309" s="853"/>
      <c r="AV309" s="1185"/>
      <c r="AW309" s="853"/>
      <c r="AX309" s="853"/>
      <c r="AY309" s="853"/>
      <c r="AZ309" s="853"/>
      <c r="BA309" s="853"/>
      <c r="BB309" s="853"/>
      <c r="BC309" s="853"/>
      <c r="BD309" s="853"/>
      <c r="BE309" s="853"/>
      <c r="BF309" s="853"/>
      <c r="BG309" s="853"/>
      <c r="BH309" s="853"/>
      <c r="BI309" s="853"/>
      <c r="BJ309" s="853"/>
      <c r="BK309" s="853"/>
      <c r="BL309" s="853"/>
      <c r="BM309" s="853"/>
      <c r="BN309" s="853"/>
      <c r="BO309" s="853"/>
      <c r="BP309" s="853"/>
    </row>
    <row r="310" ht="11.25" customHeight="1">
      <c r="A310" s="853"/>
      <c r="B310" s="853"/>
      <c r="C310" s="853"/>
      <c r="D310" s="853"/>
      <c r="E310" s="853"/>
      <c r="F310" s="853"/>
      <c r="G310" s="853"/>
      <c r="H310" s="853"/>
      <c r="I310" s="853"/>
      <c r="J310" s="853"/>
      <c r="K310" s="853"/>
      <c r="L310" s="853"/>
      <c r="M310" s="853"/>
      <c r="N310" s="853"/>
      <c r="O310" s="853"/>
      <c r="P310" s="853"/>
      <c r="Q310" s="853"/>
      <c r="R310" s="853"/>
      <c r="S310" s="853"/>
      <c r="T310" s="1181"/>
      <c r="U310" s="1181"/>
      <c r="V310" s="1181"/>
      <c r="W310" s="1181"/>
      <c r="X310" s="1181"/>
      <c r="Y310" s="1181"/>
      <c r="Z310" s="1181"/>
      <c r="AA310" s="1181"/>
      <c r="AB310" s="1182"/>
      <c r="AC310" s="1181"/>
      <c r="AD310" s="1183"/>
      <c r="AE310" s="1184"/>
      <c r="AF310" s="1181"/>
      <c r="AG310" s="1181"/>
      <c r="AH310" s="853"/>
      <c r="AI310" s="853"/>
      <c r="AJ310" s="853"/>
      <c r="AK310" s="853"/>
      <c r="AL310" s="1181"/>
      <c r="AM310" s="1181"/>
      <c r="AN310" s="853"/>
      <c r="AO310" s="853"/>
      <c r="AP310" s="853"/>
      <c r="AQ310" s="853"/>
      <c r="AR310" s="853"/>
      <c r="AS310" s="853"/>
      <c r="AT310" s="853"/>
      <c r="AU310" s="853"/>
      <c r="AV310" s="1185"/>
      <c r="AW310" s="853"/>
      <c r="AX310" s="853"/>
      <c r="AY310" s="853"/>
      <c r="AZ310" s="853"/>
      <c r="BA310" s="853"/>
      <c r="BB310" s="853"/>
      <c r="BC310" s="853"/>
      <c r="BD310" s="853"/>
      <c r="BE310" s="853"/>
      <c r="BF310" s="853"/>
      <c r="BG310" s="853"/>
      <c r="BH310" s="853"/>
      <c r="BI310" s="853"/>
      <c r="BJ310" s="853"/>
      <c r="BK310" s="853"/>
      <c r="BL310" s="853"/>
      <c r="BM310" s="853"/>
      <c r="BN310" s="853"/>
      <c r="BO310" s="853"/>
      <c r="BP310" s="853"/>
    </row>
    <row r="311" ht="11.25" customHeight="1">
      <c r="A311" s="853"/>
      <c r="B311" s="853"/>
      <c r="C311" s="853"/>
      <c r="D311" s="853"/>
      <c r="E311" s="853"/>
      <c r="F311" s="853"/>
      <c r="G311" s="853"/>
      <c r="H311" s="853"/>
      <c r="I311" s="853"/>
      <c r="J311" s="853"/>
      <c r="K311" s="853"/>
      <c r="L311" s="853"/>
      <c r="M311" s="853"/>
      <c r="N311" s="853"/>
      <c r="O311" s="853"/>
      <c r="P311" s="853"/>
      <c r="Q311" s="853"/>
      <c r="R311" s="853"/>
      <c r="S311" s="853"/>
      <c r="T311" s="1181"/>
      <c r="U311" s="1181"/>
      <c r="V311" s="1181"/>
      <c r="W311" s="1181"/>
      <c r="X311" s="1181"/>
      <c r="Y311" s="1181"/>
      <c r="Z311" s="1181"/>
      <c r="AA311" s="1181"/>
      <c r="AB311" s="1182"/>
      <c r="AC311" s="1181"/>
      <c r="AD311" s="1183"/>
      <c r="AE311" s="1184"/>
      <c r="AF311" s="1181"/>
      <c r="AG311" s="1181"/>
      <c r="AH311" s="853"/>
      <c r="AI311" s="853"/>
      <c r="AJ311" s="853"/>
      <c r="AK311" s="853"/>
      <c r="AL311" s="1181"/>
      <c r="AM311" s="1181"/>
      <c r="AN311" s="853"/>
      <c r="AO311" s="853"/>
      <c r="AP311" s="853"/>
      <c r="AQ311" s="853"/>
      <c r="AR311" s="853"/>
      <c r="AS311" s="853"/>
      <c r="AT311" s="853"/>
      <c r="AU311" s="853"/>
      <c r="AV311" s="1185"/>
      <c r="AW311" s="853"/>
      <c r="AX311" s="853"/>
      <c r="AY311" s="853"/>
      <c r="AZ311" s="853"/>
      <c r="BA311" s="853"/>
      <c r="BB311" s="853"/>
      <c r="BC311" s="853"/>
      <c r="BD311" s="853"/>
      <c r="BE311" s="853"/>
      <c r="BF311" s="853"/>
      <c r="BG311" s="853"/>
      <c r="BH311" s="853"/>
      <c r="BI311" s="853"/>
      <c r="BJ311" s="853"/>
      <c r="BK311" s="853"/>
      <c r="BL311" s="853"/>
      <c r="BM311" s="853"/>
      <c r="BN311" s="853"/>
      <c r="BO311" s="853"/>
      <c r="BP311" s="853"/>
    </row>
    <row r="312" ht="11.25" customHeight="1">
      <c r="A312" s="853"/>
      <c r="B312" s="853"/>
      <c r="C312" s="853"/>
      <c r="D312" s="853"/>
      <c r="E312" s="853"/>
      <c r="F312" s="853"/>
      <c r="G312" s="853"/>
      <c r="H312" s="853"/>
      <c r="I312" s="853"/>
      <c r="J312" s="853"/>
      <c r="K312" s="853"/>
      <c r="L312" s="853"/>
      <c r="M312" s="853"/>
      <c r="N312" s="853"/>
      <c r="O312" s="853"/>
      <c r="P312" s="853"/>
      <c r="Q312" s="853"/>
      <c r="R312" s="853"/>
      <c r="S312" s="853"/>
      <c r="T312" s="1181"/>
      <c r="U312" s="1181"/>
      <c r="V312" s="1181"/>
      <c r="W312" s="1181"/>
      <c r="X312" s="1181"/>
      <c r="Y312" s="1181"/>
      <c r="Z312" s="1181"/>
      <c r="AA312" s="1181"/>
      <c r="AB312" s="1182"/>
      <c r="AC312" s="1181"/>
      <c r="AD312" s="1183"/>
      <c r="AE312" s="1184"/>
      <c r="AF312" s="1181"/>
      <c r="AG312" s="1181"/>
      <c r="AH312" s="853"/>
      <c r="AI312" s="853"/>
      <c r="AJ312" s="853"/>
      <c r="AK312" s="853"/>
      <c r="AL312" s="1181"/>
      <c r="AM312" s="1181"/>
      <c r="AN312" s="853"/>
      <c r="AO312" s="853"/>
      <c r="AP312" s="853"/>
      <c r="AQ312" s="853"/>
      <c r="AR312" s="853"/>
      <c r="AS312" s="853"/>
      <c r="AT312" s="853"/>
      <c r="AU312" s="853"/>
      <c r="AV312" s="1185"/>
      <c r="AW312" s="853"/>
      <c r="AX312" s="853"/>
      <c r="AY312" s="853"/>
      <c r="AZ312" s="853"/>
      <c r="BA312" s="853"/>
      <c r="BB312" s="853"/>
      <c r="BC312" s="853"/>
      <c r="BD312" s="853"/>
      <c r="BE312" s="853"/>
      <c r="BF312" s="853"/>
      <c r="BG312" s="853"/>
      <c r="BH312" s="853"/>
      <c r="BI312" s="853"/>
      <c r="BJ312" s="853"/>
      <c r="BK312" s="853"/>
      <c r="BL312" s="853"/>
      <c r="BM312" s="853"/>
      <c r="BN312" s="853"/>
      <c r="BO312" s="853"/>
      <c r="BP312" s="853"/>
    </row>
    <row r="313" ht="11.25" customHeight="1">
      <c r="A313" s="853"/>
      <c r="B313" s="853"/>
      <c r="C313" s="853"/>
      <c r="D313" s="853"/>
      <c r="E313" s="853"/>
      <c r="F313" s="853"/>
      <c r="G313" s="853"/>
      <c r="H313" s="853"/>
      <c r="I313" s="853"/>
      <c r="J313" s="853"/>
      <c r="K313" s="853"/>
      <c r="L313" s="853"/>
      <c r="M313" s="853"/>
      <c r="N313" s="853"/>
      <c r="O313" s="853"/>
      <c r="P313" s="853"/>
      <c r="Q313" s="853"/>
      <c r="R313" s="853"/>
      <c r="S313" s="853"/>
      <c r="T313" s="1181"/>
      <c r="U313" s="1181"/>
      <c r="V313" s="1181"/>
      <c r="W313" s="1181"/>
      <c r="X313" s="1181"/>
      <c r="Y313" s="1181"/>
      <c r="Z313" s="1181"/>
      <c r="AA313" s="1181"/>
      <c r="AB313" s="1182"/>
      <c r="AC313" s="1181"/>
      <c r="AD313" s="1183"/>
      <c r="AE313" s="1184"/>
      <c r="AF313" s="1181"/>
      <c r="AG313" s="1181"/>
      <c r="AH313" s="853"/>
      <c r="AI313" s="853"/>
      <c r="AJ313" s="853"/>
      <c r="AK313" s="853"/>
      <c r="AL313" s="1181"/>
      <c r="AM313" s="1181"/>
      <c r="AN313" s="853"/>
      <c r="AO313" s="853"/>
      <c r="AP313" s="853"/>
      <c r="AQ313" s="853"/>
      <c r="AR313" s="853"/>
      <c r="AS313" s="853"/>
      <c r="AT313" s="853"/>
      <c r="AU313" s="853"/>
      <c r="AV313" s="1185"/>
      <c r="AW313" s="853"/>
      <c r="AX313" s="853"/>
      <c r="AY313" s="853"/>
      <c r="AZ313" s="853"/>
      <c r="BA313" s="853"/>
      <c r="BB313" s="853"/>
      <c r="BC313" s="853"/>
      <c r="BD313" s="853"/>
      <c r="BE313" s="853"/>
      <c r="BF313" s="853"/>
      <c r="BG313" s="853"/>
      <c r="BH313" s="853"/>
      <c r="BI313" s="853"/>
      <c r="BJ313" s="853"/>
      <c r="BK313" s="853"/>
      <c r="BL313" s="853"/>
      <c r="BM313" s="853"/>
      <c r="BN313" s="853"/>
      <c r="BO313" s="853"/>
      <c r="BP313" s="853"/>
    </row>
    <row r="314" ht="11.25" customHeight="1">
      <c r="A314" s="853"/>
      <c r="B314" s="853"/>
      <c r="C314" s="853"/>
      <c r="D314" s="853"/>
      <c r="E314" s="853"/>
      <c r="F314" s="853"/>
      <c r="G314" s="853"/>
      <c r="H314" s="853"/>
      <c r="I314" s="853"/>
      <c r="J314" s="853"/>
      <c r="K314" s="853"/>
      <c r="L314" s="853"/>
      <c r="M314" s="853"/>
      <c r="N314" s="853"/>
      <c r="O314" s="853"/>
      <c r="P314" s="853"/>
      <c r="Q314" s="853"/>
      <c r="R314" s="853"/>
      <c r="S314" s="853"/>
      <c r="T314" s="1181"/>
      <c r="U314" s="1181"/>
      <c r="V314" s="1181"/>
      <c r="W314" s="1181"/>
      <c r="X314" s="1181"/>
      <c r="Y314" s="1181"/>
      <c r="Z314" s="1181"/>
      <c r="AA314" s="1181"/>
      <c r="AB314" s="1182"/>
      <c r="AC314" s="1181"/>
      <c r="AD314" s="1183"/>
      <c r="AE314" s="1184"/>
      <c r="AF314" s="1181"/>
      <c r="AG314" s="1181"/>
      <c r="AH314" s="853"/>
      <c r="AI314" s="853"/>
      <c r="AJ314" s="853"/>
      <c r="AK314" s="853"/>
      <c r="AL314" s="1181"/>
      <c r="AM314" s="1181"/>
      <c r="AN314" s="853"/>
      <c r="AO314" s="853"/>
      <c r="AP314" s="853"/>
      <c r="AQ314" s="853"/>
      <c r="AR314" s="853"/>
      <c r="AS314" s="853"/>
      <c r="AT314" s="853"/>
      <c r="AU314" s="853"/>
      <c r="AV314" s="1185"/>
      <c r="AW314" s="853"/>
      <c r="AX314" s="853"/>
      <c r="AY314" s="853"/>
      <c r="AZ314" s="853"/>
      <c r="BA314" s="853"/>
      <c r="BB314" s="853"/>
      <c r="BC314" s="853"/>
      <c r="BD314" s="853"/>
      <c r="BE314" s="853"/>
      <c r="BF314" s="853"/>
      <c r="BG314" s="853"/>
      <c r="BH314" s="853"/>
      <c r="BI314" s="853"/>
      <c r="BJ314" s="853"/>
      <c r="BK314" s="853"/>
      <c r="BL314" s="853"/>
      <c r="BM314" s="853"/>
      <c r="BN314" s="853"/>
      <c r="BO314" s="853"/>
      <c r="BP314" s="853"/>
    </row>
    <row r="315" ht="11.25" customHeight="1">
      <c r="A315" s="853"/>
      <c r="B315" s="853"/>
      <c r="C315" s="853"/>
      <c r="D315" s="853"/>
      <c r="E315" s="853"/>
      <c r="F315" s="853"/>
      <c r="G315" s="853"/>
      <c r="H315" s="853"/>
      <c r="I315" s="853"/>
      <c r="J315" s="853"/>
      <c r="K315" s="853"/>
      <c r="L315" s="853"/>
      <c r="M315" s="853"/>
      <c r="N315" s="853"/>
      <c r="O315" s="853"/>
      <c r="P315" s="853"/>
      <c r="Q315" s="853"/>
      <c r="R315" s="853"/>
      <c r="S315" s="853"/>
      <c r="T315" s="1181"/>
      <c r="U315" s="1181"/>
      <c r="V315" s="1181"/>
      <c r="W315" s="1181"/>
      <c r="X315" s="1181"/>
      <c r="Y315" s="1181"/>
      <c r="Z315" s="1181"/>
      <c r="AA315" s="1181"/>
      <c r="AB315" s="1182"/>
      <c r="AC315" s="1181"/>
      <c r="AD315" s="1183"/>
      <c r="AE315" s="1184"/>
      <c r="AF315" s="1181"/>
      <c r="AG315" s="1181"/>
      <c r="AH315" s="853"/>
      <c r="AI315" s="853"/>
      <c r="AJ315" s="853"/>
      <c r="AK315" s="853"/>
      <c r="AL315" s="1181"/>
      <c r="AM315" s="1181"/>
      <c r="AN315" s="853"/>
      <c r="AO315" s="853"/>
      <c r="AP315" s="853"/>
      <c r="AQ315" s="853"/>
      <c r="AR315" s="853"/>
      <c r="AS315" s="853"/>
      <c r="AT315" s="853"/>
      <c r="AU315" s="853"/>
      <c r="AV315" s="1185"/>
      <c r="AW315" s="853"/>
      <c r="AX315" s="853"/>
      <c r="AY315" s="853"/>
      <c r="AZ315" s="853"/>
      <c r="BA315" s="853"/>
      <c r="BB315" s="853"/>
      <c r="BC315" s="853"/>
      <c r="BD315" s="853"/>
      <c r="BE315" s="853"/>
      <c r="BF315" s="853"/>
      <c r="BG315" s="853"/>
      <c r="BH315" s="853"/>
      <c r="BI315" s="853"/>
      <c r="BJ315" s="853"/>
      <c r="BK315" s="853"/>
      <c r="BL315" s="853"/>
      <c r="BM315" s="853"/>
      <c r="BN315" s="853"/>
      <c r="BO315" s="853"/>
      <c r="BP315" s="853"/>
    </row>
    <row r="316" ht="11.25" customHeight="1">
      <c r="A316" s="853"/>
      <c r="B316" s="853"/>
      <c r="C316" s="853"/>
      <c r="D316" s="853"/>
      <c r="E316" s="853"/>
      <c r="F316" s="853"/>
      <c r="G316" s="853"/>
      <c r="H316" s="853"/>
      <c r="I316" s="853"/>
      <c r="J316" s="853"/>
      <c r="K316" s="853"/>
      <c r="L316" s="853"/>
      <c r="M316" s="853"/>
      <c r="N316" s="853"/>
      <c r="O316" s="853"/>
      <c r="P316" s="853"/>
      <c r="Q316" s="853"/>
      <c r="R316" s="853"/>
      <c r="S316" s="853"/>
      <c r="T316" s="1181"/>
      <c r="U316" s="1181"/>
      <c r="V316" s="1181"/>
      <c r="W316" s="1181"/>
      <c r="X316" s="1181"/>
      <c r="Y316" s="1181"/>
      <c r="Z316" s="1181"/>
      <c r="AA316" s="1181"/>
      <c r="AB316" s="1182"/>
      <c r="AC316" s="1181"/>
      <c r="AD316" s="1183"/>
      <c r="AE316" s="1184"/>
      <c r="AF316" s="1181"/>
      <c r="AG316" s="1181"/>
      <c r="AH316" s="853"/>
      <c r="AI316" s="853"/>
      <c r="AJ316" s="853"/>
      <c r="AK316" s="853"/>
      <c r="AL316" s="1181"/>
      <c r="AM316" s="1181"/>
      <c r="AN316" s="853"/>
      <c r="AO316" s="853"/>
      <c r="AP316" s="853"/>
      <c r="AQ316" s="853"/>
      <c r="AR316" s="853"/>
      <c r="AS316" s="853"/>
      <c r="AT316" s="853"/>
      <c r="AU316" s="853"/>
      <c r="AV316" s="1185"/>
      <c r="AW316" s="853"/>
      <c r="AX316" s="853"/>
      <c r="AY316" s="853"/>
      <c r="AZ316" s="853"/>
      <c r="BA316" s="853"/>
      <c r="BB316" s="853"/>
      <c r="BC316" s="853"/>
      <c r="BD316" s="853"/>
      <c r="BE316" s="853"/>
      <c r="BF316" s="853"/>
      <c r="BG316" s="853"/>
      <c r="BH316" s="853"/>
      <c r="BI316" s="853"/>
      <c r="BJ316" s="853"/>
      <c r="BK316" s="853"/>
      <c r="BL316" s="853"/>
      <c r="BM316" s="853"/>
      <c r="BN316" s="853"/>
      <c r="BO316" s="853"/>
      <c r="BP316" s="853"/>
    </row>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BP$113">
    <filterColumn colId="12">
      <filters blank="1">
        <filter val="Monitoring Equipment*; Surgical Devices"/>
        <filter val="Monitoring Equipment*"/>
        <filter val="Diagnostic Equipment*; Other Devices and Supplies"/>
        <filter val="Diagnostic Equipment*; Surgical Devices"/>
        <filter val="Diagnostic Equipment*"/>
        <filter val="Therapeutic Devices*; Diagnostic Equipment; Decision/Risk Analysis; Other Healthcare Technology Systems"/>
        <filter val="Monitoring Equipment*; Other Devices and Supplies"/>
        <filter val="Therapeutic Devices*"/>
        <filter val="Diagnostic Equipment*; Other Healthcare Services"/>
        <filter val="Medical Supplies*"/>
      </filters>
    </filterColumn>
    <filterColumn colId="14">
      <filters blank="1">
        <filter val="Formerly PE-Backed"/>
        <filter val="Pending Transaction (Angel)"/>
        <filter val="Corporate Backed or Acquired"/>
        <filter val="Private Debt Financed"/>
        <filter val="Accelerator/Incubator Backed"/>
        <filter val="Private Equity-Backed"/>
        <filter val="Venture Capital-Backed"/>
        <filter val="Formerly Accelerator/Incubator Backed"/>
      </filters>
    </filterColumn>
    <filterColumn colId="6">
      <filters blank="1">
        <filter val="Former Investor"/>
        <filter val="Pending (Sell Side)"/>
        <filter val="Acquirer"/>
      </filters>
    </filterColumn>
    <filterColumn colId="24">
      <customFilters>
        <customFilter operator="notEqual" val=" "/>
      </customFilters>
    </filterColumn>
  </autoFilter>
  <mergeCells count="3">
    <mergeCell ref="E1:G1"/>
    <mergeCell ref="B3:C3"/>
    <mergeCell ref="B4:D6"/>
  </mergeCells>
  <hyperlinks>
    <hyperlink display="View Analytcs" location="null!A1" ref="F2"/>
  </hyperlinks>
  <printOptions/>
  <pageMargins bottom="1.0" footer="0.0" header="0.0" left="0.75" right="0.75" top="1.0"/>
  <pageSetup scale="10" orientation="portrait"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7070"/>
    <pageSetUpPr/>
  </sheetPr>
  <sheetViews>
    <sheetView showGridLines="0" workbookViewId="0"/>
  </sheetViews>
  <sheetFormatPr customHeight="1" defaultColWidth="14.43" defaultRowHeight="15.0"/>
  <cols>
    <col customWidth="1" min="1" max="1" width="10.86"/>
    <col customWidth="1" min="2" max="2" width="85.57"/>
    <col customWidth="1" min="3" max="3" width="32.0"/>
    <col customWidth="1" min="4" max="4" width="19.14"/>
    <col customWidth="1" min="5" max="5" width="18.43"/>
    <col customWidth="1" min="6" max="7" width="16.57"/>
    <col customWidth="1" min="8" max="8" width="33.43"/>
    <col customWidth="1" min="9" max="9" width="18.14"/>
    <col customWidth="1" min="10" max="10" width="14.43"/>
    <col customWidth="1" min="11" max="11" width="21.14"/>
    <col customWidth="1" min="12" max="12" width="18.57"/>
    <col customWidth="1" min="13" max="13" width="22.43"/>
    <col customWidth="1" min="14" max="14" width="21.86"/>
    <col customWidth="1" min="15" max="15" width="23.14"/>
    <col customWidth="1" min="16" max="16" width="22.0"/>
    <col customWidth="1" min="17" max="17" width="23.29"/>
    <col customWidth="1" min="18" max="18" width="21.57"/>
    <col customWidth="1" min="19" max="19" width="19.86"/>
    <col customWidth="1" min="20" max="20" width="16.86"/>
    <col customWidth="1" min="21" max="21" width="33.29"/>
    <col customWidth="1" min="22" max="22" width="17.86"/>
    <col customWidth="1" min="23" max="23" width="14.43"/>
    <col customWidth="1" min="24" max="24" width="15.43"/>
    <col customWidth="1" min="25" max="26" width="26.0"/>
    <col customWidth="1" min="27" max="27" width="23.14"/>
    <col customWidth="1" min="28" max="28" width="19.86"/>
  </cols>
  <sheetData>
    <row r="1" ht="14.25" customHeight="1">
      <c r="A1" s="1117"/>
      <c r="B1" s="1117"/>
      <c r="C1" s="1117"/>
      <c r="D1" s="1117"/>
      <c r="E1" s="1117"/>
      <c r="F1" s="1117"/>
      <c r="G1" s="1117"/>
      <c r="H1" s="1117"/>
      <c r="I1" s="1117"/>
      <c r="J1" s="1117"/>
      <c r="K1" s="1117"/>
      <c r="L1" s="1117"/>
      <c r="M1" s="1117"/>
      <c r="N1" s="1117"/>
      <c r="O1" s="1117"/>
      <c r="P1" s="1117"/>
      <c r="Q1" s="1117"/>
      <c r="R1" s="1117"/>
      <c r="S1" s="1117"/>
      <c r="T1" s="1117"/>
      <c r="U1" s="1117"/>
      <c r="V1" s="1117"/>
      <c r="W1" s="1117"/>
      <c r="X1" s="1117"/>
      <c r="Y1" s="1117"/>
      <c r="Z1" s="1117"/>
      <c r="AA1" s="1117"/>
      <c r="AB1" s="1117"/>
    </row>
    <row r="2" ht="34.5" customHeight="1">
      <c r="A2" s="1132" t="s">
        <v>422</v>
      </c>
      <c r="B2" s="1132" t="s">
        <v>425</v>
      </c>
      <c r="C2" s="1132" t="s">
        <v>423</v>
      </c>
      <c r="D2" s="1132" t="s">
        <v>1396</v>
      </c>
      <c r="E2" s="1132" t="s">
        <v>1397</v>
      </c>
      <c r="F2" s="1132" t="s">
        <v>1398</v>
      </c>
      <c r="G2" s="1132" t="s">
        <v>63</v>
      </c>
      <c r="H2" s="1132" t="s">
        <v>1399</v>
      </c>
      <c r="I2" s="1132" t="s">
        <v>121</v>
      </c>
      <c r="J2" s="1132" t="s">
        <v>24</v>
      </c>
      <c r="K2" s="1132" t="s">
        <v>508</v>
      </c>
      <c r="L2" s="1132" t="s">
        <v>1400</v>
      </c>
      <c r="M2" s="1132" t="s">
        <v>510</v>
      </c>
      <c r="N2" s="1132" t="s">
        <v>509</v>
      </c>
      <c r="O2" s="1132" t="s">
        <v>511</v>
      </c>
      <c r="P2" s="1132" t="s">
        <v>1401</v>
      </c>
      <c r="Q2" s="1132" t="s">
        <v>1402</v>
      </c>
      <c r="R2" s="1132" t="s">
        <v>1403</v>
      </c>
      <c r="S2" s="1132" t="s">
        <v>1404</v>
      </c>
      <c r="T2" s="1132" t="s">
        <v>424</v>
      </c>
      <c r="U2" s="1132" t="s">
        <v>426</v>
      </c>
      <c r="V2" s="1132" t="s">
        <v>427</v>
      </c>
      <c r="W2" s="1132" t="s">
        <v>428</v>
      </c>
      <c r="X2" s="1132" t="s">
        <v>429</v>
      </c>
      <c r="Y2" s="1132" t="s">
        <v>430</v>
      </c>
      <c r="Z2" s="1132" t="s">
        <v>431</v>
      </c>
      <c r="AA2" s="1132" t="s">
        <v>433</v>
      </c>
      <c r="AB2" s="1133" t="s">
        <v>434</v>
      </c>
    </row>
    <row r="3" ht="14.25" hidden="1" customHeight="1">
      <c r="A3" s="1134" t="s">
        <v>1405</v>
      </c>
      <c r="B3" s="1134" t="s">
        <v>1406</v>
      </c>
      <c r="C3" s="1134" t="s">
        <v>412</v>
      </c>
      <c r="D3" s="1135" t="s">
        <v>194</v>
      </c>
      <c r="E3" s="1137" t="s">
        <v>194</v>
      </c>
      <c r="F3" s="1137" t="s">
        <v>194</v>
      </c>
      <c r="G3" s="1137" t="s">
        <v>194</v>
      </c>
      <c r="H3" s="1138" t="s">
        <v>194</v>
      </c>
      <c r="I3" s="1137" t="s">
        <v>194</v>
      </c>
      <c r="J3" s="1137" t="s">
        <v>194</v>
      </c>
      <c r="K3" s="1186" t="s">
        <v>194</v>
      </c>
      <c r="L3" s="1186" t="s">
        <v>194</v>
      </c>
      <c r="M3" s="1186" t="s">
        <v>194</v>
      </c>
      <c r="N3" s="1186" t="s">
        <v>194</v>
      </c>
      <c r="O3" s="1186" t="s">
        <v>194</v>
      </c>
      <c r="P3" s="1186" t="s">
        <v>194</v>
      </c>
      <c r="Q3" s="1186" t="s">
        <v>194</v>
      </c>
      <c r="R3" s="1134" t="s">
        <v>1407</v>
      </c>
      <c r="S3" s="1187">
        <v>1994.0</v>
      </c>
      <c r="T3" s="1135" t="s">
        <v>194</v>
      </c>
      <c r="U3" s="1134" t="s">
        <v>1408</v>
      </c>
      <c r="V3" s="1134" t="s">
        <v>937</v>
      </c>
      <c r="W3" s="1137" t="s">
        <v>194</v>
      </c>
      <c r="X3" s="1138" t="s">
        <v>194</v>
      </c>
      <c r="Y3" s="1134" t="s">
        <v>1409</v>
      </c>
      <c r="Z3" s="1134" t="s">
        <v>194</v>
      </c>
      <c r="AA3" s="1134" t="s">
        <v>1410</v>
      </c>
      <c r="AB3" s="1139" t="str">
        <f>HYPERLINK("https://my.pitchbook.com?c=21290-77T", "View company online")</f>
        <v>View company online</v>
      </c>
    </row>
    <row r="4" ht="14.25" hidden="1" customHeight="1">
      <c r="A4" s="1141" t="s">
        <v>1411</v>
      </c>
      <c r="B4" s="1141" t="s">
        <v>1412</v>
      </c>
      <c r="C4" s="1141" t="s">
        <v>1413</v>
      </c>
      <c r="D4" s="1142" t="s">
        <v>194</v>
      </c>
      <c r="E4" s="1144" t="s">
        <v>194</v>
      </c>
      <c r="F4" s="1144" t="s">
        <v>194</v>
      </c>
      <c r="G4" s="1144">
        <v>712.9</v>
      </c>
      <c r="H4" s="1145">
        <v>197.88</v>
      </c>
      <c r="I4" s="1144">
        <v>478.34</v>
      </c>
      <c r="J4" s="1144">
        <v>450.33</v>
      </c>
      <c r="K4" s="1188" t="s">
        <v>194</v>
      </c>
      <c r="L4" s="1188" t="s">
        <v>194</v>
      </c>
      <c r="M4" s="1188" t="s">
        <v>194</v>
      </c>
      <c r="N4" s="1188">
        <v>0.01</v>
      </c>
      <c r="O4" s="1188">
        <v>0.01</v>
      </c>
      <c r="P4" s="1188" t="s">
        <v>194</v>
      </c>
      <c r="Q4" s="1188" t="s">
        <v>194</v>
      </c>
      <c r="R4" s="1141" t="s">
        <v>1414</v>
      </c>
      <c r="S4" s="1189">
        <v>1989.0</v>
      </c>
      <c r="T4" s="1142">
        <v>42816.0</v>
      </c>
      <c r="U4" s="1141" t="s">
        <v>1415</v>
      </c>
      <c r="V4" s="1141" t="s">
        <v>937</v>
      </c>
      <c r="W4" s="1144">
        <v>0.28</v>
      </c>
      <c r="X4" s="1145" t="s">
        <v>194</v>
      </c>
      <c r="Y4" s="1141" t="s">
        <v>194</v>
      </c>
      <c r="Z4" s="1141" t="s">
        <v>194</v>
      </c>
      <c r="AA4" s="1141" t="s">
        <v>1416</v>
      </c>
      <c r="AB4" s="1180" t="str">
        <f>HYPERLINK("https://my.pitchbook.com?c=85512-88T", "View company online")</f>
        <v>View company online</v>
      </c>
    </row>
    <row r="5" ht="14.25" hidden="1" customHeight="1">
      <c r="A5" s="1134" t="s">
        <v>1417</v>
      </c>
      <c r="B5" s="1134" t="s">
        <v>1418</v>
      </c>
      <c r="C5" s="1134" t="s">
        <v>409</v>
      </c>
      <c r="D5" s="1135" t="s">
        <v>194</v>
      </c>
      <c r="E5" s="1137" t="s">
        <v>194</v>
      </c>
      <c r="F5" s="1137" t="s">
        <v>194</v>
      </c>
      <c r="G5" s="1137">
        <v>72.66</v>
      </c>
      <c r="H5" s="1138">
        <v>29.23</v>
      </c>
      <c r="I5" s="1137">
        <v>50.09</v>
      </c>
      <c r="J5" s="1137">
        <v>-16.15</v>
      </c>
      <c r="K5" s="1186" t="s">
        <v>194</v>
      </c>
      <c r="L5" s="1186" t="s">
        <v>194</v>
      </c>
      <c r="M5" s="1186" t="s">
        <v>194</v>
      </c>
      <c r="N5" s="1186" t="s">
        <v>194</v>
      </c>
      <c r="O5" s="1186" t="s">
        <v>194</v>
      </c>
      <c r="P5" s="1186" t="s">
        <v>194</v>
      </c>
      <c r="Q5" s="1186" t="s">
        <v>194</v>
      </c>
      <c r="R5" s="1134" t="s">
        <v>1419</v>
      </c>
      <c r="S5" s="1187">
        <v>2006.0</v>
      </c>
      <c r="T5" s="1135">
        <v>42828.0</v>
      </c>
      <c r="U5" s="1134" t="s">
        <v>1420</v>
      </c>
      <c r="V5" s="1134" t="s">
        <v>1421</v>
      </c>
      <c r="W5" s="1137" t="s">
        <v>194</v>
      </c>
      <c r="X5" s="1138" t="s">
        <v>194</v>
      </c>
      <c r="Y5" s="1134" t="s">
        <v>194</v>
      </c>
      <c r="Z5" s="1134" t="s">
        <v>1422</v>
      </c>
      <c r="AA5" s="1134" t="s">
        <v>1423</v>
      </c>
      <c r="AB5" s="1139" t="str">
        <f>HYPERLINK("https://my.pitchbook.com?c=88904-08T", "View company online")</f>
        <v>View company online</v>
      </c>
    </row>
    <row r="6" ht="14.25" hidden="1" customHeight="1">
      <c r="A6" s="1141" t="s">
        <v>1424</v>
      </c>
      <c r="B6" s="1141" t="s">
        <v>1418</v>
      </c>
      <c r="C6" s="1141" t="s">
        <v>409</v>
      </c>
      <c r="D6" s="1142" t="s">
        <v>194</v>
      </c>
      <c r="E6" s="1144" t="s">
        <v>194</v>
      </c>
      <c r="F6" s="1144" t="s">
        <v>194</v>
      </c>
      <c r="G6" s="1144">
        <v>98.51</v>
      </c>
      <c r="H6" s="1145">
        <v>35.58</v>
      </c>
      <c r="I6" s="1144">
        <v>70.8</v>
      </c>
      <c r="J6" s="1144">
        <v>-24.44</v>
      </c>
      <c r="K6" s="1188" t="s">
        <v>194</v>
      </c>
      <c r="L6" s="1188" t="s">
        <v>194</v>
      </c>
      <c r="M6" s="1188" t="s">
        <v>194</v>
      </c>
      <c r="N6" s="1188" t="s">
        <v>194</v>
      </c>
      <c r="O6" s="1188" t="s">
        <v>194</v>
      </c>
      <c r="P6" s="1188" t="s">
        <v>194</v>
      </c>
      <c r="Q6" s="1188" t="s">
        <v>194</v>
      </c>
      <c r="R6" s="1141" t="s">
        <v>1419</v>
      </c>
      <c r="S6" s="1189">
        <v>2006.0</v>
      </c>
      <c r="T6" s="1142">
        <v>43188.0</v>
      </c>
      <c r="U6" s="1141" t="s">
        <v>1425</v>
      </c>
      <c r="V6" s="1141" t="s">
        <v>1421</v>
      </c>
      <c r="W6" s="1144" t="s">
        <v>194</v>
      </c>
      <c r="X6" s="1145" t="s">
        <v>194</v>
      </c>
      <c r="Y6" s="1141" t="s">
        <v>194</v>
      </c>
      <c r="Z6" s="1141" t="s">
        <v>1426</v>
      </c>
      <c r="AA6" s="1141" t="s">
        <v>1423</v>
      </c>
      <c r="AB6" s="1180" t="str">
        <f>HYPERLINK("https://my.pitchbook.com?c=111865-51T", "View company online")</f>
        <v>View company online</v>
      </c>
    </row>
    <row r="7" ht="14.25" hidden="1" customHeight="1">
      <c r="A7" s="1134" t="s">
        <v>1427</v>
      </c>
      <c r="B7" s="1134" t="s">
        <v>1412</v>
      </c>
      <c r="C7" s="1134" t="s">
        <v>1413</v>
      </c>
      <c r="D7" s="1135" t="s">
        <v>194</v>
      </c>
      <c r="E7" s="1137" t="s">
        <v>194</v>
      </c>
      <c r="F7" s="1137" t="s">
        <v>194</v>
      </c>
      <c r="G7" s="1137" t="s">
        <v>194</v>
      </c>
      <c r="H7" s="1138" t="s">
        <v>194</v>
      </c>
      <c r="I7" s="1137" t="s">
        <v>194</v>
      </c>
      <c r="J7" s="1137" t="s">
        <v>194</v>
      </c>
      <c r="K7" s="1186" t="s">
        <v>194</v>
      </c>
      <c r="L7" s="1186" t="s">
        <v>194</v>
      </c>
      <c r="M7" s="1186" t="s">
        <v>194</v>
      </c>
      <c r="N7" s="1186" t="s">
        <v>194</v>
      </c>
      <c r="O7" s="1186" t="s">
        <v>194</v>
      </c>
      <c r="P7" s="1186" t="s">
        <v>194</v>
      </c>
      <c r="Q7" s="1186" t="s">
        <v>194</v>
      </c>
      <c r="R7" s="1134" t="s">
        <v>1414</v>
      </c>
      <c r="S7" s="1187">
        <v>1989.0</v>
      </c>
      <c r="T7" s="1135" t="s">
        <v>194</v>
      </c>
      <c r="U7" s="1134" t="s">
        <v>1428</v>
      </c>
      <c r="V7" s="1134" t="s">
        <v>1429</v>
      </c>
      <c r="W7" s="1137" t="s">
        <v>194</v>
      </c>
      <c r="X7" s="1138" t="s">
        <v>194</v>
      </c>
      <c r="Y7" s="1134" t="s">
        <v>1430</v>
      </c>
      <c r="Z7" s="1134" t="s">
        <v>194</v>
      </c>
      <c r="AA7" s="1134" t="s">
        <v>1416</v>
      </c>
      <c r="AB7" s="1139" t="str">
        <f>HYPERLINK("https://my.pitchbook.com?c=32084-56T", "View company online")</f>
        <v>View company online</v>
      </c>
    </row>
    <row r="8" ht="14.25" hidden="1" customHeight="1">
      <c r="A8" s="1141" t="s">
        <v>1431</v>
      </c>
      <c r="B8" s="1141" t="s">
        <v>1412</v>
      </c>
      <c r="C8" s="1141" t="s">
        <v>1413</v>
      </c>
      <c r="D8" s="1142" t="s">
        <v>194</v>
      </c>
      <c r="E8" s="1144">
        <v>190.0</v>
      </c>
      <c r="F8" s="1144" t="s">
        <v>194</v>
      </c>
      <c r="G8" s="1144">
        <v>69.36</v>
      </c>
      <c r="H8" s="1145" t="s">
        <v>194</v>
      </c>
      <c r="I8" s="1144" t="s">
        <v>194</v>
      </c>
      <c r="J8" s="1144" t="s">
        <v>194</v>
      </c>
      <c r="K8" s="1188" t="s">
        <v>194</v>
      </c>
      <c r="L8" s="1188" t="s">
        <v>194</v>
      </c>
      <c r="M8" s="1188">
        <v>2.74</v>
      </c>
      <c r="N8" s="1188" t="s">
        <v>194</v>
      </c>
      <c r="O8" s="1188" t="s">
        <v>194</v>
      </c>
      <c r="P8" s="1188" t="s">
        <v>194</v>
      </c>
      <c r="Q8" s="1188" t="s">
        <v>194</v>
      </c>
      <c r="R8" s="1141" t="s">
        <v>1414</v>
      </c>
      <c r="S8" s="1189">
        <v>1989.0</v>
      </c>
      <c r="T8" s="1142">
        <v>38353.0</v>
      </c>
      <c r="U8" s="1141" t="s">
        <v>1432</v>
      </c>
      <c r="V8" s="1141" t="s">
        <v>598</v>
      </c>
      <c r="W8" s="1144" t="s">
        <v>194</v>
      </c>
      <c r="X8" s="1145" t="s">
        <v>194</v>
      </c>
      <c r="Y8" s="1141" t="s">
        <v>1433</v>
      </c>
      <c r="Z8" s="1141" t="s">
        <v>194</v>
      </c>
      <c r="AA8" s="1141" t="s">
        <v>1416</v>
      </c>
      <c r="AB8" s="1180" t="str">
        <f>HYPERLINK("https://my.pitchbook.com?c=16528-24T", "View company online")</f>
        <v>View company online</v>
      </c>
    </row>
    <row r="9" ht="14.25" hidden="1" customHeight="1">
      <c r="A9" s="1134" t="s">
        <v>1434</v>
      </c>
      <c r="B9" s="1134" t="s">
        <v>1412</v>
      </c>
      <c r="C9" s="1134" t="s">
        <v>1413</v>
      </c>
      <c r="D9" s="1135" t="s">
        <v>194</v>
      </c>
      <c r="E9" s="1137">
        <v>116.85</v>
      </c>
      <c r="F9" s="1137" t="s">
        <v>194</v>
      </c>
      <c r="G9" s="1137" t="s">
        <v>194</v>
      </c>
      <c r="H9" s="1138" t="s">
        <v>194</v>
      </c>
      <c r="I9" s="1137" t="s">
        <v>194</v>
      </c>
      <c r="J9" s="1137" t="s">
        <v>194</v>
      </c>
      <c r="K9" s="1186" t="s">
        <v>194</v>
      </c>
      <c r="L9" s="1186" t="s">
        <v>194</v>
      </c>
      <c r="M9" s="1186" t="s">
        <v>194</v>
      </c>
      <c r="N9" s="1186" t="s">
        <v>194</v>
      </c>
      <c r="O9" s="1186" t="s">
        <v>194</v>
      </c>
      <c r="P9" s="1186" t="s">
        <v>194</v>
      </c>
      <c r="Q9" s="1186" t="s">
        <v>194</v>
      </c>
      <c r="R9" s="1134" t="s">
        <v>1414</v>
      </c>
      <c r="S9" s="1187">
        <v>1989.0</v>
      </c>
      <c r="T9" s="1135">
        <v>35829.0</v>
      </c>
      <c r="U9" s="1134" t="s">
        <v>1435</v>
      </c>
      <c r="V9" s="1134" t="s">
        <v>598</v>
      </c>
      <c r="W9" s="1137">
        <v>18.2</v>
      </c>
      <c r="X9" s="1138">
        <v>15.58</v>
      </c>
      <c r="Y9" s="1134" t="s">
        <v>194</v>
      </c>
      <c r="Z9" s="1134" t="s">
        <v>194</v>
      </c>
      <c r="AA9" s="1134" t="s">
        <v>1416</v>
      </c>
      <c r="AB9" s="1139" t="str">
        <f>HYPERLINK("https://my.pitchbook.com?c=16528-33T", "View company online")</f>
        <v>View company online</v>
      </c>
    </row>
    <row r="10" ht="14.25" hidden="1" customHeight="1">
      <c r="A10" s="1141" t="s">
        <v>1436</v>
      </c>
      <c r="B10" s="1141" t="s">
        <v>1412</v>
      </c>
      <c r="C10" s="1141" t="s">
        <v>1413</v>
      </c>
      <c r="D10" s="1142" t="s">
        <v>194</v>
      </c>
      <c r="E10" s="1144">
        <v>161.18</v>
      </c>
      <c r="F10" s="1144" t="s">
        <v>194</v>
      </c>
      <c r="G10" s="1144" t="s">
        <v>194</v>
      </c>
      <c r="H10" s="1145" t="s">
        <v>194</v>
      </c>
      <c r="I10" s="1144" t="s">
        <v>194</v>
      </c>
      <c r="J10" s="1144" t="s">
        <v>194</v>
      </c>
      <c r="K10" s="1188" t="s">
        <v>194</v>
      </c>
      <c r="L10" s="1188" t="s">
        <v>194</v>
      </c>
      <c r="M10" s="1188" t="s">
        <v>194</v>
      </c>
      <c r="N10" s="1188" t="s">
        <v>194</v>
      </c>
      <c r="O10" s="1188" t="s">
        <v>194</v>
      </c>
      <c r="P10" s="1188" t="s">
        <v>194</v>
      </c>
      <c r="Q10" s="1188" t="s">
        <v>194</v>
      </c>
      <c r="R10" s="1141" t="s">
        <v>1414</v>
      </c>
      <c r="S10" s="1189">
        <v>1989.0</v>
      </c>
      <c r="T10" s="1142">
        <v>36434.0</v>
      </c>
      <c r="U10" s="1141" t="s">
        <v>1437</v>
      </c>
      <c r="V10" s="1141" t="s">
        <v>598</v>
      </c>
      <c r="W10" s="1144">
        <v>18.0</v>
      </c>
      <c r="X10" s="1145">
        <v>11.17</v>
      </c>
      <c r="Y10" s="1141" t="s">
        <v>194</v>
      </c>
      <c r="Z10" s="1141" t="s">
        <v>194</v>
      </c>
      <c r="AA10" s="1141" t="s">
        <v>1416</v>
      </c>
      <c r="AB10" s="1180" t="str">
        <f>HYPERLINK("https://my.pitchbook.com?c=16528-60T", "View company online")</f>
        <v>View company online</v>
      </c>
    </row>
    <row r="11" ht="14.25" hidden="1" customHeight="1">
      <c r="A11" s="1134" t="s">
        <v>1438</v>
      </c>
      <c r="B11" s="1134" t="s">
        <v>1412</v>
      </c>
      <c r="C11" s="1134" t="s">
        <v>1413</v>
      </c>
      <c r="D11" s="1135" t="s">
        <v>194</v>
      </c>
      <c r="E11" s="1137">
        <v>218.76</v>
      </c>
      <c r="F11" s="1137" t="s">
        <v>194</v>
      </c>
      <c r="G11" s="1137" t="s">
        <v>194</v>
      </c>
      <c r="H11" s="1138" t="s">
        <v>194</v>
      </c>
      <c r="I11" s="1137" t="s">
        <v>194</v>
      </c>
      <c r="J11" s="1137" t="s">
        <v>194</v>
      </c>
      <c r="K11" s="1186" t="s">
        <v>194</v>
      </c>
      <c r="L11" s="1186" t="s">
        <v>194</v>
      </c>
      <c r="M11" s="1186" t="s">
        <v>194</v>
      </c>
      <c r="N11" s="1186" t="s">
        <v>194</v>
      </c>
      <c r="O11" s="1186" t="s">
        <v>194</v>
      </c>
      <c r="P11" s="1186" t="s">
        <v>194</v>
      </c>
      <c r="Q11" s="1186" t="s">
        <v>194</v>
      </c>
      <c r="R11" s="1134" t="s">
        <v>1414</v>
      </c>
      <c r="S11" s="1187">
        <v>1989.0</v>
      </c>
      <c r="T11" s="1135">
        <v>36692.0</v>
      </c>
      <c r="U11" s="1134" t="s">
        <v>1439</v>
      </c>
      <c r="V11" s="1134" t="s">
        <v>598</v>
      </c>
      <c r="W11" s="1137">
        <v>10.0</v>
      </c>
      <c r="X11" s="1138">
        <v>4.57</v>
      </c>
      <c r="Y11" s="1134" t="s">
        <v>1440</v>
      </c>
      <c r="Z11" s="1134" t="s">
        <v>194</v>
      </c>
      <c r="AA11" s="1134" t="s">
        <v>1416</v>
      </c>
      <c r="AB11" s="1139" t="str">
        <f>HYPERLINK("https://my.pitchbook.com?c=16528-69T", "View company online")</f>
        <v>View company online</v>
      </c>
    </row>
    <row r="12" ht="14.25" hidden="1" customHeight="1">
      <c r="A12" s="1141" t="s">
        <v>1441</v>
      </c>
      <c r="B12" s="1141" t="s">
        <v>1412</v>
      </c>
      <c r="C12" s="1141" t="s">
        <v>1413</v>
      </c>
      <c r="D12" s="1142" t="s">
        <v>194</v>
      </c>
      <c r="E12" s="1144">
        <v>53.44</v>
      </c>
      <c r="F12" s="1144" t="s">
        <v>194</v>
      </c>
      <c r="G12" s="1144" t="s">
        <v>194</v>
      </c>
      <c r="H12" s="1145" t="s">
        <v>194</v>
      </c>
      <c r="I12" s="1144" t="s">
        <v>194</v>
      </c>
      <c r="J12" s="1144" t="s">
        <v>194</v>
      </c>
      <c r="K12" s="1188" t="s">
        <v>194</v>
      </c>
      <c r="L12" s="1188" t="s">
        <v>194</v>
      </c>
      <c r="M12" s="1188" t="s">
        <v>194</v>
      </c>
      <c r="N12" s="1188" t="s">
        <v>194</v>
      </c>
      <c r="O12" s="1188" t="s">
        <v>194</v>
      </c>
      <c r="P12" s="1188" t="s">
        <v>194</v>
      </c>
      <c r="Q12" s="1188" t="s">
        <v>194</v>
      </c>
      <c r="R12" s="1141" t="s">
        <v>1414</v>
      </c>
      <c r="S12" s="1189">
        <v>1989.0</v>
      </c>
      <c r="T12" s="1142" t="s">
        <v>194</v>
      </c>
      <c r="U12" s="1141" t="s">
        <v>1442</v>
      </c>
      <c r="V12" s="1141" t="s">
        <v>598</v>
      </c>
      <c r="W12" s="1144">
        <v>9.52</v>
      </c>
      <c r="X12" s="1145">
        <v>17.81</v>
      </c>
      <c r="Y12" s="1141" t="s">
        <v>1443</v>
      </c>
      <c r="Z12" s="1141" t="s">
        <v>194</v>
      </c>
      <c r="AA12" s="1141" t="s">
        <v>1416</v>
      </c>
      <c r="AB12" s="1180" t="str">
        <f>HYPERLINK("https://my.pitchbook.com?c=16529-05T", "View company online")</f>
        <v>View company online</v>
      </c>
    </row>
    <row r="13" ht="14.25" hidden="1" customHeight="1">
      <c r="A13" s="1136"/>
      <c r="B13" s="1136"/>
      <c r="C13" s="1136"/>
      <c r="D13" s="1190"/>
      <c r="E13" s="1191"/>
      <c r="F13" s="1191"/>
      <c r="G13" s="1191"/>
      <c r="H13" s="1192"/>
      <c r="I13" s="1191"/>
      <c r="J13" s="1191"/>
      <c r="K13" s="1193"/>
      <c r="L13" s="1193"/>
      <c r="M13" s="1193"/>
      <c r="N13" s="1193"/>
      <c r="O13" s="1193"/>
      <c r="P13" s="1193"/>
      <c r="Q13" s="1193"/>
      <c r="R13" s="1136"/>
      <c r="S13" s="1194"/>
      <c r="T13" s="1190"/>
      <c r="U13" s="1136"/>
      <c r="V13" s="1136"/>
      <c r="W13" s="1191"/>
      <c r="X13" s="1192"/>
      <c r="Y13" s="1136"/>
      <c r="Z13" s="1136"/>
      <c r="AA13" s="1136"/>
      <c r="AB13" s="1195"/>
    </row>
    <row r="14" ht="14.25" hidden="1" customHeight="1">
      <c r="A14" s="1141" t="s">
        <v>1444</v>
      </c>
      <c r="B14" s="1141" t="s">
        <v>1406</v>
      </c>
      <c r="C14" s="1141" t="s">
        <v>412</v>
      </c>
      <c r="D14" s="1142" t="s">
        <v>194</v>
      </c>
      <c r="E14" s="1144" t="s">
        <v>194</v>
      </c>
      <c r="F14" s="1144" t="s">
        <v>194</v>
      </c>
      <c r="G14" s="1144" t="s">
        <v>194</v>
      </c>
      <c r="H14" s="1145" t="s">
        <v>194</v>
      </c>
      <c r="I14" s="1144" t="s">
        <v>194</v>
      </c>
      <c r="J14" s="1144" t="s">
        <v>194</v>
      </c>
      <c r="K14" s="1188" t="s">
        <v>194</v>
      </c>
      <c r="L14" s="1188" t="s">
        <v>194</v>
      </c>
      <c r="M14" s="1188" t="s">
        <v>194</v>
      </c>
      <c r="N14" s="1188" t="s">
        <v>194</v>
      </c>
      <c r="O14" s="1188" t="s">
        <v>194</v>
      </c>
      <c r="P14" s="1188" t="s">
        <v>194</v>
      </c>
      <c r="Q14" s="1188" t="s">
        <v>194</v>
      </c>
      <c r="R14" s="1141" t="s">
        <v>1407</v>
      </c>
      <c r="S14" s="1189">
        <v>1994.0</v>
      </c>
      <c r="T14" s="1142">
        <v>37327.0</v>
      </c>
      <c r="U14" s="1141" t="s">
        <v>1445</v>
      </c>
      <c r="V14" s="1141" t="s">
        <v>598</v>
      </c>
      <c r="W14" s="1144">
        <v>18.5</v>
      </c>
      <c r="X14" s="1145" t="s">
        <v>194</v>
      </c>
      <c r="Y14" s="1141" t="s">
        <v>1446</v>
      </c>
      <c r="Z14" s="1141" t="s">
        <v>194</v>
      </c>
      <c r="AA14" s="1141" t="s">
        <v>1410</v>
      </c>
      <c r="AB14" s="1180" t="str">
        <f>HYPERLINK("https://my.pitchbook.com?c=21278-26T", "View company online")</f>
        <v>View company online</v>
      </c>
    </row>
    <row r="15" ht="14.25" hidden="1" customHeight="1">
      <c r="A15" s="1134" t="s">
        <v>1447</v>
      </c>
      <c r="B15" s="1134" t="s">
        <v>1406</v>
      </c>
      <c r="C15" s="1134" t="s">
        <v>412</v>
      </c>
      <c r="D15" s="1135" t="s">
        <v>194</v>
      </c>
      <c r="E15" s="1137" t="s">
        <v>194</v>
      </c>
      <c r="F15" s="1137" t="s">
        <v>194</v>
      </c>
      <c r="G15" s="1137" t="s">
        <v>194</v>
      </c>
      <c r="H15" s="1138" t="s">
        <v>194</v>
      </c>
      <c r="I15" s="1137" t="s">
        <v>194</v>
      </c>
      <c r="J15" s="1137" t="s">
        <v>194</v>
      </c>
      <c r="K15" s="1186" t="s">
        <v>194</v>
      </c>
      <c r="L15" s="1186" t="s">
        <v>194</v>
      </c>
      <c r="M15" s="1186" t="s">
        <v>194</v>
      </c>
      <c r="N15" s="1186" t="s">
        <v>194</v>
      </c>
      <c r="O15" s="1186" t="s">
        <v>194</v>
      </c>
      <c r="P15" s="1186" t="s">
        <v>194</v>
      </c>
      <c r="Q15" s="1186" t="s">
        <v>194</v>
      </c>
      <c r="R15" s="1134" t="s">
        <v>1407</v>
      </c>
      <c r="S15" s="1187">
        <v>1994.0</v>
      </c>
      <c r="T15" s="1135">
        <v>37631.0</v>
      </c>
      <c r="U15" s="1134" t="s">
        <v>1448</v>
      </c>
      <c r="V15" s="1134" t="s">
        <v>598</v>
      </c>
      <c r="W15" s="1137">
        <v>13.0</v>
      </c>
      <c r="X15" s="1138" t="s">
        <v>194</v>
      </c>
      <c r="Y15" s="1134" t="s">
        <v>1449</v>
      </c>
      <c r="Z15" s="1134" t="s">
        <v>194</v>
      </c>
      <c r="AA15" s="1134" t="s">
        <v>1410</v>
      </c>
      <c r="AB15" s="1139" t="str">
        <f>HYPERLINK("https://my.pitchbook.com?c=21278-35T", "View company online")</f>
        <v>View company online</v>
      </c>
    </row>
    <row r="16" ht="14.25" hidden="1" customHeight="1">
      <c r="A16" s="1141" t="s">
        <v>1450</v>
      </c>
      <c r="B16" s="1141" t="s">
        <v>1406</v>
      </c>
      <c r="C16" s="1141" t="s">
        <v>412</v>
      </c>
      <c r="D16" s="1142" t="s">
        <v>194</v>
      </c>
      <c r="E16" s="1144" t="s">
        <v>194</v>
      </c>
      <c r="F16" s="1144" t="s">
        <v>194</v>
      </c>
      <c r="G16" s="1144">
        <v>33.92</v>
      </c>
      <c r="H16" s="1145">
        <v>9.65</v>
      </c>
      <c r="I16" s="1144">
        <v>21.22</v>
      </c>
      <c r="J16" s="1144" t="s">
        <v>194</v>
      </c>
      <c r="K16" s="1188" t="s">
        <v>194</v>
      </c>
      <c r="L16" s="1188" t="s">
        <v>194</v>
      </c>
      <c r="M16" s="1188" t="s">
        <v>194</v>
      </c>
      <c r="N16" s="1188">
        <v>3.24</v>
      </c>
      <c r="O16" s="1188">
        <v>95.52</v>
      </c>
      <c r="P16" s="1188" t="s">
        <v>194</v>
      </c>
      <c r="Q16" s="1188" t="s">
        <v>194</v>
      </c>
      <c r="R16" s="1141" t="s">
        <v>1407</v>
      </c>
      <c r="S16" s="1189">
        <v>1994.0</v>
      </c>
      <c r="T16" s="1142">
        <v>39167.0</v>
      </c>
      <c r="U16" s="1141" t="s">
        <v>1451</v>
      </c>
      <c r="V16" s="1141" t="s">
        <v>598</v>
      </c>
      <c r="W16" s="1144">
        <v>110.0</v>
      </c>
      <c r="X16" s="1145" t="s">
        <v>194</v>
      </c>
      <c r="Y16" s="1141" t="s">
        <v>1452</v>
      </c>
      <c r="Z16" s="1141" t="s">
        <v>194</v>
      </c>
      <c r="AA16" s="1141" t="s">
        <v>1410</v>
      </c>
      <c r="AB16" s="1180" t="str">
        <f>HYPERLINK("https://my.pitchbook.com?c=21278-44T", "View company online")</f>
        <v>View company online</v>
      </c>
    </row>
    <row r="17" ht="14.25" hidden="1" customHeight="1">
      <c r="A17" s="1134" t="s">
        <v>1453</v>
      </c>
      <c r="B17" s="1134" t="s">
        <v>1406</v>
      </c>
      <c r="C17" s="1134" t="s">
        <v>412</v>
      </c>
      <c r="D17" s="1135" t="s">
        <v>194</v>
      </c>
      <c r="E17" s="1137" t="s">
        <v>194</v>
      </c>
      <c r="F17" s="1137" t="s">
        <v>194</v>
      </c>
      <c r="G17" s="1137" t="s">
        <v>194</v>
      </c>
      <c r="H17" s="1138" t="s">
        <v>194</v>
      </c>
      <c r="I17" s="1137" t="s">
        <v>194</v>
      </c>
      <c r="J17" s="1137" t="s">
        <v>194</v>
      </c>
      <c r="K17" s="1186" t="s">
        <v>194</v>
      </c>
      <c r="L17" s="1186" t="s">
        <v>194</v>
      </c>
      <c r="M17" s="1186" t="s">
        <v>194</v>
      </c>
      <c r="N17" s="1186" t="s">
        <v>194</v>
      </c>
      <c r="O17" s="1186" t="s">
        <v>194</v>
      </c>
      <c r="P17" s="1186" t="s">
        <v>194</v>
      </c>
      <c r="Q17" s="1186" t="s">
        <v>194</v>
      </c>
      <c r="R17" s="1134" t="s">
        <v>1407</v>
      </c>
      <c r="S17" s="1187">
        <v>1994.0</v>
      </c>
      <c r="T17" s="1135">
        <v>37706.0</v>
      </c>
      <c r="U17" s="1134" t="s">
        <v>1454</v>
      </c>
      <c r="V17" s="1134" t="s">
        <v>598</v>
      </c>
      <c r="W17" s="1137">
        <v>5.0</v>
      </c>
      <c r="X17" s="1138" t="s">
        <v>194</v>
      </c>
      <c r="Y17" s="1134" t="s">
        <v>1449</v>
      </c>
      <c r="Z17" s="1134" t="s">
        <v>194</v>
      </c>
      <c r="AA17" s="1134" t="s">
        <v>1410</v>
      </c>
      <c r="AB17" s="1139" t="str">
        <f>HYPERLINK("https://my.pitchbook.com?c=21282-04T", "View company online")</f>
        <v>View company online</v>
      </c>
    </row>
    <row r="18" ht="14.25" hidden="1" customHeight="1">
      <c r="A18" s="1141" t="s">
        <v>1455</v>
      </c>
      <c r="B18" s="1141" t="s">
        <v>1406</v>
      </c>
      <c r="C18" s="1141" t="s">
        <v>412</v>
      </c>
      <c r="D18" s="1142" t="s">
        <v>194</v>
      </c>
      <c r="E18" s="1144" t="s">
        <v>194</v>
      </c>
      <c r="F18" s="1144" t="s">
        <v>194</v>
      </c>
      <c r="G18" s="1144">
        <v>7.92</v>
      </c>
      <c r="H18" s="1145" t="s">
        <v>194</v>
      </c>
      <c r="I18" s="1144">
        <v>2.26</v>
      </c>
      <c r="J18" s="1144" t="s">
        <v>194</v>
      </c>
      <c r="K18" s="1188" t="s">
        <v>194</v>
      </c>
      <c r="L18" s="1188" t="s">
        <v>194</v>
      </c>
      <c r="M18" s="1188" t="s">
        <v>194</v>
      </c>
      <c r="N18" s="1188">
        <v>1.26</v>
      </c>
      <c r="O18" s="1188" t="s">
        <v>194</v>
      </c>
      <c r="P18" s="1188" t="s">
        <v>194</v>
      </c>
      <c r="Q18" s="1188" t="s">
        <v>194</v>
      </c>
      <c r="R18" s="1141" t="s">
        <v>1407</v>
      </c>
      <c r="S18" s="1189">
        <v>1994.0</v>
      </c>
      <c r="T18" s="1142">
        <v>38077.0</v>
      </c>
      <c r="U18" s="1141" t="s">
        <v>1456</v>
      </c>
      <c r="V18" s="1141" t="s">
        <v>598</v>
      </c>
      <c r="W18" s="1144">
        <v>10.0</v>
      </c>
      <c r="X18" s="1145" t="s">
        <v>194</v>
      </c>
      <c r="Y18" s="1141" t="s">
        <v>1457</v>
      </c>
      <c r="Z18" s="1141" t="s">
        <v>194</v>
      </c>
      <c r="AA18" s="1141" t="s">
        <v>1410</v>
      </c>
      <c r="AB18" s="1180" t="str">
        <f>HYPERLINK("https://my.pitchbook.com?c=21282-13T", "View company online")</f>
        <v>View company online</v>
      </c>
    </row>
    <row r="19" ht="14.25" hidden="1" customHeight="1">
      <c r="A19" s="1136"/>
      <c r="B19" s="1136"/>
      <c r="C19" s="1136"/>
      <c r="D19" s="1190"/>
      <c r="E19" s="1191"/>
      <c r="F19" s="1191"/>
      <c r="G19" s="1191"/>
      <c r="H19" s="1192"/>
      <c r="I19" s="1191"/>
      <c r="J19" s="1191"/>
      <c r="K19" s="1193"/>
      <c r="L19" s="1193"/>
      <c r="M19" s="1193"/>
      <c r="N19" s="1193"/>
      <c r="O19" s="1193"/>
      <c r="P19" s="1193"/>
      <c r="Q19" s="1193"/>
      <c r="R19" s="1136"/>
      <c r="S19" s="1194"/>
      <c r="T19" s="1190"/>
      <c r="U19" s="1136"/>
      <c r="V19" s="1136"/>
      <c r="W19" s="1191"/>
      <c r="X19" s="1192"/>
      <c r="Y19" s="1136"/>
      <c r="Z19" s="1136"/>
      <c r="AA19" s="1136"/>
      <c r="AB19" s="1195"/>
    </row>
    <row r="20" ht="14.25" hidden="1" customHeight="1">
      <c r="A20" s="1141" t="s">
        <v>1458</v>
      </c>
      <c r="B20" s="1141" t="s">
        <v>1459</v>
      </c>
      <c r="C20" s="1141" t="s">
        <v>1460</v>
      </c>
      <c r="D20" s="1142" t="s">
        <v>194</v>
      </c>
      <c r="E20" s="1144" t="s">
        <v>194</v>
      </c>
      <c r="F20" s="1144" t="s">
        <v>194</v>
      </c>
      <c r="G20" s="1144" t="s">
        <v>194</v>
      </c>
      <c r="H20" s="1145" t="s">
        <v>194</v>
      </c>
      <c r="I20" s="1144" t="s">
        <v>194</v>
      </c>
      <c r="J20" s="1144" t="s">
        <v>194</v>
      </c>
      <c r="K20" s="1188" t="s">
        <v>194</v>
      </c>
      <c r="L20" s="1188" t="s">
        <v>194</v>
      </c>
      <c r="M20" s="1188" t="s">
        <v>194</v>
      </c>
      <c r="N20" s="1188" t="s">
        <v>194</v>
      </c>
      <c r="O20" s="1188" t="s">
        <v>194</v>
      </c>
      <c r="P20" s="1188" t="s">
        <v>194</v>
      </c>
      <c r="Q20" s="1188" t="s">
        <v>194</v>
      </c>
      <c r="R20" s="1141" t="s">
        <v>1461</v>
      </c>
      <c r="S20" s="1189">
        <v>1989.0</v>
      </c>
      <c r="T20" s="1142">
        <v>33970.0</v>
      </c>
      <c r="U20" s="1141" t="s">
        <v>1462</v>
      </c>
      <c r="V20" s="1141" t="s">
        <v>598</v>
      </c>
      <c r="W20" s="1144">
        <v>6.91</v>
      </c>
      <c r="X20" s="1145" t="s">
        <v>194</v>
      </c>
      <c r="Y20" s="1141" t="s">
        <v>1463</v>
      </c>
      <c r="Z20" s="1141" t="s">
        <v>194</v>
      </c>
      <c r="AA20" s="1141" t="s">
        <v>1464</v>
      </c>
      <c r="AB20" s="1180" t="str">
        <f>HYPERLINK("https://my.pitchbook.com?c=23936-23T", "View company online")</f>
        <v>View company online</v>
      </c>
    </row>
    <row r="21" ht="14.25" hidden="1" customHeight="1">
      <c r="A21" s="1134" t="s">
        <v>1465</v>
      </c>
      <c r="B21" s="1134" t="s">
        <v>1459</v>
      </c>
      <c r="C21" s="1134" t="s">
        <v>1460</v>
      </c>
      <c r="D21" s="1135">
        <v>34851.0</v>
      </c>
      <c r="E21" s="1137" t="s">
        <v>194</v>
      </c>
      <c r="F21" s="1137" t="s">
        <v>194</v>
      </c>
      <c r="G21" s="1137" t="s">
        <v>194</v>
      </c>
      <c r="H21" s="1138" t="s">
        <v>194</v>
      </c>
      <c r="I21" s="1137" t="s">
        <v>194</v>
      </c>
      <c r="J21" s="1137" t="s">
        <v>194</v>
      </c>
      <c r="K21" s="1186" t="s">
        <v>194</v>
      </c>
      <c r="L21" s="1186" t="s">
        <v>194</v>
      </c>
      <c r="M21" s="1186" t="s">
        <v>194</v>
      </c>
      <c r="N21" s="1186" t="s">
        <v>194</v>
      </c>
      <c r="O21" s="1186" t="s">
        <v>194</v>
      </c>
      <c r="P21" s="1186" t="s">
        <v>194</v>
      </c>
      <c r="Q21" s="1186" t="s">
        <v>194</v>
      </c>
      <c r="R21" s="1134" t="s">
        <v>1461</v>
      </c>
      <c r="S21" s="1187">
        <v>1989.0</v>
      </c>
      <c r="T21" s="1135">
        <v>35004.0</v>
      </c>
      <c r="U21" s="1134" t="s">
        <v>1466</v>
      </c>
      <c r="V21" s="1134" t="s">
        <v>598</v>
      </c>
      <c r="W21" s="1137">
        <v>1.82</v>
      </c>
      <c r="X21" s="1138" t="s">
        <v>194</v>
      </c>
      <c r="Y21" s="1134" t="s">
        <v>1467</v>
      </c>
      <c r="Z21" s="1134" t="s">
        <v>194</v>
      </c>
      <c r="AA21" s="1134" t="s">
        <v>1464</v>
      </c>
      <c r="AB21" s="1139" t="str">
        <f>HYPERLINK("https://my.pitchbook.com?c=23936-77T", "View company online")</f>
        <v>View company online</v>
      </c>
    </row>
    <row r="22" ht="14.25" hidden="1" customHeight="1">
      <c r="A22" s="1141" t="s">
        <v>1468</v>
      </c>
      <c r="B22" s="1141" t="s">
        <v>1459</v>
      </c>
      <c r="C22" s="1141" t="s">
        <v>1460</v>
      </c>
      <c r="D22" s="1142">
        <v>35521.0</v>
      </c>
      <c r="E22" s="1144" t="s">
        <v>194</v>
      </c>
      <c r="F22" s="1144" t="s">
        <v>194</v>
      </c>
      <c r="G22" s="1144" t="s">
        <v>194</v>
      </c>
      <c r="H22" s="1145" t="s">
        <v>194</v>
      </c>
      <c r="I22" s="1144" t="s">
        <v>194</v>
      </c>
      <c r="J22" s="1144" t="s">
        <v>194</v>
      </c>
      <c r="K22" s="1188" t="s">
        <v>194</v>
      </c>
      <c r="L22" s="1188" t="s">
        <v>194</v>
      </c>
      <c r="M22" s="1188" t="s">
        <v>194</v>
      </c>
      <c r="N22" s="1188" t="s">
        <v>194</v>
      </c>
      <c r="O22" s="1188" t="s">
        <v>194</v>
      </c>
      <c r="P22" s="1188" t="s">
        <v>194</v>
      </c>
      <c r="Q22" s="1188" t="s">
        <v>194</v>
      </c>
      <c r="R22" s="1141" t="s">
        <v>1461</v>
      </c>
      <c r="S22" s="1189">
        <v>1989.0</v>
      </c>
      <c r="T22" s="1142">
        <v>35551.0</v>
      </c>
      <c r="U22" s="1141" t="s">
        <v>1469</v>
      </c>
      <c r="V22" s="1141" t="s">
        <v>598</v>
      </c>
      <c r="W22" s="1144">
        <v>3.84</v>
      </c>
      <c r="X22" s="1145" t="s">
        <v>194</v>
      </c>
      <c r="Y22" s="1141" t="s">
        <v>1470</v>
      </c>
      <c r="Z22" s="1141" t="s">
        <v>194</v>
      </c>
      <c r="AA22" s="1141" t="s">
        <v>1464</v>
      </c>
      <c r="AB22" s="1180" t="str">
        <f>HYPERLINK("https://my.pitchbook.com?c=23937-40T", "View company online")</f>
        <v>View company online</v>
      </c>
    </row>
    <row r="23" ht="14.25" hidden="1" customHeight="1">
      <c r="A23" s="1134" t="s">
        <v>1471</v>
      </c>
      <c r="B23" s="1134" t="s">
        <v>1418</v>
      </c>
      <c r="C23" s="1134" t="s">
        <v>409</v>
      </c>
      <c r="D23" s="1135" t="s">
        <v>194</v>
      </c>
      <c r="E23" s="1137">
        <v>71.7</v>
      </c>
      <c r="F23" s="1137" t="s">
        <v>194</v>
      </c>
      <c r="G23" s="1137" t="s">
        <v>194</v>
      </c>
      <c r="H23" s="1138" t="s">
        <v>194</v>
      </c>
      <c r="I23" s="1137" t="s">
        <v>194</v>
      </c>
      <c r="J23" s="1137" t="s">
        <v>194</v>
      </c>
      <c r="K23" s="1186" t="s">
        <v>194</v>
      </c>
      <c r="L23" s="1186" t="s">
        <v>194</v>
      </c>
      <c r="M23" s="1186" t="s">
        <v>194</v>
      </c>
      <c r="N23" s="1186" t="s">
        <v>194</v>
      </c>
      <c r="O23" s="1186" t="s">
        <v>194</v>
      </c>
      <c r="P23" s="1186" t="s">
        <v>194</v>
      </c>
      <c r="Q23" s="1186" t="s">
        <v>194</v>
      </c>
      <c r="R23" s="1134" t="s">
        <v>1419</v>
      </c>
      <c r="S23" s="1187">
        <v>2006.0</v>
      </c>
      <c r="T23" s="1135">
        <v>41214.0</v>
      </c>
      <c r="U23" s="1134" t="s">
        <v>1472</v>
      </c>
      <c r="V23" s="1134" t="s">
        <v>598</v>
      </c>
      <c r="W23" s="1137">
        <v>3.5</v>
      </c>
      <c r="X23" s="1138">
        <v>4.78</v>
      </c>
      <c r="Y23" s="1134" t="s">
        <v>1473</v>
      </c>
      <c r="Z23" s="1134" t="s">
        <v>194</v>
      </c>
      <c r="AA23" s="1134" t="s">
        <v>1423</v>
      </c>
      <c r="AB23" s="1139" t="str">
        <f>HYPERLINK("https://my.pitchbook.com?c=30105-55T", "View company online")</f>
        <v>View company online</v>
      </c>
    </row>
    <row r="24" ht="14.25" hidden="1" customHeight="1">
      <c r="A24" s="1141" t="s">
        <v>1474</v>
      </c>
      <c r="B24" s="1141" t="s">
        <v>1418</v>
      </c>
      <c r="C24" s="1141" t="s">
        <v>409</v>
      </c>
      <c r="D24" s="1142" t="s">
        <v>194</v>
      </c>
      <c r="E24" s="1144">
        <v>141.09</v>
      </c>
      <c r="F24" s="1144" t="s">
        <v>194</v>
      </c>
      <c r="G24" s="1144" t="s">
        <v>194</v>
      </c>
      <c r="H24" s="1145" t="s">
        <v>194</v>
      </c>
      <c r="I24" s="1144" t="s">
        <v>194</v>
      </c>
      <c r="J24" s="1144" t="s">
        <v>194</v>
      </c>
      <c r="K24" s="1188" t="s">
        <v>194</v>
      </c>
      <c r="L24" s="1188" t="s">
        <v>194</v>
      </c>
      <c r="M24" s="1188" t="s">
        <v>194</v>
      </c>
      <c r="N24" s="1188" t="s">
        <v>194</v>
      </c>
      <c r="O24" s="1188" t="s">
        <v>194</v>
      </c>
      <c r="P24" s="1188" t="s">
        <v>194</v>
      </c>
      <c r="Q24" s="1188" t="s">
        <v>194</v>
      </c>
      <c r="R24" s="1141" t="s">
        <v>1419</v>
      </c>
      <c r="S24" s="1189">
        <v>2006.0</v>
      </c>
      <c r="T24" s="1142">
        <v>41781.0</v>
      </c>
      <c r="U24" s="1141" t="s">
        <v>1475</v>
      </c>
      <c r="V24" s="1141" t="s">
        <v>598</v>
      </c>
      <c r="W24" s="1144">
        <v>17.34</v>
      </c>
      <c r="X24" s="1145">
        <v>12.29</v>
      </c>
      <c r="Y24" s="1141" t="s">
        <v>1476</v>
      </c>
      <c r="Z24" s="1141" t="s">
        <v>194</v>
      </c>
      <c r="AA24" s="1141" t="s">
        <v>1423</v>
      </c>
      <c r="AB24" s="1180" t="str">
        <f>HYPERLINK("https://my.pitchbook.com?c=34110-82T", "View company online")</f>
        <v>View company online</v>
      </c>
    </row>
    <row r="25" ht="14.25" hidden="1" customHeight="1">
      <c r="A25" s="1134" t="s">
        <v>1477</v>
      </c>
      <c r="B25" s="1134" t="s">
        <v>1412</v>
      </c>
      <c r="C25" s="1134" t="s">
        <v>1413</v>
      </c>
      <c r="D25" s="1135" t="s">
        <v>194</v>
      </c>
      <c r="E25" s="1137">
        <v>84.0</v>
      </c>
      <c r="F25" s="1137" t="s">
        <v>194</v>
      </c>
      <c r="G25" s="1137" t="s">
        <v>194</v>
      </c>
      <c r="H25" s="1138" t="s">
        <v>194</v>
      </c>
      <c r="I25" s="1137" t="s">
        <v>194</v>
      </c>
      <c r="J25" s="1137" t="s">
        <v>194</v>
      </c>
      <c r="K25" s="1186" t="s">
        <v>194</v>
      </c>
      <c r="L25" s="1186" t="s">
        <v>194</v>
      </c>
      <c r="M25" s="1186" t="s">
        <v>194</v>
      </c>
      <c r="N25" s="1186" t="s">
        <v>194</v>
      </c>
      <c r="O25" s="1186" t="s">
        <v>194</v>
      </c>
      <c r="P25" s="1186" t="s">
        <v>194</v>
      </c>
      <c r="Q25" s="1186" t="s">
        <v>194</v>
      </c>
      <c r="R25" s="1134" t="s">
        <v>1414</v>
      </c>
      <c r="S25" s="1187">
        <v>1989.0</v>
      </c>
      <c r="T25" s="1135">
        <v>35278.0</v>
      </c>
      <c r="U25" s="1134" t="s">
        <v>1478</v>
      </c>
      <c r="V25" s="1134" t="s">
        <v>598</v>
      </c>
      <c r="W25" s="1137">
        <v>10.5</v>
      </c>
      <c r="X25" s="1138">
        <v>12.5</v>
      </c>
      <c r="Y25" s="1134" t="s">
        <v>194</v>
      </c>
      <c r="Z25" s="1134" t="s">
        <v>194</v>
      </c>
      <c r="AA25" s="1134" t="s">
        <v>1416</v>
      </c>
      <c r="AB25" s="1139" t="str">
        <f>HYPERLINK("https://my.pitchbook.com?c=46706-68T", "View company online")</f>
        <v>View company online</v>
      </c>
    </row>
    <row r="26" ht="14.25" hidden="1" customHeight="1">
      <c r="A26" s="1141" t="s">
        <v>1479</v>
      </c>
      <c r="B26" s="1141" t="s">
        <v>1418</v>
      </c>
      <c r="C26" s="1141" t="s">
        <v>409</v>
      </c>
      <c r="D26" s="1142" t="s">
        <v>194</v>
      </c>
      <c r="E26" s="1144">
        <v>151.09</v>
      </c>
      <c r="F26" s="1144" t="s">
        <v>194</v>
      </c>
      <c r="G26" s="1144">
        <v>21.75</v>
      </c>
      <c r="H26" s="1145" t="s">
        <v>194</v>
      </c>
      <c r="I26" s="1144">
        <v>11.16</v>
      </c>
      <c r="J26" s="1144">
        <v>-14.82</v>
      </c>
      <c r="K26" s="1188">
        <v>-10.2</v>
      </c>
      <c r="L26" s="1188">
        <v>-10.03</v>
      </c>
      <c r="M26" s="1188">
        <v>6.95</v>
      </c>
      <c r="N26" s="1188">
        <v>0.46</v>
      </c>
      <c r="O26" s="1188">
        <v>6.58</v>
      </c>
      <c r="P26" s="1188" t="s">
        <v>194</v>
      </c>
      <c r="Q26" s="1188" t="s">
        <v>194</v>
      </c>
      <c r="R26" s="1141" t="s">
        <v>1419</v>
      </c>
      <c r="S26" s="1189">
        <v>2006.0</v>
      </c>
      <c r="T26" s="1142">
        <v>42075.0</v>
      </c>
      <c r="U26" s="1141" t="s">
        <v>1480</v>
      </c>
      <c r="V26" s="1141" t="s">
        <v>598</v>
      </c>
      <c r="W26" s="1144">
        <v>10.0</v>
      </c>
      <c r="X26" s="1145">
        <v>6.62</v>
      </c>
      <c r="Y26" s="1141" t="s">
        <v>1481</v>
      </c>
      <c r="Z26" s="1141" t="s">
        <v>194</v>
      </c>
      <c r="AA26" s="1141" t="s">
        <v>1423</v>
      </c>
      <c r="AB26" s="1180" t="str">
        <f>HYPERLINK("https://my.pitchbook.com?c=51665-86T", "View company online")</f>
        <v>View company online</v>
      </c>
    </row>
    <row r="27" ht="14.25" hidden="1" customHeight="1">
      <c r="A27" s="1134" t="s">
        <v>1482</v>
      </c>
      <c r="B27" s="1134" t="s">
        <v>1412</v>
      </c>
      <c r="C27" s="1134" t="s">
        <v>1413</v>
      </c>
      <c r="D27" s="1135">
        <v>39189.0</v>
      </c>
      <c r="E27" s="1137">
        <v>897.89</v>
      </c>
      <c r="F27" s="1137" t="s">
        <v>194</v>
      </c>
      <c r="G27" s="1137">
        <v>239.32</v>
      </c>
      <c r="H27" s="1138" t="s">
        <v>194</v>
      </c>
      <c r="I27" s="1137" t="s">
        <v>194</v>
      </c>
      <c r="J27" s="1137">
        <v>347.49</v>
      </c>
      <c r="K27" s="1186">
        <v>2.58</v>
      </c>
      <c r="L27" s="1186">
        <v>2.58</v>
      </c>
      <c r="M27" s="1186">
        <v>3.75</v>
      </c>
      <c r="N27" s="1186">
        <v>0.85</v>
      </c>
      <c r="O27" s="1186" t="s">
        <v>194</v>
      </c>
      <c r="P27" s="1186" t="s">
        <v>194</v>
      </c>
      <c r="Q27" s="1186" t="s">
        <v>194</v>
      </c>
      <c r="R27" s="1134" t="s">
        <v>1414</v>
      </c>
      <c r="S27" s="1187">
        <v>1989.0</v>
      </c>
      <c r="T27" s="1135">
        <v>39307.0</v>
      </c>
      <c r="U27" s="1134" t="s">
        <v>1483</v>
      </c>
      <c r="V27" s="1134" t="s">
        <v>1484</v>
      </c>
      <c r="W27" s="1137">
        <v>202.58</v>
      </c>
      <c r="X27" s="1138" t="s">
        <v>194</v>
      </c>
      <c r="Y27" s="1134" t="s">
        <v>194</v>
      </c>
      <c r="Z27" s="1134" t="s">
        <v>1485</v>
      </c>
      <c r="AA27" s="1134" t="s">
        <v>1416</v>
      </c>
      <c r="AB27" s="1139" t="str">
        <f>HYPERLINK("https://my.pitchbook.com?c=16527-97T", "View company online")</f>
        <v>View company online</v>
      </c>
    </row>
    <row r="28" ht="14.25" hidden="1" customHeight="1">
      <c r="A28" s="1141" t="s">
        <v>1486</v>
      </c>
      <c r="B28" s="1141" t="s">
        <v>1406</v>
      </c>
      <c r="C28" s="1141" t="s">
        <v>412</v>
      </c>
      <c r="D28" s="1142">
        <v>39311.0</v>
      </c>
      <c r="E28" s="1144">
        <v>414.79</v>
      </c>
      <c r="F28" s="1144" t="s">
        <v>194</v>
      </c>
      <c r="G28" s="1144">
        <v>72.99</v>
      </c>
      <c r="H28" s="1145" t="s">
        <v>194</v>
      </c>
      <c r="I28" s="1144">
        <v>47.47</v>
      </c>
      <c r="J28" s="1144">
        <v>4.79</v>
      </c>
      <c r="K28" s="1188">
        <v>86.58</v>
      </c>
      <c r="L28" s="1188">
        <v>1714.01</v>
      </c>
      <c r="M28" s="1188">
        <v>5.68</v>
      </c>
      <c r="N28" s="1188">
        <v>1.11</v>
      </c>
      <c r="O28" s="1188">
        <v>5.71</v>
      </c>
      <c r="P28" s="1188" t="s">
        <v>194</v>
      </c>
      <c r="Q28" s="1188" t="s">
        <v>194</v>
      </c>
      <c r="R28" s="1141" t="s">
        <v>1407</v>
      </c>
      <c r="S28" s="1189">
        <v>1994.0</v>
      </c>
      <c r="T28" s="1142">
        <v>39526.0</v>
      </c>
      <c r="U28" s="1141" t="s">
        <v>1487</v>
      </c>
      <c r="V28" s="1141" t="s">
        <v>1484</v>
      </c>
      <c r="W28" s="1144">
        <v>81.0</v>
      </c>
      <c r="X28" s="1145" t="s">
        <v>194</v>
      </c>
      <c r="Y28" s="1141" t="s">
        <v>194</v>
      </c>
      <c r="Z28" s="1141" t="s">
        <v>1488</v>
      </c>
      <c r="AA28" s="1141" t="s">
        <v>1410</v>
      </c>
      <c r="AB28" s="1180" t="str">
        <f>HYPERLINK("https://my.pitchbook.com?c=21278-53T", "View company online")</f>
        <v>View company online</v>
      </c>
    </row>
    <row r="29" ht="14.25" hidden="1" customHeight="1">
      <c r="A29" s="1134" t="s">
        <v>1489</v>
      </c>
      <c r="B29" s="1134" t="s">
        <v>1459</v>
      </c>
      <c r="C29" s="1134" t="s">
        <v>1460</v>
      </c>
      <c r="D29" s="1135">
        <v>36756.0</v>
      </c>
      <c r="E29" s="1137" t="s">
        <v>194</v>
      </c>
      <c r="F29" s="1137" t="s">
        <v>194</v>
      </c>
      <c r="G29" s="1137">
        <v>27.19</v>
      </c>
      <c r="H29" s="1138" t="s">
        <v>194</v>
      </c>
      <c r="I29" s="1137">
        <v>17.21</v>
      </c>
      <c r="J29" s="1137">
        <v>0.8</v>
      </c>
      <c r="K29" s="1186" t="s">
        <v>194</v>
      </c>
      <c r="L29" s="1186" t="s">
        <v>194</v>
      </c>
      <c r="M29" s="1186" t="s">
        <v>194</v>
      </c>
      <c r="N29" s="1186" t="s">
        <v>194</v>
      </c>
      <c r="O29" s="1186" t="s">
        <v>194</v>
      </c>
      <c r="P29" s="1186" t="s">
        <v>194</v>
      </c>
      <c r="Q29" s="1186" t="s">
        <v>194</v>
      </c>
      <c r="R29" s="1134" t="s">
        <v>1461</v>
      </c>
      <c r="S29" s="1187">
        <v>1989.0</v>
      </c>
      <c r="T29" s="1135">
        <v>37092.0</v>
      </c>
      <c r="U29" s="1134" t="s">
        <v>1490</v>
      </c>
      <c r="V29" s="1134" t="s">
        <v>1484</v>
      </c>
      <c r="W29" s="1137" t="s">
        <v>194</v>
      </c>
      <c r="X29" s="1138" t="s">
        <v>194</v>
      </c>
      <c r="Y29" s="1134" t="s">
        <v>194</v>
      </c>
      <c r="Z29" s="1134" t="s">
        <v>1491</v>
      </c>
      <c r="AA29" s="1134" t="s">
        <v>1464</v>
      </c>
      <c r="AB29" s="1139" t="str">
        <f>HYPERLINK("https://my.pitchbook.com?c=23929-21T", "View company online")</f>
        <v>View company online</v>
      </c>
    </row>
    <row r="30" ht="14.25" customHeight="1">
      <c r="A30" s="1143" t="s">
        <v>1492</v>
      </c>
      <c r="B30" s="1143" t="s">
        <v>1418</v>
      </c>
      <c r="C30" s="1143" t="s">
        <v>409</v>
      </c>
      <c r="D30" s="1196">
        <v>42636.0</v>
      </c>
      <c r="E30" s="1197">
        <v>359.09</v>
      </c>
      <c r="F30" s="1197" t="s">
        <v>194</v>
      </c>
      <c r="G30" s="1197">
        <v>56.22</v>
      </c>
      <c r="H30" s="1198">
        <v>158.5</v>
      </c>
      <c r="I30" s="1197">
        <v>36.96</v>
      </c>
      <c r="J30" s="1197">
        <v>-18.52</v>
      </c>
      <c r="K30" s="1199">
        <v>-19.39</v>
      </c>
      <c r="L30" s="1199">
        <v>-18.54</v>
      </c>
      <c r="M30" s="1199">
        <v>6.39</v>
      </c>
      <c r="N30" s="1199">
        <v>1.9</v>
      </c>
      <c r="O30" s="1199">
        <v>-78.33</v>
      </c>
      <c r="P30" s="1199" t="s">
        <v>194</v>
      </c>
      <c r="Q30" s="1199" t="s">
        <v>194</v>
      </c>
      <c r="R30" s="1143" t="s">
        <v>1419</v>
      </c>
      <c r="S30" s="1200">
        <v>2006.0</v>
      </c>
      <c r="T30" s="1196">
        <v>42663.0</v>
      </c>
      <c r="U30" s="1143" t="s">
        <v>1493</v>
      </c>
      <c r="V30" s="1143" t="s">
        <v>1484</v>
      </c>
      <c r="W30" s="1197">
        <v>107.0</v>
      </c>
      <c r="X30" s="1198" t="s">
        <v>194</v>
      </c>
      <c r="Y30" s="1143" t="s">
        <v>1494</v>
      </c>
      <c r="Z30" s="1143" t="s">
        <v>1495</v>
      </c>
      <c r="AA30" s="1143" t="s">
        <v>1423</v>
      </c>
      <c r="AB30" s="1201" t="str">
        <f>HYPERLINK("https://my.pitchbook.com?c=76154-86T", "View company online")</f>
        <v>View company online</v>
      </c>
    </row>
    <row r="31" ht="14.25" hidden="1" customHeight="1">
      <c r="A31" s="1134" t="s">
        <v>1496</v>
      </c>
      <c r="B31" s="1134" t="s">
        <v>1497</v>
      </c>
      <c r="C31" s="1134" t="s">
        <v>143</v>
      </c>
      <c r="D31" s="1135" t="s">
        <v>194</v>
      </c>
      <c r="E31" s="1137" t="s">
        <v>194</v>
      </c>
      <c r="F31" s="1137" t="s">
        <v>194</v>
      </c>
      <c r="G31" s="1137">
        <v>18.71</v>
      </c>
      <c r="H31" s="1138" t="s">
        <v>194</v>
      </c>
      <c r="I31" s="1137">
        <v>8.11</v>
      </c>
      <c r="J31" s="1137">
        <v>-1.09</v>
      </c>
      <c r="K31" s="1186" t="s">
        <v>194</v>
      </c>
      <c r="L31" s="1186" t="s">
        <v>194</v>
      </c>
      <c r="M31" s="1186" t="s">
        <v>194</v>
      </c>
      <c r="N31" s="1186" t="s">
        <v>194</v>
      </c>
      <c r="O31" s="1186" t="s">
        <v>194</v>
      </c>
      <c r="P31" s="1186" t="s">
        <v>194</v>
      </c>
      <c r="Q31" s="1186" t="s">
        <v>194</v>
      </c>
      <c r="R31" s="1134" t="s">
        <v>1498</v>
      </c>
      <c r="S31" s="1187">
        <v>1977.0</v>
      </c>
      <c r="T31" s="1135">
        <v>37817.0</v>
      </c>
      <c r="U31" s="1134" t="s">
        <v>1499</v>
      </c>
      <c r="V31" s="1134" t="s">
        <v>1484</v>
      </c>
      <c r="W31" s="1137" t="s">
        <v>194</v>
      </c>
      <c r="X31" s="1138" t="s">
        <v>194</v>
      </c>
      <c r="Y31" s="1134" t="s">
        <v>194</v>
      </c>
      <c r="Z31" s="1134" t="s">
        <v>194</v>
      </c>
      <c r="AA31" s="1134" t="s">
        <v>1500</v>
      </c>
      <c r="AB31" s="1139" t="str">
        <f>HYPERLINK("https://my.pitchbook.com?c=97815-16T", "View company online")</f>
        <v>View company online</v>
      </c>
    </row>
    <row r="32" ht="14.25" hidden="1" customHeight="1">
      <c r="A32" s="1141" t="s">
        <v>1501</v>
      </c>
      <c r="B32" s="1141" t="s">
        <v>1418</v>
      </c>
      <c r="C32" s="1141" t="s">
        <v>409</v>
      </c>
      <c r="D32" s="1142" t="s">
        <v>194</v>
      </c>
      <c r="E32" s="1144">
        <v>31.48</v>
      </c>
      <c r="F32" s="1144" t="s">
        <v>194</v>
      </c>
      <c r="G32" s="1144" t="s">
        <v>194</v>
      </c>
      <c r="H32" s="1145" t="s">
        <v>194</v>
      </c>
      <c r="I32" s="1144" t="s">
        <v>194</v>
      </c>
      <c r="J32" s="1144" t="s">
        <v>194</v>
      </c>
      <c r="K32" s="1188" t="s">
        <v>194</v>
      </c>
      <c r="L32" s="1188" t="s">
        <v>194</v>
      </c>
      <c r="M32" s="1188" t="s">
        <v>194</v>
      </c>
      <c r="N32" s="1188" t="s">
        <v>194</v>
      </c>
      <c r="O32" s="1188" t="s">
        <v>194</v>
      </c>
      <c r="P32" s="1188" t="s">
        <v>194</v>
      </c>
      <c r="Q32" s="1188" t="s">
        <v>194</v>
      </c>
      <c r="R32" s="1141" t="s">
        <v>1419</v>
      </c>
      <c r="S32" s="1189">
        <v>2006.0</v>
      </c>
      <c r="T32" s="1142">
        <v>39926.0</v>
      </c>
      <c r="U32" s="1141" t="s">
        <v>1502</v>
      </c>
      <c r="V32" s="1141" t="s">
        <v>446</v>
      </c>
      <c r="W32" s="1144">
        <v>19.38</v>
      </c>
      <c r="X32" s="1145">
        <v>61.55</v>
      </c>
      <c r="Y32" s="1141" t="s">
        <v>1503</v>
      </c>
      <c r="Z32" s="1141" t="s">
        <v>194</v>
      </c>
      <c r="AA32" s="1141" t="s">
        <v>1423</v>
      </c>
      <c r="AB32" s="1180" t="str">
        <f>HYPERLINK("https://my.pitchbook.com?c=18419-23T", "View company online")</f>
        <v>View company online</v>
      </c>
    </row>
    <row r="33" ht="14.25" hidden="1" customHeight="1">
      <c r="A33" s="1134" t="s">
        <v>1504</v>
      </c>
      <c r="B33" s="1134" t="s">
        <v>1406</v>
      </c>
      <c r="C33" s="1134" t="s">
        <v>412</v>
      </c>
      <c r="D33" s="1135" t="s">
        <v>194</v>
      </c>
      <c r="E33" s="1137" t="s">
        <v>194</v>
      </c>
      <c r="F33" s="1137" t="s">
        <v>194</v>
      </c>
      <c r="G33" s="1137" t="s">
        <v>194</v>
      </c>
      <c r="H33" s="1138" t="s">
        <v>194</v>
      </c>
      <c r="I33" s="1137" t="s">
        <v>194</v>
      </c>
      <c r="J33" s="1137" t="s">
        <v>194</v>
      </c>
      <c r="K33" s="1186" t="s">
        <v>194</v>
      </c>
      <c r="L33" s="1186" t="s">
        <v>194</v>
      </c>
      <c r="M33" s="1186" t="s">
        <v>194</v>
      </c>
      <c r="N33" s="1186" t="s">
        <v>194</v>
      </c>
      <c r="O33" s="1186" t="s">
        <v>194</v>
      </c>
      <c r="P33" s="1186" t="s">
        <v>194</v>
      </c>
      <c r="Q33" s="1186" t="s">
        <v>194</v>
      </c>
      <c r="R33" s="1134" t="s">
        <v>1407</v>
      </c>
      <c r="S33" s="1187">
        <v>1994.0</v>
      </c>
      <c r="T33" s="1135">
        <v>36635.0</v>
      </c>
      <c r="U33" s="1134" t="s">
        <v>1505</v>
      </c>
      <c r="V33" s="1134" t="s">
        <v>446</v>
      </c>
      <c r="W33" s="1137">
        <v>5.0</v>
      </c>
      <c r="X33" s="1138" t="s">
        <v>194</v>
      </c>
      <c r="Y33" s="1134" t="s">
        <v>1506</v>
      </c>
      <c r="Z33" s="1134" t="s">
        <v>194</v>
      </c>
      <c r="AA33" s="1134" t="s">
        <v>1410</v>
      </c>
      <c r="AB33" s="1139" t="str">
        <f>HYPERLINK("https://my.pitchbook.com?c=21278-17T", "View company online")</f>
        <v>View company online</v>
      </c>
    </row>
    <row r="34" ht="14.25" hidden="1" customHeight="1">
      <c r="A34" s="1141" t="s">
        <v>1507</v>
      </c>
      <c r="B34" s="1141" t="s">
        <v>1406</v>
      </c>
      <c r="C34" s="1141" t="s">
        <v>412</v>
      </c>
      <c r="D34" s="1142" t="s">
        <v>194</v>
      </c>
      <c r="E34" s="1144" t="s">
        <v>194</v>
      </c>
      <c r="F34" s="1144" t="s">
        <v>194</v>
      </c>
      <c r="G34" s="1144" t="s">
        <v>194</v>
      </c>
      <c r="H34" s="1145" t="s">
        <v>194</v>
      </c>
      <c r="I34" s="1144" t="s">
        <v>194</v>
      </c>
      <c r="J34" s="1144" t="s">
        <v>194</v>
      </c>
      <c r="K34" s="1188" t="s">
        <v>194</v>
      </c>
      <c r="L34" s="1188" t="s">
        <v>194</v>
      </c>
      <c r="M34" s="1188" t="s">
        <v>194</v>
      </c>
      <c r="N34" s="1188" t="s">
        <v>194</v>
      </c>
      <c r="O34" s="1188" t="s">
        <v>194</v>
      </c>
      <c r="P34" s="1188" t="s">
        <v>194</v>
      </c>
      <c r="Q34" s="1188" t="s">
        <v>194</v>
      </c>
      <c r="R34" s="1141" t="s">
        <v>1407</v>
      </c>
      <c r="S34" s="1189">
        <v>1994.0</v>
      </c>
      <c r="T34" s="1142" t="s">
        <v>194</v>
      </c>
      <c r="U34" s="1141" t="s">
        <v>1508</v>
      </c>
      <c r="V34" s="1141" t="s">
        <v>446</v>
      </c>
      <c r="W34" s="1144">
        <v>2.5</v>
      </c>
      <c r="X34" s="1145" t="s">
        <v>194</v>
      </c>
      <c r="Y34" s="1141" t="s">
        <v>194</v>
      </c>
      <c r="Z34" s="1141" t="s">
        <v>194</v>
      </c>
      <c r="AA34" s="1141" t="s">
        <v>1410</v>
      </c>
      <c r="AB34" s="1180" t="str">
        <f>HYPERLINK("https://my.pitchbook.com?c=21278-98T", "View company online")</f>
        <v>View company online</v>
      </c>
    </row>
    <row r="35" ht="14.25" hidden="1" customHeight="1">
      <c r="A35" s="1134" t="s">
        <v>1509</v>
      </c>
      <c r="B35" s="1134" t="s">
        <v>1418</v>
      </c>
      <c r="C35" s="1134" t="s">
        <v>409</v>
      </c>
      <c r="D35" s="1135" t="s">
        <v>194</v>
      </c>
      <c r="E35" s="1137">
        <v>63.58</v>
      </c>
      <c r="F35" s="1137" t="s">
        <v>194</v>
      </c>
      <c r="G35" s="1137" t="s">
        <v>194</v>
      </c>
      <c r="H35" s="1138" t="s">
        <v>194</v>
      </c>
      <c r="I35" s="1137" t="s">
        <v>194</v>
      </c>
      <c r="J35" s="1137" t="s">
        <v>194</v>
      </c>
      <c r="K35" s="1186" t="s">
        <v>194</v>
      </c>
      <c r="L35" s="1186" t="s">
        <v>194</v>
      </c>
      <c r="M35" s="1186" t="s">
        <v>194</v>
      </c>
      <c r="N35" s="1186" t="s">
        <v>194</v>
      </c>
      <c r="O35" s="1186" t="s">
        <v>194</v>
      </c>
      <c r="P35" s="1186" t="s">
        <v>194</v>
      </c>
      <c r="Q35" s="1186" t="s">
        <v>194</v>
      </c>
      <c r="R35" s="1134" t="s">
        <v>1419</v>
      </c>
      <c r="S35" s="1187">
        <v>2006.0</v>
      </c>
      <c r="T35" s="1135">
        <v>40315.0</v>
      </c>
      <c r="U35" s="1134" t="s">
        <v>1510</v>
      </c>
      <c r="V35" s="1134" t="s">
        <v>446</v>
      </c>
      <c r="W35" s="1137">
        <v>10.0</v>
      </c>
      <c r="X35" s="1138">
        <v>16.81</v>
      </c>
      <c r="Y35" s="1134" t="s">
        <v>1511</v>
      </c>
      <c r="Z35" s="1134" t="s">
        <v>194</v>
      </c>
      <c r="AA35" s="1134" t="s">
        <v>1423</v>
      </c>
      <c r="AB35" s="1139" t="str">
        <f>HYPERLINK("https://my.pitchbook.com?c=22816-54T", "View company online")</f>
        <v>View company online</v>
      </c>
    </row>
    <row r="36" ht="14.25" hidden="1" customHeight="1">
      <c r="A36" s="1141" t="s">
        <v>1512</v>
      </c>
      <c r="B36" s="1141" t="s">
        <v>1459</v>
      </c>
      <c r="C36" s="1141" t="s">
        <v>1460</v>
      </c>
      <c r="D36" s="1142" t="s">
        <v>194</v>
      </c>
      <c r="E36" s="1144" t="s">
        <v>194</v>
      </c>
      <c r="F36" s="1144" t="s">
        <v>194</v>
      </c>
      <c r="G36" s="1144" t="s">
        <v>194</v>
      </c>
      <c r="H36" s="1145" t="s">
        <v>194</v>
      </c>
      <c r="I36" s="1144" t="s">
        <v>194</v>
      </c>
      <c r="J36" s="1144" t="s">
        <v>194</v>
      </c>
      <c r="K36" s="1188" t="s">
        <v>194</v>
      </c>
      <c r="L36" s="1188" t="s">
        <v>194</v>
      </c>
      <c r="M36" s="1188" t="s">
        <v>194</v>
      </c>
      <c r="N36" s="1188" t="s">
        <v>194</v>
      </c>
      <c r="O36" s="1188" t="s">
        <v>194</v>
      </c>
      <c r="P36" s="1188" t="s">
        <v>194</v>
      </c>
      <c r="Q36" s="1188" t="s">
        <v>194</v>
      </c>
      <c r="R36" s="1141" t="s">
        <v>1461</v>
      </c>
      <c r="S36" s="1189">
        <v>1989.0</v>
      </c>
      <c r="T36" s="1142">
        <v>33359.0</v>
      </c>
      <c r="U36" s="1141" t="s">
        <v>1513</v>
      </c>
      <c r="V36" s="1141" t="s">
        <v>446</v>
      </c>
      <c r="W36" s="1144" t="s">
        <v>194</v>
      </c>
      <c r="X36" s="1145" t="s">
        <v>194</v>
      </c>
      <c r="Y36" s="1141" t="s">
        <v>1514</v>
      </c>
      <c r="Z36" s="1141" t="s">
        <v>194</v>
      </c>
      <c r="AA36" s="1141" t="s">
        <v>1464</v>
      </c>
      <c r="AB36" s="1180" t="str">
        <f>HYPERLINK("https://my.pitchbook.com?c=23929-48T", "View company online")</f>
        <v>View company online</v>
      </c>
    </row>
    <row r="37" ht="14.25" hidden="1" customHeight="1">
      <c r="A37" s="1134" t="s">
        <v>1515</v>
      </c>
      <c r="B37" s="1134" t="s">
        <v>1412</v>
      </c>
      <c r="C37" s="1134" t="s">
        <v>1413</v>
      </c>
      <c r="D37" s="1135" t="s">
        <v>194</v>
      </c>
      <c r="E37" s="1137">
        <v>14.76</v>
      </c>
      <c r="F37" s="1137" t="s">
        <v>194</v>
      </c>
      <c r="G37" s="1137" t="s">
        <v>194</v>
      </c>
      <c r="H37" s="1138" t="s">
        <v>194</v>
      </c>
      <c r="I37" s="1137" t="s">
        <v>194</v>
      </c>
      <c r="J37" s="1137" t="s">
        <v>194</v>
      </c>
      <c r="K37" s="1186" t="s">
        <v>194</v>
      </c>
      <c r="L37" s="1186" t="s">
        <v>194</v>
      </c>
      <c r="M37" s="1186" t="s">
        <v>194</v>
      </c>
      <c r="N37" s="1186" t="s">
        <v>194</v>
      </c>
      <c r="O37" s="1186" t="s">
        <v>194</v>
      </c>
      <c r="P37" s="1186" t="s">
        <v>194</v>
      </c>
      <c r="Q37" s="1186" t="s">
        <v>194</v>
      </c>
      <c r="R37" s="1134" t="s">
        <v>1414</v>
      </c>
      <c r="S37" s="1187">
        <v>1989.0</v>
      </c>
      <c r="T37" s="1135" t="s">
        <v>194</v>
      </c>
      <c r="U37" s="1134" t="s">
        <v>1516</v>
      </c>
      <c r="V37" s="1134" t="s">
        <v>446</v>
      </c>
      <c r="W37" s="1137">
        <v>1.95</v>
      </c>
      <c r="X37" s="1138">
        <v>13.19</v>
      </c>
      <c r="Y37" s="1134" t="s">
        <v>194</v>
      </c>
      <c r="Z37" s="1134" t="s">
        <v>194</v>
      </c>
      <c r="AA37" s="1134" t="s">
        <v>1416</v>
      </c>
      <c r="AB37" s="1139" t="str">
        <f>HYPERLINK("https://my.pitchbook.com?c=62579-71T", "View company online")</f>
        <v>View company online</v>
      </c>
    </row>
    <row r="38" ht="14.25" hidden="1" customHeight="1">
      <c r="A38" s="1141" t="s">
        <v>1517</v>
      </c>
      <c r="B38" s="1141" t="s">
        <v>1412</v>
      </c>
      <c r="C38" s="1141" t="s">
        <v>1413</v>
      </c>
      <c r="D38" s="1142" t="s">
        <v>194</v>
      </c>
      <c r="E38" s="1144">
        <v>8.14</v>
      </c>
      <c r="F38" s="1144" t="s">
        <v>194</v>
      </c>
      <c r="G38" s="1144" t="s">
        <v>194</v>
      </c>
      <c r="H38" s="1145" t="s">
        <v>194</v>
      </c>
      <c r="I38" s="1144" t="s">
        <v>194</v>
      </c>
      <c r="J38" s="1144" t="s">
        <v>194</v>
      </c>
      <c r="K38" s="1188" t="s">
        <v>194</v>
      </c>
      <c r="L38" s="1188" t="s">
        <v>194</v>
      </c>
      <c r="M38" s="1188" t="s">
        <v>194</v>
      </c>
      <c r="N38" s="1188" t="s">
        <v>194</v>
      </c>
      <c r="O38" s="1188" t="s">
        <v>194</v>
      </c>
      <c r="P38" s="1188" t="s">
        <v>194</v>
      </c>
      <c r="Q38" s="1188" t="s">
        <v>194</v>
      </c>
      <c r="R38" s="1141" t="s">
        <v>1414</v>
      </c>
      <c r="S38" s="1189">
        <v>1989.0</v>
      </c>
      <c r="T38" s="1142" t="s">
        <v>194</v>
      </c>
      <c r="U38" s="1141" t="s">
        <v>1518</v>
      </c>
      <c r="V38" s="1141" t="s">
        <v>446</v>
      </c>
      <c r="W38" s="1144">
        <v>1.06</v>
      </c>
      <c r="X38" s="1145">
        <v>13.05</v>
      </c>
      <c r="Y38" s="1141" t="s">
        <v>194</v>
      </c>
      <c r="Z38" s="1141" t="s">
        <v>194</v>
      </c>
      <c r="AA38" s="1141" t="s">
        <v>1416</v>
      </c>
      <c r="AB38" s="1180" t="str">
        <f>HYPERLINK("https://my.pitchbook.com?c=62579-80T", "View company online")</f>
        <v>View company online</v>
      </c>
    </row>
    <row r="39" ht="14.25" hidden="1" customHeight="1">
      <c r="A39" s="1134" t="s">
        <v>1519</v>
      </c>
      <c r="B39" s="1134" t="s">
        <v>1406</v>
      </c>
      <c r="C39" s="1134" t="s">
        <v>412</v>
      </c>
      <c r="D39" s="1135" t="s">
        <v>194</v>
      </c>
      <c r="E39" s="1137" t="s">
        <v>194</v>
      </c>
      <c r="F39" s="1137" t="s">
        <v>194</v>
      </c>
      <c r="G39" s="1137">
        <v>30.94</v>
      </c>
      <c r="H39" s="1138">
        <v>290.48</v>
      </c>
      <c r="I39" s="1137" t="s">
        <v>194</v>
      </c>
      <c r="J39" s="1137" t="s">
        <v>194</v>
      </c>
      <c r="K39" s="1186" t="s">
        <v>194</v>
      </c>
      <c r="L39" s="1186" t="s">
        <v>194</v>
      </c>
      <c r="M39" s="1186" t="s">
        <v>194</v>
      </c>
      <c r="N39" s="1186">
        <v>0.13</v>
      </c>
      <c r="O39" s="1186" t="s">
        <v>194</v>
      </c>
      <c r="P39" s="1186" t="s">
        <v>194</v>
      </c>
      <c r="Q39" s="1186" t="s">
        <v>194</v>
      </c>
      <c r="R39" s="1134" t="s">
        <v>1407</v>
      </c>
      <c r="S39" s="1187">
        <v>1994.0</v>
      </c>
      <c r="T39" s="1135">
        <v>38589.0</v>
      </c>
      <c r="U39" s="1134" t="s">
        <v>1520</v>
      </c>
      <c r="V39" s="1134" t="s">
        <v>1521</v>
      </c>
      <c r="W39" s="1137">
        <v>3.9</v>
      </c>
      <c r="X39" s="1138" t="s">
        <v>194</v>
      </c>
      <c r="Y39" s="1134" t="s">
        <v>194</v>
      </c>
      <c r="Z39" s="1134" t="s">
        <v>194</v>
      </c>
      <c r="AA39" s="1134" t="s">
        <v>1410</v>
      </c>
      <c r="AB39" s="1139" t="str">
        <f>HYPERLINK("https://my.pitchbook.com?c=21282-40T", "View company online")</f>
        <v>View company online</v>
      </c>
    </row>
    <row r="40" ht="14.25" customHeight="1">
      <c r="A40" s="1143" t="s">
        <v>1522</v>
      </c>
      <c r="B40" s="1143" t="s">
        <v>1497</v>
      </c>
      <c r="C40" s="1143" t="s">
        <v>143</v>
      </c>
      <c r="D40" s="1196">
        <v>43064.0</v>
      </c>
      <c r="E40" s="1197">
        <v>62.1</v>
      </c>
      <c r="F40" s="1197">
        <v>55.53</v>
      </c>
      <c r="G40" s="1197">
        <v>40.46</v>
      </c>
      <c r="H40" s="1198">
        <v>116.25</v>
      </c>
      <c r="I40" s="1197">
        <v>19.85</v>
      </c>
      <c r="J40" s="1197">
        <v>-1.19</v>
      </c>
      <c r="K40" s="1199">
        <v>-52.1</v>
      </c>
      <c r="L40" s="1199">
        <v>-27.06</v>
      </c>
      <c r="M40" s="1199">
        <v>1.53</v>
      </c>
      <c r="N40" s="1199">
        <v>1.53</v>
      </c>
      <c r="O40" s="1199">
        <v>75.27</v>
      </c>
      <c r="P40" s="1199" t="s">
        <v>194</v>
      </c>
      <c r="Q40" s="1199">
        <v>1.37</v>
      </c>
      <c r="R40" s="1143" t="s">
        <v>1498</v>
      </c>
      <c r="S40" s="1200">
        <v>1977.0</v>
      </c>
      <c r="T40" s="1196">
        <v>43097.0</v>
      </c>
      <c r="U40" s="1143" t="s">
        <v>1523</v>
      </c>
      <c r="V40" s="1143" t="s">
        <v>1524</v>
      </c>
      <c r="W40" s="1197">
        <v>62.1</v>
      </c>
      <c r="X40" s="1198">
        <v>100.0</v>
      </c>
      <c r="Y40" s="1143" t="s">
        <v>1525</v>
      </c>
      <c r="Z40" s="1143" t="s">
        <v>194</v>
      </c>
      <c r="AA40" s="1143" t="s">
        <v>1500</v>
      </c>
      <c r="AB40" s="1201" t="str">
        <f>HYPERLINK("https://my.pitchbook.com?c=97815-07T", "View company online")</f>
        <v>View company online</v>
      </c>
    </row>
    <row r="41" ht="14.25" customHeight="1">
      <c r="A41" s="1117"/>
      <c r="B41" s="1117"/>
      <c r="C41" s="1117"/>
      <c r="D41" s="1117"/>
      <c r="E41" s="1117"/>
      <c r="F41" s="1117"/>
      <c r="G41" s="1117"/>
      <c r="H41" s="1117"/>
      <c r="I41" s="1117"/>
      <c r="J41" s="1117"/>
      <c r="K41" s="1117"/>
      <c r="L41" s="1117"/>
      <c r="M41" s="1117"/>
      <c r="N41" s="1117"/>
      <c r="O41" s="1117"/>
      <c r="P41" s="1117"/>
      <c r="Q41" s="1117"/>
      <c r="R41" s="1117"/>
      <c r="S41" s="1117"/>
      <c r="T41" s="1117"/>
      <c r="U41" s="1117"/>
      <c r="V41" s="1117"/>
      <c r="W41" s="1117"/>
      <c r="X41" s="1117"/>
      <c r="Y41" s="1117"/>
      <c r="Z41" s="1117"/>
      <c r="AA41" s="1117"/>
      <c r="AB41" s="1117"/>
    </row>
    <row r="42" ht="14.25" customHeight="1">
      <c r="A42" s="1117"/>
      <c r="B42" s="1117"/>
      <c r="C42" s="1117"/>
      <c r="D42" s="1117"/>
      <c r="E42" s="1117"/>
      <c r="F42" s="1117"/>
      <c r="G42" s="1117"/>
      <c r="H42" s="1117"/>
      <c r="I42" s="1117"/>
      <c r="J42" s="1117"/>
      <c r="K42" s="1117"/>
      <c r="L42" s="1117"/>
      <c r="M42" s="1117"/>
      <c r="N42" s="1117"/>
      <c r="O42" s="1117"/>
      <c r="P42" s="1117"/>
      <c r="Q42" s="1117"/>
      <c r="R42" s="1117"/>
      <c r="S42" s="1117"/>
      <c r="T42" s="1117"/>
      <c r="U42" s="1117"/>
      <c r="V42" s="1117"/>
      <c r="W42" s="1117"/>
      <c r="X42" s="1117"/>
      <c r="Y42" s="1117"/>
      <c r="Z42" s="1117"/>
      <c r="AA42" s="1117"/>
      <c r="AB42" s="1117"/>
    </row>
    <row r="43" ht="14.25" customHeight="1">
      <c r="A43" s="1202" t="s">
        <v>344</v>
      </c>
      <c r="B43" s="1117"/>
      <c r="C43" s="1117"/>
      <c r="D43" s="1117"/>
      <c r="E43" s="1117"/>
      <c r="F43" s="1117"/>
      <c r="G43" s="1117"/>
      <c r="H43" s="1117"/>
      <c r="I43" s="1117"/>
      <c r="J43" s="1117"/>
      <c r="K43" s="1117"/>
      <c r="L43" s="1117"/>
      <c r="M43" s="1117"/>
      <c r="N43" s="1117"/>
      <c r="O43" s="1117"/>
      <c r="P43" s="1117"/>
      <c r="Q43" s="1117"/>
      <c r="R43" s="1117"/>
      <c r="S43" s="1117"/>
      <c r="T43" s="1117"/>
      <c r="U43" s="1117"/>
      <c r="V43" s="1117"/>
      <c r="W43" s="1117"/>
      <c r="X43" s="1117"/>
      <c r="Y43" s="1117"/>
      <c r="Z43" s="1117"/>
      <c r="AA43" s="1117"/>
      <c r="AB43" s="1117"/>
    </row>
    <row r="44" ht="14.25" customHeight="1">
      <c r="A44" s="1117"/>
      <c r="B44" s="1117"/>
      <c r="C44" s="1117"/>
      <c r="D44" s="1117"/>
      <c r="E44" s="1117"/>
      <c r="F44" s="1117"/>
      <c r="G44" s="1117"/>
      <c r="H44" s="1117"/>
      <c r="I44" s="1117"/>
      <c r="J44" s="1117"/>
      <c r="K44" s="1117"/>
      <c r="L44" s="1117"/>
      <c r="M44" s="1117"/>
      <c r="N44" s="1117"/>
      <c r="O44" s="1117"/>
      <c r="P44" s="1117"/>
      <c r="Q44" s="1117"/>
      <c r="R44" s="1117"/>
      <c r="S44" s="1117"/>
      <c r="T44" s="1117"/>
      <c r="U44" s="1117"/>
      <c r="V44" s="1117"/>
      <c r="W44" s="1117"/>
      <c r="X44" s="1117"/>
      <c r="Y44" s="1117"/>
      <c r="Z44" s="1117"/>
      <c r="AA44" s="1117"/>
      <c r="AB44" s="1117"/>
    </row>
    <row r="45" ht="14.25" customHeight="1">
      <c r="A45" s="1117"/>
      <c r="B45" s="1117"/>
      <c r="C45" s="1117"/>
      <c r="D45" s="1117"/>
      <c r="E45" s="1117"/>
      <c r="F45" s="1117"/>
      <c r="G45" s="1117"/>
      <c r="H45" s="1117"/>
      <c r="I45" s="1117"/>
      <c r="J45" s="1117"/>
      <c r="K45" s="1117"/>
      <c r="L45" s="1117"/>
      <c r="M45" s="1117"/>
      <c r="N45" s="1117"/>
      <c r="O45" s="1117"/>
      <c r="P45" s="1117"/>
      <c r="Q45" s="1117"/>
      <c r="R45" s="1117"/>
      <c r="S45" s="1117"/>
      <c r="T45" s="1117"/>
      <c r="U45" s="1117"/>
      <c r="V45" s="1117"/>
      <c r="W45" s="1117"/>
      <c r="X45" s="1117"/>
      <c r="Y45" s="1117"/>
      <c r="Z45" s="1117"/>
      <c r="AA45" s="1117"/>
      <c r="AB45" s="1117"/>
    </row>
    <row r="46" ht="14.25" customHeight="1">
      <c r="A46" s="1117"/>
      <c r="B46" s="1117"/>
      <c r="C46" s="1117"/>
      <c r="D46" s="1117"/>
      <c r="E46" s="1117"/>
      <c r="F46" s="1117"/>
      <c r="G46" s="1117"/>
      <c r="H46" s="1117"/>
      <c r="I46" s="1117"/>
      <c r="J46" s="1117"/>
      <c r="K46" s="1117"/>
      <c r="L46" s="1117"/>
      <c r="M46" s="1117"/>
      <c r="N46" s="1117"/>
      <c r="O46" s="1117"/>
      <c r="P46" s="1117"/>
      <c r="Q46" s="1117"/>
      <c r="R46" s="1117"/>
      <c r="S46" s="1117"/>
      <c r="T46" s="1117"/>
      <c r="U46" s="1117"/>
      <c r="V46" s="1117"/>
      <c r="W46" s="1117"/>
      <c r="X46" s="1117"/>
      <c r="Y46" s="1117"/>
      <c r="Z46" s="1117"/>
      <c r="AA46" s="1117"/>
      <c r="AB46" s="1117"/>
    </row>
    <row r="47" ht="14.25" customHeight="1">
      <c r="A47" s="1117"/>
      <c r="B47" s="1117"/>
      <c r="C47" s="1117"/>
      <c r="D47" s="1117"/>
      <c r="E47" s="1117"/>
      <c r="F47" s="1117"/>
      <c r="G47" s="1117"/>
      <c r="H47" s="1117"/>
      <c r="I47" s="1117"/>
      <c r="J47" s="1117"/>
      <c r="K47" s="1117"/>
      <c r="L47" s="1117"/>
      <c r="M47" s="1117"/>
      <c r="N47" s="1117"/>
      <c r="O47" s="1117"/>
      <c r="P47" s="1117"/>
      <c r="Q47" s="1117"/>
      <c r="R47" s="1117"/>
      <c r="S47" s="1117"/>
      <c r="T47" s="1117"/>
      <c r="U47" s="1117"/>
      <c r="V47" s="1117"/>
      <c r="W47" s="1117"/>
      <c r="X47" s="1117"/>
      <c r="Y47" s="1117"/>
      <c r="Z47" s="1117"/>
      <c r="AA47" s="1117"/>
      <c r="AB47" s="1117"/>
    </row>
    <row r="48" ht="14.25" customHeight="1">
      <c r="A48" s="1117"/>
      <c r="B48" s="1117"/>
      <c r="C48" s="1117"/>
      <c r="D48" s="1117"/>
      <c r="E48" s="1117"/>
      <c r="F48" s="1117"/>
      <c r="G48" s="1117"/>
      <c r="H48" s="1117"/>
      <c r="I48" s="1117"/>
      <c r="J48" s="1117"/>
      <c r="K48" s="1117"/>
      <c r="L48" s="1117"/>
      <c r="M48" s="1117"/>
      <c r="N48" s="1117"/>
      <c r="O48" s="1117"/>
      <c r="P48" s="1117"/>
      <c r="Q48" s="1117"/>
      <c r="R48" s="1117"/>
      <c r="S48" s="1117"/>
      <c r="T48" s="1117"/>
      <c r="U48" s="1117"/>
      <c r="V48" s="1117"/>
      <c r="W48" s="1117"/>
      <c r="X48" s="1117"/>
      <c r="Y48" s="1117"/>
      <c r="Z48" s="1117"/>
      <c r="AA48" s="1117"/>
      <c r="AB48" s="1117"/>
    </row>
    <row r="49" ht="14.25" customHeight="1">
      <c r="A49" s="1117"/>
      <c r="B49" s="1117"/>
      <c r="C49" s="1117"/>
      <c r="D49" s="1117"/>
      <c r="E49" s="1117"/>
      <c r="F49" s="1117"/>
      <c r="G49" s="1117"/>
      <c r="H49" s="1117"/>
      <c r="I49" s="1117"/>
      <c r="J49" s="1117"/>
      <c r="K49" s="1117"/>
      <c r="L49" s="1117"/>
      <c r="M49" s="1117"/>
      <c r="N49" s="1117"/>
      <c r="O49" s="1117"/>
      <c r="P49" s="1117"/>
      <c r="Q49" s="1117"/>
      <c r="R49" s="1117"/>
      <c r="S49" s="1117"/>
      <c r="T49" s="1117"/>
      <c r="U49" s="1117"/>
      <c r="V49" s="1117"/>
      <c r="W49" s="1117"/>
      <c r="X49" s="1117"/>
      <c r="Y49" s="1117"/>
      <c r="Z49" s="1117"/>
      <c r="AA49" s="1117"/>
      <c r="AB49" s="1117"/>
    </row>
    <row r="50" ht="14.25" customHeight="1">
      <c r="A50" s="1117"/>
      <c r="B50" s="1117"/>
      <c r="C50" s="1117"/>
      <c r="D50" s="1117"/>
      <c r="E50" s="1117"/>
      <c r="F50" s="1117"/>
      <c r="G50" s="1117"/>
      <c r="H50" s="1117"/>
      <c r="I50" s="1117"/>
      <c r="J50" s="1117"/>
      <c r="K50" s="1117"/>
      <c r="L50" s="1117"/>
      <c r="M50" s="1117"/>
      <c r="N50" s="1117"/>
      <c r="O50" s="1117"/>
      <c r="P50" s="1117"/>
      <c r="Q50" s="1117"/>
      <c r="R50" s="1117"/>
      <c r="S50" s="1117"/>
      <c r="T50" s="1117"/>
      <c r="U50" s="1117"/>
      <c r="V50" s="1117"/>
      <c r="W50" s="1117"/>
      <c r="X50" s="1117"/>
      <c r="Y50" s="1117"/>
      <c r="Z50" s="1117"/>
      <c r="AA50" s="1117"/>
      <c r="AB50" s="1117"/>
    </row>
    <row r="51" ht="14.25" customHeight="1">
      <c r="A51" s="1117"/>
      <c r="B51" s="1117"/>
      <c r="C51" s="1117"/>
      <c r="D51" s="1117"/>
      <c r="E51" s="1117"/>
      <c r="F51" s="1117"/>
      <c r="G51" s="1117"/>
      <c r="H51" s="1117"/>
      <c r="I51" s="1117"/>
      <c r="J51" s="1117"/>
      <c r="K51" s="1117"/>
      <c r="L51" s="1117"/>
      <c r="M51" s="1117"/>
      <c r="N51" s="1117"/>
      <c r="O51" s="1117"/>
      <c r="P51" s="1117"/>
      <c r="Q51" s="1117"/>
      <c r="R51" s="1117"/>
      <c r="S51" s="1117"/>
      <c r="T51" s="1117"/>
      <c r="U51" s="1117"/>
      <c r="V51" s="1117"/>
      <c r="W51" s="1117"/>
      <c r="X51" s="1117"/>
      <c r="Y51" s="1117"/>
      <c r="Z51" s="1117"/>
      <c r="AA51" s="1117"/>
      <c r="AB51" s="1117"/>
    </row>
    <row r="52" ht="14.25" customHeight="1">
      <c r="A52" s="1117"/>
      <c r="B52" s="1117"/>
      <c r="C52" s="1117"/>
      <c r="D52" s="1117"/>
      <c r="E52" s="1117"/>
      <c r="F52" s="1117"/>
      <c r="G52" s="1117"/>
      <c r="H52" s="1117"/>
      <c r="I52" s="1117"/>
      <c r="J52" s="1117"/>
      <c r="K52" s="1117"/>
      <c r="L52" s="1117"/>
      <c r="M52" s="1117"/>
      <c r="N52" s="1117"/>
      <c r="O52" s="1117"/>
      <c r="P52" s="1117"/>
      <c r="Q52" s="1117"/>
      <c r="R52" s="1117"/>
      <c r="S52" s="1117"/>
      <c r="T52" s="1117"/>
      <c r="U52" s="1117"/>
      <c r="V52" s="1117"/>
      <c r="W52" s="1117"/>
      <c r="X52" s="1117"/>
      <c r="Y52" s="1117"/>
      <c r="Z52" s="1117"/>
      <c r="AA52" s="1117"/>
      <c r="AB52" s="1117"/>
    </row>
    <row r="53" ht="14.25" customHeight="1">
      <c r="A53" s="1117"/>
      <c r="B53" s="1117"/>
      <c r="C53" s="1117"/>
      <c r="D53" s="1117"/>
      <c r="E53" s="1117"/>
      <c r="F53" s="1117"/>
      <c r="G53" s="1117"/>
      <c r="H53" s="1117"/>
      <c r="I53" s="1117"/>
      <c r="J53" s="1117"/>
      <c r="K53" s="1117"/>
      <c r="L53" s="1117"/>
      <c r="M53" s="1117"/>
      <c r="N53" s="1117"/>
      <c r="O53" s="1117"/>
      <c r="P53" s="1117"/>
      <c r="Q53" s="1117"/>
      <c r="R53" s="1117"/>
      <c r="S53" s="1117"/>
      <c r="T53" s="1117"/>
      <c r="U53" s="1117"/>
      <c r="V53" s="1117"/>
      <c r="W53" s="1117"/>
      <c r="X53" s="1117"/>
      <c r="Y53" s="1117"/>
      <c r="Z53" s="1117"/>
      <c r="AA53" s="1117"/>
      <c r="AB53" s="1117"/>
    </row>
    <row r="54" ht="14.25" customHeight="1">
      <c r="A54" s="1117"/>
      <c r="B54" s="1117"/>
      <c r="C54" s="1117"/>
      <c r="D54" s="1117"/>
      <c r="E54" s="1117"/>
      <c r="F54" s="1117"/>
      <c r="G54" s="1117"/>
      <c r="H54" s="1117"/>
      <c r="I54" s="1117"/>
      <c r="J54" s="1117"/>
      <c r="K54" s="1117"/>
      <c r="L54" s="1117"/>
      <c r="M54" s="1117"/>
      <c r="N54" s="1117"/>
      <c r="O54" s="1117"/>
      <c r="P54" s="1117"/>
      <c r="Q54" s="1117"/>
      <c r="R54" s="1117"/>
      <c r="S54" s="1117"/>
      <c r="T54" s="1117"/>
      <c r="U54" s="1117"/>
      <c r="V54" s="1117"/>
      <c r="W54" s="1117"/>
      <c r="X54" s="1117"/>
      <c r="Y54" s="1117"/>
      <c r="Z54" s="1117"/>
      <c r="AA54" s="1117"/>
      <c r="AB54" s="1117"/>
    </row>
    <row r="55" ht="14.25" customHeight="1">
      <c r="A55" s="1117"/>
      <c r="B55" s="1117"/>
      <c r="C55" s="1117"/>
      <c r="D55" s="1117"/>
      <c r="E55" s="1117"/>
      <c r="F55" s="1117"/>
      <c r="G55" s="1117"/>
      <c r="H55" s="1117"/>
      <c r="I55" s="1117"/>
      <c r="J55" s="1117"/>
      <c r="K55" s="1117"/>
      <c r="L55" s="1117"/>
      <c r="M55" s="1117"/>
      <c r="N55" s="1117"/>
      <c r="O55" s="1117"/>
      <c r="P55" s="1117"/>
      <c r="Q55" s="1117"/>
      <c r="R55" s="1117"/>
      <c r="S55" s="1117"/>
      <c r="T55" s="1117"/>
      <c r="U55" s="1117"/>
      <c r="V55" s="1117"/>
      <c r="W55" s="1117"/>
      <c r="X55" s="1117"/>
      <c r="Y55" s="1117"/>
      <c r="Z55" s="1117"/>
      <c r="AA55" s="1117"/>
      <c r="AB55" s="1117"/>
    </row>
    <row r="56" ht="14.25" customHeight="1">
      <c r="A56" s="1117"/>
      <c r="B56" s="1117"/>
      <c r="C56" s="1117"/>
      <c r="D56" s="1117"/>
      <c r="E56" s="1117"/>
      <c r="F56" s="1117"/>
      <c r="G56" s="1117"/>
      <c r="H56" s="1117"/>
      <c r="I56" s="1117"/>
      <c r="J56" s="1117"/>
      <c r="K56" s="1117"/>
      <c r="L56" s="1117"/>
      <c r="M56" s="1117"/>
      <c r="N56" s="1117"/>
      <c r="O56" s="1117"/>
      <c r="P56" s="1117"/>
      <c r="Q56" s="1117"/>
      <c r="R56" s="1117"/>
      <c r="S56" s="1117"/>
      <c r="T56" s="1117"/>
      <c r="U56" s="1117"/>
      <c r="V56" s="1117"/>
      <c r="W56" s="1117"/>
      <c r="X56" s="1117"/>
      <c r="Y56" s="1117"/>
      <c r="Z56" s="1117"/>
      <c r="AA56" s="1117"/>
      <c r="AB56" s="1117"/>
    </row>
    <row r="57" ht="14.25" customHeight="1">
      <c r="A57" s="1117"/>
      <c r="B57" s="1117"/>
      <c r="C57" s="1117"/>
      <c r="D57" s="1117"/>
      <c r="E57" s="1117"/>
      <c r="F57" s="1117"/>
      <c r="G57" s="1117"/>
      <c r="H57" s="1117"/>
      <c r="I57" s="1117"/>
      <c r="J57" s="1117"/>
      <c r="K57" s="1117"/>
      <c r="L57" s="1117"/>
      <c r="M57" s="1117"/>
      <c r="N57" s="1117"/>
      <c r="O57" s="1117"/>
      <c r="P57" s="1117"/>
      <c r="Q57" s="1117"/>
      <c r="R57" s="1117"/>
      <c r="S57" s="1117"/>
      <c r="T57" s="1117"/>
      <c r="U57" s="1117"/>
      <c r="V57" s="1117"/>
      <c r="W57" s="1117"/>
      <c r="X57" s="1117"/>
      <c r="Y57" s="1117"/>
      <c r="Z57" s="1117"/>
      <c r="AA57" s="1117"/>
      <c r="AB57" s="1117"/>
    </row>
    <row r="58" ht="14.25" customHeight="1">
      <c r="A58" s="1117"/>
      <c r="B58" s="1117"/>
      <c r="C58" s="1117"/>
      <c r="D58" s="1117"/>
      <c r="E58" s="1117"/>
      <c r="F58" s="1117"/>
      <c r="G58" s="1117"/>
      <c r="H58" s="1117"/>
      <c r="I58" s="1117"/>
      <c r="J58" s="1117"/>
      <c r="K58" s="1117"/>
      <c r="L58" s="1117"/>
      <c r="M58" s="1117"/>
      <c r="N58" s="1117"/>
      <c r="O58" s="1117"/>
      <c r="P58" s="1117"/>
      <c r="Q58" s="1117"/>
      <c r="R58" s="1117"/>
      <c r="S58" s="1117"/>
      <c r="T58" s="1117"/>
      <c r="U58" s="1117"/>
      <c r="V58" s="1117"/>
      <c r="W58" s="1117"/>
      <c r="X58" s="1117"/>
      <c r="Y58" s="1117"/>
      <c r="Z58" s="1117"/>
      <c r="AA58" s="1117"/>
      <c r="AB58" s="1117"/>
    </row>
    <row r="59" ht="14.25" customHeight="1">
      <c r="A59" s="1117"/>
      <c r="B59" s="1117"/>
      <c r="C59" s="1117"/>
      <c r="D59" s="1117"/>
      <c r="E59" s="1117"/>
      <c r="F59" s="1117"/>
      <c r="G59" s="1117"/>
      <c r="H59" s="1117"/>
      <c r="I59" s="1117"/>
      <c r="J59" s="1117"/>
      <c r="K59" s="1117"/>
      <c r="L59" s="1117"/>
      <c r="M59" s="1117"/>
      <c r="N59" s="1117"/>
      <c r="O59" s="1117"/>
      <c r="P59" s="1117"/>
      <c r="Q59" s="1117"/>
      <c r="R59" s="1117"/>
      <c r="S59" s="1117"/>
      <c r="T59" s="1117"/>
      <c r="U59" s="1117"/>
      <c r="V59" s="1117"/>
      <c r="W59" s="1117"/>
      <c r="X59" s="1117"/>
      <c r="Y59" s="1117"/>
      <c r="Z59" s="1117"/>
      <c r="AA59" s="1117"/>
      <c r="AB59" s="1117"/>
    </row>
    <row r="60" ht="14.25" customHeight="1">
      <c r="A60" s="1117"/>
      <c r="B60" s="1117"/>
      <c r="C60" s="1117"/>
      <c r="D60" s="1117"/>
      <c r="E60" s="1117"/>
      <c r="F60" s="1117"/>
      <c r="G60" s="1117"/>
      <c r="H60" s="1117"/>
      <c r="I60" s="1117"/>
      <c r="J60" s="1117"/>
      <c r="K60" s="1117"/>
      <c r="L60" s="1117"/>
      <c r="M60" s="1117"/>
      <c r="N60" s="1117"/>
      <c r="O60" s="1117"/>
      <c r="P60" s="1117"/>
      <c r="Q60" s="1117"/>
      <c r="R60" s="1117"/>
      <c r="S60" s="1117"/>
      <c r="T60" s="1117"/>
      <c r="U60" s="1117"/>
      <c r="V60" s="1117"/>
      <c r="W60" s="1117"/>
      <c r="X60" s="1117"/>
      <c r="Y60" s="1117"/>
      <c r="Z60" s="1117"/>
      <c r="AA60" s="1117"/>
      <c r="AB60" s="1117"/>
    </row>
    <row r="61" ht="14.25" customHeight="1">
      <c r="A61" s="1117"/>
      <c r="B61" s="1117"/>
      <c r="C61" s="1117"/>
      <c r="D61" s="1117"/>
      <c r="E61" s="1117"/>
      <c r="F61" s="1117"/>
      <c r="G61" s="1117"/>
      <c r="H61" s="1117"/>
      <c r="I61" s="1117"/>
      <c r="J61" s="1117"/>
      <c r="K61" s="1117"/>
      <c r="L61" s="1117"/>
      <c r="M61" s="1117"/>
      <c r="N61" s="1117"/>
      <c r="O61" s="1117"/>
      <c r="P61" s="1117"/>
      <c r="Q61" s="1117"/>
      <c r="R61" s="1117"/>
      <c r="S61" s="1117"/>
      <c r="T61" s="1117"/>
      <c r="U61" s="1117"/>
      <c r="V61" s="1117"/>
      <c r="W61" s="1117"/>
      <c r="X61" s="1117"/>
      <c r="Y61" s="1117"/>
      <c r="Z61" s="1117"/>
      <c r="AA61" s="1117"/>
      <c r="AB61" s="1117"/>
    </row>
    <row r="62" ht="14.25" customHeight="1">
      <c r="A62" s="1117"/>
      <c r="B62" s="1117"/>
      <c r="C62" s="1117"/>
      <c r="D62" s="1117"/>
      <c r="E62" s="1117"/>
      <c r="F62" s="1117"/>
      <c r="G62" s="1117"/>
      <c r="H62" s="1117"/>
      <c r="I62" s="1117"/>
      <c r="J62" s="1117"/>
      <c r="K62" s="1117"/>
      <c r="L62" s="1117"/>
      <c r="M62" s="1117"/>
      <c r="N62" s="1117"/>
      <c r="O62" s="1117"/>
      <c r="P62" s="1117"/>
      <c r="Q62" s="1117"/>
      <c r="R62" s="1117"/>
      <c r="S62" s="1117"/>
      <c r="T62" s="1117"/>
      <c r="U62" s="1117"/>
      <c r="V62" s="1117"/>
      <c r="W62" s="1117"/>
      <c r="X62" s="1117"/>
      <c r="Y62" s="1117"/>
      <c r="Z62" s="1117"/>
      <c r="AA62" s="1117"/>
      <c r="AB62" s="1117"/>
    </row>
    <row r="63" ht="14.25" customHeight="1">
      <c r="A63" s="1117"/>
      <c r="B63" s="1117"/>
      <c r="C63" s="1117"/>
      <c r="D63" s="1117"/>
      <c r="E63" s="1117"/>
      <c r="F63" s="1117"/>
      <c r="G63" s="1117"/>
      <c r="H63" s="1117"/>
      <c r="I63" s="1117"/>
      <c r="J63" s="1117"/>
      <c r="K63" s="1117"/>
      <c r="L63" s="1117"/>
      <c r="M63" s="1117"/>
      <c r="N63" s="1117"/>
      <c r="O63" s="1117"/>
      <c r="P63" s="1117"/>
      <c r="Q63" s="1117"/>
      <c r="R63" s="1117"/>
      <c r="S63" s="1117"/>
      <c r="T63" s="1117"/>
      <c r="U63" s="1117"/>
      <c r="V63" s="1117"/>
      <c r="W63" s="1117"/>
      <c r="X63" s="1117"/>
      <c r="Y63" s="1117"/>
      <c r="Z63" s="1117"/>
      <c r="AA63" s="1117"/>
      <c r="AB63" s="1117"/>
    </row>
    <row r="64" ht="14.25" customHeight="1">
      <c r="A64" s="1117"/>
      <c r="B64" s="1117"/>
      <c r="C64" s="1117"/>
      <c r="D64" s="1117"/>
      <c r="E64" s="1117"/>
      <c r="F64" s="1117"/>
      <c r="G64" s="1117"/>
      <c r="H64" s="1117"/>
      <c r="I64" s="1117"/>
      <c r="J64" s="1117"/>
      <c r="K64" s="1117"/>
      <c r="L64" s="1117"/>
      <c r="M64" s="1117"/>
      <c r="N64" s="1117"/>
      <c r="O64" s="1117"/>
      <c r="P64" s="1117"/>
      <c r="Q64" s="1117"/>
      <c r="R64" s="1117"/>
      <c r="S64" s="1117"/>
      <c r="T64" s="1117"/>
      <c r="U64" s="1117"/>
      <c r="V64" s="1117"/>
      <c r="W64" s="1117"/>
      <c r="X64" s="1117"/>
      <c r="Y64" s="1117"/>
      <c r="Z64" s="1117"/>
      <c r="AA64" s="1117"/>
      <c r="AB64" s="1117"/>
    </row>
    <row r="65" ht="14.25" customHeight="1">
      <c r="A65" s="1117"/>
      <c r="B65" s="1117"/>
      <c r="C65" s="1117"/>
      <c r="D65" s="1117"/>
      <c r="E65" s="1117"/>
      <c r="F65" s="1117"/>
      <c r="G65" s="1117"/>
      <c r="H65" s="1117"/>
      <c r="I65" s="1117"/>
      <c r="J65" s="1117"/>
      <c r="K65" s="1117"/>
      <c r="L65" s="1117"/>
      <c r="M65" s="1117"/>
      <c r="N65" s="1117"/>
      <c r="O65" s="1117"/>
      <c r="P65" s="1117"/>
      <c r="Q65" s="1117"/>
      <c r="R65" s="1117"/>
      <c r="S65" s="1117"/>
      <c r="T65" s="1117"/>
      <c r="U65" s="1117"/>
      <c r="V65" s="1117"/>
      <c r="W65" s="1117"/>
      <c r="X65" s="1117"/>
      <c r="Y65" s="1117"/>
      <c r="Z65" s="1117"/>
      <c r="AA65" s="1117"/>
      <c r="AB65" s="1117"/>
    </row>
    <row r="66" ht="14.25" customHeight="1">
      <c r="A66" s="1117"/>
      <c r="B66" s="1117"/>
      <c r="C66" s="1117"/>
      <c r="D66" s="1117"/>
      <c r="E66" s="1117"/>
      <c r="F66" s="1117"/>
      <c r="G66" s="1117"/>
      <c r="H66" s="1117"/>
      <c r="I66" s="1117"/>
      <c r="J66" s="1117"/>
      <c r="K66" s="1117"/>
      <c r="L66" s="1117"/>
      <c r="M66" s="1117"/>
      <c r="N66" s="1117"/>
      <c r="O66" s="1117"/>
      <c r="P66" s="1117"/>
      <c r="Q66" s="1117"/>
      <c r="R66" s="1117"/>
      <c r="S66" s="1117"/>
      <c r="T66" s="1117"/>
      <c r="U66" s="1117"/>
      <c r="V66" s="1117"/>
      <c r="W66" s="1117"/>
      <c r="X66" s="1117"/>
      <c r="Y66" s="1117"/>
      <c r="Z66" s="1117"/>
      <c r="AA66" s="1117"/>
      <c r="AB66" s="1117"/>
    </row>
    <row r="67" ht="14.25" customHeight="1">
      <c r="A67" s="1117"/>
      <c r="B67" s="1117"/>
      <c r="C67" s="1117"/>
      <c r="D67" s="1117"/>
      <c r="E67" s="1117"/>
      <c r="F67" s="1117"/>
      <c r="G67" s="1117"/>
      <c r="H67" s="1117"/>
      <c r="I67" s="1117"/>
      <c r="J67" s="1117"/>
      <c r="K67" s="1117"/>
      <c r="L67" s="1117"/>
      <c r="M67" s="1117"/>
      <c r="N67" s="1117"/>
      <c r="O67" s="1117"/>
      <c r="P67" s="1117"/>
      <c r="Q67" s="1117"/>
      <c r="R67" s="1117"/>
      <c r="S67" s="1117"/>
      <c r="T67" s="1117"/>
      <c r="U67" s="1117"/>
      <c r="V67" s="1117"/>
      <c r="W67" s="1117"/>
      <c r="X67" s="1117"/>
      <c r="Y67" s="1117"/>
      <c r="Z67" s="1117"/>
      <c r="AA67" s="1117"/>
      <c r="AB67" s="1117"/>
    </row>
    <row r="68" ht="14.25" customHeight="1">
      <c r="A68" s="1117"/>
      <c r="B68" s="1117"/>
      <c r="C68" s="1117"/>
      <c r="D68" s="1117"/>
      <c r="E68" s="1117"/>
      <c r="F68" s="1117"/>
      <c r="G68" s="1117"/>
      <c r="H68" s="1117"/>
      <c r="I68" s="1117"/>
      <c r="J68" s="1117"/>
      <c r="K68" s="1117"/>
      <c r="L68" s="1117"/>
      <c r="M68" s="1117"/>
      <c r="N68" s="1117"/>
      <c r="O68" s="1117"/>
      <c r="P68" s="1117"/>
      <c r="Q68" s="1117"/>
      <c r="R68" s="1117"/>
      <c r="S68" s="1117"/>
      <c r="T68" s="1117"/>
      <c r="U68" s="1117"/>
      <c r="V68" s="1117"/>
      <c r="W68" s="1117"/>
      <c r="X68" s="1117"/>
      <c r="Y68" s="1117"/>
      <c r="Z68" s="1117"/>
      <c r="AA68" s="1117"/>
      <c r="AB68" s="1117"/>
    </row>
    <row r="69" ht="14.25" customHeight="1">
      <c r="A69" s="1117"/>
      <c r="B69" s="1117"/>
      <c r="C69" s="1117"/>
      <c r="D69" s="1117"/>
      <c r="E69" s="1117"/>
      <c r="F69" s="1117"/>
      <c r="G69" s="1117"/>
      <c r="H69" s="1117"/>
      <c r="I69" s="1117"/>
      <c r="J69" s="1117"/>
      <c r="K69" s="1117"/>
      <c r="L69" s="1117"/>
      <c r="M69" s="1117"/>
      <c r="N69" s="1117"/>
      <c r="O69" s="1117"/>
      <c r="P69" s="1117"/>
      <c r="Q69" s="1117"/>
      <c r="R69" s="1117"/>
      <c r="S69" s="1117"/>
      <c r="T69" s="1117"/>
      <c r="U69" s="1117"/>
      <c r="V69" s="1117"/>
      <c r="W69" s="1117"/>
      <c r="X69" s="1117"/>
      <c r="Y69" s="1117"/>
      <c r="Z69" s="1117"/>
      <c r="AA69" s="1117"/>
      <c r="AB69" s="1117"/>
    </row>
    <row r="70" ht="14.25" customHeight="1">
      <c r="A70" s="1117"/>
      <c r="B70" s="1117"/>
      <c r="C70" s="1117"/>
      <c r="D70" s="1117"/>
      <c r="E70" s="1117"/>
      <c r="F70" s="1117"/>
      <c r="G70" s="1117"/>
      <c r="H70" s="1117"/>
      <c r="I70" s="1117"/>
      <c r="J70" s="1117"/>
      <c r="K70" s="1117"/>
      <c r="L70" s="1117"/>
      <c r="M70" s="1117"/>
      <c r="N70" s="1117"/>
      <c r="O70" s="1117"/>
      <c r="P70" s="1117"/>
      <c r="Q70" s="1117"/>
      <c r="R70" s="1117"/>
      <c r="S70" s="1117"/>
      <c r="T70" s="1117"/>
      <c r="U70" s="1117"/>
      <c r="V70" s="1117"/>
      <c r="W70" s="1117"/>
      <c r="X70" s="1117"/>
      <c r="Y70" s="1117"/>
      <c r="Z70" s="1117"/>
      <c r="AA70" s="1117"/>
      <c r="AB70" s="1117"/>
    </row>
    <row r="71" ht="14.25" customHeight="1">
      <c r="A71" s="1117"/>
      <c r="B71" s="1117"/>
      <c r="C71" s="1117"/>
      <c r="D71" s="1117"/>
      <c r="E71" s="1117"/>
      <c r="F71" s="1117"/>
      <c r="G71" s="1117"/>
      <c r="H71" s="1117"/>
      <c r="I71" s="1117"/>
      <c r="J71" s="1117"/>
      <c r="K71" s="1117"/>
      <c r="L71" s="1117"/>
      <c r="M71" s="1117"/>
      <c r="N71" s="1117"/>
      <c r="O71" s="1117"/>
      <c r="P71" s="1117"/>
      <c r="Q71" s="1117"/>
      <c r="R71" s="1117"/>
      <c r="S71" s="1117"/>
      <c r="T71" s="1117"/>
      <c r="U71" s="1117"/>
      <c r="V71" s="1117"/>
      <c r="W71" s="1117"/>
      <c r="X71" s="1117"/>
      <c r="Y71" s="1117"/>
      <c r="Z71" s="1117"/>
      <c r="AA71" s="1117"/>
      <c r="AB71" s="1117"/>
    </row>
    <row r="72" ht="14.25" customHeight="1">
      <c r="A72" s="1117"/>
      <c r="B72" s="1117"/>
      <c r="C72" s="1117"/>
      <c r="D72" s="1117"/>
      <c r="E72" s="1117"/>
      <c r="F72" s="1117"/>
      <c r="G72" s="1117"/>
      <c r="H72" s="1117"/>
      <c r="I72" s="1117"/>
      <c r="J72" s="1117"/>
      <c r="K72" s="1117"/>
      <c r="L72" s="1117"/>
      <c r="M72" s="1117"/>
      <c r="N72" s="1117"/>
      <c r="O72" s="1117"/>
      <c r="P72" s="1117"/>
      <c r="Q72" s="1117"/>
      <c r="R72" s="1117"/>
      <c r="S72" s="1117"/>
      <c r="T72" s="1117"/>
      <c r="U72" s="1117"/>
      <c r="V72" s="1117"/>
      <c r="W72" s="1117"/>
      <c r="X72" s="1117"/>
      <c r="Y72" s="1117"/>
      <c r="Z72" s="1117"/>
      <c r="AA72" s="1117"/>
      <c r="AB72" s="1117"/>
    </row>
    <row r="73" ht="14.25" customHeight="1">
      <c r="A73" s="1117"/>
      <c r="B73" s="1117"/>
      <c r="C73" s="1117"/>
      <c r="D73" s="1117"/>
      <c r="E73" s="1117"/>
      <c r="F73" s="1117"/>
      <c r="G73" s="1117"/>
      <c r="H73" s="1117"/>
      <c r="I73" s="1117"/>
      <c r="J73" s="1117"/>
      <c r="K73" s="1117"/>
      <c r="L73" s="1117"/>
      <c r="M73" s="1117"/>
      <c r="N73" s="1117"/>
      <c r="O73" s="1117"/>
      <c r="P73" s="1117"/>
      <c r="Q73" s="1117"/>
      <c r="R73" s="1117"/>
      <c r="S73" s="1117"/>
      <c r="T73" s="1117"/>
      <c r="U73" s="1117"/>
      <c r="V73" s="1117"/>
      <c r="W73" s="1117"/>
      <c r="X73" s="1117"/>
      <c r="Y73" s="1117"/>
      <c r="Z73" s="1117"/>
      <c r="AA73" s="1117"/>
      <c r="AB73" s="1117"/>
    </row>
    <row r="74" ht="14.25" customHeight="1">
      <c r="A74" s="1117"/>
      <c r="B74" s="1117"/>
      <c r="C74" s="1117"/>
      <c r="D74" s="1117"/>
      <c r="E74" s="1117"/>
      <c r="F74" s="1117"/>
      <c r="G74" s="1117"/>
      <c r="H74" s="1117"/>
      <c r="I74" s="1117"/>
      <c r="J74" s="1117"/>
      <c r="K74" s="1117"/>
      <c r="L74" s="1117"/>
      <c r="M74" s="1117"/>
      <c r="N74" s="1117"/>
      <c r="O74" s="1117"/>
      <c r="P74" s="1117"/>
      <c r="Q74" s="1117"/>
      <c r="R74" s="1117"/>
      <c r="S74" s="1117"/>
      <c r="T74" s="1117"/>
      <c r="U74" s="1117"/>
      <c r="V74" s="1117"/>
      <c r="W74" s="1117"/>
      <c r="X74" s="1117"/>
      <c r="Y74" s="1117"/>
      <c r="Z74" s="1117"/>
      <c r="AA74" s="1117"/>
      <c r="AB74" s="1117"/>
    </row>
    <row r="75" ht="14.25" customHeight="1">
      <c r="A75" s="1117"/>
      <c r="B75" s="1117"/>
      <c r="C75" s="1117"/>
      <c r="D75" s="1117"/>
      <c r="E75" s="1117"/>
      <c r="F75" s="1117"/>
      <c r="G75" s="1117"/>
      <c r="H75" s="1117"/>
      <c r="I75" s="1117"/>
      <c r="J75" s="1117"/>
      <c r="K75" s="1117"/>
      <c r="L75" s="1117"/>
      <c r="M75" s="1117"/>
      <c r="N75" s="1117"/>
      <c r="O75" s="1117"/>
      <c r="P75" s="1117"/>
      <c r="Q75" s="1117"/>
      <c r="R75" s="1117"/>
      <c r="S75" s="1117"/>
      <c r="T75" s="1117"/>
      <c r="U75" s="1117"/>
      <c r="V75" s="1117"/>
      <c r="W75" s="1117"/>
      <c r="X75" s="1117"/>
      <c r="Y75" s="1117"/>
      <c r="Z75" s="1117"/>
      <c r="AA75" s="1117"/>
      <c r="AB75" s="1117"/>
    </row>
    <row r="76" ht="14.25" customHeight="1">
      <c r="A76" s="1117"/>
      <c r="B76" s="1117"/>
      <c r="C76" s="1117"/>
      <c r="D76" s="1117"/>
      <c r="E76" s="1117"/>
      <c r="F76" s="1117"/>
      <c r="G76" s="1117"/>
      <c r="H76" s="1117"/>
      <c r="I76" s="1117"/>
      <c r="J76" s="1117"/>
      <c r="K76" s="1117"/>
      <c r="L76" s="1117"/>
      <c r="M76" s="1117"/>
      <c r="N76" s="1117"/>
      <c r="O76" s="1117"/>
      <c r="P76" s="1117"/>
      <c r="Q76" s="1117"/>
      <c r="R76" s="1117"/>
      <c r="S76" s="1117"/>
      <c r="T76" s="1117"/>
      <c r="U76" s="1117"/>
      <c r="V76" s="1117"/>
      <c r="W76" s="1117"/>
      <c r="X76" s="1117"/>
      <c r="Y76" s="1117"/>
      <c r="Z76" s="1117"/>
      <c r="AA76" s="1117"/>
      <c r="AB76" s="1117"/>
    </row>
    <row r="77" ht="14.25" customHeight="1">
      <c r="A77" s="1117"/>
      <c r="B77" s="1117"/>
      <c r="C77" s="1117"/>
      <c r="D77" s="1117"/>
      <c r="E77" s="1117"/>
      <c r="F77" s="1117"/>
      <c r="G77" s="1117"/>
      <c r="H77" s="1117"/>
      <c r="I77" s="1117"/>
      <c r="J77" s="1117"/>
      <c r="K77" s="1117"/>
      <c r="L77" s="1117"/>
      <c r="M77" s="1117"/>
      <c r="N77" s="1117"/>
      <c r="O77" s="1117"/>
      <c r="P77" s="1117"/>
      <c r="Q77" s="1117"/>
      <c r="R77" s="1117"/>
      <c r="S77" s="1117"/>
      <c r="T77" s="1117"/>
      <c r="U77" s="1117"/>
      <c r="V77" s="1117"/>
      <c r="W77" s="1117"/>
      <c r="X77" s="1117"/>
      <c r="Y77" s="1117"/>
      <c r="Z77" s="1117"/>
      <c r="AA77" s="1117"/>
      <c r="AB77" s="1117"/>
    </row>
    <row r="78" ht="14.25" customHeight="1">
      <c r="A78" s="1117"/>
      <c r="B78" s="1117"/>
      <c r="C78" s="1117"/>
      <c r="D78" s="1117"/>
      <c r="E78" s="1117"/>
      <c r="F78" s="1117"/>
      <c r="G78" s="1117"/>
      <c r="H78" s="1117"/>
      <c r="I78" s="1117"/>
      <c r="J78" s="1117"/>
      <c r="K78" s="1117"/>
      <c r="L78" s="1117"/>
      <c r="M78" s="1117"/>
      <c r="N78" s="1117"/>
      <c r="O78" s="1117"/>
      <c r="P78" s="1117"/>
      <c r="Q78" s="1117"/>
      <c r="R78" s="1117"/>
      <c r="S78" s="1117"/>
      <c r="T78" s="1117"/>
      <c r="U78" s="1117"/>
      <c r="V78" s="1117"/>
      <c r="W78" s="1117"/>
      <c r="X78" s="1117"/>
      <c r="Y78" s="1117"/>
      <c r="Z78" s="1117"/>
      <c r="AA78" s="1117"/>
      <c r="AB78" s="1117"/>
    </row>
    <row r="79" ht="14.25" customHeight="1">
      <c r="A79" s="1117"/>
      <c r="B79" s="1117"/>
      <c r="C79" s="1117"/>
      <c r="D79" s="1117"/>
      <c r="E79" s="1117"/>
      <c r="F79" s="1117"/>
      <c r="G79" s="1117"/>
      <c r="H79" s="1117"/>
      <c r="I79" s="1117"/>
      <c r="J79" s="1117"/>
      <c r="K79" s="1117"/>
      <c r="L79" s="1117"/>
      <c r="M79" s="1117"/>
      <c r="N79" s="1117"/>
      <c r="O79" s="1117"/>
      <c r="P79" s="1117"/>
      <c r="Q79" s="1117"/>
      <c r="R79" s="1117"/>
      <c r="S79" s="1117"/>
      <c r="T79" s="1117"/>
      <c r="U79" s="1117"/>
      <c r="V79" s="1117"/>
      <c r="W79" s="1117"/>
      <c r="X79" s="1117"/>
      <c r="Y79" s="1117"/>
      <c r="Z79" s="1117"/>
      <c r="AA79" s="1117"/>
      <c r="AB79" s="1117"/>
    </row>
    <row r="80" ht="14.25" customHeight="1">
      <c r="A80" s="1117"/>
      <c r="B80" s="1117"/>
      <c r="C80" s="1117"/>
      <c r="D80" s="1117"/>
      <c r="E80" s="1117"/>
      <c r="F80" s="1117"/>
      <c r="G80" s="1117"/>
      <c r="H80" s="1117"/>
      <c r="I80" s="1117"/>
      <c r="J80" s="1117"/>
      <c r="K80" s="1117"/>
      <c r="L80" s="1117"/>
      <c r="M80" s="1117"/>
      <c r="N80" s="1117"/>
      <c r="O80" s="1117"/>
      <c r="P80" s="1117"/>
      <c r="Q80" s="1117"/>
      <c r="R80" s="1117"/>
      <c r="S80" s="1117"/>
      <c r="T80" s="1117"/>
      <c r="U80" s="1117"/>
      <c r="V80" s="1117"/>
      <c r="W80" s="1117"/>
      <c r="X80" s="1117"/>
      <c r="Y80" s="1117"/>
      <c r="Z80" s="1117"/>
      <c r="AA80" s="1117"/>
      <c r="AB80" s="1117"/>
    </row>
    <row r="81" ht="14.25" customHeight="1">
      <c r="A81" s="1117"/>
      <c r="B81" s="1117"/>
      <c r="C81" s="1117"/>
      <c r="D81" s="1117"/>
      <c r="E81" s="1117"/>
      <c r="F81" s="1117"/>
      <c r="G81" s="1117"/>
      <c r="H81" s="1117"/>
      <c r="I81" s="1117"/>
      <c r="J81" s="1117"/>
      <c r="K81" s="1117"/>
      <c r="L81" s="1117"/>
      <c r="M81" s="1117"/>
      <c r="N81" s="1117"/>
      <c r="O81" s="1117"/>
      <c r="P81" s="1117"/>
      <c r="Q81" s="1117"/>
      <c r="R81" s="1117"/>
      <c r="S81" s="1117"/>
      <c r="T81" s="1117"/>
      <c r="U81" s="1117"/>
      <c r="V81" s="1117"/>
      <c r="W81" s="1117"/>
      <c r="X81" s="1117"/>
      <c r="Y81" s="1117"/>
      <c r="Z81" s="1117"/>
      <c r="AA81" s="1117"/>
      <c r="AB81" s="1117"/>
    </row>
    <row r="82" ht="14.25" customHeight="1">
      <c r="A82" s="1117"/>
      <c r="B82" s="1117"/>
      <c r="C82" s="1117"/>
      <c r="D82" s="1117"/>
      <c r="E82" s="1117"/>
      <c r="F82" s="1117"/>
      <c r="G82" s="1117"/>
      <c r="H82" s="1117"/>
      <c r="I82" s="1117"/>
      <c r="J82" s="1117"/>
      <c r="K82" s="1117"/>
      <c r="L82" s="1117"/>
      <c r="M82" s="1117"/>
      <c r="N82" s="1117"/>
      <c r="O82" s="1117"/>
      <c r="P82" s="1117"/>
      <c r="Q82" s="1117"/>
      <c r="R82" s="1117"/>
      <c r="S82" s="1117"/>
      <c r="T82" s="1117"/>
      <c r="U82" s="1117"/>
      <c r="V82" s="1117"/>
      <c r="W82" s="1117"/>
      <c r="X82" s="1117"/>
      <c r="Y82" s="1117"/>
      <c r="Z82" s="1117"/>
      <c r="AA82" s="1117"/>
      <c r="AB82" s="1117"/>
    </row>
    <row r="83" ht="14.25" customHeight="1">
      <c r="A83" s="1117"/>
      <c r="B83" s="1117"/>
      <c r="C83" s="1117"/>
      <c r="D83" s="1117"/>
      <c r="E83" s="1117"/>
      <c r="F83" s="1117"/>
      <c r="G83" s="1117"/>
      <c r="H83" s="1117"/>
      <c r="I83" s="1117"/>
      <c r="J83" s="1117"/>
      <c r="K83" s="1117"/>
      <c r="L83" s="1117"/>
      <c r="M83" s="1117"/>
      <c r="N83" s="1117"/>
      <c r="O83" s="1117"/>
      <c r="P83" s="1117"/>
      <c r="Q83" s="1117"/>
      <c r="R83" s="1117"/>
      <c r="S83" s="1117"/>
      <c r="T83" s="1117"/>
      <c r="U83" s="1117"/>
      <c r="V83" s="1117"/>
      <c r="W83" s="1117"/>
      <c r="X83" s="1117"/>
      <c r="Y83" s="1117"/>
      <c r="Z83" s="1117"/>
      <c r="AA83" s="1117"/>
      <c r="AB83" s="1117"/>
    </row>
    <row r="84" ht="14.25" customHeight="1">
      <c r="A84" s="1117"/>
      <c r="B84" s="1117"/>
      <c r="C84" s="1117"/>
      <c r="D84" s="1117"/>
      <c r="E84" s="1117"/>
      <c r="F84" s="1117"/>
      <c r="G84" s="1117"/>
      <c r="H84" s="1117"/>
      <c r="I84" s="1117"/>
      <c r="J84" s="1117"/>
      <c r="K84" s="1117"/>
      <c r="L84" s="1117"/>
      <c r="M84" s="1117"/>
      <c r="N84" s="1117"/>
      <c r="O84" s="1117"/>
      <c r="P84" s="1117"/>
      <c r="Q84" s="1117"/>
      <c r="R84" s="1117"/>
      <c r="S84" s="1117"/>
      <c r="T84" s="1117"/>
      <c r="U84" s="1117"/>
      <c r="V84" s="1117"/>
      <c r="W84" s="1117"/>
      <c r="X84" s="1117"/>
      <c r="Y84" s="1117"/>
      <c r="Z84" s="1117"/>
      <c r="AA84" s="1117"/>
      <c r="AB84" s="1117"/>
    </row>
    <row r="85" ht="14.25" customHeight="1">
      <c r="A85" s="1117"/>
      <c r="B85" s="1117"/>
      <c r="C85" s="1117"/>
      <c r="D85" s="1117"/>
      <c r="E85" s="1117"/>
      <c r="F85" s="1117"/>
      <c r="G85" s="1117"/>
      <c r="H85" s="1117"/>
      <c r="I85" s="1117"/>
      <c r="J85" s="1117"/>
      <c r="K85" s="1117"/>
      <c r="L85" s="1117"/>
      <c r="M85" s="1117"/>
      <c r="N85" s="1117"/>
      <c r="O85" s="1117"/>
      <c r="P85" s="1117"/>
      <c r="Q85" s="1117"/>
      <c r="R85" s="1117"/>
      <c r="S85" s="1117"/>
      <c r="T85" s="1117"/>
      <c r="U85" s="1117"/>
      <c r="V85" s="1117"/>
      <c r="W85" s="1117"/>
      <c r="X85" s="1117"/>
      <c r="Y85" s="1117"/>
      <c r="Z85" s="1117"/>
      <c r="AA85" s="1117"/>
      <c r="AB85" s="1117"/>
    </row>
    <row r="86" ht="14.25" customHeight="1">
      <c r="A86" s="1117"/>
      <c r="B86" s="1117"/>
      <c r="C86" s="1117"/>
      <c r="D86" s="1117"/>
      <c r="E86" s="1117"/>
      <c r="F86" s="1117"/>
      <c r="G86" s="1117"/>
      <c r="H86" s="1117"/>
      <c r="I86" s="1117"/>
      <c r="J86" s="1117"/>
      <c r="K86" s="1117"/>
      <c r="L86" s="1117"/>
      <c r="M86" s="1117"/>
      <c r="N86" s="1117"/>
      <c r="O86" s="1117"/>
      <c r="P86" s="1117"/>
      <c r="Q86" s="1117"/>
      <c r="R86" s="1117"/>
      <c r="S86" s="1117"/>
      <c r="T86" s="1117"/>
      <c r="U86" s="1117"/>
      <c r="V86" s="1117"/>
      <c r="W86" s="1117"/>
      <c r="X86" s="1117"/>
      <c r="Y86" s="1117"/>
      <c r="Z86" s="1117"/>
      <c r="AA86" s="1117"/>
      <c r="AB86" s="1117"/>
    </row>
    <row r="87" ht="14.25" customHeight="1">
      <c r="A87" s="1117"/>
      <c r="B87" s="1117"/>
      <c r="C87" s="1117"/>
      <c r="D87" s="1117"/>
      <c r="E87" s="1117"/>
      <c r="F87" s="1117"/>
      <c r="G87" s="1117"/>
      <c r="H87" s="1117"/>
      <c r="I87" s="1117"/>
      <c r="J87" s="1117"/>
      <c r="K87" s="1117"/>
      <c r="L87" s="1117"/>
      <c r="M87" s="1117"/>
      <c r="N87" s="1117"/>
      <c r="O87" s="1117"/>
      <c r="P87" s="1117"/>
      <c r="Q87" s="1117"/>
      <c r="R87" s="1117"/>
      <c r="S87" s="1117"/>
      <c r="T87" s="1117"/>
      <c r="U87" s="1117"/>
      <c r="V87" s="1117"/>
      <c r="W87" s="1117"/>
      <c r="X87" s="1117"/>
      <c r="Y87" s="1117"/>
      <c r="Z87" s="1117"/>
      <c r="AA87" s="1117"/>
      <c r="AB87" s="1117"/>
    </row>
    <row r="88" ht="14.25" customHeight="1">
      <c r="A88" s="1117"/>
      <c r="B88" s="1117"/>
      <c r="C88" s="1117"/>
      <c r="D88" s="1117"/>
      <c r="E88" s="1117"/>
      <c r="F88" s="1117"/>
      <c r="G88" s="1117"/>
      <c r="H88" s="1117"/>
      <c r="I88" s="1117"/>
      <c r="J88" s="1117"/>
      <c r="K88" s="1117"/>
      <c r="L88" s="1117"/>
      <c r="M88" s="1117"/>
      <c r="N88" s="1117"/>
      <c r="O88" s="1117"/>
      <c r="P88" s="1117"/>
      <c r="Q88" s="1117"/>
      <c r="R88" s="1117"/>
      <c r="S88" s="1117"/>
      <c r="T88" s="1117"/>
      <c r="U88" s="1117"/>
      <c r="V88" s="1117"/>
      <c r="W88" s="1117"/>
      <c r="X88" s="1117"/>
      <c r="Y88" s="1117"/>
      <c r="Z88" s="1117"/>
      <c r="AA88" s="1117"/>
      <c r="AB88" s="1117"/>
    </row>
    <row r="89" ht="14.25" customHeight="1">
      <c r="A89" s="1117"/>
      <c r="B89" s="1117"/>
      <c r="C89" s="1117"/>
      <c r="D89" s="1117"/>
      <c r="E89" s="1117"/>
      <c r="F89" s="1117"/>
      <c r="G89" s="1117"/>
      <c r="H89" s="1117"/>
      <c r="I89" s="1117"/>
      <c r="J89" s="1117"/>
      <c r="K89" s="1117"/>
      <c r="L89" s="1117"/>
      <c r="M89" s="1117"/>
      <c r="N89" s="1117"/>
      <c r="O89" s="1117"/>
      <c r="P89" s="1117"/>
      <c r="Q89" s="1117"/>
      <c r="R89" s="1117"/>
      <c r="S89" s="1117"/>
      <c r="T89" s="1117"/>
      <c r="U89" s="1117"/>
      <c r="V89" s="1117"/>
      <c r="W89" s="1117"/>
      <c r="X89" s="1117"/>
      <c r="Y89" s="1117"/>
      <c r="Z89" s="1117"/>
      <c r="AA89" s="1117"/>
      <c r="AB89" s="1117"/>
    </row>
    <row r="90" ht="14.25" customHeight="1">
      <c r="A90" s="1117"/>
      <c r="B90" s="1117"/>
      <c r="C90" s="1117"/>
      <c r="D90" s="1117"/>
      <c r="E90" s="1117"/>
      <c r="F90" s="1117"/>
      <c r="G90" s="1117"/>
      <c r="H90" s="1117"/>
      <c r="I90" s="1117"/>
      <c r="J90" s="1117"/>
      <c r="K90" s="1117"/>
      <c r="L90" s="1117"/>
      <c r="M90" s="1117"/>
      <c r="N90" s="1117"/>
      <c r="O90" s="1117"/>
      <c r="P90" s="1117"/>
      <c r="Q90" s="1117"/>
      <c r="R90" s="1117"/>
      <c r="S90" s="1117"/>
      <c r="T90" s="1117"/>
      <c r="U90" s="1117"/>
      <c r="V90" s="1117"/>
      <c r="W90" s="1117"/>
      <c r="X90" s="1117"/>
      <c r="Y90" s="1117"/>
      <c r="Z90" s="1117"/>
      <c r="AA90" s="1117"/>
      <c r="AB90" s="1117"/>
    </row>
    <row r="91" ht="14.25" customHeight="1">
      <c r="A91" s="1117"/>
      <c r="B91" s="1117"/>
      <c r="C91" s="1117"/>
      <c r="D91" s="1117"/>
      <c r="E91" s="1117"/>
      <c r="F91" s="1117"/>
      <c r="G91" s="1117"/>
      <c r="H91" s="1117"/>
      <c r="I91" s="1117"/>
      <c r="J91" s="1117"/>
      <c r="K91" s="1117"/>
      <c r="L91" s="1117"/>
      <c r="M91" s="1117"/>
      <c r="N91" s="1117"/>
      <c r="O91" s="1117"/>
      <c r="P91" s="1117"/>
      <c r="Q91" s="1117"/>
      <c r="R91" s="1117"/>
      <c r="S91" s="1117"/>
      <c r="T91" s="1117"/>
      <c r="U91" s="1117"/>
      <c r="V91" s="1117"/>
      <c r="W91" s="1117"/>
      <c r="X91" s="1117"/>
      <c r="Y91" s="1117"/>
      <c r="Z91" s="1117"/>
      <c r="AA91" s="1117"/>
      <c r="AB91" s="1117"/>
    </row>
    <row r="92" ht="14.25" customHeight="1">
      <c r="A92" s="1117"/>
      <c r="B92" s="1117"/>
      <c r="C92" s="1117"/>
      <c r="D92" s="1117"/>
      <c r="E92" s="1117"/>
      <c r="F92" s="1117"/>
      <c r="G92" s="1117"/>
      <c r="H92" s="1117"/>
      <c r="I92" s="1117"/>
      <c r="J92" s="1117"/>
      <c r="K92" s="1117"/>
      <c r="L92" s="1117"/>
      <c r="M92" s="1117"/>
      <c r="N92" s="1117"/>
      <c r="O92" s="1117"/>
      <c r="P92" s="1117"/>
      <c r="Q92" s="1117"/>
      <c r="R92" s="1117"/>
      <c r="S92" s="1117"/>
      <c r="T92" s="1117"/>
      <c r="U92" s="1117"/>
      <c r="V92" s="1117"/>
      <c r="W92" s="1117"/>
      <c r="X92" s="1117"/>
      <c r="Y92" s="1117"/>
      <c r="Z92" s="1117"/>
      <c r="AA92" s="1117"/>
      <c r="AB92" s="1117"/>
    </row>
    <row r="93" ht="14.25" customHeight="1">
      <c r="A93" s="1117"/>
      <c r="B93" s="1117"/>
      <c r="C93" s="1117"/>
      <c r="D93" s="1117"/>
      <c r="E93" s="1117"/>
      <c r="F93" s="1117"/>
      <c r="G93" s="1117"/>
      <c r="H93" s="1117"/>
      <c r="I93" s="1117"/>
      <c r="J93" s="1117"/>
      <c r="K93" s="1117"/>
      <c r="L93" s="1117"/>
      <c r="M93" s="1117"/>
      <c r="N93" s="1117"/>
      <c r="O93" s="1117"/>
      <c r="P93" s="1117"/>
      <c r="Q93" s="1117"/>
      <c r="R93" s="1117"/>
      <c r="S93" s="1117"/>
      <c r="T93" s="1117"/>
      <c r="U93" s="1117"/>
      <c r="V93" s="1117"/>
      <c r="W93" s="1117"/>
      <c r="X93" s="1117"/>
      <c r="Y93" s="1117"/>
      <c r="Z93" s="1117"/>
      <c r="AA93" s="1117"/>
      <c r="AB93" s="1117"/>
    </row>
    <row r="94" ht="14.25" customHeight="1">
      <c r="A94" s="1117"/>
      <c r="B94" s="1117"/>
      <c r="C94" s="1117"/>
      <c r="D94" s="1117"/>
      <c r="E94" s="1117"/>
      <c r="F94" s="1117"/>
      <c r="G94" s="1117"/>
      <c r="H94" s="1117"/>
      <c r="I94" s="1117"/>
      <c r="J94" s="1117"/>
      <c r="K94" s="1117"/>
      <c r="L94" s="1117"/>
      <c r="M94" s="1117"/>
      <c r="N94" s="1117"/>
      <c r="O94" s="1117"/>
      <c r="P94" s="1117"/>
      <c r="Q94" s="1117"/>
      <c r="R94" s="1117"/>
      <c r="S94" s="1117"/>
      <c r="T94" s="1117"/>
      <c r="U94" s="1117"/>
      <c r="V94" s="1117"/>
      <c r="W94" s="1117"/>
      <c r="X94" s="1117"/>
      <c r="Y94" s="1117"/>
      <c r="Z94" s="1117"/>
      <c r="AA94" s="1117"/>
      <c r="AB94" s="1117"/>
    </row>
    <row r="95" ht="14.25" customHeight="1">
      <c r="A95" s="1117"/>
      <c r="B95" s="1117"/>
      <c r="C95" s="1117"/>
      <c r="D95" s="1117"/>
      <c r="E95" s="1117"/>
      <c r="F95" s="1117"/>
      <c r="G95" s="1117"/>
      <c r="H95" s="1117"/>
      <c r="I95" s="1117"/>
      <c r="J95" s="1117"/>
      <c r="K95" s="1117"/>
      <c r="L95" s="1117"/>
      <c r="M95" s="1117"/>
      <c r="N95" s="1117"/>
      <c r="O95" s="1117"/>
      <c r="P95" s="1117"/>
      <c r="Q95" s="1117"/>
      <c r="R95" s="1117"/>
      <c r="S95" s="1117"/>
      <c r="T95" s="1117"/>
      <c r="U95" s="1117"/>
      <c r="V95" s="1117"/>
      <c r="W95" s="1117"/>
      <c r="X95" s="1117"/>
      <c r="Y95" s="1117"/>
      <c r="Z95" s="1117"/>
      <c r="AA95" s="1117"/>
      <c r="AB95" s="1117"/>
    </row>
    <row r="96" ht="14.25" customHeight="1">
      <c r="A96" s="1117"/>
      <c r="B96" s="1117"/>
      <c r="C96" s="1117"/>
      <c r="D96" s="1117"/>
      <c r="E96" s="1117"/>
      <c r="F96" s="1117"/>
      <c r="G96" s="1117"/>
      <c r="H96" s="1117"/>
      <c r="I96" s="1117"/>
      <c r="J96" s="1117"/>
      <c r="K96" s="1117"/>
      <c r="L96" s="1117"/>
      <c r="M96" s="1117"/>
      <c r="N96" s="1117"/>
      <c r="O96" s="1117"/>
      <c r="P96" s="1117"/>
      <c r="Q96" s="1117"/>
      <c r="R96" s="1117"/>
      <c r="S96" s="1117"/>
      <c r="T96" s="1117"/>
      <c r="U96" s="1117"/>
      <c r="V96" s="1117"/>
      <c r="W96" s="1117"/>
      <c r="X96" s="1117"/>
      <c r="Y96" s="1117"/>
      <c r="Z96" s="1117"/>
      <c r="AA96" s="1117"/>
      <c r="AB96" s="1117"/>
    </row>
    <row r="97" ht="14.25" customHeight="1">
      <c r="A97" s="1117"/>
      <c r="B97" s="1117"/>
      <c r="C97" s="1117"/>
      <c r="D97" s="1117"/>
      <c r="E97" s="1117"/>
      <c r="F97" s="1117"/>
      <c r="G97" s="1117"/>
      <c r="H97" s="1117"/>
      <c r="I97" s="1117"/>
      <c r="J97" s="1117"/>
      <c r="K97" s="1117"/>
      <c r="L97" s="1117"/>
      <c r="M97" s="1117"/>
      <c r="N97" s="1117"/>
      <c r="O97" s="1117"/>
      <c r="P97" s="1117"/>
      <c r="Q97" s="1117"/>
      <c r="R97" s="1117"/>
      <c r="S97" s="1117"/>
      <c r="T97" s="1117"/>
      <c r="U97" s="1117"/>
      <c r="V97" s="1117"/>
      <c r="W97" s="1117"/>
      <c r="X97" s="1117"/>
      <c r="Y97" s="1117"/>
      <c r="Z97" s="1117"/>
      <c r="AA97" s="1117"/>
      <c r="AB97" s="1117"/>
    </row>
    <row r="98" ht="14.25" customHeight="1">
      <c r="A98" s="1117"/>
      <c r="B98" s="1117"/>
      <c r="C98" s="1117"/>
      <c r="D98" s="1117"/>
      <c r="E98" s="1117"/>
      <c r="F98" s="1117"/>
      <c r="G98" s="1117"/>
      <c r="H98" s="1117"/>
      <c r="I98" s="1117"/>
      <c r="J98" s="1117"/>
      <c r="K98" s="1117"/>
      <c r="L98" s="1117"/>
      <c r="M98" s="1117"/>
      <c r="N98" s="1117"/>
      <c r="O98" s="1117"/>
      <c r="P98" s="1117"/>
      <c r="Q98" s="1117"/>
      <c r="R98" s="1117"/>
      <c r="S98" s="1117"/>
      <c r="T98" s="1117"/>
      <c r="U98" s="1117"/>
      <c r="V98" s="1117"/>
      <c r="W98" s="1117"/>
      <c r="X98" s="1117"/>
      <c r="Y98" s="1117"/>
      <c r="Z98" s="1117"/>
      <c r="AA98" s="1117"/>
      <c r="AB98" s="1117"/>
    </row>
    <row r="99" ht="14.25" customHeight="1">
      <c r="A99" s="1117"/>
      <c r="B99" s="1117"/>
      <c r="C99" s="1117"/>
      <c r="D99" s="1117"/>
      <c r="E99" s="1117"/>
      <c r="F99" s="1117"/>
      <c r="G99" s="1117"/>
      <c r="H99" s="1117"/>
      <c r="I99" s="1117"/>
      <c r="J99" s="1117"/>
      <c r="K99" s="1117"/>
      <c r="L99" s="1117"/>
      <c r="M99" s="1117"/>
      <c r="N99" s="1117"/>
      <c r="O99" s="1117"/>
      <c r="P99" s="1117"/>
      <c r="Q99" s="1117"/>
      <c r="R99" s="1117"/>
      <c r="S99" s="1117"/>
      <c r="T99" s="1117"/>
      <c r="U99" s="1117"/>
      <c r="V99" s="1117"/>
      <c r="W99" s="1117"/>
      <c r="X99" s="1117"/>
      <c r="Y99" s="1117"/>
      <c r="Z99" s="1117"/>
      <c r="AA99" s="1117"/>
      <c r="AB99" s="1117"/>
    </row>
    <row r="100" ht="14.25" customHeight="1">
      <c r="A100" s="1117"/>
      <c r="B100" s="1117"/>
      <c r="C100" s="1117"/>
      <c r="D100" s="1117"/>
      <c r="E100" s="1117"/>
      <c r="F100" s="1117"/>
      <c r="G100" s="1117"/>
      <c r="H100" s="1117"/>
      <c r="I100" s="1117"/>
      <c r="J100" s="1117"/>
      <c r="K100" s="1117"/>
      <c r="L100" s="1117"/>
      <c r="M100" s="1117"/>
      <c r="N100" s="1117"/>
      <c r="O100" s="1117"/>
      <c r="P100" s="1117"/>
      <c r="Q100" s="1117"/>
      <c r="R100" s="1117"/>
      <c r="S100" s="1117"/>
      <c r="T100" s="1117"/>
      <c r="U100" s="1117"/>
      <c r="V100" s="1117"/>
      <c r="W100" s="1117"/>
      <c r="X100" s="1117"/>
      <c r="Y100" s="1117"/>
      <c r="Z100" s="1117"/>
      <c r="AA100" s="1117"/>
      <c r="AB100" s="1117"/>
    </row>
    <row r="101" ht="14.25" customHeight="1">
      <c r="A101" s="1117"/>
      <c r="B101" s="1117"/>
      <c r="C101" s="1117"/>
      <c r="D101" s="1117"/>
      <c r="E101" s="1117"/>
      <c r="F101" s="1117"/>
      <c r="G101" s="1117"/>
      <c r="H101" s="1117"/>
      <c r="I101" s="1117"/>
      <c r="J101" s="1117"/>
      <c r="K101" s="1117"/>
      <c r="L101" s="1117"/>
      <c r="M101" s="1117"/>
      <c r="N101" s="1117"/>
      <c r="O101" s="1117"/>
      <c r="P101" s="1117"/>
      <c r="Q101" s="1117"/>
      <c r="R101" s="1117"/>
      <c r="S101" s="1117"/>
      <c r="T101" s="1117"/>
      <c r="U101" s="1117"/>
      <c r="V101" s="1117"/>
      <c r="W101" s="1117"/>
      <c r="X101" s="1117"/>
      <c r="Y101" s="1117"/>
      <c r="Z101" s="1117"/>
      <c r="AA101" s="1117"/>
      <c r="AB101" s="1117"/>
    </row>
    <row r="102" ht="14.25" customHeight="1">
      <c r="A102" s="1117"/>
      <c r="B102" s="1117"/>
      <c r="C102" s="1117"/>
      <c r="D102" s="1117"/>
      <c r="E102" s="1117"/>
      <c r="F102" s="1117"/>
      <c r="G102" s="1117"/>
      <c r="H102" s="1117"/>
      <c r="I102" s="1117"/>
      <c r="J102" s="1117"/>
      <c r="K102" s="1117"/>
      <c r="L102" s="1117"/>
      <c r="M102" s="1117"/>
      <c r="N102" s="1117"/>
      <c r="O102" s="1117"/>
      <c r="P102" s="1117"/>
      <c r="Q102" s="1117"/>
      <c r="R102" s="1117"/>
      <c r="S102" s="1117"/>
      <c r="T102" s="1117"/>
      <c r="U102" s="1117"/>
      <c r="V102" s="1117"/>
      <c r="W102" s="1117"/>
      <c r="X102" s="1117"/>
      <c r="Y102" s="1117"/>
      <c r="Z102" s="1117"/>
      <c r="AA102" s="1117"/>
      <c r="AB102" s="1117"/>
    </row>
    <row r="103" ht="14.25" customHeight="1">
      <c r="A103" s="1117"/>
      <c r="B103" s="1117"/>
      <c r="C103" s="1117"/>
      <c r="D103" s="1117"/>
      <c r="E103" s="1117"/>
      <c r="F103" s="1117"/>
      <c r="G103" s="1117"/>
      <c r="H103" s="1117"/>
      <c r="I103" s="1117"/>
      <c r="J103" s="1117"/>
      <c r="K103" s="1117"/>
      <c r="L103" s="1117"/>
      <c r="M103" s="1117"/>
      <c r="N103" s="1117"/>
      <c r="O103" s="1117"/>
      <c r="P103" s="1117"/>
      <c r="Q103" s="1117"/>
      <c r="R103" s="1117"/>
      <c r="S103" s="1117"/>
      <c r="T103" s="1117"/>
      <c r="U103" s="1117"/>
      <c r="V103" s="1117"/>
      <c r="W103" s="1117"/>
      <c r="X103" s="1117"/>
      <c r="Y103" s="1117"/>
      <c r="Z103" s="1117"/>
      <c r="AA103" s="1117"/>
      <c r="AB103" s="1117"/>
    </row>
    <row r="104" ht="14.25" customHeight="1">
      <c r="A104" s="1117"/>
      <c r="B104" s="1117"/>
      <c r="C104" s="1117"/>
      <c r="D104" s="1117"/>
      <c r="E104" s="1117"/>
      <c r="F104" s="1117"/>
      <c r="G104" s="1117"/>
      <c r="H104" s="1117"/>
      <c r="I104" s="1117"/>
      <c r="J104" s="1117"/>
      <c r="K104" s="1117"/>
      <c r="L104" s="1117"/>
      <c r="M104" s="1117"/>
      <c r="N104" s="1117"/>
      <c r="O104" s="1117"/>
      <c r="P104" s="1117"/>
      <c r="Q104" s="1117"/>
      <c r="R104" s="1117"/>
      <c r="S104" s="1117"/>
      <c r="T104" s="1117"/>
      <c r="U104" s="1117"/>
      <c r="V104" s="1117"/>
      <c r="W104" s="1117"/>
      <c r="X104" s="1117"/>
      <c r="Y104" s="1117"/>
      <c r="Z104" s="1117"/>
      <c r="AA104" s="1117"/>
      <c r="AB104" s="1117"/>
    </row>
    <row r="105" ht="14.25" customHeight="1">
      <c r="A105" s="1117"/>
      <c r="B105" s="1117"/>
      <c r="C105" s="1117"/>
      <c r="D105" s="1117"/>
      <c r="E105" s="1117"/>
      <c r="F105" s="1117"/>
      <c r="G105" s="1117"/>
      <c r="H105" s="1117"/>
      <c r="I105" s="1117"/>
      <c r="J105" s="1117"/>
      <c r="K105" s="1117"/>
      <c r="L105" s="1117"/>
      <c r="M105" s="1117"/>
      <c r="N105" s="1117"/>
      <c r="O105" s="1117"/>
      <c r="P105" s="1117"/>
      <c r="Q105" s="1117"/>
      <c r="R105" s="1117"/>
      <c r="S105" s="1117"/>
      <c r="T105" s="1117"/>
      <c r="U105" s="1117"/>
      <c r="V105" s="1117"/>
      <c r="W105" s="1117"/>
      <c r="X105" s="1117"/>
      <c r="Y105" s="1117"/>
      <c r="Z105" s="1117"/>
      <c r="AA105" s="1117"/>
      <c r="AB105" s="1117"/>
    </row>
    <row r="106" ht="14.25" customHeight="1">
      <c r="A106" s="1117"/>
      <c r="B106" s="1117"/>
      <c r="C106" s="1117"/>
      <c r="D106" s="1117"/>
      <c r="E106" s="1117"/>
      <c r="F106" s="1117"/>
      <c r="G106" s="1117"/>
      <c r="H106" s="1117"/>
      <c r="I106" s="1117"/>
      <c r="J106" s="1117"/>
      <c r="K106" s="1117"/>
      <c r="L106" s="1117"/>
      <c r="M106" s="1117"/>
      <c r="N106" s="1117"/>
      <c r="O106" s="1117"/>
      <c r="P106" s="1117"/>
      <c r="Q106" s="1117"/>
      <c r="R106" s="1117"/>
      <c r="S106" s="1117"/>
      <c r="T106" s="1117"/>
      <c r="U106" s="1117"/>
      <c r="V106" s="1117"/>
      <c r="W106" s="1117"/>
      <c r="X106" s="1117"/>
      <c r="Y106" s="1117"/>
      <c r="Z106" s="1117"/>
      <c r="AA106" s="1117"/>
      <c r="AB106" s="1117"/>
    </row>
    <row r="107" ht="14.25" customHeight="1">
      <c r="A107" s="1117"/>
      <c r="B107" s="1117"/>
      <c r="C107" s="1117"/>
      <c r="D107" s="1117"/>
      <c r="E107" s="1117"/>
      <c r="F107" s="1117"/>
      <c r="G107" s="1117"/>
      <c r="H107" s="1117"/>
      <c r="I107" s="1117"/>
      <c r="J107" s="1117"/>
      <c r="K107" s="1117"/>
      <c r="L107" s="1117"/>
      <c r="M107" s="1117"/>
      <c r="N107" s="1117"/>
      <c r="O107" s="1117"/>
      <c r="P107" s="1117"/>
      <c r="Q107" s="1117"/>
      <c r="R107" s="1117"/>
      <c r="S107" s="1117"/>
      <c r="T107" s="1117"/>
      <c r="U107" s="1117"/>
      <c r="V107" s="1117"/>
      <c r="W107" s="1117"/>
      <c r="X107" s="1117"/>
      <c r="Y107" s="1117"/>
      <c r="Z107" s="1117"/>
      <c r="AA107" s="1117"/>
      <c r="AB107" s="1117"/>
    </row>
    <row r="108" ht="14.25" customHeight="1">
      <c r="A108" s="1117"/>
      <c r="B108" s="1117"/>
      <c r="C108" s="1117"/>
      <c r="D108" s="1117"/>
      <c r="E108" s="1117"/>
      <c r="F108" s="1117"/>
      <c r="G108" s="1117"/>
      <c r="H108" s="1117"/>
      <c r="I108" s="1117"/>
      <c r="J108" s="1117"/>
      <c r="K108" s="1117"/>
      <c r="L108" s="1117"/>
      <c r="M108" s="1117"/>
      <c r="N108" s="1117"/>
      <c r="O108" s="1117"/>
      <c r="P108" s="1117"/>
      <c r="Q108" s="1117"/>
      <c r="R108" s="1117"/>
      <c r="S108" s="1117"/>
      <c r="T108" s="1117"/>
      <c r="U108" s="1117"/>
      <c r="V108" s="1117"/>
      <c r="W108" s="1117"/>
      <c r="X108" s="1117"/>
      <c r="Y108" s="1117"/>
      <c r="Z108" s="1117"/>
      <c r="AA108" s="1117"/>
      <c r="AB108" s="1117"/>
    </row>
    <row r="109" ht="14.25" customHeight="1">
      <c r="A109" s="1117"/>
      <c r="B109" s="1117"/>
      <c r="C109" s="1117"/>
      <c r="D109" s="1117"/>
      <c r="E109" s="1117"/>
      <c r="F109" s="1117"/>
      <c r="G109" s="1117"/>
      <c r="H109" s="1117"/>
      <c r="I109" s="1117"/>
      <c r="J109" s="1117"/>
      <c r="K109" s="1117"/>
      <c r="L109" s="1117"/>
      <c r="M109" s="1117"/>
      <c r="N109" s="1117"/>
      <c r="O109" s="1117"/>
      <c r="P109" s="1117"/>
      <c r="Q109" s="1117"/>
      <c r="R109" s="1117"/>
      <c r="S109" s="1117"/>
      <c r="T109" s="1117"/>
      <c r="U109" s="1117"/>
      <c r="V109" s="1117"/>
      <c r="W109" s="1117"/>
      <c r="X109" s="1117"/>
      <c r="Y109" s="1117"/>
      <c r="Z109" s="1117"/>
      <c r="AA109" s="1117"/>
      <c r="AB109" s="1117"/>
    </row>
    <row r="110" ht="14.25" customHeight="1">
      <c r="A110" s="1117"/>
      <c r="B110" s="1117"/>
      <c r="C110" s="1117"/>
      <c r="D110" s="1117"/>
      <c r="E110" s="1117"/>
      <c r="F110" s="1117"/>
      <c r="G110" s="1117"/>
      <c r="H110" s="1117"/>
      <c r="I110" s="1117"/>
      <c r="J110" s="1117"/>
      <c r="K110" s="1117"/>
      <c r="L110" s="1117"/>
      <c r="M110" s="1117"/>
      <c r="N110" s="1117"/>
      <c r="O110" s="1117"/>
      <c r="P110" s="1117"/>
      <c r="Q110" s="1117"/>
      <c r="R110" s="1117"/>
      <c r="S110" s="1117"/>
      <c r="T110" s="1117"/>
      <c r="U110" s="1117"/>
      <c r="V110" s="1117"/>
      <c r="W110" s="1117"/>
      <c r="X110" s="1117"/>
      <c r="Y110" s="1117"/>
      <c r="Z110" s="1117"/>
      <c r="AA110" s="1117"/>
      <c r="AB110" s="1117"/>
    </row>
    <row r="111" ht="14.25" customHeight="1">
      <c r="A111" s="1117"/>
      <c r="B111" s="1117"/>
      <c r="C111" s="1117"/>
      <c r="D111" s="1117"/>
      <c r="E111" s="1117"/>
      <c r="F111" s="1117"/>
      <c r="G111" s="1117"/>
      <c r="H111" s="1117"/>
      <c r="I111" s="1117"/>
      <c r="J111" s="1117"/>
      <c r="K111" s="1117"/>
      <c r="L111" s="1117"/>
      <c r="M111" s="1117"/>
      <c r="N111" s="1117"/>
      <c r="O111" s="1117"/>
      <c r="P111" s="1117"/>
      <c r="Q111" s="1117"/>
      <c r="R111" s="1117"/>
      <c r="S111" s="1117"/>
      <c r="T111" s="1117"/>
      <c r="U111" s="1117"/>
      <c r="V111" s="1117"/>
      <c r="W111" s="1117"/>
      <c r="X111" s="1117"/>
      <c r="Y111" s="1117"/>
      <c r="Z111" s="1117"/>
      <c r="AA111" s="1117"/>
      <c r="AB111" s="1117"/>
    </row>
    <row r="112" ht="14.25" customHeight="1">
      <c r="A112" s="1117"/>
      <c r="B112" s="1117"/>
      <c r="C112" s="1117"/>
      <c r="D112" s="1117"/>
      <c r="E112" s="1117"/>
      <c r="F112" s="1117"/>
      <c r="G112" s="1117"/>
      <c r="H112" s="1117"/>
      <c r="I112" s="1117"/>
      <c r="J112" s="1117"/>
      <c r="K112" s="1117"/>
      <c r="L112" s="1117"/>
      <c r="M112" s="1117"/>
      <c r="N112" s="1117"/>
      <c r="O112" s="1117"/>
      <c r="P112" s="1117"/>
      <c r="Q112" s="1117"/>
      <c r="R112" s="1117"/>
      <c r="S112" s="1117"/>
      <c r="T112" s="1117"/>
      <c r="U112" s="1117"/>
      <c r="V112" s="1117"/>
      <c r="W112" s="1117"/>
      <c r="X112" s="1117"/>
      <c r="Y112" s="1117"/>
      <c r="Z112" s="1117"/>
      <c r="AA112" s="1117"/>
      <c r="AB112" s="1117"/>
    </row>
    <row r="113" ht="14.25" customHeight="1">
      <c r="A113" s="1117"/>
      <c r="B113" s="1117"/>
      <c r="C113" s="1117"/>
      <c r="D113" s="1117"/>
      <c r="E113" s="1117"/>
      <c r="F113" s="1117"/>
      <c r="G113" s="1117"/>
      <c r="H113" s="1117"/>
      <c r="I113" s="1117"/>
      <c r="J113" s="1117"/>
      <c r="K113" s="1117"/>
      <c r="L113" s="1117"/>
      <c r="M113" s="1117"/>
      <c r="N113" s="1117"/>
      <c r="O113" s="1117"/>
      <c r="P113" s="1117"/>
      <c r="Q113" s="1117"/>
      <c r="R113" s="1117"/>
      <c r="S113" s="1117"/>
      <c r="T113" s="1117"/>
      <c r="U113" s="1117"/>
      <c r="V113" s="1117"/>
      <c r="W113" s="1117"/>
      <c r="X113" s="1117"/>
      <c r="Y113" s="1117"/>
      <c r="Z113" s="1117"/>
      <c r="AA113" s="1117"/>
      <c r="AB113" s="1117"/>
    </row>
    <row r="114" ht="14.25" customHeight="1">
      <c r="A114" s="1117"/>
      <c r="B114" s="1117"/>
      <c r="C114" s="1117"/>
      <c r="D114" s="1117"/>
      <c r="E114" s="1117"/>
      <c r="F114" s="1117"/>
      <c r="G114" s="1117"/>
      <c r="H114" s="1117"/>
      <c r="I114" s="1117"/>
      <c r="J114" s="1117"/>
      <c r="K114" s="1117"/>
      <c r="L114" s="1117"/>
      <c r="M114" s="1117"/>
      <c r="N114" s="1117"/>
      <c r="O114" s="1117"/>
      <c r="P114" s="1117"/>
      <c r="Q114" s="1117"/>
      <c r="R114" s="1117"/>
      <c r="S114" s="1117"/>
      <c r="T114" s="1117"/>
      <c r="U114" s="1117"/>
      <c r="V114" s="1117"/>
      <c r="W114" s="1117"/>
      <c r="X114" s="1117"/>
      <c r="Y114" s="1117"/>
      <c r="Z114" s="1117"/>
      <c r="AA114" s="1117"/>
      <c r="AB114" s="1117"/>
    </row>
    <row r="115" ht="14.25" customHeight="1">
      <c r="A115" s="1117"/>
      <c r="B115" s="1117"/>
      <c r="C115" s="1117"/>
      <c r="D115" s="1117"/>
      <c r="E115" s="1117"/>
      <c r="F115" s="1117"/>
      <c r="G115" s="1117"/>
      <c r="H115" s="1117"/>
      <c r="I115" s="1117"/>
      <c r="J115" s="1117"/>
      <c r="K115" s="1117"/>
      <c r="L115" s="1117"/>
      <c r="M115" s="1117"/>
      <c r="N115" s="1117"/>
      <c r="O115" s="1117"/>
      <c r="P115" s="1117"/>
      <c r="Q115" s="1117"/>
      <c r="R115" s="1117"/>
      <c r="S115" s="1117"/>
      <c r="T115" s="1117"/>
      <c r="U115" s="1117"/>
      <c r="V115" s="1117"/>
      <c r="W115" s="1117"/>
      <c r="X115" s="1117"/>
      <c r="Y115" s="1117"/>
      <c r="Z115" s="1117"/>
      <c r="AA115" s="1117"/>
      <c r="AB115" s="1117"/>
    </row>
    <row r="116" ht="14.25" customHeight="1">
      <c r="A116" s="1117"/>
      <c r="B116" s="1117"/>
      <c r="C116" s="1117"/>
      <c r="D116" s="1117"/>
      <c r="E116" s="1117"/>
      <c r="F116" s="1117"/>
      <c r="G116" s="1117"/>
      <c r="H116" s="1117"/>
      <c r="I116" s="1117"/>
      <c r="J116" s="1117"/>
      <c r="K116" s="1117"/>
      <c r="L116" s="1117"/>
      <c r="M116" s="1117"/>
      <c r="N116" s="1117"/>
      <c r="O116" s="1117"/>
      <c r="P116" s="1117"/>
      <c r="Q116" s="1117"/>
      <c r="R116" s="1117"/>
      <c r="S116" s="1117"/>
      <c r="T116" s="1117"/>
      <c r="U116" s="1117"/>
      <c r="V116" s="1117"/>
      <c r="W116" s="1117"/>
      <c r="X116" s="1117"/>
      <c r="Y116" s="1117"/>
      <c r="Z116" s="1117"/>
      <c r="AA116" s="1117"/>
      <c r="AB116" s="1117"/>
    </row>
    <row r="117" ht="14.25" customHeight="1">
      <c r="A117" s="1117"/>
      <c r="B117" s="1117"/>
      <c r="C117" s="1117"/>
      <c r="D117" s="1117"/>
      <c r="E117" s="1117"/>
      <c r="F117" s="1117"/>
      <c r="G117" s="1117"/>
      <c r="H117" s="1117"/>
      <c r="I117" s="1117"/>
      <c r="J117" s="1117"/>
      <c r="K117" s="1117"/>
      <c r="L117" s="1117"/>
      <c r="M117" s="1117"/>
      <c r="N117" s="1117"/>
      <c r="O117" s="1117"/>
      <c r="P117" s="1117"/>
      <c r="Q117" s="1117"/>
      <c r="R117" s="1117"/>
      <c r="S117" s="1117"/>
      <c r="T117" s="1117"/>
      <c r="U117" s="1117"/>
      <c r="V117" s="1117"/>
      <c r="W117" s="1117"/>
      <c r="X117" s="1117"/>
      <c r="Y117" s="1117"/>
      <c r="Z117" s="1117"/>
      <c r="AA117" s="1117"/>
      <c r="AB117" s="1117"/>
    </row>
    <row r="118" ht="14.25" customHeight="1">
      <c r="A118" s="1117"/>
      <c r="B118" s="1117"/>
      <c r="C118" s="1117"/>
      <c r="D118" s="1117"/>
      <c r="E118" s="1117"/>
      <c r="F118" s="1117"/>
      <c r="G118" s="1117"/>
      <c r="H118" s="1117"/>
      <c r="I118" s="1117"/>
      <c r="J118" s="1117"/>
      <c r="K118" s="1117"/>
      <c r="L118" s="1117"/>
      <c r="M118" s="1117"/>
      <c r="N118" s="1117"/>
      <c r="O118" s="1117"/>
      <c r="P118" s="1117"/>
      <c r="Q118" s="1117"/>
      <c r="R118" s="1117"/>
      <c r="S118" s="1117"/>
      <c r="T118" s="1117"/>
      <c r="U118" s="1117"/>
      <c r="V118" s="1117"/>
      <c r="W118" s="1117"/>
      <c r="X118" s="1117"/>
      <c r="Y118" s="1117"/>
      <c r="Z118" s="1117"/>
      <c r="AA118" s="1117"/>
      <c r="AB118" s="1117"/>
    </row>
    <row r="119" ht="14.25" customHeight="1">
      <c r="A119" s="1117"/>
      <c r="B119" s="1117"/>
      <c r="C119" s="1117"/>
      <c r="D119" s="1117"/>
      <c r="E119" s="1117"/>
      <c r="F119" s="1117"/>
      <c r="G119" s="1117"/>
      <c r="H119" s="1117"/>
      <c r="I119" s="1117"/>
      <c r="J119" s="1117"/>
      <c r="K119" s="1117"/>
      <c r="L119" s="1117"/>
      <c r="M119" s="1117"/>
      <c r="N119" s="1117"/>
      <c r="O119" s="1117"/>
      <c r="P119" s="1117"/>
      <c r="Q119" s="1117"/>
      <c r="R119" s="1117"/>
      <c r="S119" s="1117"/>
      <c r="T119" s="1117"/>
      <c r="U119" s="1117"/>
      <c r="V119" s="1117"/>
      <c r="W119" s="1117"/>
      <c r="X119" s="1117"/>
      <c r="Y119" s="1117"/>
      <c r="Z119" s="1117"/>
      <c r="AA119" s="1117"/>
      <c r="AB119" s="1117"/>
    </row>
    <row r="120" ht="14.25" customHeight="1">
      <c r="A120" s="1117"/>
      <c r="B120" s="1117"/>
      <c r="C120" s="1117"/>
      <c r="D120" s="1117"/>
      <c r="E120" s="1117"/>
      <c r="F120" s="1117"/>
      <c r="G120" s="1117"/>
      <c r="H120" s="1117"/>
      <c r="I120" s="1117"/>
      <c r="J120" s="1117"/>
      <c r="K120" s="1117"/>
      <c r="L120" s="1117"/>
      <c r="M120" s="1117"/>
      <c r="N120" s="1117"/>
      <c r="O120" s="1117"/>
      <c r="P120" s="1117"/>
      <c r="Q120" s="1117"/>
      <c r="R120" s="1117"/>
      <c r="S120" s="1117"/>
      <c r="T120" s="1117"/>
      <c r="U120" s="1117"/>
      <c r="V120" s="1117"/>
      <c r="W120" s="1117"/>
      <c r="X120" s="1117"/>
      <c r="Y120" s="1117"/>
      <c r="Z120" s="1117"/>
      <c r="AA120" s="1117"/>
      <c r="AB120" s="1117"/>
    </row>
    <row r="121" ht="14.25" customHeight="1">
      <c r="A121" s="1117"/>
      <c r="B121" s="1117"/>
      <c r="C121" s="1117"/>
      <c r="D121" s="1117"/>
      <c r="E121" s="1117"/>
      <c r="F121" s="1117"/>
      <c r="G121" s="1117"/>
      <c r="H121" s="1117"/>
      <c r="I121" s="1117"/>
      <c r="J121" s="1117"/>
      <c r="K121" s="1117"/>
      <c r="L121" s="1117"/>
      <c r="M121" s="1117"/>
      <c r="N121" s="1117"/>
      <c r="O121" s="1117"/>
      <c r="P121" s="1117"/>
      <c r="Q121" s="1117"/>
      <c r="R121" s="1117"/>
      <c r="S121" s="1117"/>
      <c r="T121" s="1117"/>
      <c r="U121" s="1117"/>
      <c r="V121" s="1117"/>
      <c r="W121" s="1117"/>
      <c r="X121" s="1117"/>
      <c r="Y121" s="1117"/>
      <c r="Z121" s="1117"/>
      <c r="AA121" s="1117"/>
      <c r="AB121" s="1117"/>
    </row>
    <row r="122" ht="14.25" customHeight="1">
      <c r="A122" s="1117"/>
      <c r="B122" s="1117"/>
      <c r="C122" s="1117"/>
      <c r="D122" s="1117"/>
      <c r="E122" s="1117"/>
      <c r="F122" s="1117"/>
      <c r="G122" s="1117"/>
      <c r="H122" s="1117"/>
      <c r="I122" s="1117"/>
      <c r="J122" s="1117"/>
      <c r="K122" s="1117"/>
      <c r="L122" s="1117"/>
      <c r="M122" s="1117"/>
      <c r="N122" s="1117"/>
      <c r="O122" s="1117"/>
      <c r="P122" s="1117"/>
      <c r="Q122" s="1117"/>
      <c r="R122" s="1117"/>
      <c r="S122" s="1117"/>
      <c r="T122" s="1117"/>
      <c r="U122" s="1117"/>
      <c r="V122" s="1117"/>
      <c r="W122" s="1117"/>
      <c r="X122" s="1117"/>
      <c r="Y122" s="1117"/>
      <c r="Z122" s="1117"/>
      <c r="AA122" s="1117"/>
      <c r="AB122" s="1117"/>
    </row>
    <row r="123" ht="14.25" customHeight="1">
      <c r="A123" s="1117"/>
      <c r="B123" s="1117"/>
      <c r="C123" s="1117"/>
      <c r="D123" s="1117"/>
      <c r="E123" s="1117"/>
      <c r="F123" s="1117"/>
      <c r="G123" s="1117"/>
      <c r="H123" s="1117"/>
      <c r="I123" s="1117"/>
      <c r="J123" s="1117"/>
      <c r="K123" s="1117"/>
      <c r="L123" s="1117"/>
      <c r="M123" s="1117"/>
      <c r="N123" s="1117"/>
      <c r="O123" s="1117"/>
      <c r="P123" s="1117"/>
      <c r="Q123" s="1117"/>
      <c r="R123" s="1117"/>
      <c r="S123" s="1117"/>
      <c r="T123" s="1117"/>
      <c r="U123" s="1117"/>
      <c r="V123" s="1117"/>
      <c r="W123" s="1117"/>
      <c r="X123" s="1117"/>
      <c r="Y123" s="1117"/>
      <c r="Z123" s="1117"/>
      <c r="AA123" s="1117"/>
      <c r="AB123" s="1117"/>
    </row>
    <row r="124" ht="14.25" customHeight="1">
      <c r="A124" s="1117"/>
      <c r="B124" s="1117"/>
      <c r="C124" s="1117"/>
      <c r="D124" s="1117"/>
      <c r="E124" s="1117"/>
      <c r="F124" s="1117"/>
      <c r="G124" s="1117"/>
      <c r="H124" s="1117"/>
      <c r="I124" s="1117"/>
      <c r="J124" s="1117"/>
      <c r="K124" s="1117"/>
      <c r="L124" s="1117"/>
      <c r="M124" s="1117"/>
      <c r="N124" s="1117"/>
      <c r="O124" s="1117"/>
      <c r="P124" s="1117"/>
      <c r="Q124" s="1117"/>
      <c r="R124" s="1117"/>
      <c r="S124" s="1117"/>
      <c r="T124" s="1117"/>
      <c r="U124" s="1117"/>
      <c r="V124" s="1117"/>
      <c r="W124" s="1117"/>
      <c r="X124" s="1117"/>
      <c r="Y124" s="1117"/>
      <c r="Z124" s="1117"/>
      <c r="AA124" s="1117"/>
      <c r="AB124" s="1117"/>
    </row>
    <row r="125" ht="14.25" customHeight="1">
      <c r="A125" s="1117"/>
      <c r="B125" s="1117"/>
      <c r="C125" s="1117"/>
      <c r="D125" s="1117"/>
      <c r="E125" s="1117"/>
      <c r="F125" s="1117"/>
      <c r="G125" s="1117"/>
      <c r="H125" s="1117"/>
      <c r="I125" s="1117"/>
      <c r="J125" s="1117"/>
      <c r="K125" s="1117"/>
      <c r="L125" s="1117"/>
      <c r="M125" s="1117"/>
      <c r="N125" s="1117"/>
      <c r="O125" s="1117"/>
      <c r="P125" s="1117"/>
      <c r="Q125" s="1117"/>
      <c r="R125" s="1117"/>
      <c r="S125" s="1117"/>
      <c r="T125" s="1117"/>
      <c r="U125" s="1117"/>
      <c r="V125" s="1117"/>
      <c r="W125" s="1117"/>
      <c r="X125" s="1117"/>
      <c r="Y125" s="1117"/>
      <c r="Z125" s="1117"/>
      <c r="AA125" s="1117"/>
      <c r="AB125" s="1117"/>
    </row>
    <row r="126" ht="14.25" customHeight="1">
      <c r="A126" s="1117"/>
      <c r="B126" s="1117"/>
      <c r="C126" s="1117"/>
      <c r="D126" s="1117"/>
      <c r="E126" s="1117"/>
      <c r="F126" s="1117"/>
      <c r="G126" s="1117"/>
      <c r="H126" s="1117"/>
      <c r="I126" s="1117"/>
      <c r="J126" s="1117"/>
      <c r="K126" s="1117"/>
      <c r="L126" s="1117"/>
      <c r="M126" s="1117"/>
      <c r="N126" s="1117"/>
      <c r="O126" s="1117"/>
      <c r="P126" s="1117"/>
      <c r="Q126" s="1117"/>
      <c r="R126" s="1117"/>
      <c r="S126" s="1117"/>
      <c r="T126" s="1117"/>
      <c r="U126" s="1117"/>
      <c r="V126" s="1117"/>
      <c r="W126" s="1117"/>
      <c r="X126" s="1117"/>
      <c r="Y126" s="1117"/>
      <c r="Z126" s="1117"/>
      <c r="AA126" s="1117"/>
      <c r="AB126" s="1117"/>
    </row>
    <row r="127" ht="14.25" customHeight="1">
      <c r="A127" s="1117"/>
      <c r="B127" s="1117"/>
      <c r="C127" s="1117"/>
      <c r="D127" s="1117"/>
      <c r="E127" s="1117"/>
      <c r="F127" s="1117"/>
      <c r="G127" s="1117"/>
      <c r="H127" s="1117"/>
      <c r="I127" s="1117"/>
      <c r="J127" s="1117"/>
      <c r="K127" s="1117"/>
      <c r="L127" s="1117"/>
      <c r="M127" s="1117"/>
      <c r="N127" s="1117"/>
      <c r="O127" s="1117"/>
      <c r="P127" s="1117"/>
      <c r="Q127" s="1117"/>
      <c r="R127" s="1117"/>
      <c r="S127" s="1117"/>
      <c r="T127" s="1117"/>
      <c r="U127" s="1117"/>
      <c r="V127" s="1117"/>
      <c r="W127" s="1117"/>
      <c r="X127" s="1117"/>
      <c r="Y127" s="1117"/>
      <c r="Z127" s="1117"/>
      <c r="AA127" s="1117"/>
      <c r="AB127" s="1117"/>
    </row>
    <row r="128" ht="14.25" customHeight="1">
      <c r="A128" s="1117"/>
      <c r="B128" s="1117"/>
      <c r="C128" s="1117"/>
      <c r="D128" s="1117"/>
      <c r="E128" s="1117"/>
      <c r="F128" s="1117"/>
      <c r="G128" s="1117"/>
      <c r="H128" s="1117"/>
      <c r="I128" s="1117"/>
      <c r="J128" s="1117"/>
      <c r="K128" s="1117"/>
      <c r="L128" s="1117"/>
      <c r="M128" s="1117"/>
      <c r="N128" s="1117"/>
      <c r="O128" s="1117"/>
      <c r="P128" s="1117"/>
      <c r="Q128" s="1117"/>
      <c r="R128" s="1117"/>
      <c r="S128" s="1117"/>
      <c r="T128" s="1117"/>
      <c r="U128" s="1117"/>
      <c r="V128" s="1117"/>
      <c r="W128" s="1117"/>
      <c r="X128" s="1117"/>
      <c r="Y128" s="1117"/>
      <c r="Z128" s="1117"/>
      <c r="AA128" s="1117"/>
      <c r="AB128" s="1117"/>
    </row>
    <row r="129" ht="14.25" customHeight="1">
      <c r="A129" s="1117"/>
      <c r="B129" s="1117"/>
      <c r="C129" s="1117"/>
      <c r="D129" s="1117"/>
      <c r="E129" s="1117"/>
      <c r="F129" s="1117"/>
      <c r="G129" s="1117"/>
      <c r="H129" s="1117"/>
      <c r="I129" s="1117"/>
      <c r="J129" s="1117"/>
      <c r="K129" s="1117"/>
      <c r="L129" s="1117"/>
      <c r="M129" s="1117"/>
      <c r="N129" s="1117"/>
      <c r="O129" s="1117"/>
      <c r="P129" s="1117"/>
      <c r="Q129" s="1117"/>
      <c r="R129" s="1117"/>
      <c r="S129" s="1117"/>
      <c r="T129" s="1117"/>
      <c r="U129" s="1117"/>
      <c r="V129" s="1117"/>
      <c r="W129" s="1117"/>
      <c r="X129" s="1117"/>
      <c r="Y129" s="1117"/>
      <c r="Z129" s="1117"/>
      <c r="AA129" s="1117"/>
      <c r="AB129" s="1117"/>
    </row>
    <row r="130" ht="14.25" customHeight="1">
      <c r="A130" s="1117"/>
      <c r="B130" s="1117"/>
      <c r="C130" s="1117"/>
      <c r="D130" s="1117"/>
      <c r="E130" s="1117"/>
      <c r="F130" s="1117"/>
      <c r="G130" s="1117"/>
      <c r="H130" s="1117"/>
      <c r="I130" s="1117"/>
      <c r="J130" s="1117"/>
      <c r="K130" s="1117"/>
      <c r="L130" s="1117"/>
      <c r="M130" s="1117"/>
      <c r="N130" s="1117"/>
      <c r="O130" s="1117"/>
      <c r="P130" s="1117"/>
      <c r="Q130" s="1117"/>
      <c r="R130" s="1117"/>
      <c r="S130" s="1117"/>
      <c r="T130" s="1117"/>
      <c r="U130" s="1117"/>
      <c r="V130" s="1117"/>
      <c r="W130" s="1117"/>
      <c r="X130" s="1117"/>
      <c r="Y130" s="1117"/>
      <c r="Z130" s="1117"/>
      <c r="AA130" s="1117"/>
      <c r="AB130" s="1117"/>
    </row>
    <row r="131" ht="14.25" customHeight="1">
      <c r="A131" s="1117"/>
      <c r="B131" s="1117"/>
      <c r="C131" s="1117"/>
      <c r="D131" s="1117"/>
      <c r="E131" s="1117"/>
      <c r="F131" s="1117"/>
      <c r="G131" s="1117"/>
      <c r="H131" s="1117"/>
      <c r="I131" s="1117"/>
      <c r="J131" s="1117"/>
      <c r="K131" s="1117"/>
      <c r="L131" s="1117"/>
      <c r="M131" s="1117"/>
      <c r="N131" s="1117"/>
      <c r="O131" s="1117"/>
      <c r="P131" s="1117"/>
      <c r="Q131" s="1117"/>
      <c r="R131" s="1117"/>
      <c r="S131" s="1117"/>
      <c r="T131" s="1117"/>
      <c r="U131" s="1117"/>
      <c r="V131" s="1117"/>
      <c r="W131" s="1117"/>
      <c r="X131" s="1117"/>
      <c r="Y131" s="1117"/>
      <c r="Z131" s="1117"/>
      <c r="AA131" s="1117"/>
      <c r="AB131" s="1117"/>
    </row>
    <row r="132" ht="14.25" customHeight="1">
      <c r="A132" s="1117"/>
      <c r="B132" s="1117"/>
      <c r="C132" s="1117"/>
      <c r="D132" s="1117"/>
      <c r="E132" s="1117"/>
      <c r="F132" s="1117"/>
      <c r="G132" s="1117"/>
      <c r="H132" s="1117"/>
      <c r="I132" s="1117"/>
      <c r="J132" s="1117"/>
      <c r="K132" s="1117"/>
      <c r="L132" s="1117"/>
      <c r="M132" s="1117"/>
      <c r="N132" s="1117"/>
      <c r="O132" s="1117"/>
      <c r="P132" s="1117"/>
      <c r="Q132" s="1117"/>
      <c r="R132" s="1117"/>
      <c r="S132" s="1117"/>
      <c r="T132" s="1117"/>
      <c r="U132" s="1117"/>
      <c r="V132" s="1117"/>
      <c r="W132" s="1117"/>
      <c r="X132" s="1117"/>
      <c r="Y132" s="1117"/>
      <c r="Z132" s="1117"/>
      <c r="AA132" s="1117"/>
      <c r="AB132" s="1117"/>
    </row>
    <row r="133" ht="14.25" customHeight="1">
      <c r="A133" s="1117"/>
      <c r="B133" s="1117"/>
      <c r="C133" s="1117"/>
      <c r="D133" s="1117"/>
      <c r="E133" s="1117"/>
      <c r="F133" s="1117"/>
      <c r="G133" s="1117"/>
      <c r="H133" s="1117"/>
      <c r="I133" s="1117"/>
      <c r="J133" s="1117"/>
      <c r="K133" s="1117"/>
      <c r="L133" s="1117"/>
      <c r="M133" s="1117"/>
      <c r="N133" s="1117"/>
      <c r="O133" s="1117"/>
      <c r="P133" s="1117"/>
      <c r="Q133" s="1117"/>
      <c r="R133" s="1117"/>
      <c r="S133" s="1117"/>
      <c r="T133" s="1117"/>
      <c r="U133" s="1117"/>
      <c r="V133" s="1117"/>
      <c r="W133" s="1117"/>
      <c r="X133" s="1117"/>
      <c r="Y133" s="1117"/>
      <c r="Z133" s="1117"/>
      <c r="AA133" s="1117"/>
      <c r="AB133" s="1117"/>
    </row>
    <row r="134" ht="14.25" customHeight="1">
      <c r="A134" s="1117"/>
      <c r="B134" s="1117"/>
      <c r="C134" s="1117"/>
      <c r="D134" s="1117"/>
      <c r="E134" s="1117"/>
      <c r="F134" s="1117"/>
      <c r="G134" s="1117"/>
      <c r="H134" s="1117"/>
      <c r="I134" s="1117"/>
      <c r="J134" s="1117"/>
      <c r="K134" s="1117"/>
      <c r="L134" s="1117"/>
      <c r="M134" s="1117"/>
      <c r="N134" s="1117"/>
      <c r="O134" s="1117"/>
      <c r="P134" s="1117"/>
      <c r="Q134" s="1117"/>
      <c r="R134" s="1117"/>
      <c r="S134" s="1117"/>
      <c r="T134" s="1117"/>
      <c r="U134" s="1117"/>
      <c r="V134" s="1117"/>
      <c r="W134" s="1117"/>
      <c r="X134" s="1117"/>
      <c r="Y134" s="1117"/>
      <c r="Z134" s="1117"/>
      <c r="AA134" s="1117"/>
      <c r="AB134" s="1117"/>
    </row>
    <row r="135" ht="14.25" customHeight="1">
      <c r="A135" s="1117"/>
      <c r="B135" s="1117"/>
      <c r="C135" s="1117"/>
      <c r="D135" s="1117"/>
      <c r="E135" s="1117"/>
      <c r="F135" s="1117"/>
      <c r="G135" s="1117"/>
      <c r="H135" s="1117"/>
      <c r="I135" s="1117"/>
      <c r="J135" s="1117"/>
      <c r="K135" s="1117"/>
      <c r="L135" s="1117"/>
      <c r="M135" s="1117"/>
      <c r="N135" s="1117"/>
      <c r="O135" s="1117"/>
      <c r="P135" s="1117"/>
      <c r="Q135" s="1117"/>
      <c r="R135" s="1117"/>
      <c r="S135" s="1117"/>
      <c r="T135" s="1117"/>
      <c r="U135" s="1117"/>
      <c r="V135" s="1117"/>
      <c r="W135" s="1117"/>
      <c r="X135" s="1117"/>
      <c r="Y135" s="1117"/>
      <c r="Z135" s="1117"/>
      <c r="AA135" s="1117"/>
      <c r="AB135" s="1117"/>
    </row>
    <row r="136" ht="14.25" customHeight="1">
      <c r="A136" s="1117"/>
      <c r="B136" s="1117"/>
      <c r="C136" s="1117"/>
      <c r="D136" s="1117"/>
      <c r="E136" s="1117"/>
      <c r="F136" s="1117"/>
      <c r="G136" s="1117"/>
      <c r="H136" s="1117"/>
      <c r="I136" s="1117"/>
      <c r="J136" s="1117"/>
      <c r="K136" s="1117"/>
      <c r="L136" s="1117"/>
      <c r="M136" s="1117"/>
      <c r="N136" s="1117"/>
      <c r="O136" s="1117"/>
      <c r="P136" s="1117"/>
      <c r="Q136" s="1117"/>
      <c r="R136" s="1117"/>
      <c r="S136" s="1117"/>
      <c r="T136" s="1117"/>
      <c r="U136" s="1117"/>
      <c r="V136" s="1117"/>
      <c r="W136" s="1117"/>
      <c r="X136" s="1117"/>
      <c r="Y136" s="1117"/>
      <c r="Z136" s="1117"/>
      <c r="AA136" s="1117"/>
      <c r="AB136" s="1117"/>
    </row>
    <row r="137" ht="14.25" customHeight="1">
      <c r="A137" s="1117"/>
      <c r="B137" s="1117"/>
      <c r="C137" s="1117"/>
      <c r="D137" s="1117"/>
      <c r="E137" s="1117"/>
      <c r="F137" s="1117"/>
      <c r="G137" s="1117"/>
      <c r="H137" s="1117"/>
      <c r="I137" s="1117"/>
      <c r="J137" s="1117"/>
      <c r="K137" s="1117"/>
      <c r="L137" s="1117"/>
      <c r="M137" s="1117"/>
      <c r="N137" s="1117"/>
      <c r="O137" s="1117"/>
      <c r="P137" s="1117"/>
      <c r="Q137" s="1117"/>
      <c r="R137" s="1117"/>
      <c r="S137" s="1117"/>
      <c r="T137" s="1117"/>
      <c r="U137" s="1117"/>
      <c r="V137" s="1117"/>
      <c r="W137" s="1117"/>
      <c r="X137" s="1117"/>
      <c r="Y137" s="1117"/>
      <c r="Z137" s="1117"/>
      <c r="AA137" s="1117"/>
      <c r="AB137" s="1117"/>
    </row>
    <row r="138" ht="14.25" customHeight="1">
      <c r="A138" s="1117"/>
      <c r="B138" s="1117"/>
      <c r="C138" s="1117"/>
      <c r="D138" s="1117"/>
      <c r="E138" s="1117"/>
      <c r="F138" s="1117"/>
      <c r="G138" s="1117"/>
      <c r="H138" s="1117"/>
      <c r="I138" s="1117"/>
      <c r="J138" s="1117"/>
      <c r="K138" s="1117"/>
      <c r="L138" s="1117"/>
      <c r="M138" s="1117"/>
      <c r="N138" s="1117"/>
      <c r="O138" s="1117"/>
      <c r="P138" s="1117"/>
      <c r="Q138" s="1117"/>
      <c r="R138" s="1117"/>
      <c r="S138" s="1117"/>
      <c r="T138" s="1117"/>
      <c r="U138" s="1117"/>
      <c r="V138" s="1117"/>
      <c r="W138" s="1117"/>
      <c r="X138" s="1117"/>
      <c r="Y138" s="1117"/>
      <c r="Z138" s="1117"/>
      <c r="AA138" s="1117"/>
      <c r="AB138" s="1117"/>
    </row>
    <row r="139" ht="14.25" customHeight="1">
      <c r="A139" s="1117"/>
      <c r="B139" s="1117"/>
      <c r="C139" s="1117"/>
      <c r="D139" s="1117"/>
      <c r="E139" s="1117"/>
      <c r="F139" s="1117"/>
      <c r="G139" s="1117"/>
      <c r="H139" s="1117"/>
      <c r="I139" s="1117"/>
      <c r="J139" s="1117"/>
      <c r="K139" s="1117"/>
      <c r="L139" s="1117"/>
      <c r="M139" s="1117"/>
      <c r="N139" s="1117"/>
      <c r="O139" s="1117"/>
      <c r="P139" s="1117"/>
      <c r="Q139" s="1117"/>
      <c r="R139" s="1117"/>
      <c r="S139" s="1117"/>
      <c r="T139" s="1117"/>
      <c r="U139" s="1117"/>
      <c r="V139" s="1117"/>
      <c r="W139" s="1117"/>
      <c r="X139" s="1117"/>
      <c r="Y139" s="1117"/>
      <c r="Z139" s="1117"/>
      <c r="AA139" s="1117"/>
      <c r="AB139" s="1117"/>
    </row>
    <row r="140" ht="14.25" customHeight="1">
      <c r="A140" s="1117"/>
      <c r="B140" s="1117"/>
      <c r="C140" s="1117"/>
      <c r="D140" s="1117"/>
      <c r="E140" s="1117"/>
      <c r="F140" s="1117"/>
      <c r="G140" s="1117"/>
      <c r="H140" s="1117"/>
      <c r="I140" s="1117"/>
      <c r="J140" s="1117"/>
      <c r="K140" s="1117"/>
      <c r="L140" s="1117"/>
      <c r="M140" s="1117"/>
      <c r="N140" s="1117"/>
      <c r="O140" s="1117"/>
      <c r="P140" s="1117"/>
      <c r="Q140" s="1117"/>
      <c r="R140" s="1117"/>
      <c r="S140" s="1117"/>
      <c r="T140" s="1117"/>
      <c r="U140" s="1117"/>
      <c r="V140" s="1117"/>
      <c r="W140" s="1117"/>
      <c r="X140" s="1117"/>
      <c r="Y140" s="1117"/>
      <c r="Z140" s="1117"/>
      <c r="AA140" s="1117"/>
      <c r="AB140" s="1117"/>
    </row>
    <row r="141" ht="14.25" customHeight="1">
      <c r="A141" s="1117"/>
      <c r="B141" s="1117"/>
      <c r="C141" s="1117"/>
      <c r="D141" s="1117"/>
      <c r="E141" s="1117"/>
      <c r="F141" s="1117"/>
      <c r="G141" s="1117"/>
      <c r="H141" s="1117"/>
      <c r="I141" s="1117"/>
      <c r="J141" s="1117"/>
      <c r="K141" s="1117"/>
      <c r="L141" s="1117"/>
      <c r="M141" s="1117"/>
      <c r="N141" s="1117"/>
      <c r="O141" s="1117"/>
      <c r="P141" s="1117"/>
      <c r="Q141" s="1117"/>
      <c r="R141" s="1117"/>
      <c r="S141" s="1117"/>
      <c r="T141" s="1117"/>
      <c r="U141" s="1117"/>
      <c r="V141" s="1117"/>
      <c r="W141" s="1117"/>
      <c r="X141" s="1117"/>
      <c r="Y141" s="1117"/>
      <c r="Z141" s="1117"/>
      <c r="AA141" s="1117"/>
      <c r="AB141" s="1117"/>
    </row>
    <row r="142" ht="14.25" customHeight="1">
      <c r="A142" s="1117"/>
      <c r="B142" s="1117"/>
      <c r="C142" s="1117"/>
      <c r="D142" s="1117"/>
      <c r="E142" s="1117"/>
      <c r="F142" s="1117"/>
      <c r="G142" s="1117"/>
      <c r="H142" s="1117"/>
      <c r="I142" s="1117"/>
      <c r="J142" s="1117"/>
      <c r="K142" s="1117"/>
      <c r="L142" s="1117"/>
      <c r="M142" s="1117"/>
      <c r="N142" s="1117"/>
      <c r="O142" s="1117"/>
      <c r="P142" s="1117"/>
      <c r="Q142" s="1117"/>
      <c r="R142" s="1117"/>
      <c r="S142" s="1117"/>
      <c r="T142" s="1117"/>
      <c r="U142" s="1117"/>
      <c r="V142" s="1117"/>
      <c r="W142" s="1117"/>
      <c r="X142" s="1117"/>
      <c r="Y142" s="1117"/>
      <c r="Z142" s="1117"/>
      <c r="AA142" s="1117"/>
      <c r="AB142" s="1117"/>
    </row>
    <row r="143" ht="14.25" customHeight="1">
      <c r="A143" s="1117"/>
      <c r="B143" s="1117"/>
      <c r="C143" s="1117"/>
      <c r="D143" s="1117"/>
      <c r="E143" s="1117"/>
      <c r="F143" s="1117"/>
      <c r="G143" s="1117"/>
      <c r="H143" s="1117"/>
      <c r="I143" s="1117"/>
      <c r="J143" s="1117"/>
      <c r="K143" s="1117"/>
      <c r="L143" s="1117"/>
      <c r="M143" s="1117"/>
      <c r="N143" s="1117"/>
      <c r="O143" s="1117"/>
      <c r="P143" s="1117"/>
      <c r="Q143" s="1117"/>
      <c r="R143" s="1117"/>
      <c r="S143" s="1117"/>
      <c r="T143" s="1117"/>
      <c r="U143" s="1117"/>
      <c r="V143" s="1117"/>
      <c r="W143" s="1117"/>
      <c r="X143" s="1117"/>
      <c r="Y143" s="1117"/>
      <c r="Z143" s="1117"/>
      <c r="AA143" s="1117"/>
      <c r="AB143" s="1117"/>
    </row>
    <row r="144" ht="14.25" customHeight="1">
      <c r="A144" s="1117"/>
      <c r="B144" s="1117"/>
      <c r="C144" s="1117"/>
      <c r="D144" s="1117"/>
      <c r="E144" s="1117"/>
      <c r="F144" s="1117"/>
      <c r="G144" s="1117"/>
      <c r="H144" s="1117"/>
      <c r="I144" s="1117"/>
      <c r="J144" s="1117"/>
      <c r="K144" s="1117"/>
      <c r="L144" s="1117"/>
      <c r="M144" s="1117"/>
      <c r="N144" s="1117"/>
      <c r="O144" s="1117"/>
      <c r="P144" s="1117"/>
      <c r="Q144" s="1117"/>
      <c r="R144" s="1117"/>
      <c r="S144" s="1117"/>
      <c r="T144" s="1117"/>
      <c r="U144" s="1117"/>
      <c r="V144" s="1117"/>
      <c r="W144" s="1117"/>
      <c r="X144" s="1117"/>
      <c r="Y144" s="1117"/>
      <c r="Z144" s="1117"/>
      <c r="AA144" s="1117"/>
      <c r="AB144" s="1117"/>
    </row>
    <row r="145" ht="14.25" customHeight="1">
      <c r="A145" s="1117"/>
      <c r="B145" s="1117"/>
      <c r="C145" s="1117"/>
      <c r="D145" s="1117"/>
      <c r="E145" s="1117"/>
      <c r="F145" s="1117"/>
      <c r="G145" s="1117"/>
      <c r="H145" s="1117"/>
      <c r="I145" s="1117"/>
      <c r="J145" s="1117"/>
      <c r="K145" s="1117"/>
      <c r="L145" s="1117"/>
      <c r="M145" s="1117"/>
      <c r="N145" s="1117"/>
      <c r="O145" s="1117"/>
      <c r="P145" s="1117"/>
      <c r="Q145" s="1117"/>
      <c r="R145" s="1117"/>
      <c r="S145" s="1117"/>
      <c r="T145" s="1117"/>
      <c r="U145" s="1117"/>
      <c r="V145" s="1117"/>
      <c r="W145" s="1117"/>
      <c r="X145" s="1117"/>
      <c r="Y145" s="1117"/>
      <c r="Z145" s="1117"/>
      <c r="AA145" s="1117"/>
      <c r="AB145" s="1117"/>
    </row>
    <row r="146" ht="14.25" customHeight="1">
      <c r="A146" s="1117"/>
      <c r="B146" s="1117"/>
      <c r="C146" s="1117"/>
      <c r="D146" s="1117"/>
      <c r="E146" s="1117"/>
      <c r="F146" s="1117"/>
      <c r="G146" s="1117"/>
      <c r="H146" s="1117"/>
      <c r="I146" s="1117"/>
      <c r="J146" s="1117"/>
      <c r="K146" s="1117"/>
      <c r="L146" s="1117"/>
      <c r="M146" s="1117"/>
      <c r="N146" s="1117"/>
      <c r="O146" s="1117"/>
      <c r="P146" s="1117"/>
      <c r="Q146" s="1117"/>
      <c r="R146" s="1117"/>
      <c r="S146" s="1117"/>
      <c r="T146" s="1117"/>
      <c r="U146" s="1117"/>
      <c r="V146" s="1117"/>
      <c r="W146" s="1117"/>
      <c r="X146" s="1117"/>
      <c r="Y146" s="1117"/>
      <c r="Z146" s="1117"/>
      <c r="AA146" s="1117"/>
      <c r="AB146" s="1117"/>
    </row>
    <row r="147" ht="14.25" customHeight="1">
      <c r="A147" s="1117"/>
      <c r="B147" s="1117"/>
      <c r="C147" s="1117"/>
      <c r="D147" s="1117"/>
      <c r="E147" s="1117"/>
      <c r="F147" s="1117"/>
      <c r="G147" s="1117"/>
      <c r="H147" s="1117"/>
      <c r="I147" s="1117"/>
      <c r="J147" s="1117"/>
      <c r="K147" s="1117"/>
      <c r="L147" s="1117"/>
      <c r="M147" s="1117"/>
      <c r="N147" s="1117"/>
      <c r="O147" s="1117"/>
      <c r="P147" s="1117"/>
      <c r="Q147" s="1117"/>
      <c r="R147" s="1117"/>
      <c r="S147" s="1117"/>
      <c r="T147" s="1117"/>
      <c r="U147" s="1117"/>
      <c r="V147" s="1117"/>
      <c r="W147" s="1117"/>
      <c r="X147" s="1117"/>
      <c r="Y147" s="1117"/>
      <c r="Z147" s="1117"/>
      <c r="AA147" s="1117"/>
      <c r="AB147" s="1117"/>
    </row>
    <row r="148" ht="14.25" customHeight="1">
      <c r="A148" s="1117"/>
      <c r="B148" s="1117"/>
      <c r="C148" s="1117"/>
      <c r="D148" s="1117"/>
      <c r="E148" s="1117"/>
      <c r="F148" s="1117"/>
      <c r="G148" s="1117"/>
      <c r="H148" s="1117"/>
      <c r="I148" s="1117"/>
      <c r="J148" s="1117"/>
      <c r="K148" s="1117"/>
      <c r="L148" s="1117"/>
      <c r="M148" s="1117"/>
      <c r="N148" s="1117"/>
      <c r="O148" s="1117"/>
      <c r="P148" s="1117"/>
      <c r="Q148" s="1117"/>
      <c r="R148" s="1117"/>
      <c r="S148" s="1117"/>
      <c r="T148" s="1117"/>
      <c r="U148" s="1117"/>
      <c r="V148" s="1117"/>
      <c r="W148" s="1117"/>
      <c r="X148" s="1117"/>
      <c r="Y148" s="1117"/>
      <c r="Z148" s="1117"/>
      <c r="AA148" s="1117"/>
      <c r="AB148" s="1117"/>
    </row>
    <row r="149" ht="14.25" customHeight="1">
      <c r="A149" s="1117"/>
      <c r="B149" s="1117"/>
      <c r="C149" s="1117"/>
      <c r="D149" s="1117"/>
      <c r="E149" s="1117"/>
      <c r="F149" s="1117"/>
      <c r="G149" s="1117"/>
      <c r="H149" s="1117"/>
      <c r="I149" s="1117"/>
      <c r="J149" s="1117"/>
      <c r="K149" s="1117"/>
      <c r="L149" s="1117"/>
      <c r="M149" s="1117"/>
      <c r="N149" s="1117"/>
      <c r="O149" s="1117"/>
      <c r="P149" s="1117"/>
      <c r="Q149" s="1117"/>
      <c r="R149" s="1117"/>
      <c r="S149" s="1117"/>
      <c r="T149" s="1117"/>
      <c r="U149" s="1117"/>
      <c r="V149" s="1117"/>
      <c r="W149" s="1117"/>
      <c r="X149" s="1117"/>
      <c r="Y149" s="1117"/>
      <c r="Z149" s="1117"/>
      <c r="AA149" s="1117"/>
      <c r="AB149" s="1117"/>
    </row>
    <row r="150" ht="14.25" customHeight="1">
      <c r="A150" s="1117"/>
      <c r="B150" s="1117"/>
      <c r="C150" s="1117"/>
      <c r="D150" s="1117"/>
      <c r="E150" s="1117"/>
      <c r="F150" s="1117"/>
      <c r="G150" s="1117"/>
      <c r="H150" s="1117"/>
      <c r="I150" s="1117"/>
      <c r="J150" s="1117"/>
      <c r="K150" s="1117"/>
      <c r="L150" s="1117"/>
      <c r="M150" s="1117"/>
      <c r="N150" s="1117"/>
      <c r="O150" s="1117"/>
      <c r="P150" s="1117"/>
      <c r="Q150" s="1117"/>
      <c r="R150" s="1117"/>
      <c r="S150" s="1117"/>
      <c r="T150" s="1117"/>
      <c r="U150" s="1117"/>
      <c r="V150" s="1117"/>
      <c r="W150" s="1117"/>
      <c r="X150" s="1117"/>
      <c r="Y150" s="1117"/>
      <c r="Z150" s="1117"/>
      <c r="AA150" s="1117"/>
      <c r="AB150" s="1117"/>
    </row>
    <row r="151" ht="14.25" customHeight="1">
      <c r="A151" s="1117"/>
      <c r="B151" s="1117"/>
      <c r="C151" s="1117"/>
      <c r="D151" s="1117"/>
      <c r="E151" s="1117"/>
      <c r="F151" s="1117"/>
      <c r="G151" s="1117"/>
      <c r="H151" s="1117"/>
      <c r="I151" s="1117"/>
      <c r="J151" s="1117"/>
      <c r="K151" s="1117"/>
      <c r="L151" s="1117"/>
      <c r="M151" s="1117"/>
      <c r="N151" s="1117"/>
      <c r="O151" s="1117"/>
      <c r="P151" s="1117"/>
      <c r="Q151" s="1117"/>
      <c r="R151" s="1117"/>
      <c r="S151" s="1117"/>
      <c r="T151" s="1117"/>
      <c r="U151" s="1117"/>
      <c r="V151" s="1117"/>
      <c r="W151" s="1117"/>
      <c r="X151" s="1117"/>
      <c r="Y151" s="1117"/>
      <c r="Z151" s="1117"/>
      <c r="AA151" s="1117"/>
      <c r="AB151" s="1117"/>
    </row>
    <row r="152" ht="14.25" customHeight="1">
      <c r="A152" s="1117"/>
      <c r="B152" s="1117"/>
      <c r="C152" s="1117"/>
      <c r="D152" s="1117"/>
      <c r="E152" s="1117"/>
      <c r="F152" s="1117"/>
      <c r="G152" s="1117"/>
      <c r="H152" s="1117"/>
      <c r="I152" s="1117"/>
      <c r="J152" s="1117"/>
      <c r="K152" s="1117"/>
      <c r="L152" s="1117"/>
      <c r="M152" s="1117"/>
      <c r="N152" s="1117"/>
      <c r="O152" s="1117"/>
      <c r="P152" s="1117"/>
      <c r="Q152" s="1117"/>
      <c r="R152" s="1117"/>
      <c r="S152" s="1117"/>
      <c r="T152" s="1117"/>
      <c r="U152" s="1117"/>
      <c r="V152" s="1117"/>
      <c r="W152" s="1117"/>
      <c r="X152" s="1117"/>
      <c r="Y152" s="1117"/>
      <c r="Z152" s="1117"/>
      <c r="AA152" s="1117"/>
      <c r="AB152" s="1117"/>
    </row>
    <row r="153" ht="14.25" customHeight="1">
      <c r="A153" s="1117"/>
      <c r="B153" s="1117"/>
      <c r="C153" s="1117"/>
      <c r="D153" s="1117"/>
      <c r="E153" s="1117"/>
      <c r="F153" s="1117"/>
      <c r="G153" s="1117"/>
      <c r="H153" s="1117"/>
      <c r="I153" s="1117"/>
      <c r="J153" s="1117"/>
      <c r="K153" s="1117"/>
      <c r="L153" s="1117"/>
      <c r="M153" s="1117"/>
      <c r="N153" s="1117"/>
      <c r="O153" s="1117"/>
      <c r="P153" s="1117"/>
      <c r="Q153" s="1117"/>
      <c r="R153" s="1117"/>
      <c r="S153" s="1117"/>
      <c r="T153" s="1117"/>
      <c r="U153" s="1117"/>
      <c r="V153" s="1117"/>
      <c r="W153" s="1117"/>
      <c r="X153" s="1117"/>
      <c r="Y153" s="1117"/>
      <c r="Z153" s="1117"/>
      <c r="AA153" s="1117"/>
      <c r="AB153" s="1117"/>
    </row>
    <row r="154" ht="14.25" customHeight="1">
      <c r="A154" s="1117"/>
      <c r="B154" s="1117"/>
      <c r="C154" s="1117"/>
      <c r="D154" s="1117"/>
      <c r="E154" s="1117"/>
      <c r="F154" s="1117"/>
      <c r="G154" s="1117"/>
      <c r="H154" s="1117"/>
      <c r="I154" s="1117"/>
      <c r="J154" s="1117"/>
      <c r="K154" s="1117"/>
      <c r="L154" s="1117"/>
      <c r="M154" s="1117"/>
      <c r="N154" s="1117"/>
      <c r="O154" s="1117"/>
      <c r="P154" s="1117"/>
      <c r="Q154" s="1117"/>
      <c r="R154" s="1117"/>
      <c r="S154" s="1117"/>
      <c r="T154" s="1117"/>
      <c r="U154" s="1117"/>
      <c r="V154" s="1117"/>
      <c r="W154" s="1117"/>
      <c r="X154" s="1117"/>
      <c r="Y154" s="1117"/>
      <c r="Z154" s="1117"/>
      <c r="AA154" s="1117"/>
      <c r="AB154" s="1117"/>
    </row>
    <row r="155" ht="14.25" customHeight="1">
      <c r="A155" s="1117"/>
      <c r="B155" s="1117"/>
      <c r="C155" s="1117"/>
      <c r="D155" s="1117"/>
      <c r="E155" s="1117"/>
      <c r="F155" s="1117"/>
      <c r="G155" s="1117"/>
      <c r="H155" s="1117"/>
      <c r="I155" s="1117"/>
      <c r="J155" s="1117"/>
      <c r="K155" s="1117"/>
      <c r="L155" s="1117"/>
      <c r="M155" s="1117"/>
      <c r="N155" s="1117"/>
      <c r="O155" s="1117"/>
      <c r="P155" s="1117"/>
      <c r="Q155" s="1117"/>
      <c r="R155" s="1117"/>
      <c r="S155" s="1117"/>
      <c r="T155" s="1117"/>
      <c r="U155" s="1117"/>
      <c r="V155" s="1117"/>
      <c r="W155" s="1117"/>
      <c r="X155" s="1117"/>
      <c r="Y155" s="1117"/>
      <c r="Z155" s="1117"/>
      <c r="AA155" s="1117"/>
      <c r="AB155" s="1117"/>
    </row>
    <row r="156" ht="14.25" customHeight="1">
      <c r="A156" s="1117"/>
      <c r="B156" s="1117"/>
      <c r="C156" s="1117"/>
      <c r="D156" s="1117"/>
      <c r="E156" s="1117"/>
      <c r="F156" s="1117"/>
      <c r="G156" s="1117"/>
      <c r="H156" s="1117"/>
      <c r="I156" s="1117"/>
      <c r="J156" s="1117"/>
      <c r="K156" s="1117"/>
      <c r="L156" s="1117"/>
      <c r="M156" s="1117"/>
      <c r="N156" s="1117"/>
      <c r="O156" s="1117"/>
      <c r="P156" s="1117"/>
      <c r="Q156" s="1117"/>
      <c r="R156" s="1117"/>
      <c r="S156" s="1117"/>
      <c r="T156" s="1117"/>
      <c r="U156" s="1117"/>
      <c r="V156" s="1117"/>
      <c r="W156" s="1117"/>
      <c r="X156" s="1117"/>
      <c r="Y156" s="1117"/>
      <c r="Z156" s="1117"/>
      <c r="AA156" s="1117"/>
      <c r="AB156" s="1117"/>
    </row>
    <row r="157" ht="14.25" customHeight="1">
      <c r="A157" s="1117"/>
      <c r="B157" s="1117"/>
      <c r="C157" s="1117"/>
      <c r="D157" s="1117"/>
      <c r="E157" s="1117"/>
      <c r="F157" s="1117"/>
      <c r="G157" s="1117"/>
      <c r="H157" s="1117"/>
      <c r="I157" s="1117"/>
      <c r="J157" s="1117"/>
      <c r="K157" s="1117"/>
      <c r="L157" s="1117"/>
      <c r="M157" s="1117"/>
      <c r="N157" s="1117"/>
      <c r="O157" s="1117"/>
      <c r="P157" s="1117"/>
      <c r="Q157" s="1117"/>
      <c r="R157" s="1117"/>
      <c r="S157" s="1117"/>
      <c r="T157" s="1117"/>
      <c r="U157" s="1117"/>
      <c r="V157" s="1117"/>
      <c r="W157" s="1117"/>
      <c r="X157" s="1117"/>
      <c r="Y157" s="1117"/>
      <c r="Z157" s="1117"/>
      <c r="AA157" s="1117"/>
      <c r="AB157" s="1117"/>
    </row>
    <row r="158" ht="14.25" customHeight="1">
      <c r="A158" s="1117"/>
      <c r="B158" s="1117"/>
      <c r="C158" s="1117"/>
      <c r="D158" s="1117"/>
      <c r="E158" s="1117"/>
      <c r="F158" s="1117"/>
      <c r="G158" s="1117"/>
      <c r="H158" s="1117"/>
      <c r="I158" s="1117"/>
      <c r="J158" s="1117"/>
      <c r="K158" s="1117"/>
      <c r="L158" s="1117"/>
      <c r="M158" s="1117"/>
      <c r="N158" s="1117"/>
      <c r="O158" s="1117"/>
      <c r="P158" s="1117"/>
      <c r="Q158" s="1117"/>
      <c r="R158" s="1117"/>
      <c r="S158" s="1117"/>
      <c r="T158" s="1117"/>
      <c r="U158" s="1117"/>
      <c r="V158" s="1117"/>
      <c r="W158" s="1117"/>
      <c r="X158" s="1117"/>
      <c r="Y158" s="1117"/>
      <c r="Z158" s="1117"/>
      <c r="AA158" s="1117"/>
      <c r="AB158" s="1117"/>
    </row>
    <row r="159" ht="14.25" customHeight="1">
      <c r="A159" s="1117"/>
      <c r="B159" s="1117"/>
      <c r="C159" s="1117"/>
      <c r="D159" s="1117"/>
      <c r="E159" s="1117"/>
      <c r="F159" s="1117"/>
      <c r="G159" s="1117"/>
      <c r="H159" s="1117"/>
      <c r="I159" s="1117"/>
      <c r="J159" s="1117"/>
      <c r="K159" s="1117"/>
      <c r="L159" s="1117"/>
      <c r="M159" s="1117"/>
      <c r="N159" s="1117"/>
      <c r="O159" s="1117"/>
      <c r="P159" s="1117"/>
      <c r="Q159" s="1117"/>
      <c r="R159" s="1117"/>
      <c r="S159" s="1117"/>
      <c r="T159" s="1117"/>
      <c r="U159" s="1117"/>
      <c r="V159" s="1117"/>
      <c r="W159" s="1117"/>
      <c r="X159" s="1117"/>
      <c r="Y159" s="1117"/>
      <c r="Z159" s="1117"/>
      <c r="AA159" s="1117"/>
      <c r="AB159" s="1117"/>
    </row>
    <row r="160" ht="14.25" customHeight="1">
      <c r="A160" s="1117"/>
      <c r="B160" s="1117"/>
      <c r="C160" s="1117"/>
      <c r="D160" s="1117"/>
      <c r="E160" s="1117"/>
      <c r="F160" s="1117"/>
      <c r="G160" s="1117"/>
      <c r="H160" s="1117"/>
      <c r="I160" s="1117"/>
      <c r="J160" s="1117"/>
      <c r="K160" s="1117"/>
      <c r="L160" s="1117"/>
      <c r="M160" s="1117"/>
      <c r="N160" s="1117"/>
      <c r="O160" s="1117"/>
      <c r="P160" s="1117"/>
      <c r="Q160" s="1117"/>
      <c r="R160" s="1117"/>
      <c r="S160" s="1117"/>
      <c r="T160" s="1117"/>
      <c r="U160" s="1117"/>
      <c r="V160" s="1117"/>
      <c r="W160" s="1117"/>
      <c r="X160" s="1117"/>
      <c r="Y160" s="1117"/>
      <c r="Z160" s="1117"/>
      <c r="AA160" s="1117"/>
      <c r="AB160" s="1117"/>
    </row>
    <row r="161" ht="14.25" customHeight="1">
      <c r="A161" s="1117"/>
      <c r="B161" s="1117"/>
      <c r="C161" s="1117"/>
      <c r="D161" s="1117"/>
      <c r="E161" s="1117"/>
      <c r="F161" s="1117"/>
      <c r="G161" s="1117"/>
      <c r="H161" s="1117"/>
      <c r="I161" s="1117"/>
      <c r="J161" s="1117"/>
      <c r="K161" s="1117"/>
      <c r="L161" s="1117"/>
      <c r="M161" s="1117"/>
      <c r="N161" s="1117"/>
      <c r="O161" s="1117"/>
      <c r="P161" s="1117"/>
      <c r="Q161" s="1117"/>
      <c r="R161" s="1117"/>
      <c r="S161" s="1117"/>
      <c r="T161" s="1117"/>
      <c r="U161" s="1117"/>
      <c r="V161" s="1117"/>
      <c r="W161" s="1117"/>
      <c r="X161" s="1117"/>
      <c r="Y161" s="1117"/>
      <c r="Z161" s="1117"/>
      <c r="AA161" s="1117"/>
      <c r="AB161" s="1117"/>
    </row>
    <row r="162" ht="14.25" customHeight="1">
      <c r="A162" s="1117"/>
      <c r="B162" s="1117"/>
      <c r="C162" s="1117"/>
      <c r="D162" s="1117"/>
      <c r="E162" s="1117"/>
      <c r="F162" s="1117"/>
      <c r="G162" s="1117"/>
      <c r="H162" s="1117"/>
      <c r="I162" s="1117"/>
      <c r="J162" s="1117"/>
      <c r="K162" s="1117"/>
      <c r="L162" s="1117"/>
      <c r="M162" s="1117"/>
      <c r="N162" s="1117"/>
      <c r="O162" s="1117"/>
      <c r="P162" s="1117"/>
      <c r="Q162" s="1117"/>
      <c r="R162" s="1117"/>
      <c r="S162" s="1117"/>
      <c r="T162" s="1117"/>
      <c r="U162" s="1117"/>
      <c r="V162" s="1117"/>
      <c r="W162" s="1117"/>
      <c r="X162" s="1117"/>
      <c r="Y162" s="1117"/>
      <c r="Z162" s="1117"/>
      <c r="AA162" s="1117"/>
      <c r="AB162" s="1117"/>
    </row>
    <row r="163" ht="14.25" customHeight="1">
      <c r="A163" s="1117"/>
      <c r="B163" s="1117"/>
      <c r="C163" s="1117"/>
      <c r="D163" s="1117"/>
      <c r="E163" s="1117"/>
      <c r="F163" s="1117"/>
      <c r="G163" s="1117"/>
      <c r="H163" s="1117"/>
      <c r="I163" s="1117"/>
      <c r="J163" s="1117"/>
      <c r="K163" s="1117"/>
      <c r="L163" s="1117"/>
      <c r="M163" s="1117"/>
      <c r="N163" s="1117"/>
      <c r="O163" s="1117"/>
      <c r="P163" s="1117"/>
      <c r="Q163" s="1117"/>
      <c r="R163" s="1117"/>
      <c r="S163" s="1117"/>
      <c r="T163" s="1117"/>
      <c r="U163" s="1117"/>
      <c r="V163" s="1117"/>
      <c r="W163" s="1117"/>
      <c r="X163" s="1117"/>
      <c r="Y163" s="1117"/>
      <c r="Z163" s="1117"/>
      <c r="AA163" s="1117"/>
      <c r="AB163" s="1117"/>
    </row>
    <row r="164" ht="14.25" customHeight="1">
      <c r="A164" s="1117"/>
      <c r="B164" s="1117"/>
      <c r="C164" s="1117"/>
      <c r="D164" s="1117"/>
      <c r="E164" s="1117"/>
      <c r="F164" s="1117"/>
      <c r="G164" s="1117"/>
      <c r="H164" s="1117"/>
      <c r="I164" s="1117"/>
      <c r="J164" s="1117"/>
      <c r="K164" s="1117"/>
      <c r="L164" s="1117"/>
      <c r="M164" s="1117"/>
      <c r="N164" s="1117"/>
      <c r="O164" s="1117"/>
      <c r="P164" s="1117"/>
      <c r="Q164" s="1117"/>
      <c r="R164" s="1117"/>
      <c r="S164" s="1117"/>
      <c r="T164" s="1117"/>
      <c r="U164" s="1117"/>
      <c r="V164" s="1117"/>
      <c r="W164" s="1117"/>
      <c r="X164" s="1117"/>
      <c r="Y164" s="1117"/>
      <c r="Z164" s="1117"/>
      <c r="AA164" s="1117"/>
      <c r="AB164" s="1117"/>
    </row>
    <row r="165" ht="14.25" customHeight="1">
      <c r="A165" s="1117"/>
      <c r="B165" s="1117"/>
      <c r="C165" s="1117"/>
      <c r="D165" s="1117"/>
      <c r="E165" s="1117"/>
      <c r="F165" s="1117"/>
      <c r="G165" s="1117"/>
      <c r="H165" s="1117"/>
      <c r="I165" s="1117"/>
      <c r="J165" s="1117"/>
      <c r="K165" s="1117"/>
      <c r="L165" s="1117"/>
      <c r="M165" s="1117"/>
      <c r="N165" s="1117"/>
      <c r="O165" s="1117"/>
      <c r="P165" s="1117"/>
      <c r="Q165" s="1117"/>
      <c r="R165" s="1117"/>
      <c r="S165" s="1117"/>
      <c r="T165" s="1117"/>
      <c r="U165" s="1117"/>
      <c r="V165" s="1117"/>
      <c r="W165" s="1117"/>
      <c r="X165" s="1117"/>
      <c r="Y165" s="1117"/>
      <c r="Z165" s="1117"/>
      <c r="AA165" s="1117"/>
      <c r="AB165" s="1117"/>
    </row>
    <row r="166" ht="14.25" customHeight="1">
      <c r="A166" s="1117"/>
      <c r="B166" s="1117"/>
      <c r="C166" s="1117"/>
      <c r="D166" s="1117"/>
      <c r="E166" s="1117"/>
      <c r="F166" s="1117"/>
      <c r="G166" s="1117"/>
      <c r="H166" s="1117"/>
      <c r="I166" s="1117"/>
      <c r="J166" s="1117"/>
      <c r="K166" s="1117"/>
      <c r="L166" s="1117"/>
      <c r="M166" s="1117"/>
      <c r="N166" s="1117"/>
      <c r="O166" s="1117"/>
      <c r="P166" s="1117"/>
      <c r="Q166" s="1117"/>
      <c r="R166" s="1117"/>
      <c r="S166" s="1117"/>
      <c r="T166" s="1117"/>
      <c r="U166" s="1117"/>
      <c r="V166" s="1117"/>
      <c r="W166" s="1117"/>
      <c r="X166" s="1117"/>
      <c r="Y166" s="1117"/>
      <c r="Z166" s="1117"/>
      <c r="AA166" s="1117"/>
      <c r="AB166" s="1117"/>
    </row>
    <row r="167" ht="14.25" customHeight="1">
      <c r="A167" s="1117"/>
      <c r="B167" s="1117"/>
      <c r="C167" s="1117"/>
      <c r="D167" s="1117"/>
      <c r="E167" s="1117"/>
      <c r="F167" s="1117"/>
      <c r="G167" s="1117"/>
      <c r="H167" s="1117"/>
      <c r="I167" s="1117"/>
      <c r="J167" s="1117"/>
      <c r="K167" s="1117"/>
      <c r="L167" s="1117"/>
      <c r="M167" s="1117"/>
      <c r="N167" s="1117"/>
      <c r="O167" s="1117"/>
      <c r="P167" s="1117"/>
      <c r="Q167" s="1117"/>
      <c r="R167" s="1117"/>
      <c r="S167" s="1117"/>
      <c r="T167" s="1117"/>
      <c r="U167" s="1117"/>
      <c r="V167" s="1117"/>
      <c r="W167" s="1117"/>
      <c r="X167" s="1117"/>
      <c r="Y167" s="1117"/>
      <c r="Z167" s="1117"/>
      <c r="AA167" s="1117"/>
      <c r="AB167" s="1117"/>
    </row>
    <row r="168" ht="14.25" customHeight="1">
      <c r="A168" s="1117"/>
      <c r="B168" s="1117"/>
      <c r="C168" s="1117"/>
      <c r="D168" s="1117"/>
      <c r="E168" s="1117"/>
      <c r="F168" s="1117"/>
      <c r="G168" s="1117"/>
      <c r="H168" s="1117"/>
      <c r="I168" s="1117"/>
      <c r="J168" s="1117"/>
      <c r="K168" s="1117"/>
      <c r="L168" s="1117"/>
      <c r="M168" s="1117"/>
      <c r="N168" s="1117"/>
      <c r="O168" s="1117"/>
      <c r="P168" s="1117"/>
      <c r="Q168" s="1117"/>
      <c r="R168" s="1117"/>
      <c r="S168" s="1117"/>
      <c r="T168" s="1117"/>
      <c r="U168" s="1117"/>
      <c r="V168" s="1117"/>
      <c r="W168" s="1117"/>
      <c r="X168" s="1117"/>
      <c r="Y168" s="1117"/>
      <c r="Z168" s="1117"/>
      <c r="AA168" s="1117"/>
      <c r="AB168" s="1117"/>
    </row>
    <row r="169" ht="14.25" customHeight="1">
      <c r="A169" s="1117"/>
      <c r="B169" s="1117"/>
      <c r="C169" s="1117"/>
      <c r="D169" s="1117"/>
      <c r="E169" s="1117"/>
      <c r="F169" s="1117"/>
      <c r="G169" s="1117"/>
      <c r="H169" s="1117"/>
      <c r="I169" s="1117"/>
      <c r="J169" s="1117"/>
      <c r="K169" s="1117"/>
      <c r="L169" s="1117"/>
      <c r="M169" s="1117"/>
      <c r="N169" s="1117"/>
      <c r="O169" s="1117"/>
      <c r="P169" s="1117"/>
      <c r="Q169" s="1117"/>
      <c r="R169" s="1117"/>
      <c r="S169" s="1117"/>
      <c r="T169" s="1117"/>
      <c r="U169" s="1117"/>
      <c r="V169" s="1117"/>
      <c r="W169" s="1117"/>
      <c r="X169" s="1117"/>
      <c r="Y169" s="1117"/>
      <c r="Z169" s="1117"/>
      <c r="AA169" s="1117"/>
      <c r="AB169" s="1117"/>
    </row>
    <row r="170" ht="14.25" customHeight="1">
      <c r="A170" s="1117"/>
      <c r="B170" s="1117"/>
      <c r="C170" s="1117"/>
      <c r="D170" s="1117"/>
      <c r="E170" s="1117"/>
      <c r="F170" s="1117"/>
      <c r="G170" s="1117"/>
      <c r="H170" s="1117"/>
      <c r="I170" s="1117"/>
      <c r="J170" s="1117"/>
      <c r="K170" s="1117"/>
      <c r="L170" s="1117"/>
      <c r="M170" s="1117"/>
      <c r="N170" s="1117"/>
      <c r="O170" s="1117"/>
      <c r="P170" s="1117"/>
      <c r="Q170" s="1117"/>
      <c r="R170" s="1117"/>
      <c r="S170" s="1117"/>
      <c r="T170" s="1117"/>
      <c r="U170" s="1117"/>
      <c r="V170" s="1117"/>
      <c r="W170" s="1117"/>
      <c r="X170" s="1117"/>
      <c r="Y170" s="1117"/>
      <c r="Z170" s="1117"/>
      <c r="AA170" s="1117"/>
      <c r="AB170" s="1117"/>
    </row>
    <row r="171" ht="14.25" customHeight="1">
      <c r="A171" s="1117"/>
      <c r="B171" s="1117"/>
      <c r="C171" s="1117"/>
      <c r="D171" s="1117"/>
      <c r="E171" s="1117"/>
      <c r="F171" s="1117"/>
      <c r="G171" s="1117"/>
      <c r="H171" s="1117"/>
      <c r="I171" s="1117"/>
      <c r="J171" s="1117"/>
      <c r="K171" s="1117"/>
      <c r="L171" s="1117"/>
      <c r="M171" s="1117"/>
      <c r="N171" s="1117"/>
      <c r="O171" s="1117"/>
      <c r="P171" s="1117"/>
      <c r="Q171" s="1117"/>
      <c r="R171" s="1117"/>
      <c r="S171" s="1117"/>
      <c r="T171" s="1117"/>
      <c r="U171" s="1117"/>
      <c r="V171" s="1117"/>
      <c r="W171" s="1117"/>
      <c r="X171" s="1117"/>
      <c r="Y171" s="1117"/>
      <c r="Z171" s="1117"/>
      <c r="AA171" s="1117"/>
      <c r="AB171" s="1117"/>
    </row>
    <row r="172" ht="14.25" customHeight="1">
      <c r="A172" s="1117"/>
      <c r="B172" s="1117"/>
      <c r="C172" s="1117"/>
      <c r="D172" s="1117"/>
      <c r="E172" s="1117"/>
      <c r="F172" s="1117"/>
      <c r="G172" s="1117"/>
      <c r="H172" s="1117"/>
      <c r="I172" s="1117"/>
      <c r="J172" s="1117"/>
      <c r="K172" s="1117"/>
      <c r="L172" s="1117"/>
      <c r="M172" s="1117"/>
      <c r="N172" s="1117"/>
      <c r="O172" s="1117"/>
      <c r="P172" s="1117"/>
      <c r="Q172" s="1117"/>
      <c r="R172" s="1117"/>
      <c r="S172" s="1117"/>
      <c r="T172" s="1117"/>
      <c r="U172" s="1117"/>
      <c r="V172" s="1117"/>
      <c r="W172" s="1117"/>
      <c r="X172" s="1117"/>
      <c r="Y172" s="1117"/>
      <c r="Z172" s="1117"/>
      <c r="AA172" s="1117"/>
      <c r="AB172" s="1117"/>
    </row>
    <row r="173" ht="14.25" customHeight="1">
      <c r="A173" s="1117"/>
      <c r="B173" s="1117"/>
      <c r="C173" s="1117"/>
      <c r="D173" s="1117"/>
      <c r="E173" s="1117"/>
      <c r="F173" s="1117"/>
      <c r="G173" s="1117"/>
      <c r="H173" s="1117"/>
      <c r="I173" s="1117"/>
      <c r="J173" s="1117"/>
      <c r="K173" s="1117"/>
      <c r="L173" s="1117"/>
      <c r="M173" s="1117"/>
      <c r="N173" s="1117"/>
      <c r="O173" s="1117"/>
      <c r="P173" s="1117"/>
      <c r="Q173" s="1117"/>
      <c r="R173" s="1117"/>
      <c r="S173" s="1117"/>
      <c r="T173" s="1117"/>
      <c r="U173" s="1117"/>
      <c r="V173" s="1117"/>
      <c r="W173" s="1117"/>
      <c r="X173" s="1117"/>
      <c r="Y173" s="1117"/>
      <c r="Z173" s="1117"/>
      <c r="AA173" s="1117"/>
      <c r="AB173" s="1117"/>
    </row>
    <row r="174" ht="14.25" customHeight="1">
      <c r="A174" s="1117"/>
      <c r="B174" s="1117"/>
      <c r="C174" s="1117"/>
      <c r="D174" s="1117"/>
      <c r="E174" s="1117"/>
      <c r="F174" s="1117"/>
      <c r="G174" s="1117"/>
      <c r="H174" s="1117"/>
      <c r="I174" s="1117"/>
      <c r="J174" s="1117"/>
      <c r="K174" s="1117"/>
      <c r="L174" s="1117"/>
      <c r="M174" s="1117"/>
      <c r="N174" s="1117"/>
      <c r="O174" s="1117"/>
      <c r="P174" s="1117"/>
      <c r="Q174" s="1117"/>
      <c r="R174" s="1117"/>
      <c r="S174" s="1117"/>
      <c r="T174" s="1117"/>
      <c r="U174" s="1117"/>
      <c r="V174" s="1117"/>
      <c r="W174" s="1117"/>
      <c r="X174" s="1117"/>
      <c r="Y174" s="1117"/>
      <c r="Z174" s="1117"/>
      <c r="AA174" s="1117"/>
      <c r="AB174" s="1117"/>
    </row>
    <row r="175" ht="14.25" customHeight="1">
      <c r="A175" s="1117"/>
      <c r="B175" s="1117"/>
      <c r="C175" s="1117"/>
      <c r="D175" s="1117"/>
      <c r="E175" s="1117"/>
      <c r="F175" s="1117"/>
      <c r="G175" s="1117"/>
      <c r="H175" s="1117"/>
      <c r="I175" s="1117"/>
      <c r="J175" s="1117"/>
      <c r="K175" s="1117"/>
      <c r="L175" s="1117"/>
      <c r="M175" s="1117"/>
      <c r="N175" s="1117"/>
      <c r="O175" s="1117"/>
      <c r="P175" s="1117"/>
      <c r="Q175" s="1117"/>
      <c r="R175" s="1117"/>
      <c r="S175" s="1117"/>
      <c r="T175" s="1117"/>
      <c r="U175" s="1117"/>
      <c r="V175" s="1117"/>
      <c r="W175" s="1117"/>
      <c r="X175" s="1117"/>
      <c r="Y175" s="1117"/>
      <c r="Z175" s="1117"/>
      <c r="AA175" s="1117"/>
      <c r="AB175" s="1117"/>
    </row>
    <row r="176" ht="14.25" customHeight="1">
      <c r="A176" s="1117"/>
      <c r="B176" s="1117"/>
      <c r="C176" s="1117"/>
      <c r="D176" s="1117"/>
      <c r="E176" s="1117"/>
      <c r="F176" s="1117"/>
      <c r="G176" s="1117"/>
      <c r="H176" s="1117"/>
      <c r="I176" s="1117"/>
      <c r="J176" s="1117"/>
      <c r="K176" s="1117"/>
      <c r="L176" s="1117"/>
      <c r="M176" s="1117"/>
      <c r="N176" s="1117"/>
      <c r="O176" s="1117"/>
      <c r="P176" s="1117"/>
      <c r="Q176" s="1117"/>
      <c r="R176" s="1117"/>
      <c r="S176" s="1117"/>
      <c r="T176" s="1117"/>
      <c r="U176" s="1117"/>
      <c r="V176" s="1117"/>
      <c r="W176" s="1117"/>
      <c r="X176" s="1117"/>
      <c r="Y176" s="1117"/>
      <c r="Z176" s="1117"/>
      <c r="AA176" s="1117"/>
      <c r="AB176" s="1117"/>
    </row>
    <row r="177" ht="14.25" customHeight="1">
      <c r="A177" s="1117"/>
      <c r="B177" s="1117"/>
      <c r="C177" s="1117"/>
      <c r="D177" s="1117"/>
      <c r="E177" s="1117"/>
      <c r="F177" s="1117"/>
      <c r="G177" s="1117"/>
      <c r="H177" s="1117"/>
      <c r="I177" s="1117"/>
      <c r="J177" s="1117"/>
      <c r="K177" s="1117"/>
      <c r="L177" s="1117"/>
      <c r="M177" s="1117"/>
      <c r="N177" s="1117"/>
      <c r="O177" s="1117"/>
      <c r="P177" s="1117"/>
      <c r="Q177" s="1117"/>
      <c r="R177" s="1117"/>
      <c r="S177" s="1117"/>
      <c r="T177" s="1117"/>
      <c r="U177" s="1117"/>
      <c r="V177" s="1117"/>
      <c r="W177" s="1117"/>
      <c r="X177" s="1117"/>
      <c r="Y177" s="1117"/>
      <c r="Z177" s="1117"/>
      <c r="AA177" s="1117"/>
      <c r="AB177" s="1117"/>
    </row>
    <row r="178" ht="14.25" customHeight="1">
      <c r="A178" s="1117"/>
      <c r="B178" s="1117"/>
      <c r="C178" s="1117"/>
      <c r="D178" s="1117"/>
      <c r="E178" s="1117"/>
      <c r="F178" s="1117"/>
      <c r="G178" s="1117"/>
      <c r="H178" s="1117"/>
      <c r="I178" s="1117"/>
      <c r="J178" s="1117"/>
      <c r="K178" s="1117"/>
      <c r="L178" s="1117"/>
      <c r="M178" s="1117"/>
      <c r="N178" s="1117"/>
      <c r="O178" s="1117"/>
      <c r="P178" s="1117"/>
      <c r="Q178" s="1117"/>
      <c r="R178" s="1117"/>
      <c r="S178" s="1117"/>
      <c r="T178" s="1117"/>
      <c r="U178" s="1117"/>
      <c r="V178" s="1117"/>
      <c r="W178" s="1117"/>
      <c r="X178" s="1117"/>
      <c r="Y178" s="1117"/>
      <c r="Z178" s="1117"/>
      <c r="AA178" s="1117"/>
      <c r="AB178" s="1117"/>
    </row>
    <row r="179" ht="14.25" customHeight="1">
      <c r="A179" s="1117"/>
      <c r="B179" s="1117"/>
      <c r="C179" s="1117"/>
      <c r="D179" s="1117"/>
      <c r="E179" s="1117"/>
      <c r="F179" s="1117"/>
      <c r="G179" s="1117"/>
      <c r="H179" s="1117"/>
      <c r="I179" s="1117"/>
      <c r="J179" s="1117"/>
      <c r="K179" s="1117"/>
      <c r="L179" s="1117"/>
      <c r="M179" s="1117"/>
      <c r="N179" s="1117"/>
      <c r="O179" s="1117"/>
      <c r="P179" s="1117"/>
      <c r="Q179" s="1117"/>
      <c r="R179" s="1117"/>
      <c r="S179" s="1117"/>
      <c r="T179" s="1117"/>
      <c r="U179" s="1117"/>
      <c r="V179" s="1117"/>
      <c r="W179" s="1117"/>
      <c r="X179" s="1117"/>
      <c r="Y179" s="1117"/>
      <c r="Z179" s="1117"/>
      <c r="AA179" s="1117"/>
      <c r="AB179" s="1117"/>
    </row>
    <row r="180" ht="14.25" customHeight="1">
      <c r="A180" s="1117"/>
      <c r="B180" s="1117"/>
      <c r="C180" s="1117"/>
      <c r="D180" s="1117"/>
      <c r="E180" s="1117"/>
      <c r="F180" s="1117"/>
      <c r="G180" s="1117"/>
      <c r="H180" s="1117"/>
      <c r="I180" s="1117"/>
      <c r="J180" s="1117"/>
      <c r="K180" s="1117"/>
      <c r="L180" s="1117"/>
      <c r="M180" s="1117"/>
      <c r="N180" s="1117"/>
      <c r="O180" s="1117"/>
      <c r="P180" s="1117"/>
      <c r="Q180" s="1117"/>
      <c r="R180" s="1117"/>
      <c r="S180" s="1117"/>
      <c r="T180" s="1117"/>
      <c r="U180" s="1117"/>
      <c r="V180" s="1117"/>
      <c r="W180" s="1117"/>
      <c r="X180" s="1117"/>
      <c r="Y180" s="1117"/>
      <c r="Z180" s="1117"/>
      <c r="AA180" s="1117"/>
      <c r="AB180" s="1117"/>
    </row>
    <row r="181" ht="14.25" customHeight="1">
      <c r="A181" s="1117"/>
      <c r="B181" s="1117"/>
      <c r="C181" s="1117"/>
      <c r="D181" s="1117"/>
      <c r="E181" s="1117"/>
      <c r="F181" s="1117"/>
      <c r="G181" s="1117"/>
      <c r="H181" s="1117"/>
      <c r="I181" s="1117"/>
      <c r="J181" s="1117"/>
      <c r="K181" s="1117"/>
      <c r="L181" s="1117"/>
      <c r="M181" s="1117"/>
      <c r="N181" s="1117"/>
      <c r="O181" s="1117"/>
      <c r="P181" s="1117"/>
      <c r="Q181" s="1117"/>
      <c r="R181" s="1117"/>
      <c r="S181" s="1117"/>
      <c r="T181" s="1117"/>
      <c r="U181" s="1117"/>
      <c r="V181" s="1117"/>
      <c r="W181" s="1117"/>
      <c r="X181" s="1117"/>
      <c r="Y181" s="1117"/>
      <c r="Z181" s="1117"/>
      <c r="AA181" s="1117"/>
      <c r="AB181" s="1117"/>
    </row>
    <row r="182" ht="14.25" customHeight="1">
      <c r="A182" s="1117"/>
      <c r="B182" s="1117"/>
      <c r="C182" s="1117"/>
      <c r="D182" s="1117"/>
      <c r="E182" s="1117"/>
      <c r="F182" s="1117"/>
      <c r="G182" s="1117"/>
      <c r="H182" s="1117"/>
      <c r="I182" s="1117"/>
      <c r="J182" s="1117"/>
      <c r="K182" s="1117"/>
      <c r="L182" s="1117"/>
      <c r="M182" s="1117"/>
      <c r="N182" s="1117"/>
      <c r="O182" s="1117"/>
      <c r="P182" s="1117"/>
      <c r="Q182" s="1117"/>
      <c r="R182" s="1117"/>
      <c r="S182" s="1117"/>
      <c r="T182" s="1117"/>
      <c r="U182" s="1117"/>
      <c r="V182" s="1117"/>
      <c r="W182" s="1117"/>
      <c r="X182" s="1117"/>
      <c r="Y182" s="1117"/>
      <c r="Z182" s="1117"/>
      <c r="AA182" s="1117"/>
      <c r="AB182" s="1117"/>
    </row>
    <row r="183" ht="14.25" customHeight="1">
      <c r="A183" s="1117"/>
      <c r="B183" s="1117"/>
      <c r="C183" s="1117"/>
      <c r="D183" s="1117"/>
      <c r="E183" s="1117"/>
      <c r="F183" s="1117"/>
      <c r="G183" s="1117"/>
      <c r="H183" s="1117"/>
      <c r="I183" s="1117"/>
      <c r="J183" s="1117"/>
      <c r="K183" s="1117"/>
      <c r="L183" s="1117"/>
      <c r="M183" s="1117"/>
      <c r="N183" s="1117"/>
      <c r="O183" s="1117"/>
      <c r="P183" s="1117"/>
      <c r="Q183" s="1117"/>
      <c r="R183" s="1117"/>
      <c r="S183" s="1117"/>
      <c r="T183" s="1117"/>
      <c r="U183" s="1117"/>
      <c r="V183" s="1117"/>
      <c r="W183" s="1117"/>
      <c r="X183" s="1117"/>
      <c r="Y183" s="1117"/>
      <c r="Z183" s="1117"/>
      <c r="AA183" s="1117"/>
      <c r="AB183" s="1117"/>
    </row>
    <row r="184" ht="14.25" customHeight="1">
      <c r="A184" s="1117"/>
      <c r="B184" s="1117"/>
      <c r="C184" s="1117"/>
      <c r="D184" s="1117"/>
      <c r="E184" s="1117"/>
      <c r="F184" s="1117"/>
      <c r="G184" s="1117"/>
      <c r="H184" s="1117"/>
      <c r="I184" s="1117"/>
      <c r="J184" s="1117"/>
      <c r="K184" s="1117"/>
      <c r="L184" s="1117"/>
      <c r="M184" s="1117"/>
      <c r="N184" s="1117"/>
      <c r="O184" s="1117"/>
      <c r="P184" s="1117"/>
      <c r="Q184" s="1117"/>
      <c r="R184" s="1117"/>
      <c r="S184" s="1117"/>
      <c r="T184" s="1117"/>
      <c r="U184" s="1117"/>
      <c r="V184" s="1117"/>
      <c r="W184" s="1117"/>
      <c r="X184" s="1117"/>
      <c r="Y184" s="1117"/>
      <c r="Z184" s="1117"/>
      <c r="AA184" s="1117"/>
      <c r="AB184" s="1117"/>
    </row>
    <row r="185" ht="14.25" customHeight="1">
      <c r="A185" s="1117"/>
      <c r="B185" s="1117"/>
      <c r="C185" s="1117"/>
      <c r="D185" s="1117"/>
      <c r="E185" s="1117"/>
      <c r="F185" s="1117"/>
      <c r="G185" s="1117"/>
      <c r="H185" s="1117"/>
      <c r="I185" s="1117"/>
      <c r="J185" s="1117"/>
      <c r="K185" s="1117"/>
      <c r="L185" s="1117"/>
      <c r="M185" s="1117"/>
      <c r="N185" s="1117"/>
      <c r="O185" s="1117"/>
      <c r="P185" s="1117"/>
      <c r="Q185" s="1117"/>
      <c r="R185" s="1117"/>
      <c r="S185" s="1117"/>
      <c r="T185" s="1117"/>
      <c r="U185" s="1117"/>
      <c r="V185" s="1117"/>
      <c r="W185" s="1117"/>
      <c r="X185" s="1117"/>
      <c r="Y185" s="1117"/>
      <c r="Z185" s="1117"/>
      <c r="AA185" s="1117"/>
      <c r="AB185" s="1117"/>
    </row>
    <row r="186" ht="14.25" customHeight="1">
      <c r="A186" s="1117"/>
      <c r="B186" s="1117"/>
      <c r="C186" s="1117"/>
      <c r="D186" s="1117"/>
      <c r="E186" s="1117"/>
      <c r="F186" s="1117"/>
      <c r="G186" s="1117"/>
      <c r="H186" s="1117"/>
      <c r="I186" s="1117"/>
      <c r="J186" s="1117"/>
      <c r="K186" s="1117"/>
      <c r="L186" s="1117"/>
      <c r="M186" s="1117"/>
      <c r="N186" s="1117"/>
      <c r="O186" s="1117"/>
      <c r="P186" s="1117"/>
      <c r="Q186" s="1117"/>
      <c r="R186" s="1117"/>
      <c r="S186" s="1117"/>
      <c r="T186" s="1117"/>
      <c r="U186" s="1117"/>
      <c r="V186" s="1117"/>
      <c r="W186" s="1117"/>
      <c r="X186" s="1117"/>
      <c r="Y186" s="1117"/>
      <c r="Z186" s="1117"/>
      <c r="AA186" s="1117"/>
      <c r="AB186" s="1117"/>
    </row>
    <row r="187" ht="14.25" customHeight="1">
      <c r="A187" s="1117"/>
      <c r="B187" s="1117"/>
      <c r="C187" s="1117"/>
      <c r="D187" s="1117"/>
      <c r="E187" s="1117"/>
      <c r="F187" s="1117"/>
      <c r="G187" s="1117"/>
      <c r="H187" s="1117"/>
      <c r="I187" s="1117"/>
      <c r="J187" s="1117"/>
      <c r="K187" s="1117"/>
      <c r="L187" s="1117"/>
      <c r="M187" s="1117"/>
      <c r="N187" s="1117"/>
      <c r="O187" s="1117"/>
      <c r="P187" s="1117"/>
      <c r="Q187" s="1117"/>
      <c r="R187" s="1117"/>
      <c r="S187" s="1117"/>
      <c r="T187" s="1117"/>
      <c r="U187" s="1117"/>
      <c r="V187" s="1117"/>
      <c r="W187" s="1117"/>
      <c r="X187" s="1117"/>
      <c r="Y187" s="1117"/>
      <c r="Z187" s="1117"/>
      <c r="AA187" s="1117"/>
      <c r="AB187" s="1117"/>
    </row>
    <row r="188" ht="14.25" customHeight="1">
      <c r="A188" s="1117"/>
      <c r="B188" s="1117"/>
      <c r="C188" s="1117"/>
      <c r="D188" s="1117"/>
      <c r="E188" s="1117"/>
      <c r="F188" s="1117"/>
      <c r="G188" s="1117"/>
      <c r="H188" s="1117"/>
      <c r="I188" s="1117"/>
      <c r="J188" s="1117"/>
      <c r="K188" s="1117"/>
      <c r="L188" s="1117"/>
      <c r="M188" s="1117"/>
      <c r="N188" s="1117"/>
      <c r="O188" s="1117"/>
      <c r="P188" s="1117"/>
      <c r="Q188" s="1117"/>
      <c r="R188" s="1117"/>
      <c r="S188" s="1117"/>
      <c r="T188" s="1117"/>
      <c r="U188" s="1117"/>
      <c r="V188" s="1117"/>
      <c r="W188" s="1117"/>
      <c r="X188" s="1117"/>
      <c r="Y188" s="1117"/>
      <c r="Z188" s="1117"/>
      <c r="AA188" s="1117"/>
      <c r="AB188" s="1117"/>
    </row>
    <row r="189" ht="14.25" customHeight="1">
      <c r="A189" s="1117"/>
      <c r="B189" s="1117"/>
      <c r="C189" s="1117"/>
      <c r="D189" s="1117"/>
      <c r="E189" s="1117"/>
      <c r="F189" s="1117"/>
      <c r="G189" s="1117"/>
      <c r="H189" s="1117"/>
      <c r="I189" s="1117"/>
      <c r="J189" s="1117"/>
      <c r="K189" s="1117"/>
      <c r="L189" s="1117"/>
      <c r="M189" s="1117"/>
      <c r="N189" s="1117"/>
      <c r="O189" s="1117"/>
      <c r="P189" s="1117"/>
      <c r="Q189" s="1117"/>
      <c r="R189" s="1117"/>
      <c r="S189" s="1117"/>
      <c r="T189" s="1117"/>
      <c r="U189" s="1117"/>
      <c r="V189" s="1117"/>
      <c r="W189" s="1117"/>
      <c r="X189" s="1117"/>
      <c r="Y189" s="1117"/>
      <c r="Z189" s="1117"/>
      <c r="AA189" s="1117"/>
      <c r="AB189" s="1117"/>
    </row>
    <row r="190" ht="14.25" customHeight="1">
      <c r="A190" s="1117"/>
      <c r="B190" s="1117"/>
      <c r="C190" s="1117"/>
      <c r="D190" s="1117"/>
      <c r="E190" s="1117"/>
      <c r="F190" s="1117"/>
      <c r="G190" s="1117"/>
      <c r="H190" s="1117"/>
      <c r="I190" s="1117"/>
      <c r="J190" s="1117"/>
      <c r="K190" s="1117"/>
      <c r="L190" s="1117"/>
      <c r="M190" s="1117"/>
      <c r="N190" s="1117"/>
      <c r="O190" s="1117"/>
      <c r="P190" s="1117"/>
      <c r="Q190" s="1117"/>
      <c r="R190" s="1117"/>
      <c r="S190" s="1117"/>
      <c r="T190" s="1117"/>
      <c r="U190" s="1117"/>
      <c r="V190" s="1117"/>
      <c r="W190" s="1117"/>
      <c r="X190" s="1117"/>
      <c r="Y190" s="1117"/>
      <c r="Z190" s="1117"/>
      <c r="AA190" s="1117"/>
      <c r="AB190" s="1117"/>
    </row>
    <row r="191" ht="14.25" customHeight="1">
      <c r="A191" s="1117"/>
      <c r="B191" s="1117"/>
      <c r="C191" s="1117"/>
      <c r="D191" s="1117"/>
      <c r="E191" s="1117"/>
      <c r="F191" s="1117"/>
      <c r="G191" s="1117"/>
      <c r="H191" s="1117"/>
      <c r="I191" s="1117"/>
      <c r="J191" s="1117"/>
      <c r="K191" s="1117"/>
      <c r="L191" s="1117"/>
      <c r="M191" s="1117"/>
      <c r="N191" s="1117"/>
      <c r="O191" s="1117"/>
      <c r="P191" s="1117"/>
      <c r="Q191" s="1117"/>
      <c r="R191" s="1117"/>
      <c r="S191" s="1117"/>
      <c r="T191" s="1117"/>
      <c r="U191" s="1117"/>
      <c r="V191" s="1117"/>
      <c r="W191" s="1117"/>
      <c r="X191" s="1117"/>
      <c r="Y191" s="1117"/>
      <c r="Z191" s="1117"/>
      <c r="AA191" s="1117"/>
      <c r="AB191" s="1117"/>
    </row>
    <row r="192" ht="14.25" customHeight="1">
      <c r="A192" s="1117"/>
      <c r="B192" s="1117"/>
      <c r="C192" s="1117"/>
      <c r="D192" s="1117"/>
      <c r="E192" s="1117"/>
      <c r="F192" s="1117"/>
      <c r="G192" s="1117"/>
      <c r="H192" s="1117"/>
      <c r="I192" s="1117"/>
      <c r="J192" s="1117"/>
      <c r="K192" s="1117"/>
      <c r="L192" s="1117"/>
      <c r="M192" s="1117"/>
      <c r="N192" s="1117"/>
      <c r="O192" s="1117"/>
      <c r="P192" s="1117"/>
      <c r="Q192" s="1117"/>
      <c r="R192" s="1117"/>
      <c r="S192" s="1117"/>
      <c r="T192" s="1117"/>
      <c r="U192" s="1117"/>
      <c r="V192" s="1117"/>
      <c r="W192" s="1117"/>
      <c r="X192" s="1117"/>
      <c r="Y192" s="1117"/>
      <c r="Z192" s="1117"/>
      <c r="AA192" s="1117"/>
      <c r="AB192" s="1117"/>
    </row>
    <row r="193" ht="14.25" customHeight="1">
      <c r="A193" s="1117"/>
      <c r="B193" s="1117"/>
      <c r="C193" s="1117"/>
      <c r="D193" s="1117"/>
      <c r="E193" s="1117"/>
      <c r="F193" s="1117"/>
      <c r="G193" s="1117"/>
      <c r="H193" s="1117"/>
      <c r="I193" s="1117"/>
      <c r="J193" s="1117"/>
      <c r="K193" s="1117"/>
      <c r="L193" s="1117"/>
      <c r="M193" s="1117"/>
      <c r="N193" s="1117"/>
      <c r="O193" s="1117"/>
      <c r="P193" s="1117"/>
      <c r="Q193" s="1117"/>
      <c r="R193" s="1117"/>
      <c r="S193" s="1117"/>
      <c r="T193" s="1117"/>
      <c r="U193" s="1117"/>
      <c r="V193" s="1117"/>
      <c r="W193" s="1117"/>
      <c r="X193" s="1117"/>
      <c r="Y193" s="1117"/>
      <c r="Z193" s="1117"/>
      <c r="AA193" s="1117"/>
      <c r="AB193" s="1117"/>
    </row>
    <row r="194" ht="14.25" customHeight="1">
      <c r="A194" s="1117"/>
      <c r="B194" s="1117"/>
      <c r="C194" s="1117"/>
      <c r="D194" s="1117"/>
      <c r="E194" s="1117"/>
      <c r="F194" s="1117"/>
      <c r="G194" s="1117"/>
      <c r="H194" s="1117"/>
      <c r="I194" s="1117"/>
      <c r="J194" s="1117"/>
      <c r="K194" s="1117"/>
      <c r="L194" s="1117"/>
      <c r="M194" s="1117"/>
      <c r="N194" s="1117"/>
      <c r="O194" s="1117"/>
      <c r="P194" s="1117"/>
      <c r="Q194" s="1117"/>
      <c r="R194" s="1117"/>
      <c r="S194" s="1117"/>
      <c r="T194" s="1117"/>
      <c r="U194" s="1117"/>
      <c r="V194" s="1117"/>
      <c r="W194" s="1117"/>
      <c r="X194" s="1117"/>
      <c r="Y194" s="1117"/>
      <c r="Z194" s="1117"/>
      <c r="AA194" s="1117"/>
      <c r="AB194" s="1117"/>
    </row>
    <row r="195" ht="14.25" customHeight="1">
      <c r="A195" s="1117"/>
      <c r="B195" s="1117"/>
      <c r="C195" s="1117"/>
      <c r="D195" s="1117"/>
      <c r="E195" s="1117"/>
      <c r="F195" s="1117"/>
      <c r="G195" s="1117"/>
      <c r="H195" s="1117"/>
      <c r="I195" s="1117"/>
      <c r="J195" s="1117"/>
      <c r="K195" s="1117"/>
      <c r="L195" s="1117"/>
      <c r="M195" s="1117"/>
      <c r="N195" s="1117"/>
      <c r="O195" s="1117"/>
      <c r="P195" s="1117"/>
      <c r="Q195" s="1117"/>
      <c r="R195" s="1117"/>
      <c r="S195" s="1117"/>
      <c r="T195" s="1117"/>
      <c r="U195" s="1117"/>
      <c r="V195" s="1117"/>
      <c r="W195" s="1117"/>
      <c r="X195" s="1117"/>
      <c r="Y195" s="1117"/>
      <c r="Z195" s="1117"/>
      <c r="AA195" s="1117"/>
      <c r="AB195" s="1117"/>
    </row>
    <row r="196" ht="14.25" customHeight="1">
      <c r="A196" s="1117"/>
      <c r="B196" s="1117"/>
      <c r="C196" s="1117"/>
      <c r="D196" s="1117"/>
      <c r="E196" s="1117"/>
      <c r="F196" s="1117"/>
      <c r="G196" s="1117"/>
      <c r="H196" s="1117"/>
      <c r="I196" s="1117"/>
      <c r="J196" s="1117"/>
      <c r="K196" s="1117"/>
      <c r="L196" s="1117"/>
      <c r="M196" s="1117"/>
      <c r="N196" s="1117"/>
      <c r="O196" s="1117"/>
      <c r="P196" s="1117"/>
      <c r="Q196" s="1117"/>
      <c r="R196" s="1117"/>
      <c r="S196" s="1117"/>
      <c r="T196" s="1117"/>
      <c r="U196" s="1117"/>
      <c r="V196" s="1117"/>
      <c r="W196" s="1117"/>
      <c r="X196" s="1117"/>
      <c r="Y196" s="1117"/>
      <c r="Z196" s="1117"/>
      <c r="AA196" s="1117"/>
      <c r="AB196" s="1117"/>
    </row>
    <row r="197" ht="14.25" customHeight="1">
      <c r="A197" s="1117"/>
      <c r="B197" s="1117"/>
      <c r="C197" s="1117"/>
      <c r="D197" s="1117"/>
      <c r="E197" s="1117"/>
      <c r="F197" s="1117"/>
      <c r="G197" s="1117"/>
      <c r="H197" s="1117"/>
      <c r="I197" s="1117"/>
      <c r="J197" s="1117"/>
      <c r="K197" s="1117"/>
      <c r="L197" s="1117"/>
      <c r="M197" s="1117"/>
      <c r="N197" s="1117"/>
      <c r="O197" s="1117"/>
      <c r="P197" s="1117"/>
      <c r="Q197" s="1117"/>
      <c r="R197" s="1117"/>
      <c r="S197" s="1117"/>
      <c r="T197" s="1117"/>
      <c r="U197" s="1117"/>
      <c r="V197" s="1117"/>
      <c r="W197" s="1117"/>
      <c r="X197" s="1117"/>
      <c r="Y197" s="1117"/>
      <c r="Z197" s="1117"/>
      <c r="AA197" s="1117"/>
      <c r="AB197" s="1117"/>
    </row>
    <row r="198" ht="14.25" customHeight="1">
      <c r="A198" s="1117"/>
      <c r="B198" s="1117"/>
      <c r="C198" s="1117"/>
      <c r="D198" s="1117"/>
      <c r="E198" s="1117"/>
      <c r="F198" s="1117"/>
      <c r="G198" s="1117"/>
      <c r="H198" s="1117"/>
      <c r="I198" s="1117"/>
      <c r="J198" s="1117"/>
      <c r="K198" s="1117"/>
      <c r="L198" s="1117"/>
      <c r="M198" s="1117"/>
      <c r="N198" s="1117"/>
      <c r="O198" s="1117"/>
      <c r="P198" s="1117"/>
      <c r="Q198" s="1117"/>
      <c r="R198" s="1117"/>
      <c r="S198" s="1117"/>
      <c r="T198" s="1117"/>
      <c r="U198" s="1117"/>
      <c r="V198" s="1117"/>
      <c r="W198" s="1117"/>
      <c r="X198" s="1117"/>
      <c r="Y198" s="1117"/>
      <c r="Z198" s="1117"/>
      <c r="AA198" s="1117"/>
      <c r="AB198" s="1117"/>
    </row>
    <row r="199" ht="14.25" customHeight="1">
      <c r="A199" s="1117"/>
      <c r="B199" s="1117"/>
      <c r="C199" s="1117"/>
      <c r="D199" s="1117"/>
      <c r="E199" s="1117"/>
      <c r="F199" s="1117"/>
      <c r="G199" s="1117"/>
      <c r="H199" s="1117"/>
      <c r="I199" s="1117"/>
      <c r="J199" s="1117"/>
      <c r="K199" s="1117"/>
      <c r="L199" s="1117"/>
      <c r="M199" s="1117"/>
      <c r="N199" s="1117"/>
      <c r="O199" s="1117"/>
      <c r="P199" s="1117"/>
      <c r="Q199" s="1117"/>
      <c r="R199" s="1117"/>
      <c r="S199" s="1117"/>
      <c r="T199" s="1117"/>
      <c r="U199" s="1117"/>
      <c r="V199" s="1117"/>
      <c r="W199" s="1117"/>
      <c r="X199" s="1117"/>
      <c r="Y199" s="1117"/>
      <c r="Z199" s="1117"/>
      <c r="AA199" s="1117"/>
      <c r="AB199" s="1117"/>
    </row>
    <row r="200" ht="14.25" customHeight="1">
      <c r="A200" s="1117"/>
      <c r="B200" s="1117"/>
      <c r="C200" s="1117"/>
      <c r="D200" s="1117"/>
      <c r="E200" s="1117"/>
      <c r="F200" s="1117"/>
      <c r="G200" s="1117"/>
      <c r="H200" s="1117"/>
      <c r="I200" s="1117"/>
      <c r="J200" s="1117"/>
      <c r="K200" s="1117"/>
      <c r="L200" s="1117"/>
      <c r="M200" s="1117"/>
      <c r="N200" s="1117"/>
      <c r="O200" s="1117"/>
      <c r="P200" s="1117"/>
      <c r="Q200" s="1117"/>
      <c r="R200" s="1117"/>
      <c r="S200" s="1117"/>
      <c r="T200" s="1117"/>
      <c r="U200" s="1117"/>
      <c r="V200" s="1117"/>
      <c r="W200" s="1117"/>
      <c r="X200" s="1117"/>
      <c r="Y200" s="1117"/>
      <c r="Z200" s="1117"/>
      <c r="AA200" s="1117"/>
      <c r="AB200" s="1117"/>
    </row>
    <row r="201" ht="14.25" customHeight="1">
      <c r="A201" s="1117"/>
      <c r="B201" s="1117"/>
      <c r="C201" s="1117"/>
      <c r="D201" s="1117"/>
      <c r="E201" s="1117"/>
      <c r="F201" s="1117"/>
      <c r="G201" s="1117"/>
      <c r="H201" s="1117"/>
      <c r="I201" s="1117"/>
      <c r="J201" s="1117"/>
      <c r="K201" s="1117"/>
      <c r="L201" s="1117"/>
      <c r="M201" s="1117"/>
      <c r="N201" s="1117"/>
      <c r="O201" s="1117"/>
      <c r="P201" s="1117"/>
      <c r="Q201" s="1117"/>
      <c r="R201" s="1117"/>
      <c r="S201" s="1117"/>
      <c r="T201" s="1117"/>
      <c r="U201" s="1117"/>
      <c r="V201" s="1117"/>
      <c r="W201" s="1117"/>
      <c r="X201" s="1117"/>
      <c r="Y201" s="1117"/>
      <c r="Z201" s="1117"/>
      <c r="AA201" s="1117"/>
      <c r="AB201" s="1117"/>
    </row>
    <row r="202" ht="14.25" customHeight="1">
      <c r="A202" s="1117"/>
      <c r="B202" s="1117"/>
      <c r="C202" s="1117"/>
      <c r="D202" s="1117"/>
      <c r="E202" s="1117"/>
      <c r="F202" s="1117"/>
      <c r="G202" s="1117"/>
      <c r="H202" s="1117"/>
      <c r="I202" s="1117"/>
      <c r="J202" s="1117"/>
      <c r="K202" s="1117"/>
      <c r="L202" s="1117"/>
      <c r="M202" s="1117"/>
      <c r="N202" s="1117"/>
      <c r="O202" s="1117"/>
      <c r="P202" s="1117"/>
      <c r="Q202" s="1117"/>
      <c r="R202" s="1117"/>
      <c r="S202" s="1117"/>
      <c r="T202" s="1117"/>
      <c r="U202" s="1117"/>
      <c r="V202" s="1117"/>
      <c r="W202" s="1117"/>
      <c r="X202" s="1117"/>
      <c r="Y202" s="1117"/>
      <c r="Z202" s="1117"/>
      <c r="AA202" s="1117"/>
      <c r="AB202" s="1117"/>
    </row>
    <row r="203" ht="14.25" customHeight="1">
      <c r="A203" s="1117"/>
      <c r="B203" s="1117"/>
      <c r="C203" s="1117"/>
      <c r="D203" s="1117"/>
      <c r="E203" s="1117"/>
      <c r="F203" s="1117"/>
      <c r="G203" s="1117"/>
      <c r="H203" s="1117"/>
      <c r="I203" s="1117"/>
      <c r="J203" s="1117"/>
      <c r="K203" s="1117"/>
      <c r="L203" s="1117"/>
      <c r="M203" s="1117"/>
      <c r="N203" s="1117"/>
      <c r="O203" s="1117"/>
      <c r="P203" s="1117"/>
      <c r="Q203" s="1117"/>
      <c r="R203" s="1117"/>
      <c r="S203" s="1117"/>
      <c r="T203" s="1117"/>
      <c r="U203" s="1117"/>
      <c r="V203" s="1117"/>
      <c r="W203" s="1117"/>
      <c r="X203" s="1117"/>
      <c r="Y203" s="1117"/>
      <c r="Z203" s="1117"/>
      <c r="AA203" s="1117"/>
      <c r="AB203" s="1117"/>
    </row>
    <row r="204" ht="14.25" customHeight="1">
      <c r="A204" s="1117"/>
      <c r="B204" s="1117"/>
      <c r="C204" s="1117"/>
      <c r="D204" s="1117"/>
      <c r="E204" s="1117"/>
      <c r="F204" s="1117"/>
      <c r="G204" s="1117"/>
      <c r="H204" s="1117"/>
      <c r="I204" s="1117"/>
      <c r="J204" s="1117"/>
      <c r="K204" s="1117"/>
      <c r="L204" s="1117"/>
      <c r="M204" s="1117"/>
      <c r="N204" s="1117"/>
      <c r="O204" s="1117"/>
      <c r="P204" s="1117"/>
      <c r="Q204" s="1117"/>
      <c r="R204" s="1117"/>
      <c r="S204" s="1117"/>
      <c r="T204" s="1117"/>
      <c r="U204" s="1117"/>
      <c r="V204" s="1117"/>
      <c r="W204" s="1117"/>
      <c r="X204" s="1117"/>
      <c r="Y204" s="1117"/>
      <c r="Z204" s="1117"/>
      <c r="AA204" s="1117"/>
      <c r="AB204" s="1117"/>
    </row>
    <row r="205" ht="14.25" customHeight="1">
      <c r="A205" s="1117"/>
      <c r="B205" s="1117"/>
      <c r="C205" s="1117"/>
      <c r="D205" s="1117"/>
      <c r="E205" s="1117"/>
      <c r="F205" s="1117"/>
      <c r="G205" s="1117"/>
      <c r="H205" s="1117"/>
      <c r="I205" s="1117"/>
      <c r="J205" s="1117"/>
      <c r="K205" s="1117"/>
      <c r="L205" s="1117"/>
      <c r="M205" s="1117"/>
      <c r="N205" s="1117"/>
      <c r="O205" s="1117"/>
      <c r="P205" s="1117"/>
      <c r="Q205" s="1117"/>
      <c r="R205" s="1117"/>
      <c r="S205" s="1117"/>
      <c r="T205" s="1117"/>
      <c r="U205" s="1117"/>
      <c r="V205" s="1117"/>
      <c r="W205" s="1117"/>
      <c r="X205" s="1117"/>
      <c r="Y205" s="1117"/>
      <c r="Z205" s="1117"/>
      <c r="AA205" s="1117"/>
      <c r="AB205" s="1117"/>
    </row>
    <row r="206" ht="14.25" customHeight="1">
      <c r="A206" s="1117"/>
      <c r="B206" s="1117"/>
      <c r="C206" s="1117"/>
      <c r="D206" s="1117"/>
      <c r="E206" s="1117"/>
      <c r="F206" s="1117"/>
      <c r="G206" s="1117"/>
      <c r="H206" s="1117"/>
      <c r="I206" s="1117"/>
      <c r="J206" s="1117"/>
      <c r="K206" s="1117"/>
      <c r="L206" s="1117"/>
      <c r="M206" s="1117"/>
      <c r="N206" s="1117"/>
      <c r="O206" s="1117"/>
      <c r="P206" s="1117"/>
      <c r="Q206" s="1117"/>
      <c r="R206" s="1117"/>
      <c r="S206" s="1117"/>
      <c r="T206" s="1117"/>
      <c r="U206" s="1117"/>
      <c r="V206" s="1117"/>
      <c r="W206" s="1117"/>
      <c r="X206" s="1117"/>
      <c r="Y206" s="1117"/>
      <c r="Z206" s="1117"/>
      <c r="AA206" s="1117"/>
      <c r="AB206" s="1117"/>
    </row>
    <row r="207" ht="14.25" customHeight="1">
      <c r="A207" s="1117"/>
      <c r="B207" s="1117"/>
      <c r="C207" s="1117"/>
      <c r="D207" s="1117"/>
      <c r="E207" s="1117"/>
      <c r="F207" s="1117"/>
      <c r="G207" s="1117"/>
      <c r="H207" s="1117"/>
      <c r="I207" s="1117"/>
      <c r="J207" s="1117"/>
      <c r="K207" s="1117"/>
      <c r="L207" s="1117"/>
      <c r="M207" s="1117"/>
      <c r="N207" s="1117"/>
      <c r="O207" s="1117"/>
      <c r="P207" s="1117"/>
      <c r="Q207" s="1117"/>
      <c r="R207" s="1117"/>
      <c r="S207" s="1117"/>
      <c r="T207" s="1117"/>
      <c r="U207" s="1117"/>
      <c r="V207" s="1117"/>
      <c r="W207" s="1117"/>
      <c r="X207" s="1117"/>
      <c r="Y207" s="1117"/>
      <c r="Z207" s="1117"/>
      <c r="AA207" s="1117"/>
      <c r="AB207" s="1117"/>
    </row>
    <row r="208" ht="14.25" customHeight="1">
      <c r="A208" s="1117"/>
      <c r="B208" s="1117"/>
      <c r="C208" s="1117"/>
      <c r="D208" s="1117"/>
      <c r="E208" s="1117"/>
      <c r="F208" s="1117"/>
      <c r="G208" s="1117"/>
      <c r="H208" s="1117"/>
      <c r="I208" s="1117"/>
      <c r="J208" s="1117"/>
      <c r="K208" s="1117"/>
      <c r="L208" s="1117"/>
      <c r="M208" s="1117"/>
      <c r="N208" s="1117"/>
      <c r="O208" s="1117"/>
      <c r="P208" s="1117"/>
      <c r="Q208" s="1117"/>
      <c r="R208" s="1117"/>
      <c r="S208" s="1117"/>
      <c r="T208" s="1117"/>
      <c r="U208" s="1117"/>
      <c r="V208" s="1117"/>
      <c r="W208" s="1117"/>
      <c r="X208" s="1117"/>
      <c r="Y208" s="1117"/>
      <c r="Z208" s="1117"/>
      <c r="AA208" s="1117"/>
      <c r="AB208" s="1117"/>
    </row>
    <row r="209" ht="14.25" customHeight="1">
      <c r="A209" s="1117"/>
      <c r="B209" s="1117"/>
      <c r="C209" s="1117"/>
      <c r="D209" s="1117"/>
      <c r="E209" s="1117"/>
      <c r="F209" s="1117"/>
      <c r="G209" s="1117"/>
      <c r="H209" s="1117"/>
      <c r="I209" s="1117"/>
      <c r="J209" s="1117"/>
      <c r="K209" s="1117"/>
      <c r="L209" s="1117"/>
      <c r="M209" s="1117"/>
      <c r="N209" s="1117"/>
      <c r="O209" s="1117"/>
      <c r="P209" s="1117"/>
      <c r="Q209" s="1117"/>
      <c r="R209" s="1117"/>
      <c r="S209" s="1117"/>
      <c r="T209" s="1117"/>
      <c r="U209" s="1117"/>
      <c r="V209" s="1117"/>
      <c r="W209" s="1117"/>
      <c r="X209" s="1117"/>
      <c r="Y209" s="1117"/>
      <c r="Z209" s="1117"/>
      <c r="AA209" s="1117"/>
      <c r="AB209" s="1117"/>
    </row>
    <row r="210" ht="14.25" customHeight="1">
      <c r="A210" s="1117"/>
      <c r="B210" s="1117"/>
      <c r="C210" s="1117"/>
      <c r="D210" s="1117"/>
      <c r="E210" s="1117"/>
      <c r="F210" s="1117"/>
      <c r="G210" s="1117"/>
      <c r="H210" s="1117"/>
      <c r="I210" s="1117"/>
      <c r="J210" s="1117"/>
      <c r="K210" s="1117"/>
      <c r="L210" s="1117"/>
      <c r="M210" s="1117"/>
      <c r="N210" s="1117"/>
      <c r="O210" s="1117"/>
      <c r="P210" s="1117"/>
      <c r="Q210" s="1117"/>
      <c r="R210" s="1117"/>
      <c r="S210" s="1117"/>
      <c r="T210" s="1117"/>
      <c r="U210" s="1117"/>
      <c r="V210" s="1117"/>
      <c r="W210" s="1117"/>
      <c r="X210" s="1117"/>
      <c r="Y210" s="1117"/>
      <c r="Z210" s="1117"/>
      <c r="AA210" s="1117"/>
      <c r="AB210" s="1117"/>
    </row>
    <row r="211" ht="14.25" customHeight="1">
      <c r="A211" s="1117"/>
      <c r="B211" s="1117"/>
      <c r="C211" s="1117"/>
      <c r="D211" s="1117"/>
      <c r="E211" s="1117"/>
      <c r="F211" s="1117"/>
      <c r="G211" s="1117"/>
      <c r="H211" s="1117"/>
      <c r="I211" s="1117"/>
      <c r="J211" s="1117"/>
      <c r="K211" s="1117"/>
      <c r="L211" s="1117"/>
      <c r="M211" s="1117"/>
      <c r="N211" s="1117"/>
      <c r="O211" s="1117"/>
      <c r="P211" s="1117"/>
      <c r="Q211" s="1117"/>
      <c r="R211" s="1117"/>
      <c r="S211" s="1117"/>
      <c r="T211" s="1117"/>
      <c r="U211" s="1117"/>
      <c r="V211" s="1117"/>
      <c r="W211" s="1117"/>
      <c r="X211" s="1117"/>
      <c r="Y211" s="1117"/>
      <c r="Z211" s="1117"/>
      <c r="AA211" s="1117"/>
      <c r="AB211" s="1117"/>
    </row>
    <row r="212" ht="14.25" customHeight="1">
      <c r="A212" s="1117"/>
      <c r="B212" s="1117"/>
      <c r="C212" s="1117"/>
      <c r="D212" s="1117"/>
      <c r="E212" s="1117"/>
      <c r="F212" s="1117"/>
      <c r="G212" s="1117"/>
      <c r="H212" s="1117"/>
      <c r="I212" s="1117"/>
      <c r="J212" s="1117"/>
      <c r="K212" s="1117"/>
      <c r="L212" s="1117"/>
      <c r="M212" s="1117"/>
      <c r="N212" s="1117"/>
      <c r="O212" s="1117"/>
      <c r="P212" s="1117"/>
      <c r="Q212" s="1117"/>
      <c r="R212" s="1117"/>
      <c r="S212" s="1117"/>
      <c r="T212" s="1117"/>
      <c r="U212" s="1117"/>
      <c r="V212" s="1117"/>
      <c r="W212" s="1117"/>
      <c r="X212" s="1117"/>
      <c r="Y212" s="1117"/>
      <c r="Z212" s="1117"/>
      <c r="AA212" s="1117"/>
      <c r="AB212" s="1117"/>
    </row>
    <row r="213" ht="14.25" customHeight="1">
      <c r="A213" s="1117"/>
      <c r="B213" s="1117"/>
      <c r="C213" s="1117"/>
      <c r="D213" s="1117"/>
      <c r="E213" s="1117"/>
      <c r="F213" s="1117"/>
      <c r="G213" s="1117"/>
      <c r="H213" s="1117"/>
      <c r="I213" s="1117"/>
      <c r="J213" s="1117"/>
      <c r="K213" s="1117"/>
      <c r="L213" s="1117"/>
      <c r="M213" s="1117"/>
      <c r="N213" s="1117"/>
      <c r="O213" s="1117"/>
      <c r="P213" s="1117"/>
      <c r="Q213" s="1117"/>
      <c r="R213" s="1117"/>
      <c r="S213" s="1117"/>
      <c r="T213" s="1117"/>
      <c r="U213" s="1117"/>
      <c r="V213" s="1117"/>
      <c r="W213" s="1117"/>
      <c r="X213" s="1117"/>
      <c r="Y213" s="1117"/>
      <c r="Z213" s="1117"/>
      <c r="AA213" s="1117"/>
      <c r="AB213" s="1117"/>
    </row>
    <row r="214" ht="14.25" customHeight="1">
      <c r="A214" s="1117"/>
      <c r="B214" s="1117"/>
      <c r="C214" s="1117"/>
      <c r="D214" s="1117"/>
      <c r="E214" s="1117"/>
      <c r="F214" s="1117"/>
      <c r="G214" s="1117"/>
      <c r="H214" s="1117"/>
      <c r="I214" s="1117"/>
      <c r="J214" s="1117"/>
      <c r="K214" s="1117"/>
      <c r="L214" s="1117"/>
      <c r="M214" s="1117"/>
      <c r="N214" s="1117"/>
      <c r="O214" s="1117"/>
      <c r="P214" s="1117"/>
      <c r="Q214" s="1117"/>
      <c r="R214" s="1117"/>
      <c r="S214" s="1117"/>
      <c r="T214" s="1117"/>
      <c r="U214" s="1117"/>
      <c r="V214" s="1117"/>
      <c r="W214" s="1117"/>
      <c r="X214" s="1117"/>
      <c r="Y214" s="1117"/>
      <c r="Z214" s="1117"/>
      <c r="AA214" s="1117"/>
      <c r="AB214" s="1117"/>
    </row>
    <row r="215" ht="14.25" customHeight="1">
      <c r="A215" s="1117"/>
      <c r="B215" s="1117"/>
      <c r="C215" s="1117"/>
      <c r="D215" s="1117"/>
      <c r="E215" s="1117"/>
      <c r="F215" s="1117"/>
      <c r="G215" s="1117"/>
      <c r="H215" s="1117"/>
      <c r="I215" s="1117"/>
      <c r="J215" s="1117"/>
      <c r="K215" s="1117"/>
      <c r="L215" s="1117"/>
      <c r="M215" s="1117"/>
      <c r="N215" s="1117"/>
      <c r="O215" s="1117"/>
      <c r="P215" s="1117"/>
      <c r="Q215" s="1117"/>
      <c r="R215" s="1117"/>
      <c r="S215" s="1117"/>
      <c r="T215" s="1117"/>
      <c r="U215" s="1117"/>
      <c r="V215" s="1117"/>
      <c r="W215" s="1117"/>
      <c r="X215" s="1117"/>
      <c r="Y215" s="1117"/>
      <c r="Z215" s="1117"/>
      <c r="AA215" s="1117"/>
      <c r="AB215" s="1117"/>
    </row>
    <row r="216" ht="14.25" customHeight="1">
      <c r="A216" s="1117"/>
      <c r="B216" s="1117"/>
      <c r="C216" s="1117"/>
      <c r="D216" s="1117"/>
      <c r="E216" s="1117"/>
      <c r="F216" s="1117"/>
      <c r="G216" s="1117"/>
      <c r="H216" s="1117"/>
      <c r="I216" s="1117"/>
      <c r="J216" s="1117"/>
      <c r="K216" s="1117"/>
      <c r="L216" s="1117"/>
      <c r="M216" s="1117"/>
      <c r="N216" s="1117"/>
      <c r="O216" s="1117"/>
      <c r="P216" s="1117"/>
      <c r="Q216" s="1117"/>
      <c r="R216" s="1117"/>
      <c r="S216" s="1117"/>
      <c r="T216" s="1117"/>
      <c r="U216" s="1117"/>
      <c r="V216" s="1117"/>
      <c r="W216" s="1117"/>
      <c r="X216" s="1117"/>
      <c r="Y216" s="1117"/>
      <c r="Z216" s="1117"/>
      <c r="AA216" s="1117"/>
      <c r="AB216" s="1117"/>
    </row>
    <row r="217" ht="14.25" customHeight="1">
      <c r="A217" s="1117"/>
      <c r="B217" s="1117"/>
      <c r="C217" s="1117"/>
      <c r="D217" s="1117"/>
      <c r="E217" s="1117"/>
      <c r="F217" s="1117"/>
      <c r="G217" s="1117"/>
      <c r="H217" s="1117"/>
      <c r="I217" s="1117"/>
      <c r="J217" s="1117"/>
      <c r="K217" s="1117"/>
      <c r="L217" s="1117"/>
      <c r="M217" s="1117"/>
      <c r="N217" s="1117"/>
      <c r="O217" s="1117"/>
      <c r="P217" s="1117"/>
      <c r="Q217" s="1117"/>
      <c r="R217" s="1117"/>
      <c r="S217" s="1117"/>
      <c r="T217" s="1117"/>
      <c r="U217" s="1117"/>
      <c r="V217" s="1117"/>
      <c r="W217" s="1117"/>
      <c r="X217" s="1117"/>
      <c r="Y217" s="1117"/>
      <c r="Z217" s="1117"/>
      <c r="AA217" s="1117"/>
      <c r="AB217" s="1117"/>
    </row>
    <row r="218" ht="14.25" customHeight="1">
      <c r="A218" s="1117"/>
      <c r="B218" s="1117"/>
      <c r="C218" s="1117"/>
      <c r="D218" s="1117"/>
      <c r="E218" s="1117"/>
      <c r="F218" s="1117"/>
      <c r="G218" s="1117"/>
      <c r="H218" s="1117"/>
      <c r="I218" s="1117"/>
      <c r="J218" s="1117"/>
      <c r="K218" s="1117"/>
      <c r="L218" s="1117"/>
      <c r="M218" s="1117"/>
      <c r="N218" s="1117"/>
      <c r="O218" s="1117"/>
      <c r="P218" s="1117"/>
      <c r="Q218" s="1117"/>
      <c r="R218" s="1117"/>
      <c r="S218" s="1117"/>
      <c r="T218" s="1117"/>
      <c r="U218" s="1117"/>
      <c r="V218" s="1117"/>
      <c r="W218" s="1117"/>
      <c r="X218" s="1117"/>
      <c r="Y218" s="1117"/>
      <c r="Z218" s="1117"/>
      <c r="AA218" s="1117"/>
      <c r="AB218" s="1117"/>
    </row>
    <row r="219" ht="14.25" customHeight="1">
      <c r="A219" s="1117"/>
      <c r="B219" s="1117"/>
      <c r="C219" s="1117"/>
      <c r="D219" s="1117"/>
      <c r="E219" s="1117"/>
      <c r="F219" s="1117"/>
      <c r="G219" s="1117"/>
      <c r="H219" s="1117"/>
      <c r="I219" s="1117"/>
      <c r="J219" s="1117"/>
      <c r="K219" s="1117"/>
      <c r="L219" s="1117"/>
      <c r="M219" s="1117"/>
      <c r="N219" s="1117"/>
      <c r="O219" s="1117"/>
      <c r="P219" s="1117"/>
      <c r="Q219" s="1117"/>
      <c r="R219" s="1117"/>
      <c r="S219" s="1117"/>
      <c r="T219" s="1117"/>
      <c r="U219" s="1117"/>
      <c r="V219" s="1117"/>
      <c r="W219" s="1117"/>
      <c r="X219" s="1117"/>
      <c r="Y219" s="1117"/>
      <c r="Z219" s="1117"/>
      <c r="AA219" s="1117"/>
      <c r="AB219" s="1117"/>
    </row>
    <row r="220" ht="14.25" customHeight="1">
      <c r="A220" s="1117"/>
      <c r="B220" s="1117"/>
      <c r="C220" s="1117"/>
      <c r="D220" s="1117"/>
      <c r="E220" s="1117"/>
      <c r="F220" s="1117"/>
      <c r="G220" s="1117"/>
      <c r="H220" s="1117"/>
      <c r="I220" s="1117"/>
      <c r="J220" s="1117"/>
      <c r="K220" s="1117"/>
      <c r="L220" s="1117"/>
      <c r="M220" s="1117"/>
      <c r="N220" s="1117"/>
      <c r="O220" s="1117"/>
      <c r="P220" s="1117"/>
      <c r="Q220" s="1117"/>
      <c r="R220" s="1117"/>
      <c r="S220" s="1117"/>
      <c r="T220" s="1117"/>
      <c r="U220" s="1117"/>
      <c r="V220" s="1117"/>
      <c r="W220" s="1117"/>
      <c r="X220" s="1117"/>
      <c r="Y220" s="1117"/>
      <c r="Z220" s="1117"/>
      <c r="AA220" s="1117"/>
      <c r="AB220" s="1117"/>
    </row>
    <row r="221" ht="14.25" customHeight="1">
      <c r="A221" s="1117"/>
      <c r="B221" s="1117"/>
      <c r="C221" s="1117"/>
      <c r="D221" s="1117"/>
      <c r="E221" s="1117"/>
      <c r="F221" s="1117"/>
      <c r="G221" s="1117"/>
      <c r="H221" s="1117"/>
      <c r="I221" s="1117"/>
      <c r="J221" s="1117"/>
      <c r="K221" s="1117"/>
      <c r="L221" s="1117"/>
      <c r="M221" s="1117"/>
      <c r="N221" s="1117"/>
      <c r="O221" s="1117"/>
      <c r="P221" s="1117"/>
      <c r="Q221" s="1117"/>
      <c r="R221" s="1117"/>
      <c r="S221" s="1117"/>
      <c r="T221" s="1117"/>
      <c r="U221" s="1117"/>
      <c r="V221" s="1117"/>
      <c r="W221" s="1117"/>
      <c r="X221" s="1117"/>
      <c r="Y221" s="1117"/>
      <c r="Z221" s="1117"/>
      <c r="AA221" s="1117"/>
      <c r="AB221" s="1117"/>
    </row>
    <row r="222" ht="14.25" customHeight="1">
      <c r="A222" s="1117"/>
      <c r="B222" s="1117"/>
      <c r="C222" s="1117"/>
      <c r="D222" s="1117"/>
      <c r="E222" s="1117"/>
      <c r="F222" s="1117"/>
      <c r="G222" s="1117"/>
      <c r="H222" s="1117"/>
      <c r="I222" s="1117"/>
      <c r="J222" s="1117"/>
      <c r="K222" s="1117"/>
      <c r="L222" s="1117"/>
      <c r="M222" s="1117"/>
      <c r="N222" s="1117"/>
      <c r="O222" s="1117"/>
      <c r="P222" s="1117"/>
      <c r="Q222" s="1117"/>
      <c r="R222" s="1117"/>
      <c r="S222" s="1117"/>
      <c r="T222" s="1117"/>
      <c r="U222" s="1117"/>
      <c r="V222" s="1117"/>
      <c r="W222" s="1117"/>
      <c r="X222" s="1117"/>
      <c r="Y222" s="1117"/>
      <c r="Z222" s="1117"/>
      <c r="AA222" s="1117"/>
      <c r="AB222" s="1117"/>
    </row>
    <row r="223" ht="14.25" customHeight="1">
      <c r="A223" s="1117"/>
      <c r="B223" s="1117"/>
      <c r="C223" s="1117"/>
      <c r="D223" s="1117"/>
      <c r="E223" s="1117"/>
      <c r="F223" s="1117"/>
      <c r="G223" s="1117"/>
      <c r="H223" s="1117"/>
      <c r="I223" s="1117"/>
      <c r="J223" s="1117"/>
      <c r="K223" s="1117"/>
      <c r="L223" s="1117"/>
      <c r="M223" s="1117"/>
      <c r="N223" s="1117"/>
      <c r="O223" s="1117"/>
      <c r="P223" s="1117"/>
      <c r="Q223" s="1117"/>
      <c r="R223" s="1117"/>
      <c r="S223" s="1117"/>
      <c r="T223" s="1117"/>
      <c r="U223" s="1117"/>
      <c r="V223" s="1117"/>
      <c r="W223" s="1117"/>
      <c r="X223" s="1117"/>
      <c r="Y223" s="1117"/>
      <c r="Z223" s="1117"/>
      <c r="AA223" s="1117"/>
      <c r="AB223" s="1117"/>
    </row>
    <row r="224" ht="14.25" customHeight="1">
      <c r="A224" s="1117"/>
      <c r="B224" s="1117"/>
      <c r="C224" s="1117"/>
      <c r="D224" s="1117"/>
      <c r="E224" s="1117"/>
      <c r="F224" s="1117"/>
      <c r="G224" s="1117"/>
      <c r="H224" s="1117"/>
      <c r="I224" s="1117"/>
      <c r="J224" s="1117"/>
      <c r="K224" s="1117"/>
      <c r="L224" s="1117"/>
      <c r="M224" s="1117"/>
      <c r="N224" s="1117"/>
      <c r="O224" s="1117"/>
      <c r="P224" s="1117"/>
      <c r="Q224" s="1117"/>
      <c r="R224" s="1117"/>
      <c r="S224" s="1117"/>
      <c r="T224" s="1117"/>
      <c r="U224" s="1117"/>
      <c r="V224" s="1117"/>
      <c r="W224" s="1117"/>
      <c r="X224" s="1117"/>
      <c r="Y224" s="1117"/>
      <c r="Z224" s="1117"/>
      <c r="AA224" s="1117"/>
      <c r="AB224" s="1117"/>
    </row>
    <row r="225" ht="14.25" customHeight="1">
      <c r="A225" s="1117"/>
      <c r="B225" s="1117"/>
      <c r="C225" s="1117"/>
      <c r="D225" s="1117"/>
      <c r="E225" s="1117"/>
      <c r="F225" s="1117"/>
      <c r="G225" s="1117"/>
      <c r="H225" s="1117"/>
      <c r="I225" s="1117"/>
      <c r="J225" s="1117"/>
      <c r="K225" s="1117"/>
      <c r="L225" s="1117"/>
      <c r="M225" s="1117"/>
      <c r="N225" s="1117"/>
      <c r="O225" s="1117"/>
      <c r="P225" s="1117"/>
      <c r="Q225" s="1117"/>
      <c r="R225" s="1117"/>
      <c r="S225" s="1117"/>
      <c r="T225" s="1117"/>
      <c r="U225" s="1117"/>
      <c r="V225" s="1117"/>
      <c r="W225" s="1117"/>
      <c r="X225" s="1117"/>
      <c r="Y225" s="1117"/>
      <c r="Z225" s="1117"/>
      <c r="AA225" s="1117"/>
      <c r="AB225" s="1117"/>
    </row>
    <row r="226" ht="14.25" customHeight="1">
      <c r="A226" s="1117"/>
      <c r="B226" s="1117"/>
      <c r="C226" s="1117"/>
      <c r="D226" s="1117"/>
      <c r="E226" s="1117"/>
      <c r="F226" s="1117"/>
      <c r="G226" s="1117"/>
      <c r="H226" s="1117"/>
      <c r="I226" s="1117"/>
      <c r="J226" s="1117"/>
      <c r="K226" s="1117"/>
      <c r="L226" s="1117"/>
      <c r="M226" s="1117"/>
      <c r="N226" s="1117"/>
      <c r="O226" s="1117"/>
      <c r="P226" s="1117"/>
      <c r="Q226" s="1117"/>
      <c r="R226" s="1117"/>
      <c r="S226" s="1117"/>
      <c r="T226" s="1117"/>
      <c r="U226" s="1117"/>
      <c r="V226" s="1117"/>
      <c r="W226" s="1117"/>
      <c r="X226" s="1117"/>
      <c r="Y226" s="1117"/>
      <c r="Z226" s="1117"/>
      <c r="AA226" s="1117"/>
      <c r="AB226" s="1117"/>
    </row>
    <row r="227" ht="14.25" customHeight="1">
      <c r="A227" s="1117"/>
      <c r="B227" s="1117"/>
      <c r="C227" s="1117"/>
      <c r="D227" s="1117"/>
      <c r="E227" s="1117"/>
      <c r="F227" s="1117"/>
      <c r="G227" s="1117"/>
      <c r="H227" s="1117"/>
      <c r="I227" s="1117"/>
      <c r="J227" s="1117"/>
      <c r="K227" s="1117"/>
      <c r="L227" s="1117"/>
      <c r="M227" s="1117"/>
      <c r="N227" s="1117"/>
      <c r="O227" s="1117"/>
      <c r="P227" s="1117"/>
      <c r="Q227" s="1117"/>
      <c r="R227" s="1117"/>
      <c r="S227" s="1117"/>
      <c r="T227" s="1117"/>
      <c r="U227" s="1117"/>
      <c r="V227" s="1117"/>
      <c r="W227" s="1117"/>
      <c r="X227" s="1117"/>
      <c r="Y227" s="1117"/>
      <c r="Z227" s="1117"/>
      <c r="AA227" s="1117"/>
      <c r="AB227" s="1117"/>
    </row>
    <row r="228" ht="14.25" customHeight="1">
      <c r="A228" s="1117"/>
      <c r="B228" s="1117"/>
      <c r="C228" s="1117"/>
      <c r="D228" s="1117"/>
      <c r="E228" s="1117"/>
      <c r="F228" s="1117"/>
      <c r="G228" s="1117"/>
      <c r="H228" s="1117"/>
      <c r="I228" s="1117"/>
      <c r="J228" s="1117"/>
      <c r="K228" s="1117"/>
      <c r="L228" s="1117"/>
      <c r="M228" s="1117"/>
      <c r="N228" s="1117"/>
      <c r="O228" s="1117"/>
      <c r="P228" s="1117"/>
      <c r="Q228" s="1117"/>
      <c r="R228" s="1117"/>
      <c r="S228" s="1117"/>
      <c r="T228" s="1117"/>
      <c r="U228" s="1117"/>
      <c r="V228" s="1117"/>
      <c r="W228" s="1117"/>
      <c r="X228" s="1117"/>
      <c r="Y228" s="1117"/>
      <c r="Z228" s="1117"/>
      <c r="AA228" s="1117"/>
      <c r="AB228" s="1117"/>
    </row>
    <row r="229" ht="14.25" customHeight="1">
      <c r="A229" s="1117"/>
      <c r="B229" s="1117"/>
      <c r="C229" s="1117"/>
      <c r="D229" s="1117"/>
      <c r="E229" s="1117"/>
      <c r="F229" s="1117"/>
      <c r="G229" s="1117"/>
      <c r="H229" s="1117"/>
      <c r="I229" s="1117"/>
      <c r="J229" s="1117"/>
      <c r="K229" s="1117"/>
      <c r="L229" s="1117"/>
      <c r="M229" s="1117"/>
      <c r="N229" s="1117"/>
      <c r="O229" s="1117"/>
      <c r="P229" s="1117"/>
      <c r="Q229" s="1117"/>
      <c r="R229" s="1117"/>
      <c r="S229" s="1117"/>
      <c r="T229" s="1117"/>
      <c r="U229" s="1117"/>
      <c r="V229" s="1117"/>
      <c r="W229" s="1117"/>
      <c r="X229" s="1117"/>
      <c r="Y229" s="1117"/>
      <c r="Z229" s="1117"/>
      <c r="AA229" s="1117"/>
      <c r="AB229" s="1117"/>
    </row>
    <row r="230" ht="14.25" customHeight="1">
      <c r="A230" s="1117"/>
      <c r="B230" s="1117"/>
      <c r="C230" s="1117"/>
      <c r="D230" s="1117"/>
      <c r="E230" s="1117"/>
      <c r="F230" s="1117"/>
      <c r="G230" s="1117"/>
      <c r="H230" s="1117"/>
      <c r="I230" s="1117"/>
      <c r="J230" s="1117"/>
      <c r="K230" s="1117"/>
      <c r="L230" s="1117"/>
      <c r="M230" s="1117"/>
      <c r="N230" s="1117"/>
      <c r="O230" s="1117"/>
      <c r="P230" s="1117"/>
      <c r="Q230" s="1117"/>
      <c r="R230" s="1117"/>
      <c r="S230" s="1117"/>
      <c r="T230" s="1117"/>
      <c r="U230" s="1117"/>
      <c r="V230" s="1117"/>
      <c r="W230" s="1117"/>
      <c r="X230" s="1117"/>
      <c r="Y230" s="1117"/>
      <c r="Z230" s="1117"/>
      <c r="AA230" s="1117"/>
      <c r="AB230" s="1117"/>
    </row>
    <row r="231" ht="14.25" customHeight="1">
      <c r="A231" s="1117"/>
      <c r="B231" s="1117"/>
      <c r="C231" s="1117"/>
      <c r="D231" s="1117"/>
      <c r="E231" s="1117"/>
      <c r="F231" s="1117"/>
      <c r="G231" s="1117"/>
      <c r="H231" s="1117"/>
      <c r="I231" s="1117"/>
      <c r="J231" s="1117"/>
      <c r="K231" s="1117"/>
      <c r="L231" s="1117"/>
      <c r="M231" s="1117"/>
      <c r="N231" s="1117"/>
      <c r="O231" s="1117"/>
      <c r="P231" s="1117"/>
      <c r="Q231" s="1117"/>
      <c r="R231" s="1117"/>
      <c r="S231" s="1117"/>
      <c r="T231" s="1117"/>
      <c r="U231" s="1117"/>
      <c r="V231" s="1117"/>
      <c r="W231" s="1117"/>
      <c r="X231" s="1117"/>
      <c r="Y231" s="1117"/>
      <c r="Z231" s="1117"/>
      <c r="AA231" s="1117"/>
      <c r="AB231" s="1117"/>
    </row>
    <row r="232" ht="14.25" customHeight="1">
      <c r="A232" s="1117"/>
      <c r="B232" s="1117"/>
      <c r="C232" s="1117"/>
      <c r="D232" s="1117"/>
      <c r="E232" s="1117"/>
      <c r="F232" s="1117"/>
      <c r="G232" s="1117"/>
      <c r="H232" s="1117"/>
      <c r="I232" s="1117"/>
      <c r="J232" s="1117"/>
      <c r="K232" s="1117"/>
      <c r="L232" s="1117"/>
      <c r="M232" s="1117"/>
      <c r="N232" s="1117"/>
      <c r="O232" s="1117"/>
      <c r="P232" s="1117"/>
      <c r="Q232" s="1117"/>
      <c r="R232" s="1117"/>
      <c r="S232" s="1117"/>
      <c r="T232" s="1117"/>
      <c r="U232" s="1117"/>
      <c r="V232" s="1117"/>
      <c r="W232" s="1117"/>
      <c r="X232" s="1117"/>
      <c r="Y232" s="1117"/>
      <c r="Z232" s="1117"/>
      <c r="AA232" s="1117"/>
      <c r="AB232" s="1117"/>
    </row>
    <row r="233" ht="14.25" customHeight="1">
      <c r="A233" s="1117"/>
      <c r="B233" s="1117"/>
      <c r="C233" s="1117"/>
      <c r="D233" s="1117"/>
      <c r="E233" s="1117"/>
      <c r="F233" s="1117"/>
      <c r="G233" s="1117"/>
      <c r="H233" s="1117"/>
      <c r="I233" s="1117"/>
      <c r="J233" s="1117"/>
      <c r="K233" s="1117"/>
      <c r="L233" s="1117"/>
      <c r="M233" s="1117"/>
      <c r="N233" s="1117"/>
      <c r="O233" s="1117"/>
      <c r="P233" s="1117"/>
      <c r="Q233" s="1117"/>
      <c r="R233" s="1117"/>
      <c r="S233" s="1117"/>
      <c r="T233" s="1117"/>
      <c r="U233" s="1117"/>
      <c r="V233" s="1117"/>
      <c r="W233" s="1117"/>
      <c r="X233" s="1117"/>
      <c r="Y233" s="1117"/>
      <c r="Z233" s="1117"/>
      <c r="AA233" s="1117"/>
      <c r="AB233" s="1117"/>
    </row>
    <row r="234" ht="14.25" customHeight="1">
      <c r="A234" s="1117"/>
      <c r="B234" s="1117"/>
      <c r="C234" s="1117"/>
      <c r="D234" s="1117"/>
      <c r="E234" s="1117"/>
      <c r="F234" s="1117"/>
      <c r="G234" s="1117"/>
      <c r="H234" s="1117"/>
      <c r="I234" s="1117"/>
      <c r="J234" s="1117"/>
      <c r="K234" s="1117"/>
      <c r="L234" s="1117"/>
      <c r="M234" s="1117"/>
      <c r="N234" s="1117"/>
      <c r="O234" s="1117"/>
      <c r="P234" s="1117"/>
      <c r="Q234" s="1117"/>
      <c r="R234" s="1117"/>
      <c r="S234" s="1117"/>
      <c r="T234" s="1117"/>
      <c r="U234" s="1117"/>
      <c r="V234" s="1117"/>
      <c r="W234" s="1117"/>
      <c r="X234" s="1117"/>
      <c r="Y234" s="1117"/>
      <c r="Z234" s="1117"/>
      <c r="AA234" s="1117"/>
      <c r="AB234" s="1117"/>
    </row>
    <row r="235" ht="14.25" customHeight="1">
      <c r="A235" s="1117"/>
      <c r="B235" s="1117"/>
      <c r="C235" s="1117"/>
      <c r="D235" s="1117"/>
      <c r="E235" s="1117"/>
      <c r="F235" s="1117"/>
      <c r="G235" s="1117"/>
      <c r="H235" s="1117"/>
      <c r="I235" s="1117"/>
      <c r="J235" s="1117"/>
      <c r="K235" s="1117"/>
      <c r="L235" s="1117"/>
      <c r="M235" s="1117"/>
      <c r="N235" s="1117"/>
      <c r="O235" s="1117"/>
      <c r="P235" s="1117"/>
      <c r="Q235" s="1117"/>
      <c r="R235" s="1117"/>
      <c r="S235" s="1117"/>
      <c r="T235" s="1117"/>
      <c r="U235" s="1117"/>
      <c r="V235" s="1117"/>
      <c r="W235" s="1117"/>
      <c r="X235" s="1117"/>
      <c r="Y235" s="1117"/>
      <c r="Z235" s="1117"/>
      <c r="AA235" s="1117"/>
      <c r="AB235" s="1117"/>
    </row>
    <row r="236" ht="14.25" customHeight="1">
      <c r="A236" s="1117"/>
      <c r="B236" s="1117"/>
      <c r="C236" s="1117"/>
      <c r="D236" s="1117"/>
      <c r="E236" s="1117"/>
      <c r="F236" s="1117"/>
      <c r="G236" s="1117"/>
      <c r="H236" s="1117"/>
      <c r="I236" s="1117"/>
      <c r="J236" s="1117"/>
      <c r="K236" s="1117"/>
      <c r="L236" s="1117"/>
      <c r="M236" s="1117"/>
      <c r="N236" s="1117"/>
      <c r="O236" s="1117"/>
      <c r="P236" s="1117"/>
      <c r="Q236" s="1117"/>
      <c r="R236" s="1117"/>
      <c r="S236" s="1117"/>
      <c r="T236" s="1117"/>
      <c r="U236" s="1117"/>
      <c r="V236" s="1117"/>
      <c r="W236" s="1117"/>
      <c r="X236" s="1117"/>
      <c r="Y236" s="1117"/>
      <c r="Z236" s="1117"/>
      <c r="AA236" s="1117"/>
      <c r="AB236" s="1117"/>
    </row>
    <row r="237" ht="14.25" customHeight="1">
      <c r="A237" s="1117"/>
      <c r="B237" s="1117"/>
      <c r="C237" s="1117"/>
      <c r="D237" s="1117"/>
      <c r="E237" s="1117"/>
      <c r="F237" s="1117"/>
      <c r="G237" s="1117"/>
      <c r="H237" s="1117"/>
      <c r="I237" s="1117"/>
      <c r="J237" s="1117"/>
      <c r="K237" s="1117"/>
      <c r="L237" s="1117"/>
      <c r="M237" s="1117"/>
      <c r="N237" s="1117"/>
      <c r="O237" s="1117"/>
      <c r="P237" s="1117"/>
      <c r="Q237" s="1117"/>
      <c r="R237" s="1117"/>
      <c r="S237" s="1117"/>
      <c r="T237" s="1117"/>
      <c r="U237" s="1117"/>
      <c r="V237" s="1117"/>
      <c r="W237" s="1117"/>
      <c r="X237" s="1117"/>
      <c r="Y237" s="1117"/>
      <c r="Z237" s="1117"/>
      <c r="AA237" s="1117"/>
      <c r="AB237" s="1117"/>
    </row>
    <row r="238" ht="14.25" customHeight="1">
      <c r="A238" s="1117"/>
      <c r="B238" s="1117"/>
      <c r="C238" s="1117"/>
      <c r="D238" s="1117"/>
      <c r="E238" s="1117"/>
      <c r="F238" s="1117"/>
      <c r="G238" s="1117"/>
      <c r="H238" s="1117"/>
      <c r="I238" s="1117"/>
      <c r="J238" s="1117"/>
      <c r="K238" s="1117"/>
      <c r="L238" s="1117"/>
      <c r="M238" s="1117"/>
      <c r="N238" s="1117"/>
      <c r="O238" s="1117"/>
      <c r="P238" s="1117"/>
      <c r="Q238" s="1117"/>
      <c r="R238" s="1117"/>
      <c r="S238" s="1117"/>
      <c r="T238" s="1117"/>
      <c r="U238" s="1117"/>
      <c r="V238" s="1117"/>
      <c r="W238" s="1117"/>
      <c r="X238" s="1117"/>
      <c r="Y238" s="1117"/>
      <c r="Z238" s="1117"/>
      <c r="AA238" s="1117"/>
      <c r="AB238" s="1117"/>
    </row>
    <row r="239" ht="14.25" customHeight="1">
      <c r="A239" s="1117"/>
      <c r="B239" s="1117"/>
      <c r="C239" s="1117"/>
      <c r="D239" s="1117"/>
      <c r="E239" s="1117"/>
      <c r="F239" s="1117"/>
      <c r="G239" s="1117"/>
      <c r="H239" s="1117"/>
      <c r="I239" s="1117"/>
      <c r="J239" s="1117"/>
      <c r="K239" s="1117"/>
      <c r="L239" s="1117"/>
      <c r="M239" s="1117"/>
      <c r="N239" s="1117"/>
      <c r="O239" s="1117"/>
      <c r="P239" s="1117"/>
      <c r="Q239" s="1117"/>
      <c r="R239" s="1117"/>
      <c r="S239" s="1117"/>
      <c r="T239" s="1117"/>
      <c r="U239" s="1117"/>
      <c r="V239" s="1117"/>
      <c r="W239" s="1117"/>
      <c r="X239" s="1117"/>
      <c r="Y239" s="1117"/>
      <c r="Z239" s="1117"/>
      <c r="AA239" s="1117"/>
      <c r="AB239" s="1117"/>
    </row>
    <row r="240" ht="14.25" customHeight="1">
      <c r="A240" s="1117"/>
      <c r="B240" s="1117"/>
      <c r="C240" s="1117"/>
      <c r="D240" s="1117"/>
      <c r="E240" s="1117"/>
      <c r="F240" s="1117"/>
      <c r="G240" s="1117"/>
      <c r="H240" s="1117"/>
      <c r="I240" s="1117"/>
      <c r="J240" s="1117"/>
      <c r="K240" s="1117"/>
      <c r="L240" s="1117"/>
      <c r="M240" s="1117"/>
      <c r="N240" s="1117"/>
      <c r="O240" s="1117"/>
      <c r="P240" s="1117"/>
      <c r="Q240" s="1117"/>
      <c r="R240" s="1117"/>
      <c r="S240" s="1117"/>
      <c r="T240" s="1117"/>
      <c r="U240" s="1117"/>
      <c r="V240" s="1117"/>
      <c r="W240" s="1117"/>
      <c r="X240" s="1117"/>
      <c r="Y240" s="1117"/>
      <c r="Z240" s="1117"/>
      <c r="AA240" s="1117"/>
      <c r="AB240" s="1117"/>
    </row>
    <row r="241" ht="14.25" customHeight="1">
      <c r="A241" s="1117"/>
      <c r="B241" s="1117"/>
      <c r="C241" s="1117"/>
      <c r="D241" s="1117"/>
      <c r="E241" s="1117"/>
      <c r="F241" s="1117"/>
      <c r="G241" s="1117"/>
      <c r="H241" s="1117"/>
      <c r="I241" s="1117"/>
      <c r="J241" s="1117"/>
      <c r="K241" s="1117"/>
      <c r="L241" s="1117"/>
      <c r="M241" s="1117"/>
      <c r="N241" s="1117"/>
      <c r="O241" s="1117"/>
      <c r="P241" s="1117"/>
      <c r="Q241" s="1117"/>
      <c r="R241" s="1117"/>
      <c r="S241" s="1117"/>
      <c r="T241" s="1117"/>
      <c r="U241" s="1117"/>
      <c r="V241" s="1117"/>
      <c r="W241" s="1117"/>
      <c r="X241" s="1117"/>
      <c r="Y241" s="1117"/>
      <c r="Z241" s="1117"/>
      <c r="AA241" s="1117"/>
      <c r="AB241" s="1117"/>
    </row>
    <row r="242" ht="14.25" customHeight="1">
      <c r="A242" s="1117"/>
      <c r="B242" s="1117"/>
      <c r="C242" s="1117"/>
      <c r="D242" s="1117"/>
      <c r="E242" s="1117"/>
      <c r="F242" s="1117"/>
      <c r="G242" s="1117"/>
      <c r="H242" s="1117"/>
      <c r="I242" s="1117"/>
      <c r="J242" s="1117"/>
      <c r="K242" s="1117"/>
      <c r="L242" s="1117"/>
      <c r="M242" s="1117"/>
      <c r="N242" s="1117"/>
      <c r="O242" s="1117"/>
      <c r="P242" s="1117"/>
      <c r="Q242" s="1117"/>
      <c r="R242" s="1117"/>
      <c r="S242" s="1117"/>
      <c r="T242" s="1117"/>
      <c r="U242" s="1117"/>
      <c r="V242" s="1117"/>
      <c r="W242" s="1117"/>
      <c r="X242" s="1117"/>
      <c r="Y242" s="1117"/>
      <c r="Z242" s="1117"/>
      <c r="AA242" s="1117"/>
      <c r="AB242" s="1117"/>
    </row>
    <row r="243" ht="14.25" customHeight="1">
      <c r="A243" s="1117"/>
      <c r="B243" s="1117"/>
      <c r="C243" s="1117"/>
      <c r="D243" s="1117"/>
      <c r="E243" s="1117"/>
      <c r="F243" s="1117"/>
      <c r="G243" s="1117"/>
      <c r="H243" s="1117"/>
      <c r="I243" s="1117"/>
      <c r="J243" s="1117"/>
      <c r="K243" s="1117"/>
      <c r="L243" s="1117"/>
      <c r="M243" s="1117"/>
      <c r="N243" s="1117"/>
      <c r="O243" s="1117"/>
      <c r="P243" s="1117"/>
      <c r="Q243" s="1117"/>
      <c r="R243" s="1117"/>
      <c r="S243" s="1117"/>
      <c r="T243" s="1117"/>
      <c r="U243" s="1117"/>
      <c r="V243" s="1117"/>
      <c r="W243" s="1117"/>
      <c r="X243" s="1117"/>
      <c r="Y243" s="1117"/>
      <c r="Z243" s="1117"/>
      <c r="AA243" s="1117"/>
      <c r="AB243" s="1117"/>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B$40">
    <filterColumn colId="3">
      <filters>
        <filter val="23-Sep-2016"/>
        <filter val="25-Nov-2017"/>
      </filters>
    </filterColumn>
  </autoFilter>
  <printOptions/>
  <pageMargins bottom="0.75" footer="0.0" header="0.0" left="0.7" right="0.7" top="0.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fitToPage="1"/>
  </sheetPr>
  <sheetViews>
    <sheetView showGridLines="0" workbookViewId="0">
      <pane xSplit="13.0" ySplit="4.0" topLeftCell="N5" activePane="bottomRight" state="frozen"/>
      <selection activeCell="N1" sqref="N1" pane="topRight"/>
      <selection activeCell="A5" sqref="A5" pane="bottomLeft"/>
      <selection activeCell="N5" sqref="N5" pane="bottomRight"/>
    </sheetView>
  </sheetViews>
  <sheetFormatPr customHeight="1" defaultColWidth="14.43" defaultRowHeight="15.0" outlineLevelCol="7" outlineLevelRow="6"/>
  <cols>
    <col customWidth="1" min="1" max="1" width="2.14"/>
    <col customWidth="1" min="2" max="2" width="25.0"/>
    <col customWidth="1" min="3" max="3" width="6.29"/>
    <col customWidth="1" min="4" max="5" width="2.57" outlineLevel="3"/>
    <col customWidth="1" min="6" max="9" width="9.43" outlineLevel="7"/>
    <col customWidth="1" min="10" max="12" width="9.43" outlineLevel="1"/>
    <col customWidth="1" min="13" max="13" width="7.43"/>
    <col customWidth="1" min="14" max="14" width="79.0"/>
    <col customWidth="1" min="15" max="15" width="13.86"/>
    <col customWidth="1" min="16" max="32" width="8.71"/>
  </cols>
  <sheetData>
    <row r="1" ht="12.0" customHeight="1">
      <c r="A1" s="1203" t="s">
        <v>1526</v>
      </c>
      <c r="B1" s="1203"/>
      <c r="C1" s="1204"/>
      <c r="D1" s="1204"/>
      <c r="E1" s="1204"/>
      <c r="F1" s="1203"/>
      <c r="G1" s="1203"/>
      <c r="H1" s="1203"/>
      <c r="I1" s="1203"/>
      <c r="J1" s="1203"/>
      <c r="K1" s="1203"/>
      <c r="L1" s="1203"/>
      <c r="M1" s="1205"/>
      <c r="N1" s="1205"/>
      <c r="O1" s="1205"/>
      <c r="P1" s="1205"/>
      <c r="Q1" s="1205"/>
      <c r="R1" s="1205"/>
      <c r="S1" s="1205"/>
      <c r="T1" s="1205"/>
      <c r="U1" s="1205"/>
      <c r="V1" s="1206"/>
      <c r="W1" s="1206"/>
      <c r="X1" s="1206"/>
      <c r="Y1" s="1206"/>
      <c r="Z1" s="1206"/>
      <c r="AA1" s="1206"/>
      <c r="AB1" s="1206"/>
      <c r="AC1" s="1206"/>
      <c r="AD1" s="1206"/>
      <c r="AE1" s="1206"/>
      <c r="AF1" s="1206"/>
    </row>
    <row r="2" ht="12.0" customHeight="1">
      <c r="A2" s="1207" t="s">
        <v>1527</v>
      </c>
      <c r="B2" s="1208"/>
      <c r="C2" s="1208"/>
      <c r="D2" s="1208"/>
      <c r="E2" s="1208"/>
      <c r="F2" s="1208"/>
      <c r="G2" s="1208"/>
      <c r="H2" s="1208"/>
      <c r="I2" s="1208"/>
      <c r="J2" s="1209"/>
      <c r="K2" s="1210"/>
      <c r="L2" s="1208"/>
      <c r="M2" s="1211"/>
      <c r="N2" s="1211"/>
      <c r="O2" s="1211"/>
      <c r="P2" s="1211"/>
      <c r="Q2" s="1211"/>
      <c r="R2" s="1211"/>
      <c r="S2" s="1211"/>
      <c r="T2" s="1211"/>
      <c r="U2" s="1211"/>
      <c r="V2" s="1212"/>
      <c r="W2" s="1212"/>
      <c r="X2" s="1212"/>
      <c r="Y2" s="1212"/>
      <c r="Z2" s="1212"/>
      <c r="AA2" s="1212"/>
      <c r="AB2" s="1212"/>
      <c r="AC2" s="1212"/>
      <c r="AD2" s="1212"/>
      <c r="AE2" s="1212"/>
      <c r="AF2" s="1212"/>
    </row>
    <row r="3" ht="12.0" customHeight="1">
      <c r="A3" s="1208"/>
      <c r="B3" s="1208"/>
      <c r="C3" s="1208"/>
      <c r="D3" s="1208"/>
      <c r="E3" s="1208"/>
      <c r="F3" s="1208"/>
      <c r="G3" s="1208"/>
      <c r="H3" s="1208"/>
      <c r="I3" s="1208"/>
      <c r="J3" s="123"/>
      <c r="K3" s="1213"/>
      <c r="L3" s="1208"/>
      <c r="M3" s="1211"/>
      <c r="N3" s="1211"/>
      <c r="O3" s="1211"/>
      <c r="P3" s="1211"/>
      <c r="Q3" s="1211"/>
      <c r="R3" s="1211"/>
      <c r="S3" s="1211"/>
      <c r="T3" s="1211"/>
      <c r="U3" s="1211"/>
      <c r="V3" s="1212"/>
      <c r="W3" s="1212"/>
      <c r="X3" s="1212"/>
      <c r="Y3" s="1212"/>
      <c r="Z3" s="1212"/>
      <c r="AA3" s="1212"/>
      <c r="AB3" s="1212"/>
      <c r="AC3" s="1212"/>
      <c r="AD3" s="1212"/>
      <c r="AE3" s="1212"/>
      <c r="AF3" s="1212"/>
    </row>
    <row r="4" ht="12.0" customHeight="1">
      <c r="A4" s="9"/>
      <c r="B4" s="10"/>
      <c r="C4" s="9"/>
      <c r="D4" s="11"/>
      <c r="E4" s="9"/>
      <c r="F4" s="1214">
        <f t="shared" ref="F4:H4" si="1">G4-1</f>
        <v>2014</v>
      </c>
      <c r="G4" s="1214">
        <f t="shared" si="1"/>
        <v>2015</v>
      </c>
      <c r="H4" s="1214">
        <f t="shared" si="1"/>
        <v>2016</v>
      </c>
      <c r="I4" s="1214">
        <v>2017.0</v>
      </c>
      <c r="J4" s="1215" t="s">
        <v>4</v>
      </c>
      <c r="K4" s="1216" t="s">
        <v>1528</v>
      </c>
      <c r="L4" s="1216" t="s">
        <v>1529</v>
      </c>
      <c r="M4" s="1217"/>
      <c r="N4" s="1218" t="s">
        <v>1530</v>
      </c>
      <c r="O4" s="1219"/>
      <c r="P4" s="1219"/>
      <c r="Q4" s="1219"/>
      <c r="R4" s="1219"/>
      <c r="S4" s="1219"/>
      <c r="T4" s="1219"/>
      <c r="U4" s="1220"/>
      <c r="V4" s="1221"/>
      <c r="W4" s="1221"/>
      <c r="X4" s="1221"/>
      <c r="Y4" s="1221"/>
      <c r="Z4" s="1221"/>
      <c r="AA4" s="1221"/>
      <c r="AB4" s="1221"/>
      <c r="AC4" s="1221"/>
      <c r="AD4" s="1221"/>
      <c r="AE4" s="1221"/>
      <c r="AF4" s="1221"/>
    </row>
    <row r="5" ht="12.0" customHeight="1" outlineLevel="2">
      <c r="A5" s="9"/>
      <c r="B5" s="17"/>
      <c r="C5" s="18"/>
      <c r="D5" s="19"/>
      <c r="E5" s="19"/>
      <c r="F5" s="238"/>
      <c r="G5" s="238"/>
      <c r="H5" s="238"/>
      <c r="I5" s="238"/>
      <c r="J5" s="1222"/>
      <c r="K5" s="1222"/>
      <c r="L5" s="23"/>
      <c r="M5" s="1223"/>
      <c r="N5" s="1224"/>
      <c r="O5" s="1219"/>
      <c r="P5" s="1219"/>
      <c r="Q5" s="1219"/>
      <c r="R5" s="1219"/>
      <c r="S5" s="1219"/>
      <c r="T5" s="1219"/>
      <c r="U5" s="1220"/>
      <c r="V5" s="1221"/>
      <c r="W5" s="1221"/>
      <c r="X5" s="1221"/>
      <c r="Y5" s="1221"/>
      <c r="Z5" s="1221"/>
      <c r="AA5" s="1221"/>
      <c r="AB5" s="1221"/>
      <c r="AC5" s="1221"/>
      <c r="AD5" s="1221"/>
      <c r="AE5" s="1221"/>
      <c r="AF5" s="1221"/>
    </row>
    <row r="6" ht="12.0" customHeight="1" outlineLevel="1">
      <c r="A6" s="1225"/>
      <c r="B6" s="1226" t="s">
        <v>1531</v>
      </c>
      <c r="C6" s="153"/>
      <c r="D6" s="137"/>
      <c r="E6" s="137"/>
      <c r="F6" s="1227">
        <v>36.786</v>
      </c>
      <c r="G6" s="1227">
        <v>52.334</v>
      </c>
      <c r="H6" s="1227">
        <v>75.156</v>
      </c>
      <c r="I6" s="1227">
        <v>96.969</v>
      </c>
      <c r="J6" s="1227">
        <v>105.569</v>
      </c>
      <c r="K6" s="1227">
        <v>136.825</v>
      </c>
      <c r="L6" s="1227">
        <v>188.472</v>
      </c>
      <c r="M6" s="1228"/>
      <c r="N6" s="1229" t="s">
        <v>1532</v>
      </c>
      <c r="O6" s="1154"/>
      <c r="P6" s="1154"/>
      <c r="Q6" s="1154"/>
      <c r="R6" s="1154"/>
      <c r="S6" s="1154"/>
      <c r="T6" s="1154"/>
      <c r="U6" s="1154"/>
      <c r="V6" s="1230"/>
      <c r="W6" s="1230"/>
      <c r="X6" s="1230"/>
      <c r="Y6" s="1230"/>
      <c r="Z6" s="1230"/>
      <c r="AA6" s="1230"/>
      <c r="AB6" s="1230"/>
      <c r="AC6" s="1230"/>
      <c r="AD6" s="1230"/>
      <c r="AE6" s="1230"/>
      <c r="AF6" s="1230"/>
    </row>
    <row r="7" ht="12.0" customHeight="1" outlineLevel="1">
      <c r="A7" s="1225"/>
      <c r="B7" s="1231" t="s">
        <v>8</v>
      </c>
      <c r="C7" s="153"/>
      <c r="D7" s="137"/>
      <c r="E7" s="137"/>
      <c r="F7" s="1232" t="s">
        <v>80</v>
      </c>
      <c r="G7" s="1232">
        <f t="shared" ref="G7:L7" si="2">G6/F6-1</f>
        <v>0.4226607949</v>
      </c>
      <c r="H7" s="1232">
        <f t="shared" si="2"/>
        <v>0.4360836168</v>
      </c>
      <c r="I7" s="1232">
        <f t="shared" si="2"/>
        <v>0.2902363085</v>
      </c>
      <c r="J7" s="1232">
        <f t="shared" si="2"/>
        <v>0.08868813745</v>
      </c>
      <c r="K7" s="1232">
        <f t="shared" si="2"/>
        <v>0.2960717635</v>
      </c>
      <c r="L7" s="1232">
        <f t="shared" si="2"/>
        <v>0.3774675681</v>
      </c>
      <c r="M7" s="1233"/>
      <c r="N7" s="1229" t="s">
        <v>1533</v>
      </c>
      <c r="O7" s="1154"/>
      <c r="P7" s="1154"/>
      <c r="Q7" s="1154"/>
      <c r="R7" s="1154"/>
      <c r="S7" s="1154"/>
      <c r="T7" s="1154"/>
      <c r="U7" s="1154"/>
      <c r="V7" s="1230"/>
      <c r="W7" s="1230"/>
      <c r="X7" s="1230"/>
      <c r="Y7" s="1230"/>
      <c r="Z7" s="1230"/>
      <c r="AA7" s="1230"/>
      <c r="AB7" s="1230"/>
      <c r="AC7" s="1230"/>
      <c r="AD7" s="1230"/>
      <c r="AE7" s="1230"/>
      <c r="AF7" s="1230"/>
    </row>
    <row r="8" ht="12.0" customHeight="1" outlineLevel="1">
      <c r="A8" s="45"/>
      <c r="B8" s="129"/>
      <c r="C8" s="49"/>
      <c r="D8" s="137"/>
      <c r="E8" s="137"/>
      <c r="F8" s="236"/>
      <c r="G8" s="236"/>
      <c r="H8" s="123"/>
      <c r="I8" s="123"/>
      <c r="J8" s="45"/>
      <c r="K8" s="123"/>
      <c r="L8" s="123"/>
      <c r="M8" s="1234"/>
      <c r="N8" s="1235"/>
      <c r="O8" s="80"/>
      <c r="P8" s="80"/>
      <c r="Q8" s="80"/>
      <c r="R8" s="80"/>
      <c r="S8" s="80"/>
      <c r="T8" s="80"/>
      <c r="U8" s="80"/>
      <c r="V8" s="1236"/>
      <c r="W8" s="1236"/>
      <c r="X8" s="1236"/>
      <c r="Y8" s="1236"/>
      <c r="Z8" s="1236"/>
      <c r="AA8" s="1236"/>
      <c r="AB8" s="1236"/>
      <c r="AC8" s="1236"/>
      <c r="AD8" s="1236"/>
      <c r="AE8" s="1236"/>
      <c r="AF8" s="1236"/>
    </row>
    <row r="9" ht="12.0" customHeight="1" outlineLevel="2">
      <c r="A9" s="1237"/>
      <c r="B9" s="136" t="s">
        <v>1534</v>
      </c>
      <c r="C9" s="49"/>
      <c r="D9" s="1237"/>
      <c r="E9" s="1237"/>
      <c r="F9" s="1238">
        <v>343.19</v>
      </c>
      <c r="G9" s="1238">
        <v>329.60100508273774</v>
      </c>
      <c r="H9" s="1238">
        <v>307.2561339081377</v>
      </c>
      <c r="I9" s="1238">
        <v>282.24916210335266</v>
      </c>
      <c r="J9" s="1238">
        <v>276.66244</v>
      </c>
      <c r="K9" s="1238">
        <v>264.9894651</v>
      </c>
      <c r="L9" s="1238">
        <v>259.716679</v>
      </c>
      <c r="M9" s="1239"/>
      <c r="N9" s="1229"/>
      <c r="O9" s="1240"/>
      <c r="P9" s="1239"/>
      <c r="Q9" s="1239"/>
      <c r="R9" s="1239"/>
      <c r="S9" s="1239"/>
      <c r="T9" s="1239"/>
      <c r="U9" s="1239"/>
      <c r="V9" s="1241"/>
      <c r="W9" s="1241"/>
      <c r="X9" s="1241"/>
      <c r="Y9" s="1241"/>
      <c r="Z9" s="1241"/>
      <c r="AA9" s="1241"/>
      <c r="AB9" s="1241"/>
      <c r="AC9" s="1241"/>
      <c r="AD9" s="1241"/>
      <c r="AE9" s="1241"/>
      <c r="AF9" s="1241"/>
    </row>
    <row r="10" ht="12.0" customHeight="1" outlineLevel="2">
      <c r="A10" s="45"/>
      <c r="B10" s="1242" t="s">
        <v>1535</v>
      </c>
      <c r="C10" s="195"/>
      <c r="D10" s="1243"/>
      <c r="E10" s="1243"/>
      <c r="F10" s="148" t="s">
        <v>80</v>
      </c>
      <c r="G10" s="148">
        <f t="shared" ref="G10:L10" si="3">G9/F9-1</f>
        <v>-0.03959612727</v>
      </c>
      <c r="H10" s="148">
        <f t="shared" si="3"/>
        <v>-0.06779369853</v>
      </c>
      <c r="I10" s="148">
        <f t="shared" si="3"/>
        <v>-0.08138803117</v>
      </c>
      <c r="J10" s="148">
        <f t="shared" si="3"/>
        <v>-0.0197935826</v>
      </c>
      <c r="K10" s="148">
        <f t="shared" si="3"/>
        <v>-0.04219212012</v>
      </c>
      <c r="L10" s="148">
        <f t="shared" si="3"/>
        <v>-0.01989809707</v>
      </c>
      <c r="M10" s="1244"/>
      <c r="N10" s="1245"/>
      <c r="O10" s="80"/>
      <c r="P10" s="80"/>
      <c r="Q10" s="80"/>
      <c r="R10" s="80"/>
      <c r="S10" s="80"/>
      <c r="T10" s="80"/>
      <c r="U10" s="80"/>
      <c r="V10" s="1236"/>
      <c r="W10" s="1236"/>
      <c r="X10" s="1236"/>
      <c r="Y10" s="1236"/>
      <c r="Z10" s="1236"/>
      <c r="AA10" s="1236"/>
      <c r="AB10" s="1236"/>
      <c r="AC10" s="1236"/>
      <c r="AD10" s="1236"/>
      <c r="AE10" s="1236"/>
      <c r="AF10" s="1236"/>
    </row>
    <row r="11" ht="12.0" customHeight="1" outlineLevel="3">
      <c r="A11" s="45"/>
      <c r="B11" s="129"/>
      <c r="C11" s="153"/>
      <c r="D11" s="176"/>
      <c r="E11" s="176"/>
      <c r="F11" s="61"/>
      <c r="G11" s="61"/>
      <c r="H11" s="166"/>
      <c r="I11" s="166"/>
      <c r="J11" s="166"/>
      <c r="K11" s="166"/>
      <c r="L11" s="166"/>
      <c r="M11" s="1246"/>
      <c r="N11" s="1247"/>
      <c r="O11" s="80"/>
      <c r="P11" s="80"/>
      <c r="Q11" s="80"/>
      <c r="R11" s="80"/>
      <c r="S11" s="80"/>
      <c r="T11" s="80"/>
      <c r="U11" s="80"/>
      <c r="V11" s="1236"/>
      <c r="W11" s="1236"/>
      <c r="X11" s="1236"/>
      <c r="Y11" s="1236"/>
      <c r="Z11" s="1236"/>
      <c r="AA11" s="1236"/>
      <c r="AB11" s="1236"/>
      <c r="AC11" s="1236"/>
      <c r="AD11" s="1236"/>
      <c r="AE11" s="1236"/>
      <c r="AF11" s="1236"/>
    </row>
    <row r="12" ht="12.0" customHeight="1" outlineLevel="4">
      <c r="A12" s="36"/>
      <c r="B12" s="1248" t="s">
        <v>1536</v>
      </c>
      <c r="C12" s="36"/>
      <c r="D12" s="1249"/>
      <c r="E12" s="1249"/>
      <c r="F12" s="1250"/>
      <c r="G12" s="1250"/>
      <c r="H12" s="1250"/>
      <c r="I12" s="1250"/>
      <c r="J12" s="1250"/>
      <c r="K12" s="1250"/>
      <c r="L12" s="1250"/>
      <c r="M12" s="1251"/>
      <c r="N12" s="1252"/>
      <c r="O12" s="1253"/>
      <c r="P12" s="1253"/>
      <c r="Q12" s="1253"/>
      <c r="R12" s="1253"/>
      <c r="S12" s="1253"/>
      <c r="T12" s="1253"/>
      <c r="U12" s="1253"/>
      <c r="V12" s="1254"/>
      <c r="W12" s="1254"/>
      <c r="X12" s="1254"/>
      <c r="Y12" s="1254"/>
      <c r="Z12" s="1254"/>
      <c r="AA12" s="1254"/>
      <c r="AB12" s="1254"/>
      <c r="AC12" s="1254"/>
      <c r="AD12" s="1254"/>
      <c r="AE12" s="1254"/>
      <c r="AF12" s="1254"/>
    </row>
    <row r="13" ht="12.0" customHeight="1" outlineLevel="4">
      <c r="A13" s="49"/>
      <c r="B13" s="136" t="str">
        <f>B18</f>
        <v>Pay Writeoff</v>
      </c>
      <c r="C13" s="49"/>
      <c r="D13" s="136"/>
      <c r="E13" s="136"/>
      <c r="F13" s="1255">
        <f t="shared" ref="F13:L13" si="4">F$9*F18</f>
        <v>0</v>
      </c>
      <c r="G13" s="1255">
        <f t="shared" si="4"/>
        <v>-24.86303359</v>
      </c>
      <c r="H13" s="1255">
        <f t="shared" si="4"/>
        <v>-31.286697</v>
      </c>
      <c r="I13" s="1255">
        <f t="shared" si="4"/>
        <v>-25.15695738</v>
      </c>
      <c r="J13" s="1255">
        <f t="shared" si="4"/>
        <v>-20.72240132</v>
      </c>
      <c r="K13" s="1255">
        <f t="shared" si="4"/>
        <v>-19.77444739</v>
      </c>
      <c r="L13" s="1255">
        <f t="shared" si="4"/>
        <v>-17.79616884</v>
      </c>
      <c r="M13" s="1239"/>
      <c r="N13" s="1229" t="s">
        <v>1537</v>
      </c>
      <c r="O13" s="1256"/>
      <c r="P13" s="1256"/>
      <c r="Q13" s="1256"/>
      <c r="R13" s="1256"/>
      <c r="S13" s="1256"/>
      <c r="T13" s="1256"/>
      <c r="U13" s="1256"/>
      <c r="V13" s="1257"/>
      <c r="W13" s="1257"/>
      <c r="X13" s="1257"/>
      <c r="Y13" s="1257"/>
      <c r="Z13" s="1257"/>
      <c r="AA13" s="1257"/>
      <c r="AB13" s="1257"/>
      <c r="AC13" s="1257"/>
      <c r="AD13" s="1257"/>
      <c r="AE13" s="1257"/>
      <c r="AF13" s="1257"/>
    </row>
    <row r="14" ht="12.0" customHeight="1" outlineLevel="4">
      <c r="A14" s="49"/>
      <c r="B14" s="136" t="s">
        <v>1538</v>
      </c>
      <c r="C14" s="49"/>
      <c r="D14" s="136"/>
      <c r="E14" s="136"/>
      <c r="F14" s="1258">
        <f t="shared" ref="F14:L14" si="5">F$9*F19</f>
        <v>-30.53636613</v>
      </c>
      <c r="G14" s="1258">
        <f t="shared" si="5"/>
        <v>-21.80834639</v>
      </c>
      <c r="H14" s="1258">
        <f t="shared" si="5"/>
        <v>-16.00737133</v>
      </c>
      <c r="I14" s="1258">
        <f t="shared" si="5"/>
        <v>-17.81408491</v>
      </c>
      <c r="J14" s="1258">
        <f t="shared" si="5"/>
        <v>-13.74061715</v>
      </c>
      <c r="K14" s="1258">
        <f t="shared" si="5"/>
        <v>-10.97481959</v>
      </c>
      <c r="L14" s="1258">
        <f t="shared" si="5"/>
        <v>-10.04847961</v>
      </c>
      <c r="M14" s="1259"/>
      <c r="N14" s="1260" t="s">
        <v>1539</v>
      </c>
      <c r="O14" s="1256"/>
      <c r="P14" s="1256"/>
      <c r="Q14" s="1256"/>
      <c r="R14" s="1256"/>
      <c r="S14" s="1256"/>
      <c r="T14" s="1256"/>
      <c r="U14" s="1256"/>
      <c r="V14" s="1257"/>
      <c r="W14" s="1257"/>
      <c r="X14" s="1257"/>
      <c r="Y14" s="1257"/>
      <c r="Z14" s="1257"/>
      <c r="AA14" s="1257"/>
      <c r="AB14" s="1257"/>
      <c r="AC14" s="1257"/>
      <c r="AD14" s="1257"/>
      <c r="AE14" s="1257"/>
      <c r="AF14" s="1257"/>
    </row>
    <row r="15" ht="12.0" customHeight="1" outlineLevel="4">
      <c r="A15" s="153"/>
      <c r="B15" s="159" t="s">
        <v>1540</v>
      </c>
      <c r="C15" s="153"/>
      <c r="D15" s="159"/>
      <c r="E15" s="159"/>
      <c r="F15" s="1261">
        <f t="shared" ref="F15:L15" si="6">F9+F13+F14</f>
        <v>312.6536339</v>
      </c>
      <c r="G15" s="1261">
        <f t="shared" si="6"/>
        <v>282.9296251</v>
      </c>
      <c r="H15" s="1261">
        <f t="shared" si="6"/>
        <v>259.9620656</v>
      </c>
      <c r="I15" s="1261">
        <f t="shared" si="6"/>
        <v>239.2781198</v>
      </c>
      <c r="J15" s="1261">
        <f t="shared" si="6"/>
        <v>242.1994215</v>
      </c>
      <c r="K15" s="1261">
        <f t="shared" si="6"/>
        <v>234.2401981</v>
      </c>
      <c r="L15" s="1261">
        <f t="shared" si="6"/>
        <v>231.8720306</v>
      </c>
      <c r="M15" s="1262"/>
      <c r="N15" s="1263"/>
      <c r="O15" s="1264"/>
      <c r="P15" s="1264"/>
      <c r="Q15" s="1264"/>
      <c r="R15" s="1264"/>
      <c r="S15" s="1264"/>
      <c r="T15" s="1264"/>
      <c r="U15" s="1264"/>
      <c r="V15" s="1265"/>
      <c r="W15" s="1265"/>
      <c r="X15" s="1265"/>
      <c r="Y15" s="1265"/>
      <c r="Z15" s="1265"/>
      <c r="AA15" s="1265"/>
      <c r="AB15" s="1265"/>
      <c r="AC15" s="1265"/>
      <c r="AD15" s="1265"/>
      <c r="AE15" s="1265"/>
      <c r="AF15" s="1265"/>
    </row>
    <row r="16" ht="12.0" customHeight="1" outlineLevel="4">
      <c r="A16" s="49"/>
      <c r="B16" s="136"/>
      <c r="C16" s="49"/>
      <c r="D16" s="136"/>
      <c r="E16" s="136"/>
      <c r="F16" s="1266"/>
      <c r="G16" s="1266"/>
      <c r="H16" s="148">
        <f t="shared" ref="H16:L16" si="7">H15/G15-1</f>
        <v>-0.08117764098</v>
      </c>
      <c r="I16" s="148">
        <f t="shared" si="7"/>
        <v>-0.07956524623</v>
      </c>
      <c r="J16" s="148">
        <f t="shared" si="7"/>
        <v>0.0122088126</v>
      </c>
      <c r="K16" s="148">
        <f t="shared" si="7"/>
        <v>-0.0328622726</v>
      </c>
      <c r="L16" s="148">
        <f t="shared" si="7"/>
        <v>-0.01010999642</v>
      </c>
      <c r="M16" s="1239"/>
      <c r="N16" s="1229"/>
      <c r="O16" s="1256"/>
      <c r="P16" s="1256"/>
      <c r="Q16" s="1256"/>
      <c r="R16" s="1256"/>
      <c r="S16" s="1256"/>
      <c r="T16" s="1256"/>
      <c r="U16" s="1256"/>
      <c r="V16" s="1257"/>
      <c r="W16" s="1257"/>
      <c r="X16" s="1257"/>
      <c r="Y16" s="1257"/>
      <c r="Z16" s="1257"/>
      <c r="AA16" s="1257"/>
      <c r="AB16" s="1257"/>
      <c r="AC16" s="1257"/>
      <c r="AD16" s="1257"/>
      <c r="AE16" s="1257"/>
      <c r="AF16" s="1257"/>
    </row>
    <row r="17" ht="12.0" customHeight="1" outlineLevel="4">
      <c r="A17" s="49"/>
      <c r="B17" s="17" t="s">
        <v>1541</v>
      </c>
      <c r="C17" s="49"/>
      <c r="D17" s="1267"/>
      <c r="E17" s="1267"/>
      <c r="F17" s="49"/>
      <c r="G17" s="49"/>
      <c r="H17" s="49"/>
      <c r="I17" s="49"/>
      <c r="J17" s="49"/>
      <c r="K17" s="49"/>
      <c r="L17" s="49"/>
      <c r="M17" s="1268"/>
      <c r="N17" s="1269"/>
      <c r="O17" s="1256"/>
      <c r="P17" s="1256"/>
      <c r="Q17" s="1256"/>
      <c r="R17" s="1256"/>
      <c r="S17" s="1256"/>
      <c r="T17" s="1256"/>
      <c r="U17" s="1256"/>
      <c r="V17" s="1257"/>
      <c r="W17" s="1257"/>
      <c r="X17" s="1257"/>
      <c r="Y17" s="1257"/>
      <c r="Z17" s="1257"/>
      <c r="AA17" s="1257"/>
      <c r="AB17" s="1257"/>
      <c r="AC17" s="1257"/>
      <c r="AD17" s="1257"/>
      <c r="AE17" s="1257"/>
      <c r="AF17" s="1257"/>
    </row>
    <row r="18" ht="12.0" customHeight="1" outlineLevel="4">
      <c r="A18" s="49"/>
      <c r="B18" s="136" t="s">
        <v>1542</v>
      </c>
      <c r="C18" s="49"/>
      <c r="D18" s="1270"/>
      <c r="E18" s="1270"/>
      <c r="F18" s="260">
        <v>0.0</v>
      </c>
      <c r="G18" s="260">
        <v>-0.07543373111282699</v>
      </c>
      <c r="H18" s="260">
        <v>-0.10182611037122498</v>
      </c>
      <c r="I18" s="260">
        <v>-0.08913031730779525</v>
      </c>
      <c r="J18" s="260">
        <v>-0.07490139</v>
      </c>
      <c r="K18" s="260">
        <v>-0.0746235228</v>
      </c>
      <c r="L18" s="260">
        <v>-0.0685214708</v>
      </c>
      <c r="M18" s="1244"/>
      <c r="N18" s="1271"/>
      <c r="O18" s="1256"/>
      <c r="P18" s="1256"/>
      <c r="Q18" s="1256"/>
      <c r="R18" s="1256"/>
      <c r="S18" s="1256"/>
      <c r="T18" s="1256"/>
      <c r="U18" s="1256"/>
      <c r="V18" s="1257"/>
      <c r="W18" s="1257"/>
      <c r="X18" s="1257"/>
      <c r="Y18" s="1257"/>
      <c r="Z18" s="1257"/>
      <c r="AA18" s="1257"/>
      <c r="AB18" s="1257"/>
      <c r="AC18" s="1257"/>
      <c r="AD18" s="1257"/>
      <c r="AE18" s="1257"/>
      <c r="AF18" s="1257"/>
    </row>
    <row r="19" ht="12.0" customHeight="1" outlineLevel="4">
      <c r="A19" s="49"/>
      <c r="B19" s="136" t="str">
        <f>B14</f>
        <v>Consumer Bad Debt</v>
      </c>
      <c r="C19" s="49"/>
      <c r="D19" s="1270"/>
      <c r="E19" s="1270"/>
      <c r="F19" s="1272">
        <v>-0.08897801839619382</v>
      </c>
      <c r="G19" s="1272">
        <v>-0.0661658977193271</v>
      </c>
      <c r="H19" s="1272">
        <v>-0.052097808856363344</v>
      </c>
      <c r="I19" s="1272">
        <v>-0.06311474861779126</v>
      </c>
      <c r="J19" s="1272">
        <v>-0.04966564</v>
      </c>
      <c r="K19" s="1272">
        <v>-0.04141606</v>
      </c>
      <c r="L19" s="1272">
        <v>-0.038690159</v>
      </c>
      <c r="M19" s="1273"/>
      <c r="N19" s="1274"/>
      <c r="O19" s="1256"/>
      <c r="P19" s="1256"/>
      <c r="Q19" s="1256"/>
      <c r="R19" s="1256"/>
      <c r="S19" s="1256"/>
      <c r="T19" s="1256"/>
      <c r="U19" s="1256"/>
      <c r="V19" s="1257"/>
      <c r="W19" s="1257"/>
      <c r="X19" s="1257"/>
      <c r="Y19" s="1257"/>
      <c r="Z19" s="1257"/>
      <c r="AA19" s="1257"/>
      <c r="AB19" s="1257"/>
      <c r="AC19" s="1257"/>
      <c r="AD19" s="1257"/>
      <c r="AE19" s="1257"/>
      <c r="AF19" s="1257"/>
    </row>
    <row r="20" ht="12.0" customHeight="1" outlineLevel="3">
      <c r="A20" s="49"/>
      <c r="B20" s="136" t="s">
        <v>1543</v>
      </c>
      <c r="C20" s="49"/>
      <c r="D20" s="49"/>
      <c r="E20" s="49"/>
      <c r="F20" s="148">
        <v>-0.08897801839619383</v>
      </c>
      <c r="G20" s="148">
        <v>-0.1415996288321541</v>
      </c>
      <c r="H20" s="148">
        <v>-0.15392391922758833</v>
      </c>
      <c r="I20" s="148">
        <v>-0.1522450659255865</v>
      </c>
      <c r="J20" s="148">
        <v>-0.11595531418751899</v>
      </c>
      <c r="K20" s="148">
        <f t="shared" ref="K20:L20" si="8">SUM(K18:K19)</f>
        <v>-0.1160395828</v>
      </c>
      <c r="L20" s="148">
        <f t="shared" si="8"/>
        <v>-0.1072116298</v>
      </c>
      <c r="M20" s="1244"/>
      <c r="N20" s="1275"/>
      <c r="O20" s="1256"/>
      <c r="P20" s="1256"/>
      <c r="Q20" s="1256"/>
      <c r="R20" s="1256"/>
      <c r="S20" s="1256"/>
      <c r="T20" s="1256"/>
      <c r="U20" s="1256"/>
      <c r="V20" s="1257"/>
      <c r="W20" s="1257"/>
      <c r="X20" s="1257"/>
      <c r="Y20" s="1257"/>
      <c r="Z20" s="1257"/>
      <c r="AA20" s="1257"/>
      <c r="AB20" s="1257"/>
      <c r="AC20" s="1257"/>
      <c r="AD20" s="1257"/>
      <c r="AE20" s="1257"/>
      <c r="AF20" s="1257"/>
    </row>
    <row r="21" ht="12.0" customHeight="1" outlineLevel="4">
      <c r="A21" s="49"/>
      <c r="B21" s="129"/>
      <c r="C21" s="49"/>
      <c r="D21" s="49"/>
      <c r="E21" s="49"/>
      <c r="F21" s="1276"/>
      <c r="G21" s="1276"/>
      <c r="H21" s="1277"/>
      <c r="I21" s="1277"/>
      <c r="J21" s="1277"/>
      <c r="K21" s="1277"/>
      <c r="L21" s="1277"/>
      <c r="M21" s="1278"/>
      <c r="N21" s="1279"/>
      <c r="O21" s="1256"/>
      <c r="P21" s="1256"/>
      <c r="Q21" s="1256"/>
      <c r="R21" s="1256"/>
      <c r="S21" s="1256"/>
      <c r="T21" s="1256"/>
      <c r="U21" s="1256"/>
      <c r="V21" s="1257"/>
      <c r="W21" s="1257"/>
      <c r="X21" s="1257"/>
      <c r="Y21" s="1257"/>
      <c r="Z21" s="1257"/>
      <c r="AA21" s="1257"/>
      <c r="AB21" s="1257"/>
      <c r="AC21" s="1257"/>
      <c r="AD21" s="1257"/>
      <c r="AE21" s="1257"/>
      <c r="AF21" s="1257"/>
    </row>
    <row r="22" ht="12.0" customHeight="1" outlineLevel="3">
      <c r="A22" s="1280"/>
      <c r="B22" s="1281" t="s">
        <v>1544</v>
      </c>
      <c r="C22" s="49"/>
      <c r="D22" s="176"/>
      <c r="E22" s="176"/>
      <c r="F22" s="1282">
        <v>1000.0</v>
      </c>
      <c r="G22" s="1282">
        <v>1000.0</v>
      </c>
      <c r="H22" s="1282">
        <v>1000.0</v>
      </c>
      <c r="I22" s="1282">
        <v>1000.0</v>
      </c>
      <c r="J22" s="1282">
        <v>1000.0</v>
      </c>
      <c r="K22" s="1282">
        <v>1000.0</v>
      </c>
      <c r="L22" s="1282">
        <v>1000.0</v>
      </c>
      <c r="M22" s="1283"/>
      <c r="N22" s="1284"/>
      <c r="O22" s="80"/>
      <c r="P22" s="80"/>
      <c r="Q22" s="80"/>
      <c r="R22" s="80"/>
      <c r="S22" s="80"/>
      <c r="T22" s="80"/>
      <c r="U22" s="80"/>
      <c r="V22" s="1236"/>
      <c r="W22" s="1236"/>
      <c r="X22" s="1236"/>
      <c r="Y22" s="1236"/>
      <c r="Z22" s="1236"/>
      <c r="AA22" s="1236"/>
      <c r="AB22" s="1236"/>
      <c r="AC22" s="1236"/>
      <c r="AD22" s="1236"/>
      <c r="AE22" s="1236"/>
      <c r="AF22" s="1236"/>
    </row>
    <row r="23" ht="12.0" customHeight="1" outlineLevel="2">
      <c r="A23" s="1280"/>
      <c r="B23" s="256"/>
      <c r="C23" s="49"/>
      <c r="D23" s="176"/>
      <c r="E23" s="176"/>
      <c r="F23" s="45"/>
      <c r="G23" s="45"/>
      <c r="H23" s="45"/>
      <c r="I23" s="45"/>
      <c r="J23" s="45"/>
      <c r="K23" s="45"/>
      <c r="L23" s="45"/>
      <c r="M23" s="1283"/>
      <c r="N23" s="1284"/>
      <c r="O23" s="80"/>
      <c r="P23" s="80"/>
      <c r="Q23" s="80"/>
      <c r="R23" s="80"/>
      <c r="S23" s="80"/>
      <c r="T23" s="80"/>
      <c r="U23" s="80"/>
      <c r="V23" s="1236"/>
      <c r="W23" s="1236"/>
      <c r="X23" s="1236"/>
      <c r="Y23" s="1236"/>
      <c r="Z23" s="1236"/>
      <c r="AA23" s="1236"/>
      <c r="AB23" s="1236"/>
      <c r="AC23" s="1236"/>
      <c r="AD23" s="1236"/>
      <c r="AE23" s="1236"/>
      <c r="AF23" s="1236"/>
    </row>
    <row r="24" ht="12.0" customHeight="1" outlineLevel="1">
      <c r="A24" s="1285"/>
      <c r="B24" s="1286" t="s">
        <v>1545</v>
      </c>
      <c r="C24" s="36"/>
      <c r="D24" s="112"/>
      <c r="E24" s="112"/>
      <c r="F24" s="1287">
        <f t="shared" ref="F24:L24" si="9">(F6*F15)/F22</f>
        <v>11.50127658</v>
      </c>
      <c r="G24" s="1287">
        <f t="shared" si="9"/>
        <v>14.806839</v>
      </c>
      <c r="H24" s="1287">
        <f t="shared" si="9"/>
        <v>19.537709</v>
      </c>
      <c r="I24" s="1287">
        <f t="shared" si="9"/>
        <v>23.20256</v>
      </c>
      <c r="J24" s="1287">
        <f t="shared" si="9"/>
        <v>25.56875073</v>
      </c>
      <c r="K24" s="1287">
        <f t="shared" si="9"/>
        <v>32.04991511</v>
      </c>
      <c r="L24" s="1287">
        <f t="shared" si="9"/>
        <v>43.70138534</v>
      </c>
      <c r="M24" s="1288"/>
      <c r="N24" s="1289"/>
      <c r="O24" s="1253"/>
      <c r="P24" s="1253"/>
      <c r="Q24" s="1253"/>
      <c r="R24" s="1253"/>
      <c r="S24" s="1253"/>
      <c r="T24" s="1253"/>
      <c r="U24" s="1253"/>
      <c r="V24" s="1254"/>
      <c r="W24" s="1254"/>
      <c r="X24" s="1254"/>
      <c r="Y24" s="1254"/>
      <c r="Z24" s="1254"/>
      <c r="AA24" s="1254"/>
      <c r="AB24" s="1254"/>
      <c r="AC24" s="1254"/>
      <c r="AD24" s="1254"/>
      <c r="AE24" s="1254"/>
      <c r="AF24" s="1254"/>
    </row>
    <row r="25" ht="12.0" customHeight="1" outlineLevel="1">
      <c r="A25" s="1285"/>
      <c r="B25" s="1290" t="s">
        <v>8</v>
      </c>
      <c r="C25" s="36"/>
      <c r="D25" s="112"/>
      <c r="E25" s="112"/>
      <c r="F25" s="1232" t="s">
        <v>80</v>
      </c>
      <c r="G25" s="1232">
        <f t="shared" ref="G25:J25" si="10">G24/F24-1</f>
        <v>0.2874083066</v>
      </c>
      <c r="H25" s="1232">
        <f t="shared" si="10"/>
        <v>0.3195057365</v>
      </c>
      <c r="I25" s="1232">
        <f t="shared" si="10"/>
        <v>0.1875783389</v>
      </c>
      <c r="J25" s="1232">
        <f t="shared" si="10"/>
        <v>0.1019797269</v>
      </c>
      <c r="K25" s="1232">
        <f>K24/I24-1</f>
        <v>0.3813094378</v>
      </c>
      <c r="L25" s="1232">
        <f>L24/K24-1</f>
        <v>0.3635413759</v>
      </c>
      <c r="M25" s="1288"/>
      <c r="N25" s="1289"/>
      <c r="O25" s="1253"/>
      <c r="P25" s="1253"/>
      <c r="Q25" s="1253"/>
      <c r="R25" s="1253"/>
      <c r="S25" s="1253"/>
      <c r="T25" s="1253"/>
      <c r="U25" s="1253"/>
      <c r="V25" s="1254"/>
      <c r="W25" s="1254"/>
      <c r="X25" s="1254"/>
      <c r="Y25" s="1254"/>
      <c r="Z25" s="1254"/>
      <c r="AA25" s="1254"/>
      <c r="AB25" s="1254"/>
      <c r="AC25" s="1254"/>
      <c r="AD25" s="1254"/>
      <c r="AE25" s="1254"/>
      <c r="AF25" s="1254"/>
    </row>
    <row r="26" ht="12.0" customHeight="1" outlineLevel="4">
      <c r="A26" s="36"/>
      <c r="B26" s="129"/>
      <c r="C26" s="36"/>
      <c r="D26" s="112"/>
      <c r="E26" s="112"/>
      <c r="F26" s="132"/>
      <c r="G26" s="132"/>
      <c r="H26" s="132"/>
      <c r="I26" s="132"/>
      <c r="J26" s="132"/>
      <c r="K26" s="132"/>
      <c r="L26" s="132"/>
      <c r="M26" s="1288"/>
      <c r="N26" s="1291"/>
      <c r="O26" s="1253"/>
      <c r="P26" s="1253"/>
      <c r="Q26" s="1253"/>
      <c r="R26" s="1253"/>
      <c r="S26" s="1253"/>
      <c r="T26" s="1253"/>
      <c r="U26" s="1253"/>
      <c r="V26" s="1254"/>
      <c r="W26" s="1254"/>
      <c r="X26" s="1254"/>
      <c r="Y26" s="1254"/>
      <c r="Z26" s="1254"/>
      <c r="AA26" s="1254"/>
      <c r="AB26" s="1254"/>
      <c r="AC26" s="1254"/>
      <c r="AD26" s="1254"/>
      <c r="AE26" s="1254"/>
      <c r="AF26" s="1254"/>
    </row>
    <row r="27" ht="12.0" customHeight="1" outlineLevel="5">
      <c r="A27" s="80"/>
      <c r="B27" s="165" t="s">
        <v>1546</v>
      </c>
      <c r="C27" s="49"/>
      <c r="D27" s="1249"/>
      <c r="E27" s="1249"/>
      <c r="F27" s="236"/>
      <c r="G27" s="236"/>
      <c r="H27" s="236"/>
      <c r="I27" s="236"/>
      <c r="J27" s="236"/>
      <c r="K27" s="236"/>
      <c r="L27" s="236"/>
      <c r="M27" s="1292"/>
      <c r="N27" s="1293"/>
      <c r="O27" s="80"/>
      <c r="P27" s="80"/>
      <c r="Q27" s="80"/>
      <c r="R27" s="80"/>
      <c r="S27" s="80"/>
      <c r="T27" s="80"/>
      <c r="U27" s="80"/>
      <c r="V27" s="1236"/>
      <c r="W27" s="1236"/>
      <c r="X27" s="1236"/>
      <c r="Y27" s="1236"/>
      <c r="Z27" s="1236"/>
      <c r="AA27" s="1236"/>
      <c r="AB27" s="1236"/>
      <c r="AC27" s="1236"/>
      <c r="AD27" s="1236"/>
      <c r="AE27" s="1236"/>
      <c r="AF27" s="1236"/>
    </row>
    <row r="28" ht="12.0" customHeight="1" outlineLevel="5">
      <c r="A28" s="80"/>
      <c r="B28" s="201" t="s">
        <v>1547</v>
      </c>
      <c r="C28" s="49"/>
      <c r="D28" s="168"/>
      <c r="E28" s="168"/>
      <c r="F28" s="1294"/>
      <c r="G28" s="1294">
        <v>52.53203748996829</v>
      </c>
      <c r="H28" s="1294">
        <v>43.2471303688328</v>
      </c>
      <c r="I28" s="1294">
        <v>35.31209200878631</v>
      </c>
      <c r="J28" s="1294">
        <f t="shared" ref="J28:L28" si="11">(J43/J$6)*1000</f>
        <v>34.02689805</v>
      </c>
      <c r="K28" s="1294">
        <f t="shared" si="11"/>
        <v>30.53225587</v>
      </c>
      <c r="L28" s="1294">
        <f t="shared" si="11"/>
        <v>24.24734061</v>
      </c>
      <c r="M28" s="1239"/>
      <c r="N28" s="1262" t="s">
        <v>1548</v>
      </c>
      <c r="O28" s="80"/>
      <c r="P28" s="80"/>
      <c r="Q28" s="80"/>
      <c r="R28" s="80"/>
      <c r="S28" s="80"/>
      <c r="T28" s="80"/>
      <c r="U28" s="80"/>
      <c r="V28" s="1236"/>
      <c r="W28" s="1236"/>
      <c r="X28" s="1236"/>
      <c r="Y28" s="1236"/>
      <c r="Z28" s="1236"/>
      <c r="AA28" s="1236"/>
      <c r="AB28" s="1236"/>
      <c r="AC28" s="1236"/>
      <c r="AD28" s="1236"/>
      <c r="AE28" s="1236"/>
      <c r="AF28" s="1236"/>
    </row>
    <row r="29" ht="12.0" customHeight="1" outlineLevel="5">
      <c r="A29" s="80"/>
      <c r="B29" s="201" t="s">
        <v>1549</v>
      </c>
      <c r="C29" s="49"/>
      <c r="D29" s="168"/>
      <c r="E29" s="168"/>
      <c r="F29" s="1294"/>
      <c r="G29" s="1294">
        <v>8.37236538388046</v>
      </c>
      <c r="H29" s="1294">
        <v>12.7436202033104</v>
      </c>
      <c r="I29" s="1294">
        <v>13.840818509008033</v>
      </c>
      <c r="J29" s="1294">
        <f t="shared" ref="J29:L29" si="12">(J44/J$6)*1000</f>
        <v>15.96479648</v>
      </c>
      <c r="K29" s="1294">
        <f t="shared" si="12"/>
        <v>15.807493</v>
      </c>
      <c r="L29" s="1294">
        <f t="shared" si="12"/>
        <v>15.03323358</v>
      </c>
      <c r="M29" s="1239"/>
      <c r="N29" s="1262"/>
      <c r="O29" s="80"/>
      <c r="P29" s="80"/>
      <c r="Q29" s="80"/>
      <c r="R29" s="80"/>
      <c r="S29" s="80"/>
      <c r="T29" s="80"/>
      <c r="U29" s="80"/>
      <c r="V29" s="1236"/>
      <c r="W29" s="1236"/>
      <c r="X29" s="1236"/>
      <c r="Y29" s="1236"/>
      <c r="Z29" s="1236"/>
      <c r="AA29" s="1236"/>
      <c r="AB29" s="1236"/>
      <c r="AC29" s="1236"/>
      <c r="AD29" s="1236"/>
      <c r="AE29" s="1236"/>
      <c r="AF29" s="1236"/>
    </row>
    <row r="30" ht="12.0" customHeight="1" outlineLevel="5">
      <c r="A30" s="80"/>
      <c r="B30" s="201" t="s">
        <v>1550</v>
      </c>
      <c r="C30" s="49"/>
      <c r="D30" s="168"/>
      <c r="E30" s="168"/>
      <c r="F30" s="1294"/>
      <c r="G30" s="1294">
        <v>14.245574769748156</v>
      </c>
      <c r="H30" s="1294">
        <v>8.15240406620895</v>
      </c>
      <c r="I30" s="1294">
        <v>10.449649681857085</v>
      </c>
      <c r="J30" s="1294">
        <f t="shared" ref="J30:L30" si="13">(J45/J$6)*1000</f>
        <v>9.351628793</v>
      </c>
      <c r="K30" s="1294">
        <f t="shared" si="13"/>
        <v>9.060276119</v>
      </c>
      <c r="L30" s="1294">
        <f t="shared" si="13"/>
        <v>8.276498366</v>
      </c>
      <c r="M30" s="1239"/>
      <c r="N30" s="1262" t="s">
        <v>1551</v>
      </c>
      <c r="O30" s="80"/>
      <c r="P30" s="80"/>
      <c r="Q30" s="80"/>
      <c r="R30" s="80"/>
      <c r="S30" s="80"/>
      <c r="T30" s="80"/>
      <c r="U30" s="80"/>
      <c r="V30" s="1236"/>
      <c r="W30" s="1236"/>
      <c r="X30" s="1236"/>
      <c r="Y30" s="1236"/>
      <c r="Z30" s="1236"/>
      <c r="AA30" s="1236"/>
      <c r="AB30" s="1236"/>
      <c r="AC30" s="1236"/>
      <c r="AD30" s="1236"/>
      <c r="AE30" s="1236"/>
      <c r="AF30" s="1236"/>
    </row>
    <row r="31" ht="12.0" customHeight="1" outlineLevel="5">
      <c r="A31" s="80"/>
      <c r="B31" s="201" t="s">
        <v>1552</v>
      </c>
      <c r="C31" s="49"/>
      <c r="D31" s="168"/>
      <c r="E31" s="168"/>
      <c r="F31" s="1294"/>
      <c r="G31" s="1294">
        <v>26.054966943096268</v>
      </c>
      <c r="H31" s="1294">
        <v>26.281137766778432</v>
      </c>
      <c r="I31" s="1294">
        <v>27.52500324846085</v>
      </c>
      <c r="J31" s="1294">
        <f t="shared" ref="J31:L31" si="14">(J46/J$6)*1000</f>
        <v>31.64359803</v>
      </c>
      <c r="K31" s="1294">
        <f t="shared" si="14"/>
        <v>21.42399415</v>
      </c>
      <c r="L31" s="1294">
        <f t="shared" si="14"/>
        <v>21.72349999</v>
      </c>
      <c r="M31" s="1239"/>
      <c r="N31" s="1262" t="s">
        <v>1553</v>
      </c>
      <c r="O31" s="80"/>
      <c r="P31" s="80"/>
      <c r="Q31" s="80"/>
      <c r="R31" s="80"/>
      <c r="S31" s="80"/>
      <c r="T31" s="80"/>
      <c r="U31" s="80"/>
      <c r="V31" s="1236"/>
      <c r="W31" s="1236"/>
      <c r="X31" s="1236"/>
      <c r="Y31" s="1236"/>
      <c r="Z31" s="1236"/>
      <c r="AA31" s="1236"/>
      <c r="AB31" s="1236"/>
      <c r="AC31" s="1236"/>
      <c r="AD31" s="1236"/>
      <c r="AE31" s="1236"/>
      <c r="AF31" s="1236"/>
    </row>
    <row r="32" ht="12.0" customHeight="1" outlineLevel="5">
      <c r="A32" s="80"/>
      <c r="B32" s="201" t="s">
        <v>640</v>
      </c>
      <c r="C32" s="49"/>
      <c r="D32" s="1249"/>
      <c r="E32" s="1249"/>
      <c r="F32" s="1295"/>
      <c r="G32" s="1295">
        <v>10.998987274047465</v>
      </c>
      <c r="H32" s="1295">
        <v>9.546316993985842</v>
      </c>
      <c r="I32" s="1295">
        <v>10.259324010766326</v>
      </c>
      <c r="J32" s="1295">
        <f t="shared" ref="J32:L32" si="15">(J47/J$6)*1000</f>
        <v>12.66643333</v>
      </c>
      <c r="K32" s="1295">
        <f t="shared" si="15"/>
        <v>7.914792618</v>
      </c>
      <c r="L32" s="1295">
        <f t="shared" si="15"/>
        <v>6.537190511</v>
      </c>
      <c r="M32" s="1259"/>
      <c r="N32" s="1296"/>
      <c r="O32" s="80"/>
      <c r="P32" s="80"/>
      <c r="Q32" s="80"/>
      <c r="R32" s="80"/>
      <c r="S32" s="80"/>
      <c r="T32" s="80"/>
      <c r="U32" s="80"/>
      <c r="V32" s="1236"/>
      <c r="W32" s="1236"/>
      <c r="X32" s="1236"/>
      <c r="Y32" s="1236"/>
      <c r="Z32" s="1236"/>
      <c r="AA32" s="1236"/>
      <c r="AB32" s="1236"/>
      <c r="AC32" s="1236"/>
      <c r="AD32" s="1236"/>
      <c r="AE32" s="1236"/>
      <c r="AF32" s="1236"/>
    </row>
    <row r="33" ht="12.0" customHeight="1" outlineLevel="5">
      <c r="A33" s="80"/>
      <c r="B33" s="1297" t="s">
        <v>1554</v>
      </c>
      <c r="C33" s="45"/>
      <c r="D33" s="211"/>
      <c r="E33" s="211"/>
      <c r="F33" s="1298"/>
      <c r="G33" s="1298">
        <f t="shared" ref="G33:L33" si="16">SUM(G28:G32)</f>
        <v>112.2039319</v>
      </c>
      <c r="H33" s="1298">
        <f t="shared" si="16"/>
        <v>99.9706094</v>
      </c>
      <c r="I33" s="1298">
        <f t="shared" si="16"/>
        <v>97.38688746</v>
      </c>
      <c r="J33" s="1298">
        <f t="shared" si="16"/>
        <v>103.6533547</v>
      </c>
      <c r="K33" s="1298">
        <f t="shared" si="16"/>
        <v>84.73881177</v>
      </c>
      <c r="L33" s="1298">
        <f t="shared" si="16"/>
        <v>75.81776306</v>
      </c>
      <c r="M33" s="1299"/>
      <c r="N33" s="1299" t="s">
        <v>1555</v>
      </c>
      <c r="O33" s="80"/>
      <c r="P33" s="80"/>
      <c r="Q33" s="80"/>
      <c r="R33" s="80"/>
      <c r="S33" s="80"/>
      <c r="T33" s="80"/>
      <c r="U33" s="80"/>
      <c r="V33" s="1236"/>
      <c r="W33" s="1236"/>
      <c r="X33" s="1236"/>
      <c r="Y33" s="1236"/>
      <c r="Z33" s="1236"/>
      <c r="AA33" s="1236"/>
      <c r="AB33" s="1236"/>
      <c r="AC33" s="1236"/>
      <c r="AD33" s="1236"/>
      <c r="AE33" s="1236"/>
      <c r="AF33" s="1236"/>
    </row>
    <row r="34" ht="12.0" customHeight="1" outlineLevel="2">
      <c r="A34" s="80"/>
      <c r="B34" s="119"/>
      <c r="C34" s="49"/>
      <c r="D34" s="160"/>
      <c r="E34" s="160"/>
      <c r="F34" s="146"/>
      <c r="G34" s="146"/>
      <c r="H34" s="146">
        <f t="shared" ref="H34:L34" si="17">H33/G33-1</f>
        <v>-0.1090275738</v>
      </c>
      <c r="I34" s="146">
        <f t="shared" si="17"/>
        <v>-0.02584481535</v>
      </c>
      <c r="J34" s="146">
        <f t="shared" si="17"/>
        <v>0.06434610842</v>
      </c>
      <c r="K34" s="146">
        <f t="shared" si="17"/>
        <v>-0.1824788302</v>
      </c>
      <c r="L34" s="146">
        <f t="shared" si="17"/>
        <v>-0.1052770096</v>
      </c>
      <c r="M34" s="1292"/>
      <c r="N34" s="1293"/>
      <c r="O34" s="80"/>
      <c r="P34" s="80"/>
      <c r="Q34" s="80"/>
      <c r="R34" s="80"/>
      <c r="S34" s="80"/>
      <c r="T34" s="80"/>
      <c r="U34" s="80"/>
      <c r="V34" s="1236"/>
      <c r="W34" s="1236"/>
      <c r="X34" s="1236"/>
      <c r="Y34" s="1236"/>
      <c r="Z34" s="1236"/>
      <c r="AA34" s="1236"/>
      <c r="AB34" s="1236"/>
      <c r="AC34" s="1236"/>
      <c r="AD34" s="1236"/>
      <c r="AE34" s="1236"/>
      <c r="AF34" s="1236"/>
    </row>
    <row r="35" ht="12.0" customHeight="1" outlineLevel="1">
      <c r="A35" s="45"/>
      <c r="B35" s="129" t="s">
        <v>1556</v>
      </c>
      <c r="C35" s="49"/>
      <c r="D35" s="1249"/>
      <c r="E35" s="1249"/>
      <c r="F35" s="148"/>
      <c r="G35" s="148"/>
      <c r="H35" s="148"/>
      <c r="I35" s="148"/>
      <c r="J35" s="148"/>
      <c r="K35" s="148"/>
      <c r="L35" s="148"/>
      <c r="M35" s="1244"/>
      <c r="N35" s="1278"/>
      <c r="O35" s="80"/>
      <c r="P35" s="80"/>
      <c r="Q35" s="80"/>
      <c r="R35" s="80"/>
      <c r="S35" s="80"/>
      <c r="T35" s="80"/>
      <c r="U35" s="80"/>
      <c r="V35" s="1236"/>
      <c r="W35" s="1236"/>
      <c r="X35" s="1236"/>
      <c r="Y35" s="1236"/>
      <c r="Z35" s="1236"/>
      <c r="AA35" s="1236"/>
      <c r="AB35" s="1236"/>
      <c r="AC35" s="1236"/>
      <c r="AD35" s="1236"/>
      <c r="AE35" s="1236"/>
      <c r="AF35" s="1236"/>
    </row>
    <row r="36" ht="12.0" customHeight="1" outlineLevel="1">
      <c r="A36" s="153"/>
      <c r="B36" s="273" t="s">
        <v>1547</v>
      </c>
      <c r="C36" s="168"/>
      <c r="D36" s="1270"/>
      <c r="E36" s="45"/>
      <c r="F36" s="1300"/>
      <c r="G36" s="1301"/>
      <c r="H36" s="146">
        <f t="shared" ref="H36:L36" si="18">H28/G28-1</f>
        <v>-0.1767475157</v>
      </c>
      <c r="I36" s="146">
        <f t="shared" si="18"/>
        <v>-0.183481269</v>
      </c>
      <c r="J36" s="146">
        <f t="shared" si="18"/>
        <v>-0.03639529374</v>
      </c>
      <c r="K36" s="146">
        <f t="shared" si="18"/>
        <v>-0.1027023436</v>
      </c>
      <c r="L36" s="146">
        <f t="shared" si="18"/>
        <v>-0.2058450999</v>
      </c>
      <c r="M36" s="1278"/>
      <c r="N36" s="1278"/>
      <c r="O36" s="1264"/>
      <c r="P36" s="1264"/>
      <c r="Q36" s="1264"/>
      <c r="R36" s="1264"/>
      <c r="S36" s="1264"/>
      <c r="T36" s="1264"/>
      <c r="U36" s="1264"/>
      <c r="V36" s="1265"/>
      <c r="W36" s="1265"/>
      <c r="X36" s="1265"/>
      <c r="Y36" s="1265"/>
      <c r="Z36" s="1265"/>
      <c r="AA36" s="1265"/>
      <c r="AB36" s="1265"/>
      <c r="AC36" s="1265"/>
      <c r="AD36" s="1265"/>
      <c r="AE36" s="1265"/>
      <c r="AF36" s="1265"/>
    </row>
    <row r="37" ht="12.0" customHeight="1" outlineLevel="1">
      <c r="A37" s="49"/>
      <c r="B37" s="273" t="s">
        <v>1549</v>
      </c>
      <c r="C37" s="168"/>
      <c r="D37" s="168"/>
      <c r="E37" s="182"/>
      <c r="F37" s="1300"/>
      <c r="G37" s="1301"/>
      <c r="H37" s="146">
        <f t="shared" ref="H37:L37" si="19">H29/G29-1</f>
        <v>0.5221051183</v>
      </c>
      <c r="I37" s="146">
        <f t="shared" si="19"/>
        <v>0.08609785039</v>
      </c>
      <c r="J37" s="146">
        <f t="shared" si="19"/>
        <v>0.1534575411</v>
      </c>
      <c r="K37" s="146">
        <f t="shared" si="19"/>
        <v>-0.009853146701</v>
      </c>
      <c r="L37" s="146">
        <f t="shared" si="19"/>
        <v>-0.04898053209</v>
      </c>
      <c r="M37" s="1244"/>
      <c r="N37" s="1278"/>
      <c r="O37" s="1256"/>
      <c r="P37" s="1256"/>
      <c r="Q37" s="1256"/>
      <c r="R37" s="1256"/>
      <c r="S37" s="1256"/>
      <c r="T37" s="1256"/>
      <c r="U37" s="1256"/>
      <c r="V37" s="1257"/>
      <c r="W37" s="1257"/>
      <c r="X37" s="1257"/>
      <c r="Y37" s="1257"/>
      <c r="Z37" s="1257"/>
      <c r="AA37" s="1257"/>
      <c r="AB37" s="1257"/>
      <c r="AC37" s="1257"/>
      <c r="AD37" s="1257"/>
      <c r="AE37" s="1257"/>
      <c r="AF37" s="1257"/>
    </row>
    <row r="38" ht="12.0" customHeight="1" outlineLevel="1">
      <c r="A38" s="49"/>
      <c r="B38" s="273" t="s">
        <v>1550</v>
      </c>
      <c r="C38" s="168"/>
      <c r="D38" s="168"/>
      <c r="E38" s="182"/>
      <c r="F38" s="1300"/>
      <c r="G38" s="1301"/>
      <c r="H38" s="146">
        <f t="shared" ref="H38:L38" si="20">H30/G30-1</f>
        <v>-0.427723753</v>
      </c>
      <c r="I38" s="146">
        <f t="shared" si="20"/>
        <v>0.2817875067</v>
      </c>
      <c r="J38" s="146">
        <f t="shared" si="20"/>
        <v>-0.1050772918</v>
      </c>
      <c r="K38" s="146">
        <f t="shared" si="20"/>
        <v>-0.03115528641</v>
      </c>
      <c r="L38" s="146">
        <f t="shared" si="20"/>
        <v>-0.08650704935</v>
      </c>
      <c r="M38" s="1244"/>
      <c r="N38" s="1278"/>
      <c r="O38" s="1256"/>
      <c r="P38" s="1256"/>
      <c r="Q38" s="1256"/>
      <c r="R38" s="1256"/>
      <c r="S38" s="1256"/>
      <c r="T38" s="1256"/>
      <c r="U38" s="1256"/>
      <c r="V38" s="1257"/>
      <c r="W38" s="1257"/>
      <c r="X38" s="1257"/>
      <c r="Y38" s="1257"/>
      <c r="Z38" s="1257"/>
      <c r="AA38" s="1257"/>
      <c r="AB38" s="1257"/>
      <c r="AC38" s="1257"/>
      <c r="AD38" s="1257"/>
      <c r="AE38" s="1257"/>
      <c r="AF38" s="1257"/>
    </row>
    <row r="39" ht="12.0" customHeight="1" outlineLevel="1">
      <c r="A39" s="49"/>
      <c r="B39" s="273" t="s">
        <v>1552</v>
      </c>
      <c r="C39" s="168"/>
      <c r="D39" s="168"/>
      <c r="E39" s="182"/>
      <c r="F39" s="1300"/>
      <c r="G39" s="1301"/>
      <c r="H39" s="146">
        <f t="shared" ref="H39:L39" si="21">H31/G31-1</f>
        <v>0.008680526219</v>
      </c>
      <c r="I39" s="146">
        <f t="shared" si="21"/>
        <v>0.04732920974</v>
      </c>
      <c r="J39" s="146">
        <f t="shared" si="21"/>
        <v>0.1496310369</v>
      </c>
      <c r="K39" s="146">
        <f t="shared" si="21"/>
        <v>-0.3229596035</v>
      </c>
      <c r="L39" s="146">
        <f t="shared" si="21"/>
        <v>0.01397992522</v>
      </c>
      <c r="M39" s="1244"/>
      <c r="N39" s="1278"/>
      <c r="O39" s="1256"/>
      <c r="P39" s="1256"/>
      <c r="Q39" s="1256"/>
      <c r="R39" s="1256"/>
      <c r="S39" s="1256"/>
      <c r="T39" s="1256"/>
      <c r="U39" s="1256"/>
      <c r="V39" s="1257"/>
      <c r="W39" s="1257"/>
      <c r="X39" s="1257"/>
      <c r="Y39" s="1257"/>
      <c r="Z39" s="1257"/>
      <c r="AA39" s="1257"/>
      <c r="AB39" s="1257"/>
      <c r="AC39" s="1257"/>
      <c r="AD39" s="1257"/>
      <c r="AE39" s="1257"/>
      <c r="AF39" s="1257"/>
    </row>
    <row r="40" ht="12.0" customHeight="1" outlineLevel="1">
      <c r="A40" s="49"/>
      <c r="B40" s="273" t="s">
        <v>1557</v>
      </c>
      <c r="C40" s="168"/>
      <c r="D40" s="168"/>
      <c r="E40" s="182"/>
      <c r="F40" s="1300"/>
      <c r="G40" s="1301"/>
      <c r="H40" s="146">
        <f t="shared" ref="H40:L40" si="22">H32/G32-1</f>
        <v>-0.132073094</v>
      </c>
      <c r="I40" s="146">
        <f t="shared" si="22"/>
        <v>0.07468922488</v>
      </c>
      <c r="J40" s="146">
        <f t="shared" si="22"/>
        <v>0.2346265031</v>
      </c>
      <c r="K40" s="146">
        <f t="shared" si="22"/>
        <v>-0.3751364403</v>
      </c>
      <c r="L40" s="146">
        <f t="shared" si="22"/>
        <v>-0.1740541002</v>
      </c>
      <c r="M40" s="1244"/>
      <c r="N40" s="1278"/>
      <c r="O40" s="1256"/>
      <c r="P40" s="1256"/>
      <c r="Q40" s="1256"/>
      <c r="R40" s="1256"/>
      <c r="S40" s="1256"/>
      <c r="T40" s="1256"/>
      <c r="U40" s="1256"/>
      <c r="V40" s="1257"/>
      <c r="W40" s="1257"/>
      <c r="X40" s="1257"/>
      <c r="Y40" s="1257"/>
      <c r="Z40" s="1257"/>
      <c r="AA40" s="1257"/>
      <c r="AB40" s="1257"/>
      <c r="AC40" s="1257"/>
      <c r="AD40" s="1257"/>
      <c r="AE40" s="1257"/>
      <c r="AF40" s="1257"/>
    </row>
    <row r="41" ht="12.0" customHeight="1" outlineLevel="1">
      <c r="A41" s="49"/>
      <c r="B41" s="1302"/>
      <c r="C41" s="49"/>
      <c r="D41" s="273"/>
      <c r="E41" s="273"/>
      <c r="F41" s="49"/>
      <c r="G41" s="49"/>
      <c r="H41" s="49"/>
      <c r="I41" s="49"/>
      <c r="J41" s="49"/>
      <c r="K41" s="49"/>
      <c r="L41" s="49"/>
      <c r="M41" s="1303"/>
      <c r="N41" s="1304"/>
      <c r="O41" s="1256"/>
      <c r="P41" s="1256"/>
      <c r="Q41" s="1256"/>
      <c r="R41" s="1256"/>
      <c r="S41" s="1256"/>
      <c r="T41" s="1256"/>
      <c r="U41" s="1256"/>
      <c r="V41" s="1257"/>
      <c r="W41" s="1257"/>
      <c r="X41" s="1257"/>
      <c r="Y41" s="1257"/>
      <c r="Z41" s="1257"/>
      <c r="AA41" s="1257"/>
      <c r="AB41" s="1257"/>
      <c r="AC41" s="1257"/>
      <c r="AD41" s="1257"/>
      <c r="AE41" s="1257"/>
      <c r="AF41" s="1257"/>
    </row>
    <row r="42" ht="12.0" customHeight="1" outlineLevel="2">
      <c r="A42" s="45"/>
      <c r="B42" s="1248" t="s">
        <v>81</v>
      </c>
      <c r="C42" s="49"/>
      <c r="D42" s="1305"/>
      <c r="E42" s="1305"/>
      <c r="F42" s="1277"/>
      <c r="G42" s="1277"/>
      <c r="H42" s="1277"/>
      <c r="I42" s="1277"/>
      <c r="J42" s="1277"/>
      <c r="K42" s="1277"/>
      <c r="L42" s="1277"/>
      <c r="M42" s="1292"/>
      <c r="N42" s="1293"/>
      <c r="O42" s="80"/>
      <c r="P42" s="80"/>
      <c r="Q42" s="80"/>
      <c r="R42" s="80"/>
      <c r="S42" s="80"/>
      <c r="T42" s="80"/>
      <c r="U42" s="80"/>
      <c r="V42" s="1236"/>
      <c r="W42" s="1236"/>
      <c r="X42" s="1236"/>
      <c r="Y42" s="1236"/>
      <c r="Z42" s="1236"/>
      <c r="AA42" s="1236"/>
      <c r="AB42" s="1236"/>
      <c r="AC42" s="1236"/>
      <c r="AD42" s="1236"/>
      <c r="AE42" s="1236"/>
      <c r="AF42" s="1236"/>
    </row>
    <row r="43" ht="12.0" customHeight="1" outlineLevel="2">
      <c r="A43" s="45"/>
      <c r="B43" s="273" t="s">
        <v>1547</v>
      </c>
      <c r="C43" s="49"/>
      <c r="D43" s="1305"/>
      <c r="E43" s="1305"/>
      <c r="F43" s="1306">
        <v>2.16968339</v>
      </c>
      <c r="G43" s="1306">
        <v>2.7492116500000003</v>
      </c>
      <c r="H43" s="140">
        <f t="shared" ref="H43:I43" si="23">(H$6*H28)/$K$22</f>
        <v>3.25028133</v>
      </c>
      <c r="I43" s="140">
        <f t="shared" si="23"/>
        <v>3.42417825</v>
      </c>
      <c r="J43" s="140">
        <v>3.5921856</v>
      </c>
      <c r="K43" s="140">
        <v>4.17757591</v>
      </c>
      <c r="L43" s="140">
        <v>4.56994478</v>
      </c>
      <c r="M43" s="1307"/>
      <c r="N43" s="1308"/>
      <c r="O43" s="80"/>
      <c r="P43" s="80"/>
      <c r="Q43" s="80"/>
      <c r="R43" s="80"/>
      <c r="S43" s="80"/>
      <c r="T43" s="80"/>
      <c r="U43" s="80"/>
      <c r="V43" s="1236"/>
      <c r="W43" s="1236"/>
      <c r="X43" s="1236"/>
      <c r="Y43" s="1236"/>
      <c r="Z43" s="1236"/>
      <c r="AA43" s="1236"/>
      <c r="AB43" s="1236"/>
      <c r="AC43" s="1236"/>
      <c r="AD43" s="1236"/>
      <c r="AE43" s="1236"/>
      <c r="AF43" s="1236"/>
    </row>
    <row r="44" ht="12.0" customHeight="1" outlineLevel="2">
      <c r="A44" s="45"/>
      <c r="B44" s="273" t="s">
        <v>1549</v>
      </c>
      <c r="C44" s="49"/>
      <c r="D44" s="1305"/>
      <c r="E44" s="1305"/>
      <c r="F44" s="1306">
        <v>0.3443075500000001</v>
      </c>
      <c r="G44" s="1306">
        <v>0.43815937</v>
      </c>
      <c r="H44" s="140">
        <f t="shared" ref="H44:I44" si="24">(H$6*H29)/$K$22</f>
        <v>0.95775952</v>
      </c>
      <c r="I44" s="140">
        <f t="shared" si="24"/>
        <v>1.34213033</v>
      </c>
      <c r="J44" s="140">
        <v>1.6853876</v>
      </c>
      <c r="K44" s="140">
        <v>2.16286023</v>
      </c>
      <c r="L44" s="140">
        <v>2.8333436</v>
      </c>
      <c r="M44" s="1307"/>
      <c r="N44" s="1308"/>
      <c r="O44" s="80"/>
      <c r="P44" s="80"/>
      <c r="Q44" s="80"/>
      <c r="R44" s="80"/>
      <c r="S44" s="80"/>
      <c r="T44" s="80"/>
      <c r="U44" s="80"/>
      <c r="V44" s="1236"/>
      <c r="W44" s="1236"/>
      <c r="X44" s="1236"/>
      <c r="Y44" s="1236"/>
      <c r="Z44" s="1236"/>
      <c r="AA44" s="1236"/>
      <c r="AB44" s="1236"/>
      <c r="AC44" s="1236"/>
      <c r="AD44" s="1236"/>
      <c r="AE44" s="1236"/>
      <c r="AF44" s="1236"/>
    </row>
    <row r="45" ht="12.0" customHeight="1" outlineLevel="2">
      <c r="A45" s="45"/>
      <c r="B45" s="273" t="s">
        <v>1550</v>
      </c>
      <c r="C45" s="49"/>
      <c r="D45" s="1305"/>
      <c r="E45" s="1305"/>
      <c r="F45" s="1306">
        <v>0.572882</v>
      </c>
      <c r="G45" s="1306">
        <v>0.7455279100000001</v>
      </c>
      <c r="H45" s="140">
        <f t="shared" ref="H45:I45" si="25">(H$6*H30)/$K$22</f>
        <v>0.61270208</v>
      </c>
      <c r="I45" s="140">
        <f t="shared" si="25"/>
        <v>1.01329208</v>
      </c>
      <c r="J45" s="140">
        <v>0.9872421</v>
      </c>
      <c r="K45" s="140">
        <v>1.23967228</v>
      </c>
      <c r="L45" s="140">
        <v>1.5598882</v>
      </c>
      <c r="M45" s="1307"/>
      <c r="N45" s="1308"/>
      <c r="O45" s="80"/>
      <c r="P45" s="80"/>
      <c r="Q45" s="80"/>
      <c r="R45" s="80"/>
      <c r="S45" s="80"/>
      <c r="T45" s="80"/>
      <c r="U45" s="80"/>
      <c r="V45" s="1236"/>
      <c r="W45" s="1236"/>
      <c r="X45" s="1236"/>
      <c r="Y45" s="1236"/>
      <c r="Z45" s="1236"/>
      <c r="AA45" s="1236"/>
      <c r="AB45" s="1236"/>
      <c r="AC45" s="1236"/>
      <c r="AD45" s="1236"/>
      <c r="AE45" s="1236"/>
      <c r="AF45" s="1236"/>
    </row>
    <row r="46" ht="12.0" customHeight="1" outlineLevel="2">
      <c r="A46" s="45"/>
      <c r="B46" s="273" t="s">
        <v>1552</v>
      </c>
      <c r="C46" s="49"/>
      <c r="D46" s="1249"/>
      <c r="E46" s="1249"/>
      <c r="F46" s="1306">
        <v>0.9526984600000002</v>
      </c>
      <c r="G46" s="1306">
        <v>1.3635606400000002</v>
      </c>
      <c r="H46" s="140">
        <f t="shared" ref="H46:I46" si="26">(H$6*H31)/$K$22</f>
        <v>1.97518519</v>
      </c>
      <c r="I46" s="140">
        <f t="shared" si="26"/>
        <v>2.66907204</v>
      </c>
      <c r="J46" s="140">
        <v>3.340583</v>
      </c>
      <c r="K46" s="140">
        <v>2.931338</v>
      </c>
      <c r="L46" s="140">
        <v>4.09427149</v>
      </c>
      <c r="M46" s="1307"/>
      <c r="N46" s="1308"/>
      <c r="O46" s="80"/>
      <c r="P46" s="80"/>
      <c r="Q46" s="80"/>
      <c r="R46" s="80"/>
      <c r="S46" s="80"/>
      <c r="T46" s="80"/>
      <c r="U46" s="80"/>
      <c r="V46" s="1236"/>
      <c r="W46" s="1236"/>
      <c r="X46" s="1236"/>
      <c r="Y46" s="1236"/>
      <c r="Z46" s="1236"/>
      <c r="AA46" s="1236"/>
      <c r="AB46" s="1236"/>
      <c r="AC46" s="1236"/>
      <c r="AD46" s="1236"/>
      <c r="AE46" s="1236"/>
      <c r="AF46" s="1236"/>
    </row>
    <row r="47" ht="12.0" customHeight="1" outlineLevel="2">
      <c r="A47" s="45"/>
      <c r="B47" s="1309" t="s">
        <v>1557</v>
      </c>
      <c r="C47" s="49"/>
      <c r="D47" s="1249"/>
      <c r="E47" s="1249"/>
      <c r="F47" s="1310">
        <v>0.51531878</v>
      </c>
      <c r="G47" s="1310">
        <v>0.575621</v>
      </c>
      <c r="H47" s="173">
        <f t="shared" ref="H47:I47" si="27">(H$6*H32)/$K$22</f>
        <v>0.717463</v>
      </c>
      <c r="I47" s="173">
        <f t="shared" si="27"/>
        <v>0.99483639</v>
      </c>
      <c r="J47" s="173">
        <v>1.3371827</v>
      </c>
      <c r="K47" s="173">
        <v>1.0829415</v>
      </c>
      <c r="L47" s="173">
        <v>1.23207737</v>
      </c>
      <c r="M47" s="1311"/>
      <c r="N47" s="1312"/>
      <c r="O47" s="80"/>
      <c r="P47" s="80"/>
      <c r="Q47" s="80"/>
      <c r="R47" s="80"/>
      <c r="S47" s="80"/>
      <c r="T47" s="80"/>
      <c r="U47" s="80"/>
      <c r="V47" s="1236"/>
      <c r="W47" s="1236"/>
      <c r="X47" s="1236"/>
      <c r="Y47" s="1236"/>
      <c r="Z47" s="1236"/>
      <c r="AA47" s="1236"/>
      <c r="AB47" s="1236"/>
      <c r="AC47" s="1236"/>
      <c r="AD47" s="1236"/>
      <c r="AE47" s="1236"/>
      <c r="AF47" s="1236"/>
    </row>
    <row r="48" ht="12.0" customHeight="1" outlineLevel="2">
      <c r="A48" s="45"/>
      <c r="B48" s="159" t="s">
        <v>9</v>
      </c>
      <c r="C48" s="153"/>
      <c r="D48" s="137"/>
      <c r="E48" s="137"/>
      <c r="F48" s="115">
        <f t="shared" ref="F48:L48" si="28">SUM(F43:F47)</f>
        <v>4.55489018</v>
      </c>
      <c r="G48" s="115">
        <f t="shared" si="28"/>
        <v>5.87208057</v>
      </c>
      <c r="H48" s="115">
        <f t="shared" si="28"/>
        <v>7.51339112</v>
      </c>
      <c r="I48" s="115">
        <f t="shared" si="28"/>
        <v>9.44350909</v>
      </c>
      <c r="J48" s="115">
        <f t="shared" si="28"/>
        <v>10.942581</v>
      </c>
      <c r="K48" s="115">
        <f t="shared" si="28"/>
        <v>11.59438792</v>
      </c>
      <c r="L48" s="115">
        <f t="shared" si="28"/>
        <v>14.28952544</v>
      </c>
      <c r="M48" s="1307"/>
      <c r="N48" s="1308"/>
      <c r="O48" s="80"/>
      <c r="P48" s="80"/>
      <c r="Q48" s="80"/>
      <c r="R48" s="80"/>
      <c r="S48" s="80"/>
      <c r="T48" s="80"/>
      <c r="U48" s="80"/>
      <c r="V48" s="1236"/>
      <c r="W48" s="1236"/>
      <c r="X48" s="1236"/>
      <c r="Y48" s="1236"/>
      <c r="Z48" s="1236"/>
      <c r="AA48" s="1236"/>
      <c r="AB48" s="1236"/>
      <c r="AC48" s="1236"/>
      <c r="AD48" s="1236"/>
      <c r="AE48" s="1236"/>
      <c r="AF48" s="1236"/>
    </row>
    <row r="49" ht="12.0" customHeight="1" outlineLevel="2">
      <c r="A49" s="45"/>
      <c r="B49" s="129" t="s">
        <v>1558</v>
      </c>
      <c r="C49" s="153"/>
      <c r="D49" s="176"/>
      <c r="E49" s="176"/>
      <c r="F49" s="123">
        <f t="shared" ref="F49:L49" si="29">F48/F24</f>
        <v>0.3960334446</v>
      </c>
      <c r="G49" s="123">
        <f t="shared" si="29"/>
        <v>0.3965789437</v>
      </c>
      <c r="H49" s="123">
        <f t="shared" si="29"/>
        <v>0.3845584516</v>
      </c>
      <c r="I49" s="123">
        <f t="shared" si="29"/>
        <v>0.4070028949</v>
      </c>
      <c r="J49" s="123">
        <f t="shared" si="29"/>
        <v>0.4279669787</v>
      </c>
      <c r="K49" s="123">
        <f t="shared" si="29"/>
        <v>0.3617603317</v>
      </c>
      <c r="L49" s="123">
        <f t="shared" si="29"/>
        <v>0.3269810631</v>
      </c>
      <c r="M49" s="1244"/>
      <c r="N49" s="1313"/>
      <c r="O49" s="80"/>
      <c r="P49" s="80"/>
      <c r="Q49" s="80"/>
      <c r="R49" s="80"/>
      <c r="S49" s="80"/>
      <c r="T49" s="80"/>
      <c r="U49" s="80"/>
      <c r="V49" s="1236"/>
      <c r="W49" s="1236"/>
      <c r="X49" s="1236"/>
      <c r="Y49" s="1236"/>
      <c r="Z49" s="1236"/>
      <c r="AA49" s="1236"/>
      <c r="AB49" s="1236"/>
      <c r="AC49" s="1236"/>
      <c r="AD49" s="1236"/>
      <c r="AE49" s="1236"/>
      <c r="AF49" s="1236"/>
    </row>
    <row r="50" ht="12.0" customHeight="1" outlineLevel="2">
      <c r="A50" s="45"/>
      <c r="B50" s="154"/>
      <c r="C50" s="49"/>
      <c r="D50" s="155"/>
      <c r="E50" s="155"/>
      <c r="F50" s="148"/>
      <c r="G50" s="148"/>
      <c r="H50" s="148"/>
      <c r="I50" s="148"/>
      <c r="J50" s="148"/>
      <c r="K50" s="148"/>
      <c r="L50" s="148"/>
      <c r="M50" s="1244"/>
      <c r="N50" s="1313"/>
      <c r="O50" s="80"/>
      <c r="P50" s="80"/>
      <c r="Q50" s="80"/>
      <c r="R50" s="80"/>
      <c r="S50" s="80"/>
      <c r="T50" s="80"/>
      <c r="U50" s="80"/>
      <c r="V50" s="1236"/>
      <c r="W50" s="1236"/>
      <c r="X50" s="1236"/>
      <c r="Y50" s="1236"/>
      <c r="Z50" s="1236"/>
      <c r="AA50" s="1236"/>
      <c r="AB50" s="1236"/>
      <c r="AC50" s="1236"/>
      <c r="AD50" s="1236"/>
      <c r="AE50" s="1236"/>
      <c r="AF50" s="1236"/>
    </row>
    <row r="51" ht="12.0" customHeight="1" outlineLevel="3">
      <c r="A51" s="36"/>
      <c r="B51" s="1314" t="s">
        <v>1559</v>
      </c>
      <c r="C51" s="36"/>
      <c r="D51" s="1315"/>
      <c r="E51" s="1315"/>
      <c r="F51" s="1316"/>
      <c r="G51" s="1316"/>
      <c r="H51" s="1316"/>
      <c r="I51" s="1316"/>
      <c r="J51" s="1316"/>
      <c r="K51" s="1316"/>
      <c r="L51" s="1316"/>
      <c r="M51" s="1317"/>
      <c r="N51" s="1318"/>
      <c r="O51" s="1253"/>
      <c r="P51" s="1253"/>
      <c r="Q51" s="1253"/>
      <c r="R51" s="1253"/>
      <c r="S51" s="1253"/>
      <c r="T51" s="1253"/>
      <c r="U51" s="1253"/>
      <c r="V51" s="1254"/>
      <c r="W51" s="1254"/>
      <c r="X51" s="1254"/>
      <c r="Y51" s="1254"/>
      <c r="Z51" s="1254"/>
      <c r="AA51" s="1254"/>
      <c r="AB51" s="1254"/>
      <c r="AC51" s="1254"/>
      <c r="AD51" s="1254"/>
      <c r="AE51" s="1254"/>
      <c r="AF51" s="1254"/>
    </row>
    <row r="52" ht="12.0" customHeight="1" outlineLevel="3">
      <c r="A52" s="36"/>
      <c r="B52" s="1319" t="s">
        <v>1547</v>
      </c>
      <c r="C52" s="36"/>
      <c r="D52" s="1315"/>
      <c r="E52" s="1315"/>
      <c r="F52" s="1320">
        <f t="shared" ref="F52:L52" si="30">F43/F$24</f>
        <v>0.1886471798</v>
      </c>
      <c r="G52" s="1320">
        <f t="shared" si="30"/>
        <v>0.185671746</v>
      </c>
      <c r="H52" s="1320">
        <f t="shared" si="30"/>
        <v>0.1663593889</v>
      </c>
      <c r="I52" s="1320">
        <f t="shared" si="30"/>
        <v>0.1475776057</v>
      </c>
      <c r="J52" s="1320">
        <f t="shared" si="30"/>
        <v>0.1404912441</v>
      </c>
      <c r="K52" s="1320">
        <f t="shared" si="30"/>
        <v>0.1303459275</v>
      </c>
      <c r="L52" s="1320">
        <f t="shared" si="30"/>
        <v>0.1045720804</v>
      </c>
      <c r="M52" s="1321"/>
      <c r="N52" s="1322"/>
      <c r="O52" s="1253"/>
      <c r="P52" s="1253"/>
      <c r="Q52" s="1253"/>
      <c r="R52" s="1253"/>
      <c r="S52" s="1253"/>
      <c r="T52" s="1253"/>
      <c r="U52" s="1253"/>
      <c r="V52" s="1254"/>
      <c r="W52" s="1254"/>
      <c r="X52" s="1254"/>
      <c r="Y52" s="1254"/>
      <c r="Z52" s="1254"/>
      <c r="AA52" s="1254"/>
      <c r="AB52" s="1254"/>
      <c r="AC52" s="1254"/>
      <c r="AD52" s="1254"/>
      <c r="AE52" s="1254"/>
      <c r="AF52" s="1254"/>
    </row>
    <row r="53" ht="12.0" customHeight="1" outlineLevel="3">
      <c r="A53" s="36"/>
      <c r="B53" s="1319" t="s">
        <v>1549</v>
      </c>
      <c r="C53" s="36"/>
      <c r="D53" s="1315"/>
      <c r="E53" s="1315"/>
      <c r="F53" s="1320">
        <f t="shared" ref="F53:L53" si="31">F44/F$24</f>
        <v>0.02993646381</v>
      </c>
      <c r="G53" s="1320">
        <f t="shared" si="31"/>
        <v>0.02959168868</v>
      </c>
      <c r="H53" s="1320">
        <f t="shared" si="31"/>
        <v>0.04902107611</v>
      </c>
      <c r="I53" s="1320">
        <f t="shared" si="31"/>
        <v>0.05784406247</v>
      </c>
      <c r="J53" s="1320">
        <f t="shared" si="31"/>
        <v>0.065915915</v>
      </c>
      <c r="K53" s="1320">
        <f t="shared" si="31"/>
        <v>0.06748411728</v>
      </c>
      <c r="L53" s="1320">
        <f t="shared" si="31"/>
        <v>0.06483418266</v>
      </c>
      <c r="M53" s="1321"/>
      <c r="N53" s="1322"/>
      <c r="O53" s="1253"/>
      <c r="P53" s="1253"/>
      <c r="Q53" s="1253"/>
      <c r="R53" s="1253"/>
      <c r="S53" s="1253"/>
      <c r="T53" s="1253"/>
      <c r="U53" s="1253"/>
      <c r="V53" s="1254"/>
      <c r="W53" s="1254"/>
      <c r="X53" s="1254"/>
      <c r="Y53" s="1254"/>
      <c r="Z53" s="1254"/>
      <c r="AA53" s="1254"/>
      <c r="AB53" s="1254"/>
      <c r="AC53" s="1254"/>
      <c r="AD53" s="1254"/>
      <c r="AE53" s="1254"/>
      <c r="AF53" s="1254"/>
    </row>
    <row r="54" ht="12.0" customHeight="1" outlineLevel="3">
      <c r="A54" s="36"/>
      <c r="B54" s="1319" t="s">
        <v>1550</v>
      </c>
      <c r="C54" s="36"/>
      <c r="D54" s="1315"/>
      <c r="E54" s="1315"/>
      <c r="F54" s="1320">
        <f t="shared" ref="F54:L54" si="32">F45/F$24</f>
        <v>0.04981029682</v>
      </c>
      <c r="G54" s="1320">
        <f t="shared" si="32"/>
        <v>0.05035024086</v>
      </c>
      <c r="H54" s="1320">
        <f t="shared" si="32"/>
        <v>0.03135997573</v>
      </c>
      <c r="I54" s="1320">
        <f t="shared" si="32"/>
        <v>0.04367156383</v>
      </c>
      <c r="J54" s="1320">
        <f t="shared" si="32"/>
        <v>0.03861127633</v>
      </c>
      <c r="K54" s="1320">
        <f t="shared" si="32"/>
        <v>0.03867942476</v>
      </c>
      <c r="L54" s="1320">
        <f t="shared" si="32"/>
        <v>0.0356942506</v>
      </c>
      <c r="M54" s="1321"/>
      <c r="N54" s="1322"/>
      <c r="O54" s="1253"/>
      <c r="P54" s="1253"/>
      <c r="Q54" s="1253"/>
      <c r="R54" s="1253"/>
      <c r="S54" s="1253"/>
      <c r="T54" s="1253"/>
      <c r="U54" s="1253"/>
      <c r="V54" s="1254"/>
      <c r="W54" s="1254"/>
      <c r="X54" s="1254"/>
      <c r="Y54" s="1254"/>
      <c r="Z54" s="1254"/>
      <c r="AA54" s="1254"/>
      <c r="AB54" s="1254"/>
      <c r="AC54" s="1254"/>
      <c r="AD54" s="1254"/>
      <c r="AE54" s="1254"/>
      <c r="AF54" s="1254"/>
    </row>
    <row r="55" ht="12.0" customHeight="1" outlineLevel="3">
      <c r="A55" s="36"/>
      <c r="B55" s="1319" t="s">
        <v>1552</v>
      </c>
      <c r="C55" s="36"/>
      <c r="D55" s="1323"/>
      <c r="E55" s="1323"/>
      <c r="F55" s="1320">
        <f t="shared" ref="F55:L55" si="33">F46/F$24</f>
        <v>0.08283414921</v>
      </c>
      <c r="G55" s="1320">
        <f t="shared" si="33"/>
        <v>0.09208992142</v>
      </c>
      <c r="H55" s="1320">
        <f t="shared" si="33"/>
        <v>0.1010960492</v>
      </c>
      <c r="I55" s="1320">
        <f t="shared" si="33"/>
        <v>0.1150335153</v>
      </c>
      <c r="J55" s="1320">
        <f t="shared" si="33"/>
        <v>0.1306510058</v>
      </c>
      <c r="K55" s="1320">
        <f t="shared" si="33"/>
        <v>0.09146164631</v>
      </c>
      <c r="L55" s="1320">
        <f t="shared" si="33"/>
        <v>0.09368745311</v>
      </c>
      <c r="M55" s="1321"/>
      <c r="N55" s="1322"/>
      <c r="O55" s="1253"/>
      <c r="P55" s="1253"/>
      <c r="Q55" s="1253"/>
      <c r="R55" s="1253"/>
      <c r="S55" s="1253"/>
      <c r="T55" s="1253"/>
      <c r="U55" s="1253"/>
      <c r="V55" s="1254"/>
      <c r="W55" s="1254"/>
      <c r="X55" s="1254"/>
      <c r="Y55" s="1254"/>
      <c r="Z55" s="1254"/>
      <c r="AA55" s="1254"/>
      <c r="AB55" s="1254"/>
      <c r="AC55" s="1254"/>
      <c r="AD55" s="1254"/>
      <c r="AE55" s="1254"/>
      <c r="AF55" s="1254"/>
    </row>
    <row r="56" ht="12.0" customHeight="1" outlineLevel="3">
      <c r="A56" s="36"/>
      <c r="B56" s="1324" t="str">
        <f>B47</f>
        <v>Other / [D&amp;A]</v>
      </c>
      <c r="C56" s="36"/>
      <c r="D56" s="1323"/>
      <c r="E56" s="1323"/>
      <c r="F56" s="1325">
        <f t="shared" ref="F56:L56" si="34">F47/F$24</f>
        <v>0.04480535501</v>
      </c>
      <c r="G56" s="1325">
        <f t="shared" si="34"/>
        <v>0.03887534672</v>
      </c>
      <c r="H56" s="1325">
        <f t="shared" si="34"/>
        <v>0.03672196162</v>
      </c>
      <c r="I56" s="1325">
        <f t="shared" si="34"/>
        <v>0.04287614772</v>
      </c>
      <c r="J56" s="1325">
        <f t="shared" si="34"/>
        <v>0.05229753749</v>
      </c>
      <c r="K56" s="1325">
        <f t="shared" si="34"/>
        <v>0.03378921586</v>
      </c>
      <c r="L56" s="1325">
        <f t="shared" si="34"/>
        <v>0.0281930964</v>
      </c>
      <c r="M56" s="1326"/>
      <c r="N56" s="1327"/>
      <c r="O56" s="1253"/>
      <c r="P56" s="1253"/>
      <c r="Q56" s="1253"/>
      <c r="R56" s="1253"/>
      <c r="S56" s="1253"/>
      <c r="T56" s="1253"/>
      <c r="U56" s="1253"/>
      <c r="V56" s="1254"/>
      <c r="W56" s="1254"/>
      <c r="X56" s="1254"/>
      <c r="Y56" s="1254"/>
      <c r="Z56" s="1254"/>
      <c r="AA56" s="1254"/>
      <c r="AB56" s="1254"/>
      <c r="AC56" s="1254"/>
      <c r="AD56" s="1254"/>
      <c r="AE56" s="1254"/>
      <c r="AF56" s="1254"/>
    </row>
    <row r="57" ht="12.0" customHeight="1" outlineLevel="3">
      <c r="A57" s="36"/>
      <c r="B57" s="1328" t="s">
        <v>1560</v>
      </c>
      <c r="C57" s="1329"/>
      <c r="D57" s="1330"/>
      <c r="E57" s="1330"/>
      <c r="F57" s="1331">
        <f t="shared" ref="F57:L57" si="35">SUM(F52:F56)</f>
        <v>0.3960334446</v>
      </c>
      <c r="G57" s="1331">
        <f t="shared" si="35"/>
        <v>0.3965789437</v>
      </c>
      <c r="H57" s="1331">
        <f t="shared" si="35"/>
        <v>0.3845584516</v>
      </c>
      <c r="I57" s="1331">
        <f t="shared" si="35"/>
        <v>0.4070028949</v>
      </c>
      <c r="J57" s="1331">
        <f t="shared" si="35"/>
        <v>0.4279669787</v>
      </c>
      <c r="K57" s="1331">
        <f t="shared" si="35"/>
        <v>0.3617603317</v>
      </c>
      <c r="L57" s="1331">
        <f t="shared" si="35"/>
        <v>0.3269810631</v>
      </c>
      <c r="M57" s="1321"/>
      <c r="N57" s="1322"/>
      <c r="O57" s="1253"/>
      <c r="P57" s="1253"/>
      <c r="Q57" s="1253"/>
      <c r="R57" s="1253"/>
      <c r="S57" s="1253"/>
      <c r="T57" s="1253"/>
      <c r="U57" s="1253"/>
      <c r="V57" s="1254"/>
      <c r="W57" s="1254"/>
      <c r="X57" s="1254"/>
      <c r="Y57" s="1254"/>
      <c r="Z57" s="1254"/>
      <c r="AA57" s="1254"/>
      <c r="AB57" s="1254"/>
      <c r="AC57" s="1254"/>
      <c r="AD57" s="1254"/>
      <c r="AE57" s="1254"/>
      <c r="AF57" s="1254"/>
    </row>
    <row r="58" ht="12.0" customHeight="1" outlineLevel="3">
      <c r="A58" s="45"/>
      <c r="B58" s="129"/>
      <c r="C58" s="153"/>
      <c r="D58" s="176"/>
      <c r="E58" s="176"/>
      <c r="F58" s="123"/>
      <c r="G58" s="123"/>
      <c r="H58" s="123"/>
      <c r="I58" s="123"/>
      <c r="J58" s="123"/>
      <c r="K58" s="123"/>
      <c r="L58" s="123"/>
      <c r="M58" s="1244"/>
      <c r="N58" s="1313"/>
      <c r="O58" s="80"/>
      <c r="P58" s="80"/>
      <c r="Q58" s="80"/>
      <c r="R58" s="80"/>
      <c r="S58" s="80"/>
      <c r="T58" s="80"/>
      <c r="U58" s="80"/>
      <c r="V58" s="1236"/>
      <c r="W58" s="1236"/>
      <c r="X58" s="1236"/>
      <c r="Y58" s="1236"/>
      <c r="Z58" s="1236"/>
      <c r="AA58" s="1236"/>
      <c r="AB58" s="1236"/>
      <c r="AC58" s="1236"/>
      <c r="AD58" s="1236"/>
      <c r="AE58" s="1236"/>
      <c r="AF58" s="1236"/>
    </row>
    <row r="59" ht="12.0" customHeight="1" outlineLevel="1">
      <c r="A59" s="1332"/>
      <c r="B59" s="159" t="s">
        <v>11</v>
      </c>
      <c r="C59" s="49"/>
      <c r="D59" s="160"/>
      <c r="E59" s="160"/>
      <c r="F59" s="115">
        <f t="shared" ref="F59:L59" si="36">F24-F48</f>
        <v>6.946386395</v>
      </c>
      <c r="G59" s="279">
        <f t="shared" si="36"/>
        <v>8.93475843</v>
      </c>
      <c r="H59" s="279">
        <f t="shared" si="36"/>
        <v>12.02431788</v>
      </c>
      <c r="I59" s="279">
        <f t="shared" si="36"/>
        <v>13.75905091</v>
      </c>
      <c r="J59" s="279">
        <f t="shared" si="36"/>
        <v>14.62616973</v>
      </c>
      <c r="K59" s="279">
        <f t="shared" si="36"/>
        <v>20.45552719</v>
      </c>
      <c r="L59" s="279">
        <f t="shared" si="36"/>
        <v>29.4118599</v>
      </c>
      <c r="M59" s="1299"/>
      <c r="N59" s="1299" t="s">
        <v>1561</v>
      </c>
      <c r="O59" s="1256"/>
      <c r="P59" s="1256"/>
      <c r="Q59" s="1256"/>
      <c r="R59" s="1256"/>
      <c r="S59" s="1256"/>
      <c r="T59" s="1256"/>
      <c r="U59" s="1256"/>
      <c r="V59" s="1257"/>
      <c r="W59" s="1257"/>
      <c r="X59" s="1257"/>
      <c r="Y59" s="1257"/>
      <c r="Z59" s="1257"/>
      <c r="AA59" s="1257"/>
      <c r="AB59" s="1257"/>
      <c r="AC59" s="1257"/>
      <c r="AD59" s="1257"/>
      <c r="AE59" s="1257"/>
      <c r="AF59" s="1257"/>
    </row>
    <row r="60" ht="12.0" customHeight="1" outlineLevel="1">
      <c r="A60" s="1332"/>
      <c r="B60" s="129" t="s">
        <v>12</v>
      </c>
      <c r="C60" s="49"/>
      <c r="D60" s="160"/>
      <c r="E60" s="160"/>
      <c r="F60" s="123">
        <f t="shared" ref="F60:L60" si="37">F59/F24</f>
        <v>0.6039665554</v>
      </c>
      <c r="G60" s="1333">
        <f t="shared" si="37"/>
        <v>0.6034210563</v>
      </c>
      <c r="H60" s="1333">
        <f t="shared" si="37"/>
        <v>0.6154415484</v>
      </c>
      <c r="I60" s="1333">
        <f t="shared" si="37"/>
        <v>0.5929971051</v>
      </c>
      <c r="J60" s="1333">
        <f t="shared" si="37"/>
        <v>0.5720330213</v>
      </c>
      <c r="K60" s="1333">
        <f t="shared" si="37"/>
        <v>0.6382396683</v>
      </c>
      <c r="L60" s="1333">
        <f t="shared" si="37"/>
        <v>0.6730189369</v>
      </c>
      <c r="M60" s="1278"/>
      <c r="N60" s="1313"/>
      <c r="O60" s="1256"/>
      <c r="P60" s="1256"/>
      <c r="Q60" s="1256"/>
      <c r="R60" s="1256"/>
      <c r="S60" s="1256"/>
      <c r="T60" s="1256"/>
      <c r="U60" s="1256"/>
      <c r="V60" s="1257"/>
      <c r="W60" s="1257"/>
      <c r="X60" s="1257"/>
      <c r="Y60" s="1257"/>
      <c r="Z60" s="1257"/>
      <c r="AA60" s="1257"/>
      <c r="AB60" s="1257"/>
      <c r="AC60" s="1257"/>
      <c r="AD60" s="1257"/>
      <c r="AE60" s="1257"/>
      <c r="AF60" s="1257"/>
    </row>
    <row r="61" ht="12.0" customHeight="1" outlineLevel="1">
      <c r="A61" s="45"/>
      <c r="B61" s="164"/>
      <c r="C61" s="49"/>
      <c r="D61" s="155"/>
      <c r="E61" s="155"/>
      <c r="F61" s="146"/>
      <c r="G61" s="1244"/>
      <c r="H61" s="1244"/>
      <c r="I61" s="1244"/>
      <c r="J61" s="1244"/>
      <c r="K61" s="1244"/>
      <c r="L61" s="1244"/>
      <c r="M61" s="1244"/>
      <c r="N61" s="1313"/>
      <c r="O61" s="80"/>
      <c r="P61" s="80"/>
      <c r="Q61" s="80"/>
      <c r="R61" s="80"/>
      <c r="S61" s="80"/>
      <c r="T61" s="80"/>
      <c r="U61" s="80"/>
      <c r="V61" s="1236"/>
      <c r="W61" s="1236"/>
      <c r="X61" s="1236"/>
      <c r="Y61" s="1236"/>
      <c r="Z61" s="1236"/>
      <c r="AA61" s="1236"/>
      <c r="AB61" s="1236"/>
      <c r="AC61" s="1236"/>
      <c r="AD61" s="1236"/>
      <c r="AE61" s="1236"/>
      <c r="AF61" s="1236"/>
    </row>
    <row r="62" ht="12.0" customHeight="1" outlineLevel="2">
      <c r="A62" s="45"/>
      <c r="B62" s="165" t="s">
        <v>1562</v>
      </c>
      <c r="C62" s="49"/>
      <c r="D62" s="155"/>
      <c r="E62" s="155"/>
      <c r="F62" s="146"/>
      <c r="G62" s="1244"/>
      <c r="H62" s="1244"/>
      <c r="I62" s="1244"/>
      <c r="J62" s="1244"/>
      <c r="K62" s="1244"/>
      <c r="L62" s="1244"/>
      <c r="M62" s="1244"/>
      <c r="N62" s="1313"/>
      <c r="O62" s="80"/>
      <c r="P62" s="80"/>
      <c r="Q62" s="80"/>
      <c r="R62" s="80"/>
      <c r="S62" s="80"/>
      <c r="T62" s="80"/>
      <c r="U62" s="80"/>
      <c r="V62" s="1236"/>
      <c r="W62" s="1236"/>
      <c r="X62" s="1236"/>
      <c r="Y62" s="1236"/>
      <c r="Z62" s="1236"/>
      <c r="AA62" s="1236"/>
      <c r="AB62" s="1236"/>
      <c r="AC62" s="1236"/>
      <c r="AD62" s="1236"/>
      <c r="AE62" s="1236"/>
      <c r="AF62" s="1236"/>
    </row>
    <row r="63" ht="12.0" customHeight="1" outlineLevel="2">
      <c r="A63" s="45"/>
      <c r="B63" s="201" t="s">
        <v>1563</v>
      </c>
      <c r="C63" s="49"/>
      <c r="D63" s="168"/>
      <c r="E63" s="168"/>
      <c r="F63" s="1306">
        <v>2.35554581</v>
      </c>
      <c r="G63" s="1334">
        <v>2.508656</v>
      </c>
      <c r="H63" s="1334">
        <v>2.576064</v>
      </c>
      <c r="I63" s="1334">
        <v>2.00144</v>
      </c>
      <c r="J63" s="1334">
        <v>1.609944</v>
      </c>
      <c r="K63" s="1334">
        <v>1.967131</v>
      </c>
      <c r="L63" s="1334">
        <v>1.99140827</v>
      </c>
      <c r="M63" s="1307"/>
      <c r="N63" s="1308"/>
      <c r="O63" s="80"/>
      <c r="P63" s="80"/>
      <c r="Q63" s="80"/>
      <c r="R63" s="80"/>
      <c r="S63" s="80"/>
      <c r="T63" s="80"/>
      <c r="U63" s="80"/>
      <c r="V63" s="1236"/>
      <c r="W63" s="1236"/>
      <c r="X63" s="1236"/>
      <c r="Y63" s="1236"/>
      <c r="Z63" s="1236"/>
      <c r="AA63" s="1236"/>
      <c r="AB63" s="1236"/>
      <c r="AC63" s="1236"/>
      <c r="AD63" s="1236"/>
      <c r="AE63" s="1236"/>
      <c r="AF63" s="1236"/>
    </row>
    <row r="64" ht="12.0" customHeight="1" outlineLevel="2">
      <c r="A64" s="45"/>
      <c r="B64" s="201" t="s">
        <v>1564</v>
      </c>
      <c r="C64" s="49"/>
      <c r="D64" s="168"/>
      <c r="E64" s="168"/>
      <c r="F64" s="1306">
        <v>1.1584247100000002</v>
      </c>
      <c r="G64" s="1334">
        <v>0.220594</v>
      </c>
      <c r="H64" s="1334">
        <v>0.186285</v>
      </c>
      <c r="I64" s="1334">
        <v>0.542593</v>
      </c>
      <c r="J64" s="1334">
        <v>0.199131</v>
      </c>
      <c r="K64" s="1334">
        <v>0.624882</v>
      </c>
      <c r="L64" s="1334">
        <v>0.91988196</v>
      </c>
      <c r="M64" s="1307"/>
      <c r="N64" s="1308"/>
      <c r="O64" s="80"/>
      <c r="P64" s="80"/>
      <c r="Q64" s="80"/>
      <c r="R64" s="80"/>
      <c r="S64" s="80"/>
      <c r="T64" s="80"/>
      <c r="U64" s="80"/>
      <c r="V64" s="1236"/>
      <c r="W64" s="1236"/>
      <c r="X64" s="1236"/>
      <c r="Y64" s="1236"/>
      <c r="Z64" s="1236"/>
      <c r="AA64" s="1236"/>
      <c r="AB64" s="1236"/>
      <c r="AC64" s="1236"/>
      <c r="AD64" s="1236"/>
      <c r="AE64" s="1236"/>
      <c r="AF64" s="1236"/>
    </row>
    <row r="65" ht="12.0" customHeight="1" outlineLevel="2">
      <c r="A65" s="45"/>
      <c r="B65" s="201" t="s">
        <v>1565</v>
      </c>
      <c r="C65" s="49"/>
      <c r="D65" s="168"/>
      <c r="E65" s="168"/>
      <c r="F65" s="1306">
        <v>5.47555078</v>
      </c>
      <c r="G65" s="1334">
        <v>5.14996</v>
      </c>
      <c r="H65" s="1334">
        <v>6.420424</v>
      </c>
      <c r="I65" s="1334">
        <v>7.184414</v>
      </c>
      <c r="J65" s="1334">
        <v>7.415497</v>
      </c>
      <c r="K65" s="1334">
        <v>9.978556</v>
      </c>
      <c r="L65" s="1334">
        <v>13.78701991</v>
      </c>
      <c r="M65" s="1307"/>
      <c r="N65" s="1308" t="s">
        <v>1566</v>
      </c>
      <c r="O65" s="80"/>
      <c r="P65" s="80"/>
      <c r="Q65" s="80"/>
      <c r="R65" s="80"/>
      <c r="S65" s="80"/>
      <c r="T65" s="80"/>
      <c r="U65" s="80"/>
      <c r="V65" s="1236"/>
      <c r="W65" s="1236"/>
      <c r="X65" s="1236"/>
      <c r="Y65" s="1236"/>
      <c r="Z65" s="1236"/>
      <c r="AA65" s="1236"/>
      <c r="AB65" s="1236"/>
      <c r="AC65" s="1236"/>
      <c r="AD65" s="1236"/>
      <c r="AE65" s="1236"/>
      <c r="AF65" s="1236"/>
    </row>
    <row r="66" ht="12.0" customHeight="1" outlineLevel="2">
      <c r="A66" s="45"/>
      <c r="B66" s="201" t="s">
        <v>1567</v>
      </c>
      <c r="C66" s="49"/>
      <c r="D66" s="168"/>
      <c r="E66" s="168"/>
      <c r="F66" s="1306">
        <v>2.87822218</v>
      </c>
      <c r="G66" s="1334">
        <v>3.072229</v>
      </c>
      <c r="H66" s="1334">
        <v>3.506659</v>
      </c>
      <c r="I66" s="1334">
        <v>3.811556</v>
      </c>
      <c r="J66" s="1334">
        <v>4.147574</v>
      </c>
      <c r="K66" s="1334">
        <v>4.676525</v>
      </c>
      <c r="L66" s="1334">
        <v>4.97181773</v>
      </c>
      <c r="M66" s="1307"/>
      <c r="N66" s="1308"/>
      <c r="O66" s="80"/>
      <c r="P66" s="80"/>
      <c r="Q66" s="80"/>
      <c r="R66" s="80"/>
      <c r="S66" s="80"/>
      <c r="T66" s="80"/>
      <c r="U66" s="80"/>
      <c r="V66" s="1236"/>
      <c r="W66" s="1236"/>
      <c r="X66" s="1236"/>
      <c r="Y66" s="1236"/>
      <c r="Z66" s="1236"/>
      <c r="AA66" s="1236"/>
      <c r="AB66" s="1236"/>
      <c r="AC66" s="1236"/>
      <c r="AD66" s="1236"/>
      <c r="AE66" s="1236"/>
      <c r="AF66" s="1236"/>
    </row>
    <row r="67" ht="12.0" customHeight="1" outlineLevel="2">
      <c r="A67" s="45"/>
      <c r="B67" s="201" t="s">
        <v>1568</v>
      </c>
      <c r="C67" s="1335"/>
      <c r="D67" s="1335"/>
      <c r="E67" s="1335"/>
      <c r="F67" s="1306">
        <v>0.87758396</v>
      </c>
      <c r="G67" s="1334">
        <v>0.897535</v>
      </c>
      <c r="H67" s="1334">
        <v>0.938565</v>
      </c>
      <c r="I67" s="1334">
        <v>1.027749</v>
      </c>
      <c r="J67" s="1334">
        <v>1.017103</v>
      </c>
      <c r="K67" s="1334">
        <v>1.293061</v>
      </c>
      <c r="L67" s="1334">
        <v>1.48550541</v>
      </c>
      <c r="M67" s="1307"/>
      <c r="N67" s="1308"/>
      <c r="O67" s="80"/>
      <c r="P67" s="80"/>
      <c r="Q67" s="80"/>
      <c r="R67" s="80"/>
      <c r="S67" s="80"/>
      <c r="T67" s="80"/>
      <c r="U67" s="80"/>
      <c r="V67" s="1236"/>
      <c r="W67" s="1236"/>
      <c r="X67" s="1236"/>
      <c r="Y67" s="1236"/>
      <c r="Z67" s="1236"/>
      <c r="AA67" s="1236"/>
      <c r="AB67" s="1236"/>
      <c r="AC67" s="1236"/>
      <c r="AD67" s="1236"/>
      <c r="AE67" s="1236"/>
      <c r="AF67" s="1236"/>
    </row>
    <row r="68" ht="12.0" customHeight="1" outlineLevel="2">
      <c r="A68" s="49"/>
      <c r="B68" s="273" t="s">
        <v>16</v>
      </c>
      <c r="C68" s="49"/>
      <c r="D68" s="1270"/>
      <c r="E68" s="1270"/>
      <c r="F68" s="1306">
        <v>0.02554365</v>
      </c>
      <c r="G68" s="1334">
        <v>0.028254</v>
      </c>
      <c r="H68" s="1334">
        <v>0.074046</v>
      </c>
      <c r="I68" s="1334">
        <v>0.11225</v>
      </c>
      <c r="J68" s="1334">
        <v>0.018178</v>
      </c>
      <c r="K68" s="1334">
        <v>0.239529</v>
      </c>
      <c r="L68" s="1334">
        <v>0.25</v>
      </c>
      <c r="M68" s="1307"/>
      <c r="N68" s="1308"/>
      <c r="O68" s="1256"/>
      <c r="P68" s="1256"/>
      <c r="Q68" s="1256"/>
      <c r="R68" s="1256"/>
      <c r="S68" s="1256"/>
      <c r="T68" s="1256"/>
      <c r="U68" s="1256"/>
      <c r="V68" s="1257"/>
      <c r="W68" s="1257"/>
      <c r="X68" s="1257"/>
      <c r="Y68" s="1257"/>
      <c r="Z68" s="1257"/>
      <c r="AA68" s="1257"/>
      <c r="AB68" s="1257"/>
      <c r="AC68" s="1257"/>
      <c r="AD68" s="1257"/>
      <c r="AE68" s="1257"/>
      <c r="AF68" s="1257"/>
    </row>
    <row r="69" ht="12.0" customHeight="1" outlineLevel="2">
      <c r="A69" s="45"/>
      <c r="B69" s="528" t="s">
        <v>1569</v>
      </c>
      <c r="C69" s="49"/>
      <c r="D69" s="168"/>
      <c r="E69" s="168"/>
      <c r="F69" s="1336">
        <v>0.33256283999999997</v>
      </c>
      <c r="G69" s="1310">
        <v>0.431192</v>
      </c>
      <c r="H69" s="1310">
        <v>0.671676</v>
      </c>
      <c r="I69" s="1310">
        <v>0.467809</v>
      </c>
      <c r="J69" s="1310">
        <v>0.21782</v>
      </c>
      <c r="K69" s="1310">
        <v>0.266716</v>
      </c>
      <c r="L69" s="1310">
        <v>0.31898044</v>
      </c>
      <c r="M69" s="1311"/>
      <c r="N69" s="1312"/>
      <c r="O69" s="80"/>
      <c r="P69" s="80"/>
      <c r="Q69" s="80"/>
      <c r="R69" s="80"/>
      <c r="S69" s="80"/>
      <c r="T69" s="80"/>
      <c r="U69" s="80"/>
      <c r="V69" s="1236"/>
      <c r="W69" s="1236"/>
      <c r="X69" s="1236"/>
      <c r="Y69" s="1236"/>
      <c r="Z69" s="1236"/>
      <c r="AA69" s="1236"/>
      <c r="AB69" s="1236"/>
      <c r="AC69" s="1236"/>
      <c r="AD69" s="1236"/>
      <c r="AE69" s="1236"/>
      <c r="AF69" s="1236"/>
    </row>
    <row r="70" ht="12.0" customHeight="1" outlineLevel="1">
      <c r="A70" s="61"/>
      <c r="B70" s="175" t="s">
        <v>18</v>
      </c>
      <c r="C70" s="153"/>
      <c r="D70" s="176"/>
      <c r="E70" s="176"/>
      <c r="F70" s="115">
        <f t="shared" ref="F70:L70" si="38">SUM(F63:F69)</f>
        <v>13.10343393</v>
      </c>
      <c r="G70" s="279">
        <f t="shared" si="38"/>
        <v>12.30842</v>
      </c>
      <c r="H70" s="279">
        <f t="shared" si="38"/>
        <v>14.373719</v>
      </c>
      <c r="I70" s="279">
        <f t="shared" si="38"/>
        <v>15.147811</v>
      </c>
      <c r="J70" s="279">
        <f t="shared" si="38"/>
        <v>14.625247</v>
      </c>
      <c r="K70" s="279">
        <f t="shared" si="38"/>
        <v>19.0464</v>
      </c>
      <c r="L70" s="279">
        <f t="shared" si="38"/>
        <v>23.72461372</v>
      </c>
      <c r="M70" s="1337"/>
      <c r="N70" s="1337" t="s">
        <v>1570</v>
      </c>
      <c r="O70" s="1154"/>
      <c r="P70" s="1154"/>
      <c r="Q70" s="1154"/>
      <c r="R70" s="1154"/>
      <c r="S70" s="1154"/>
      <c r="T70" s="1154"/>
      <c r="U70" s="1154"/>
      <c r="V70" s="1230"/>
      <c r="W70" s="1230"/>
      <c r="X70" s="1230"/>
      <c r="Y70" s="1230"/>
      <c r="Z70" s="1230"/>
      <c r="AA70" s="1230"/>
      <c r="AB70" s="1230"/>
      <c r="AC70" s="1230"/>
      <c r="AD70" s="1230"/>
      <c r="AE70" s="1230"/>
      <c r="AF70" s="1230"/>
    </row>
    <row r="71" ht="12.0" customHeight="1" outlineLevel="1">
      <c r="A71" s="61"/>
      <c r="B71" s="178" t="s">
        <v>19</v>
      </c>
      <c r="C71" s="153"/>
      <c r="D71" s="176"/>
      <c r="E71" s="176"/>
      <c r="F71" s="123">
        <f t="shared" ref="F71:L71" si="39">F70/F24</f>
        <v>1.139302567</v>
      </c>
      <c r="G71" s="1333">
        <f t="shared" si="39"/>
        <v>0.8312658765</v>
      </c>
      <c r="H71" s="1333">
        <f t="shared" si="39"/>
        <v>0.7356911192</v>
      </c>
      <c r="I71" s="1333">
        <f t="shared" si="39"/>
        <v>0.6528508492</v>
      </c>
      <c r="J71" s="1333">
        <f t="shared" si="39"/>
        <v>0.571996933</v>
      </c>
      <c r="K71" s="1333">
        <f t="shared" si="39"/>
        <v>0.5942730249</v>
      </c>
      <c r="L71" s="1333">
        <f t="shared" si="39"/>
        <v>0.5428801292</v>
      </c>
      <c r="M71" s="1278"/>
      <c r="N71" s="1278"/>
      <c r="O71" s="1154"/>
      <c r="P71" s="1154"/>
      <c r="Q71" s="1154"/>
      <c r="R71" s="1154"/>
      <c r="S71" s="1154"/>
      <c r="T71" s="1154"/>
      <c r="U71" s="1154"/>
      <c r="V71" s="1230"/>
      <c r="W71" s="1230"/>
      <c r="X71" s="1230"/>
      <c r="Y71" s="1230"/>
      <c r="Z71" s="1230"/>
      <c r="AA71" s="1230"/>
      <c r="AB71" s="1230"/>
      <c r="AC71" s="1230"/>
      <c r="AD71" s="1230"/>
      <c r="AE71" s="1230"/>
      <c r="AF71" s="1230"/>
    </row>
    <row r="72" ht="12.0" customHeight="1" outlineLevel="2">
      <c r="A72" s="45"/>
      <c r="B72" s="178"/>
      <c r="C72" s="49"/>
      <c r="D72" s="179"/>
      <c r="E72" s="179"/>
      <c r="F72" s="123"/>
      <c r="G72" s="1333"/>
      <c r="H72" s="1333"/>
      <c r="I72" s="1333"/>
      <c r="J72" s="1333"/>
      <c r="K72" s="1333"/>
      <c r="L72" s="1333"/>
      <c r="M72" s="1278"/>
      <c r="N72" s="1278"/>
      <c r="O72" s="80"/>
      <c r="P72" s="80"/>
      <c r="Q72" s="80"/>
      <c r="R72" s="80"/>
      <c r="S72" s="80"/>
      <c r="T72" s="80"/>
      <c r="U72" s="80"/>
      <c r="V72" s="1236"/>
      <c r="W72" s="1236"/>
      <c r="X72" s="1236"/>
      <c r="Y72" s="1236"/>
      <c r="Z72" s="1236"/>
      <c r="AA72" s="1236"/>
      <c r="AB72" s="1236"/>
      <c r="AC72" s="1236"/>
      <c r="AD72" s="1236"/>
      <c r="AE72" s="1236"/>
      <c r="AF72" s="1236"/>
    </row>
    <row r="73" ht="12.0" customHeight="1" outlineLevel="2">
      <c r="A73" s="45"/>
      <c r="B73" s="165" t="s">
        <v>20</v>
      </c>
      <c r="C73" s="49"/>
      <c r="D73" s="179"/>
      <c r="E73" s="179"/>
      <c r="F73" s="148"/>
      <c r="G73" s="157"/>
      <c r="H73" s="157"/>
      <c r="I73" s="157"/>
      <c r="J73" s="148"/>
      <c r="K73" s="148"/>
      <c r="L73" s="148"/>
      <c r="M73" s="1244"/>
      <c r="N73" s="1278"/>
      <c r="O73" s="80"/>
      <c r="P73" s="80"/>
      <c r="Q73" s="80"/>
      <c r="R73" s="80"/>
      <c r="S73" s="80"/>
      <c r="T73" s="80"/>
      <c r="U73" s="80"/>
      <c r="V73" s="1236"/>
      <c r="W73" s="1236"/>
      <c r="X73" s="1236"/>
      <c r="Y73" s="1236"/>
      <c r="Z73" s="1236"/>
      <c r="AA73" s="1236"/>
      <c r="AB73" s="1236"/>
      <c r="AC73" s="1236"/>
      <c r="AD73" s="1236"/>
      <c r="AE73" s="1236"/>
      <c r="AF73" s="1236"/>
    </row>
    <row r="74" ht="12.0" customHeight="1" outlineLevel="2">
      <c r="A74" s="180"/>
      <c r="B74" s="167" t="s">
        <v>1563</v>
      </c>
      <c r="C74" s="168"/>
      <c r="D74" s="1270"/>
      <c r="E74" s="180"/>
      <c r="F74" s="148">
        <f t="shared" ref="F74:L74" si="40">F63/F$24</f>
        <v>0.2048073355</v>
      </c>
      <c r="G74" s="157">
        <f t="shared" si="40"/>
        <v>0.1694254932</v>
      </c>
      <c r="H74" s="157">
        <f t="shared" si="40"/>
        <v>0.1318508736</v>
      </c>
      <c r="I74" s="157">
        <f t="shared" si="40"/>
        <v>0.08625944723</v>
      </c>
      <c r="J74" s="148">
        <f t="shared" si="40"/>
        <v>0.06296529763</v>
      </c>
      <c r="K74" s="148">
        <f t="shared" si="40"/>
        <v>0.06137710485</v>
      </c>
      <c r="L74" s="148">
        <f t="shared" si="40"/>
        <v>0.04556853872</v>
      </c>
      <c r="M74" s="1338"/>
      <c r="N74" s="1278"/>
      <c r="O74" s="1339"/>
      <c r="P74" s="1339"/>
      <c r="Q74" s="1339"/>
      <c r="R74" s="1339"/>
      <c r="S74" s="1339"/>
      <c r="T74" s="1339"/>
      <c r="U74" s="1339"/>
      <c r="V74" s="1340"/>
      <c r="W74" s="1340"/>
      <c r="X74" s="1340"/>
      <c r="Y74" s="1340"/>
      <c r="Z74" s="1340"/>
      <c r="AA74" s="1340"/>
      <c r="AB74" s="1340"/>
      <c r="AC74" s="1340"/>
      <c r="AD74" s="1340"/>
      <c r="AE74" s="1340"/>
      <c r="AF74" s="1340"/>
    </row>
    <row r="75" ht="12.0" customHeight="1" outlineLevel="2">
      <c r="A75" s="180"/>
      <c r="B75" s="167" t="s">
        <v>1564</v>
      </c>
      <c r="C75" s="168"/>
      <c r="D75" s="1270"/>
      <c r="E75" s="180"/>
      <c r="F75" s="148">
        <f t="shared" ref="F75:L75" si="41">F64/F$24</f>
        <v>0.1007214027</v>
      </c>
      <c r="G75" s="157">
        <f t="shared" si="41"/>
        <v>0.01489811566</v>
      </c>
      <c r="H75" s="157">
        <f t="shared" si="41"/>
        <v>0.009534638887</v>
      </c>
      <c r="I75" s="157">
        <f t="shared" si="41"/>
        <v>0.02338504889</v>
      </c>
      <c r="J75" s="148">
        <f t="shared" si="41"/>
        <v>0.007788061376</v>
      </c>
      <c r="K75" s="148">
        <f t="shared" si="41"/>
        <v>0.01949714993</v>
      </c>
      <c r="L75" s="148">
        <f t="shared" si="41"/>
        <v>0.02104926315</v>
      </c>
      <c r="M75" s="1338"/>
      <c r="N75" s="1278"/>
      <c r="O75" s="1339"/>
      <c r="P75" s="1339"/>
      <c r="Q75" s="1339"/>
      <c r="R75" s="1339"/>
      <c r="S75" s="1339"/>
      <c r="T75" s="1339"/>
      <c r="U75" s="1339"/>
      <c r="V75" s="1340"/>
      <c r="W75" s="1340"/>
      <c r="X75" s="1340"/>
      <c r="Y75" s="1340"/>
      <c r="Z75" s="1340"/>
      <c r="AA75" s="1340"/>
      <c r="AB75" s="1340"/>
      <c r="AC75" s="1340"/>
      <c r="AD75" s="1340"/>
      <c r="AE75" s="1340"/>
      <c r="AF75" s="1340"/>
    </row>
    <row r="76" ht="12.0" customHeight="1" outlineLevel="2">
      <c r="A76" s="180"/>
      <c r="B76" s="167" t="s">
        <v>1565</v>
      </c>
      <c r="C76" s="168"/>
      <c r="D76" s="168"/>
      <c r="E76" s="182"/>
      <c r="F76" s="148">
        <f t="shared" ref="F76:L76" si="42">F65/F$24</f>
        <v>0.4760820022</v>
      </c>
      <c r="G76" s="157">
        <f t="shared" si="42"/>
        <v>0.3478095494</v>
      </c>
      <c r="H76" s="157">
        <f t="shared" si="42"/>
        <v>0.3286170349</v>
      </c>
      <c r="I76" s="157">
        <f t="shared" si="42"/>
        <v>0.3096388502</v>
      </c>
      <c r="J76" s="148">
        <f t="shared" si="42"/>
        <v>0.2900218739</v>
      </c>
      <c r="K76" s="148">
        <f t="shared" si="42"/>
        <v>0.3113442256</v>
      </c>
      <c r="L76" s="148">
        <f t="shared" si="42"/>
        <v>0.3154824453</v>
      </c>
      <c r="M76" s="1338"/>
      <c r="N76" s="1278"/>
      <c r="O76" s="1339"/>
      <c r="P76" s="1339"/>
      <c r="Q76" s="1339"/>
      <c r="R76" s="1339"/>
      <c r="S76" s="1339"/>
      <c r="T76" s="1339"/>
      <c r="U76" s="1339"/>
      <c r="V76" s="1340"/>
      <c r="W76" s="1340"/>
      <c r="X76" s="1340"/>
      <c r="Y76" s="1340"/>
      <c r="Z76" s="1340"/>
      <c r="AA76" s="1340"/>
      <c r="AB76" s="1340"/>
      <c r="AC76" s="1340"/>
      <c r="AD76" s="1340"/>
      <c r="AE76" s="1340"/>
      <c r="AF76" s="1340"/>
    </row>
    <row r="77" ht="12.0" customHeight="1" outlineLevel="2">
      <c r="A77" s="180"/>
      <c r="B77" s="143" t="s">
        <v>17</v>
      </c>
      <c r="C77" s="168"/>
      <c r="D77" s="168"/>
      <c r="E77" s="182"/>
      <c r="F77" s="148">
        <f t="shared" ref="F77:L77" si="43">F66/F$24</f>
        <v>0.2502524099</v>
      </c>
      <c r="G77" s="157">
        <f t="shared" si="43"/>
        <v>0.2074871618</v>
      </c>
      <c r="H77" s="157">
        <f t="shared" si="43"/>
        <v>0.1794815861</v>
      </c>
      <c r="I77" s="157">
        <f t="shared" si="43"/>
        <v>0.1642730802</v>
      </c>
      <c r="J77" s="148">
        <f t="shared" si="43"/>
        <v>0.1622126182</v>
      </c>
      <c r="K77" s="148">
        <f t="shared" si="43"/>
        <v>0.145913803</v>
      </c>
      <c r="L77" s="148">
        <f t="shared" si="43"/>
        <v>0.1137679662</v>
      </c>
      <c r="M77" s="1338"/>
      <c r="N77" s="1278"/>
      <c r="O77" s="1339"/>
      <c r="P77" s="1339"/>
      <c r="Q77" s="1339"/>
      <c r="R77" s="1339"/>
      <c r="S77" s="1339"/>
      <c r="T77" s="1339"/>
      <c r="U77" s="1339"/>
      <c r="V77" s="1340"/>
      <c r="W77" s="1340"/>
      <c r="X77" s="1340"/>
      <c r="Y77" s="1340"/>
      <c r="Z77" s="1340"/>
      <c r="AA77" s="1340"/>
      <c r="AB77" s="1340"/>
      <c r="AC77" s="1340"/>
      <c r="AD77" s="1340"/>
      <c r="AE77" s="1340"/>
      <c r="AF77" s="1340"/>
    </row>
    <row r="78" ht="12.0" customHeight="1" outlineLevel="2">
      <c r="A78" s="180"/>
      <c r="B78" s="143" t="s">
        <v>1568</v>
      </c>
      <c r="C78" s="168"/>
      <c r="D78" s="1270"/>
      <c r="E78" s="182"/>
      <c r="F78" s="148">
        <f t="shared" ref="F78:L78" si="44">F67/F$24</f>
        <v>0.07630317854</v>
      </c>
      <c r="G78" s="157">
        <f t="shared" si="44"/>
        <v>0.06061624632</v>
      </c>
      <c r="H78" s="157">
        <f t="shared" si="44"/>
        <v>0.04803864158</v>
      </c>
      <c r="I78" s="157">
        <f t="shared" si="44"/>
        <v>0.04429463818</v>
      </c>
      <c r="J78" s="148">
        <f t="shared" si="44"/>
        <v>0.03977914332</v>
      </c>
      <c r="K78" s="148">
        <f t="shared" si="44"/>
        <v>0.04034522387</v>
      </c>
      <c r="L78" s="148">
        <f t="shared" si="44"/>
        <v>0.03399218122</v>
      </c>
      <c r="M78" s="1338"/>
      <c r="N78" s="1278"/>
      <c r="O78" s="1339"/>
      <c r="P78" s="1339"/>
      <c r="Q78" s="1339"/>
      <c r="R78" s="1339"/>
      <c r="S78" s="1339"/>
      <c r="T78" s="1339"/>
      <c r="U78" s="1339"/>
      <c r="V78" s="1340"/>
      <c r="W78" s="1340"/>
      <c r="X78" s="1340"/>
      <c r="Y78" s="1340"/>
      <c r="Z78" s="1340"/>
      <c r="AA78" s="1340"/>
      <c r="AB78" s="1340"/>
      <c r="AC78" s="1340"/>
      <c r="AD78" s="1340"/>
      <c r="AE78" s="1340"/>
      <c r="AF78" s="1340"/>
    </row>
    <row r="79" ht="12.0" customHeight="1" outlineLevel="2">
      <c r="A79" s="180"/>
      <c r="B79" s="143" t="s">
        <v>16</v>
      </c>
      <c r="C79" s="168"/>
      <c r="D79" s="168"/>
      <c r="E79" s="182"/>
      <c r="F79" s="148">
        <f t="shared" ref="F79:L79" si="45">F68/F$24</f>
        <v>0.002220940418</v>
      </c>
      <c r="G79" s="157">
        <f t="shared" si="45"/>
        <v>0.001908172298</v>
      </c>
      <c r="H79" s="157">
        <f t="shared" si="45"/>
        <v>0.003789901876</v>
      </c>
      <c r="I79" s="157">
        <f t="shared" si="45"/>
        <v>0.00483782824</v>
      </c>
      <c r="J79" s="148">
        <f t="shared" si="45"/>
        <v>0.0007109459586</v>
      </c>
      <c r="K79" s="148">
        <f t="shared" si="45"/>
        <v>0.00747362354</v>
      </c>
      <c r="L79" s="148">
        <f t="shared" si="45"/>
        <v>0.005720642447</v>
      </c>
      <c r="M79" s="1341"/>
      <c r="N79" s="1342"/>
      <c r="O79" s="1339"/>
      <c r="P79" s="1339"/>
      <c r="Q79" s="1339"/>
      <c r="R79" s="1339"/>
      <c r="S79" s="1339"/>
      <c r="T79" s="1339"/>
      <c r="U79" s="1339"/>
      <c r="V79" s="1340"/>
      <c r="W79" s="1340"/>
      <c r="X79" s="1340"/>
      <c r="Y79" s="1340"/>
      <c r="Z79" s="1340"/>
      <c r="AA79" s="1340"/>
      <c r="AB79" s="1340"/>
      <c r="AC79" s="1340"/>
      <c r="AD79" s="1340"/>
      <c r="AE79" s="1340"/>
      <c r="AF79" s="1340"/>
    </row>
    <row r="80" ht="12.0" customHeight="1" outlineLevel="2">
      <c r="A80" s="1343"/>
      <c r="B80" s="1344" t="s">
        <v>1571</v>
      </c>
      <c r="C80" s="168"/>
      <c r="D80" s="168"/>
      <c r="E80" s="1343"/>
      <c r="F80" s="185">
        <f t="shared" ref="F80:L80" si="46">F69/F$24</f>
        <v>0.02891529804</v>
      </c>
      <c r="G80" s="1345">
        <f t="shared" si="46"/>
        <v>0.02912113787</v>
      </c>
      <c r="H80" s="1345">
        <f t="shared" si="46"/>
        <v>0.03437844222</v>
      </c>
      <c r="I80" s="1345">
        <f t="shared" si="46"/>
        <v>0.02016195627</v>
      </c>
      <c r="J80" s="185">
        <f t="shared" si="46"/>
        <v>0.008518992667</v>
      </c>
      <c r="K80" s="185">
        <f t="shared" si="46"/>
        <v>0.008321894117</v>
      </c>
      <c r="L80" s="185">
        <f t="shared" si="46"/>
        <v>0.00729909218</v>
      </c>
      <c r="M80" s="1341"/>
      <c r="N80" s="1342"/>
      <c r="O80" s="1346"/>
      <c r="P80" s="1346"/>
      <c r="Q80" s="1346"/>
      <c r="R80" s="1346"/>
      <c r="S80" s="1346"/>
      <c r="T80" s="1346"/>
      <c r="U80" s="1346"/>
      <c r="V80" s="1347"/>
      <c r="W80" s="1347"/>
      <c r="X80" s="1347"/>
      <c r="Y80" s="1347"/>
      <c r="Z80" s="1347"/>
      <c r="AA80" s="1347"/>
      <c r="AB80" s="1347"/>
      <c r="AC80" s="1347"/>
      <c r="AD80" s="1347"/>
      <c r="AE80" s="1347"/>
      <c r="AF80" s="1347"/>
    </row>
    <row r="81" ht="12.0" customHeight="1" outlineLevel="2">
      <c r="A81" s="45"/>
      <c r="B81" s="187" t="s">
        <v>21</v>
      </c>
      <c r="C81" s="188"/>
      <c r="D81" s="17"/>
      <c r="E81" s="17"/>
      <c r="F81" s="123">
        <f t="shared" ref="F81:L81" si="47">SUM(F74:F80)</f>
        <v>1.139302567</v>
      </c>
      <c r="G81" s="123">
        <f t="shared" si="47"/>
        <v>0.8312658765</v>
      </c>
      <c r="H81" s="123">
        <f t="shared" si="47"/>
        <v>0.7356911192</v>
      </c>
      <c r="I81" s="123">
        <f t="shared" si="47"/>
        <v>0.6528508492</v>
      </c>
      <c r="J81" s="123">
        <f t="shared" si="47"/>
        <v>0.571996933</v>
      </c>
      <c r="K81" s="123">
        <f t="shared" si="47"/>
        <v>0.5942730249</v>
      </c>
      <c r="L81" s="123">
        <f t="shared" si="47"/>
        <v>0.5428801292</v>
      </c>
      <c r="M81" s="1299"/>
      <c r="N81" s="1299"/>
      <c r="O81" s="80"/>
      <c r="P81" s="80"/>
      <c r="Q81" s="80"/>
      <c r="R81" s="80"/>
      <c r="S81" s="80"/>
      <c r="T81" s="80"/>
      <c r="U81" s="80"/>
      <c r="V81" s="1236"/>
      <c r="W81" s="1236"/>
      <c r="X81" s="1236"/>
      <c r="Y81" s="1236"/>
      <c r="Z81" s="1236"/>
      <c r="AA81" s="1236"/>
      <c r="AB81" s="1236"/>
      <c r="AC81" s="1236"/>
      <c r="AD81" s="1236"/>
      <c r="AE81" s="1236"/>
      <c r="AF81" s="1236"/>
    </row>
    <row r="82" ht="12.0" customHeight="1" outlineLevel="2">
      <c r="A82" s="45"/>
      <c r="B82" s="189"/>
      <c r="C82" s="188"/>
      <c r="D82" s="17"/>
      <c r="E82" s="17"/>
      <c r="F82" s="192"/>
      <c r="G82" s="1348"/>
      <c r="H82" s="1348"/>
      <c r="I82" s="1348"/>
      <c r="J82" s="192"/>
      <c r="K82" s="192"/>
      <c r="L82" s="192"/>
      <c r="M82" s="1299"/>
      <c r="N82" s="1299"/>
      <c r="O82" s="80"/>
      <c r="P82" s="80"/>
      <c r="Q82" s="80"/>
      <c r="R82" s="80"/>
      <c r="S82" s="80"/>
      <c r="T82" s="80"/>
      <c r="U82" s="80"/>
      <c r="V82" s="1236"/>
      <c r="W82" s="1236"/>
      <c r="X82" s="1236"/>
      <c r="Y82" s="1236"/>
      <c r="Z82" s="1236"/>
      <c r="AA82" s="1236"/>
      <c r="AB82" s="1236"/>
      <c r="AC82" s="1236"/>
      <c r="AD82" s="1236"/>
      <c r="AE82" s="1236"/>
      <c r="AF82" s="1236"/>
    </row>
    <row r="83" ht="12.0" customHeight="1" outlineLevel="1">
      <c r="A83" s="45"/>
      <c r="B83" s="194" t="s">
        <v>22</v>
      </c>
      <c r="C83" s="195"/>
      <c r="D83" s="17"/>
      <c r="E83" s="17"/>
      <c r="F83" s="115">
        <f t="shared" ref="F83:L83" si="48">F59-F70</f>
        <v>-6.157047535</v>
      </c>
      <c r="G83" s="279">
        <f t="shared" si="48"/>
        <v>-3.37366157</v>
      </c>
      <c r="H83" s="279">
        <f t="shared" si="48"/>
        <v>-2.34940112</v>
      </c>
      <c r="I83" s="279">
        <f t="shared" si="48"/>
        <v>-1.38876009</v>
      </c>
      <c r="J83" s="115">
        <f t="shared" si="48"/>
        <v>0.0009227322023</v>
      </c>
      <c r="K83" s="115">
        <f t="shared" si="48"/>
        <v>1.409127188</v>
      </c>
      <c r="L83" s="115">
        <f t="shared" si="48"/>
        <v>5.687246183</v>
      </c>
      <c r="M83" s="1299"/>
      <c r="N83" s="1299"/>
      <c r="O83" s="80"/>
      <c r="P83" s="80"/>
      <c r="Q83" s="80"/>
      <c r="R83" s="80"/>
      <c r="S83" s="80"/>
      <c r="T83" s="80"/>
      <c r="U83" s="80"/>
      <c r="V83" s="1236"/>
      <c r="W83" s="1236"/>
      <c r="X83" s="1236"/>
      <c r="Y83" s="1236"/>
      <c r="Z83" s="1236"/>
      <c r="AA83" s="1236"/>
      <c r="AB83" s="1236"/>
      <c r="AC83" s="1236"/>
      <c r="AD83" s="1236"/>
      <c r="AE83" s="1236"/>
      <c r="AF83" s="1236"/>
    </row>
    <row r="84" ht="12.0" customHeight="1" outlineLevel="1">
      <c r="A84" s="45"/>
      <c r="B84" s="187" t="s">
        <v>12</v>
      </c>
      <c r="C84" s="49"/>
      <c r="D84" s="159"/>
      <c r="E84" s="159"/>
      <c r="F84" s="123">
        <f t="shared" ref="F84:L84" si="49">F83/F24</f>
        <v>-0.535336012</v>
      </c>
      <c r="G84" s="123">
        <f t="shared" si="49"/>
        <v>-0.2278448202</v>
      </c>
      <c r="H84" s="123">
        <f t="shared" si="49"/>
        <v>-0.1202495707</v>
      </c>
      <c r="I84" s="123">
        <f t="shared" si="49"/>
        <v>-0.05985374416</v>
      </c>
      <c r="J84" s="123">
        <f t="shared" si="49"/>
        <v>0.00003608827869</v>
      </c>
      <c r="K84" s="123">
        <f t="shared" si="49"/>
        <v>0.04396664339</v>
      </c>
      <c r="L84" s="123">
        <f t="shared" si="49"/>
        <v>0.1301388077</v>
      </c>
      <c r="M84" s="1278"/>
      <c r="N84" s="1278"/>
      <c r="O84" s="80"/>
      <c r="P84" s="80"/>
      <c r="Q84" s="80"/>
      <c r="R84" s="80"/>
      <c r="S84" s="80"/>
      <c r="T84" s="80"/>
      <c r="U84" s="80"/>
      <c r="V84" s="1236"/>
      <c r="W84" s="1236"/>
      <c r="X84" s="1236"/>
      <c r="Y84" s="1236"/>
      <c r="Z84" s="1236"/>
      <c r="AA84" s="1236"/>
      <c r="AB84" s="1236"/>
      <c r="AC84" s="1236"/>
      <c r="AD84" s="1236"/>
      <c r="AE84" s="1236"/>
      <c r="AF84" s="1236"/>
    </row>
    <row r="85" ht="12.0" customHeight="1" outlineLevel="2">
      <c r="A85" s="45"/>
      <c r="B85" s="194"/>
      <c r="C85" s="49"/>
      <c r="D85" s="129"/>
      <c r="E85" s="129"/>
      <c r="F85" s="198"/>
      <c r="G85" s="198"/>
      <c r="H85" s="198"/>
      <c r="I85" s="198"/>
      <c r="J85" s="198"/>
      <c r="K85" s="198"/>
      <c r="L85" s="198"/>
      <c r="M85" s="532"/>
      <c r="N85" s="532"/>
      <c r="O85" s="80"/>
      <c r="P85" s="80"/>
      <c r="Q85" s="80"/>
      <c r="R85" s="80"/>
      <c r="S85" s="80"/>
      <c r="T85" s="80"/>
      <c r="U85" s="80"/>
      <c r="V85" s="1236"/>
      <c r="W85" s="1236"/>
      <c r="X85" s="1236"/>
      <c r="Y85" s="1236"/>
      <c r="Z85" s="1236"/>
      <c r="AA85" s="1236"/>
      <c r="AB85" s="1236"/>
      <c r="AC85" s="1236"/>
      <c r="AD85" s="1236"/>
      <c r="AE85" s="1236"/>
      <c r="AF85" s="1236"/>
    </row>
    <row r="86" ht="12.0" customHeight="1" outlineLevel="6">
      <c r="A86" s="80"/>
      <c r="B86" s="201" t="s">
        <v>23</v>
      </c>
      <c r="C86" s="49"/>
      <c r="D86" s="136"/>
      <c r="E86" s="136"/>
      <c r="F86" s="204">
        <f t="shared" ref="F86:I86" si="50">F47</f>
        <v>0.51531878</v>
      </c>
      <c r="G86" s="204">
        <f t="shared" si="50"/>
        <v>0.575621</v>
      </c>
      <c r="H86" s="204">
        <f t="shared" si="50"/>
        <v>0.717463</v>
      </c>
      <c r="I86" s="204">
        <f t="shared" si="50"/>
        <v>0.99483639</v>
      </c>
      <c r="J86" s="1349">
        <v>0.001</v>
      </c>
      <c r="K86" s="1349">
        <v>0.0</v>
      </c>
      <c r="L86" s="1349">
        <v>0.0</v>
      </c>
      <c r="M86" s="1307"/>
      <c r="N86" s="1299"/>
      <c r="O86" s="80"/>
      <c r="P86" s="80"/>
      <c r="Q86" s="80"/>
      <c r="R86" s="80"/>
      <c r="S86" s="80"/>
      <c r="T86" s="80"/>
      <c r="U86" s="80"/>
      <c r="V86" s="80"/>
      <c r="W86" s="80"/>
      <c r="X86" s="80"/>
      <c r="Y86" s="80"/>
      <c r="Z86" s="80"/>
      <c r="AA86" s="80"/>
      <c r="AB86" s="80"/>
      <c r="AC86" s="80"/>
      <c r="AD86" s="80"/>
      <c r="AE86" s="80"/>
      <c r="AF86" s="80"/>
    </row>
    <row r="87" ht="12.0" customHeight="1" outlineLevel="6">
      <c r="A87" s="80"/>
      <c r="B87" s="167" t="s">
        <v>10</v>
      </c>
      <c r="C87" s="49"/>
      <c r="D87" s="211"/>
      <c r="E87" s="211"/>
      <c r="F87" s="157">
        <f t="shared" ref="F87:L87" si="51">F86/F24</f>
        <v>0.04480535501</v>
      </c>
      <c r="G87" s="157">
        <f t="shared" si="51"/>
        <v>0.03887534672</v>
      </c>
      <c r="H87" s="157">
        <f t="shared" si="51"/>
        <v>0.03672196162</v>
      </c>
      <c r="I87" s="157">
        <f t="shared" si="51"/>
        <v>0.04287614772</v>
      </c>
      <c r="J87" s="148">
        <f t="shared" si="51"/>
        <v>0.00003911024087</v>
      </c>
      <c r="K87" s="148">
        <f t="shared" si="51"/>
        <v>0</v>
      </c>
      <c r="L87" s="157">
        <f t="shared" si="51"/>
        <v>0</v>
      </c>
      <c r="M87" s="1244"/>
      <c r="N87" s="1278"/>
      <c r="O87" s="80"/>
      <c r="P87" s="80"/>
      <c r="Q87" s="80"/>
      <c r="R87" s="80"/>
      <c r="S87" s="80"/>
      <c r="T87" s="80"/>
      <c r="U87" s="80"/>
      <c r="V87" s="80"/>
      <c r="W87" s="80"/>
      <c r="X87" s="80"/>
      <c r="Y87" s="80"/>
      <c r="Z87" s="80"/>
      <c r="AA87" s="80"/>
      <c r="AB87" s="80"/>
      <c r="AC87" s="80"/>
      <c r="AD87" s="80"/>
      <c r="AE87" s="80"/>
      <c r="AF87" s="80"/>
    </row>
    <row r="88" ht="12.0" customHeight="1" outlineLevel="1">
      <c r="A88" s="80"/>
      <c r="B88" s="167"/>
      <c r="C88" s="49"/>
      <c r="D88" s="211"/>
      <c r="E88" s="211"/>
      <c r="F88" s="157"/>
      <c r="G88" s="157"/>
      <c r="H88" s="157"/>
      <c r="I88" s="157"/>
      <c r="J88" s="148"/>
      <c r="K88" s="148"/>
      <c r="L88" s="157"/>
      <c r="M88" s="1244"/>
      <c r="N88" s="1244"/>
      <c r="O88" s="80"/>
      <c r="P88" s="80"/>
      <c r="Q88" s="80"/>
      <c r="R88" s="80"/>
      <c r="S88" s="80"/>
      <c r="T88" s="80"/>
      <c r="U88" s="80"/>
      <c r="V88" s="80"/>
      <c r="W88" s="80"/>
      <c r="X88" s="80"/>
      <c r="Y88" s="80"/>
      <c r="Z88" s="80"/>
      <c r="AA88" s="80"/>
      <c r="AB88" s="80"/>
      <c r="AC88" s="80"/>
      <c r="AD88" s="80"/>
      <c r="AE88" s="80"/>
      <c r="AF88" s="80"/>
    </row>
    <row r="89" ht="12.0" customHeight="1" outlineLevel="1">
      <c r="A89" s="1350"/>
      <c r="B89" s="194" t="s">
        <v>24</v>
      </c>
      <c r="C89" s="195"/>
      <c r="D89" s="211"/>
      <c r="E89" s="211"/>
      <c r="F89" s="115">
        <f t="shared" ref="F89:L89" si="52">F83+F86</f>
        <v>-5.641728755</v>
      </c>
      <c r="G89" s="115">
        <f t="shared" si="52"/>
        <v>-2.79804057</v>
      </c>
      <c r="H89" s="115">
        <f t="shared" si="52"/>
        <v>-1.63193812</v>
      </c>
      <c r="I89" s="115">
        <f t="shared" si="52"/>
        <v>-0.3939237</v>
      </c>
      <c r="J89" s="115">
        <f t="shared" si="52"/>
        <v>0.001922732202</v>
      </c>
      <c r="K89" s="115">
        <f t="shared" si="52"/>
        <v>1.409127188</v>
      </c>
      <c r="L89" s="115">
        <f t="shared" si="52"/>
        <v>5.687246183</v>
      </c>
      <c r="M89" s="1299"/>
      <c r="N89" s="1299"/>
      <c r="O89" s="80"/>
      <c r="P89" s="80"/>
      <c r="Q89" s="80"/>
      <c r="R89" s="80"/>
      <c r="S89" s="80"/>
      <c r="T89" s="80"/>
      <c r="U89" s="80"/>
      <c r="V89" s="1236"/>
      <c r="W89" s="1236"/>
      <c r="X89" s="1236"/>
      <c r="Y89" s="1236"/>
      <c r="Z89" s="1236"/>
      <c r="AA89" s="1236"/>
      <c r="AB89" s="1236"/>
      <c r="AC89" s="1236"/>
      <c r="AD89" s="1236"/>
      <c r="AE89" s="1236"/>
      <c r="AF89" s="1236"/>
    </row>
    <row r="90" ht="12.0" customHeight="1" outlineLevel="1">
      <c r="A90" s="1350"/>
      <c r="B90" s="187" t="s">
        <v>12</v>
      </c>
      <c r="C90" s="195"/>
      <c r="D90" s="211"/>
      <c r="E90" s="211"/>
      <c r="F90" s="123">
        <f t="shared" ref="F90:L90" si="53">F89/F24</f>
        <v>-0.490530657</v>
      </c>
      <c r="G90" s="123">
        <f t="shared" si="53"/>
        <v>-0.1889694735</v>
      </c>
      <c r="H90" s="123">
        <f t="shared" si="53"/>
        <v>-0.0835276091</v>
      </c>
      <c r="I90" s="123">
        <f t="shared" si="53"/>
        <v>-0.01697759644</v>
      </c>
      <c r="J90" s="123">
        <f t="shared" si="53"/>
        <v>0.00007519851957</v>
      </c>
      <c r="K90" s="123">
        <f t="shared" si="53"/>
        <v>0.04396664339</v>
      </c>
      <c r="L90" s="123">
        <f t="shared" si="53"/>
        <v>0.1301388077</v>
      </c>
      <c r="M90" s="1299"/>
      <c r="N90" s="1299"/>
      <c r="O90" s="80"/>
      <c r="P90" s="80"/>
      <c r="Q90" s="80"/>
      <c r="R90" s="80"/>
      <c r="S90" s="80"/>
      <c r="T90" s="80"/>
      <c r="U90" s="80"/>
      <c r="V90" s="1236"/>
      <c r="W90" s="1236"/>
      <c r="X90" s="1236"/>
      <c r="Y90" s="1236"/>
      <c r="Z90" s="1236"/>
      <c r="AA90" s="1236"/>
      <c r="AB90" s="1236"/>
      <c r="AC90" s="1236"/>
      <c r="AD90" s="1236"/>
      <c r="AE90" s="1236"/>
      <c r="AF90" s="1236"/>
    </row>
    <row r="91" ht="12.0" customHeight="1">
      <c r="A91" s="45"/>
      <c r="B91" s="45"/>
      <c r="C91" s="45"/>
      <c r="D91" s="45"/>
      <c r="E91" s="45"/>
      <c r="F91" s="45"/>
      <c r="G91" s="45"/>
      <c r="H91" s="45"/>
      <c r="I91" s="45"/>
      <c r="J91" s="109"/>
      <c r="K91" s="109"/>
      <c r="L91" s="109"/>
      <c r="M91" s="80"/>
      <c r="N91" s="80"/>
      <c r="O91" s="80"/>
      <c r="P91" s="80"/>
      <c r="Q91" s="80"/>
      <c r="R91" s="80"/>
      <c r="S91" s="80"/>
      <c r="T91" s="80"/>
      <c r="U91" s="80"/>
      <c r="V91" s="1236"/>
      <c r="W91" s="1236"/>
      <c r="X91" s="1236"/>
      <c r="Y91" s="1236"/>
      <c r="Z91" s="1236"/>
      <c r="AA91" s="1236"/>
      <c r="AB91" s="1236"/>
      <c r="AC91" s="1236"/>
      <c r="AD91" s="1236"/>
      <c r="AE91" s="1236"/>
      <c r="AF91" s="1236"/>
    </row>
    <row r="92" ht="12.0" customHeight="1">
      <c r="A92" s="45"/>
      <c r="B92" s="45"/>
      <c r="C92" s="45"/>
      <c r="D92" s="45"/>
      <c r="E92" s="45"/>
      <c r="F92" s="45"/>
      <c r="G92" s="45"/>
      <c r="H92" s="45"/>
      <c r="I92" s="45"/>
      <c r="J92" s="109"/>
      <c r="K92" s="109"/>
      <c r="L92" s="109"/>
      <c r="M92" s="80"/>
      <c r="N92" s="80"/>
      <c r="O92" s="80"/>
      <c r="P92" s="80"/>
      <c r="Q92" s="80"/>
      <c r="R92" s="80"/>
      <c r="S92" s="80"/>
      <c r="T92" s="80"/>
      <c r="U92" s="80"/>
      <c r="V92" s="1236"/>
      <c r="W92" s="1236"/>
      <c r="X92" s="1236"/>
      <c r="Y92" s="1236"/>
      <c r="Z92" s="1236"/>
      <c r="AA92" s="1236"/>
      <c r="AB92" s="1236"/>
      <c r="AC92" s="1236"/>
      <c r="AD92" s="1236"/>
      <c r="AE92" s="1236"/>
      <c r="AF92" s="1236"/>
    </row>
    <row r="93" ht="12.0" customHeight="1">
      <c r="A93" s="45"/>
      <c r="B93" s="45"/>
      <c r="C93" s="45"/>
      <c r="D93" s="45"/>
      <c r="E93" s="45"/>
      <c r="F93" s="45"/>
      <c r="G93" s="45"/>
      <c r="H93" s="45"/>
      <c r="I93" s="45"/>
      <c r="J93" s="109"/>
      <c r="K93" s="109"/>
      <c r="L93" s="109"/>
      <c r="M93" s="80"/>
      <c r="N93" s="80"/>
      <c r="O93" s="80"/>
      <c r="P93" s="80"/>
      <c r="Q93" s="80"/>
      <c r="R93" s="80"/>
      <c r="S93" s="80"/>
      <c r="T93" s="80"/>
      <c r="U93" s="80"/>
      <c r="V93" s="1236"/>
      <c r="W93" s="1236"/>
      <c r="X93" s="1236"/>
      <c r="Y93" s="1236"/>
      <c r="Z93" s="1236"/>
      <c r="AA93" s="1236"/>
      <c r="AB93" s="1236"/>
      <c r="AC93" s="1236"/>
      <c r="AD93" s="1236"/>
      <c r="AE93" s="1236"/>
      <c r="AF93" s="1236"/>
    </row>
    <row r="94" ht="12.0" customHeight="1">
      <c r="A94" s="45"/>
      <c r="B94" s="45"/>
      <c r="C94" s="45"/>
      <c r="D94" s="45"/>
      <c r="E94" s="45"/>
      <c r="F94" s="45"/>
      <c r="G94" s="45"/>
      <c r="H94" s="45"/>
      <c r="I94" s="45"/>
      <c r="J94" s="109"/>
      <c r="K94" s="109"/>
      <c r="L94" s="109"/>
      <c r="M94" s="80"/>
      <c r="N94" s="80"/>
      <c r="O94" s="80"/>
      <c r="P94" s="80"/>
      <c r="Q94" s="80"/>
      <c r="R94" s="80"/>
      <c r="S94" s="80"/>
      <c r="T94" s="80"/>
      <c r="U94" s="80"/>
      <c r="V94" s="1236"/>
      <c r="W94" s="1236"/>
      <c r="X94" s="1236"/>
      <c r="Y94" s="1236"/>
      <c r="Z94" s="1236"/>
      <c r="AA94" s="1236"/>
      <c r="AB94" s="1236"/>
      <c r="AC94" s="1236"/>
      <c r="AD94" s="1236"/>
      <c r="AE94" s="1236"/>
      <c r="AF94" s="1236"/>
    </row>
    <row r="95" ht="12.0" customHeight="1">
      <c r="A95" s="45"/>
      <c r="B95" s="45"/>
      <c r="C95" s="45"/>
      <c r="D95" s="45"/>
      <c r="E95" s="45"/>
      <c r="F95" s="45"/>
      <c r="G95" s="45"/>
      <c r="H95" s="45"/>
      <c r="I95" s="45"/>
      <c r="J95" s="109"/>
      <c r="K95" s="109"/>
      <c r="L95" s="109"/>
      <c r="M95" s="80"/>
      <c r="N95" s="80"/>
      <c r="O95" s="80"/>
      <c r="P95" s="80"/>
      <c r="Q95" s="80"/>
      <c r="R95" s="80"/>
      <c r="S95" s="80"/>
      <c r="T95" s="80"/>
      <c r="U95" s="80"/>
      <c r="V95" s="1236"/>
      <c r="W95" s="1236"/>
      <c r="X95" s="1236"/>
      <c r="Y95" s="1236"/>
      <c r="Z95" s="1236"/>
      <c r="AA95" s="1236"/>
      <c r="AB95" s="1236"/>
      <c r="AC95" s="1236"/>
      <c r="AD95" s="1236"/>
      <c r="AE95" s="1236"/>
      <c r="AF95" s="1236"/>
    </row>
    <row r="96" ht="12.0" customHeight="1">
      <c r="A96" s="45"/>
      <c r="B96" s="45"/>
      <c r="C96" s="45"/>
      <c r="D96" s="45"/>
      <c r="E96" s="45"/>
      <c r="F96" s="45"/>
      <c r="G96" s="45"/>
      <c r="H96" s="45"/>
      <c r="I96" s="45"/>
      <c r="J96" s="109"/>
      <c r="K96" s="109"/>
      <c r="L96" s="109"/>
      <c r="M96" s="80"/>
      <c r="N96" s="80"/>
      <c r="O96" s="80"/>
      <c r="P96" s="80"/>
      <c r="Q96" s="80"/>
      <c r="R96" s="80"/>
      <c r="S96" s="80"/>
      <c r="T96" s="80"/>
      <c r="U96" s="80"/>
      <c r="V96" s="1236"/>
      <c r="W96" s="1236"/>
      <c r="X96" s="1236"/>
      <c r="Y96" s="1236"/>
      <c r="Z96" s="1236"/>
      <c r="AA96" s="1236"/>
      <c r="AB96" s="1236"/>
      <c r="AC96" s="1236"/>
      <c r="AD96" s="1236"/>
      <c r="AE96" s="1236"/>
      <c r="AF96" s="1236"/>
    </row>
    <row r="97" ht="12.0" customHeight="1">
      <c r="A97" s="45"/>
      <c r="B97" s="45"/>
      <c r="C97" s="45"/>
      <c r="D97" s="45"/>
      <c r="E97" s="45"/>
      <c r="F97" s="45"/>
      <c r="G97" s="45"/>
      <c r="H97" s="45"/>
      <c r="I97" s="45"/>
      <c r="J97" s="109"/>
      <c r="K97" s="109"/>
      <c r="L97" s="109"/>
      <c r="M97" s="80"/>
      <c r="N97" s="80"/>
      <c r="O97" s="80"/>
      <c r="P97" s="80"/>
      <c r="Q97" s="80"/>
      <c r="R97" s="80"/>
      <c r="S97" s="80"/>
      <c r="T97" s="80"/>
      <c r="U97" s="80"/>
      <c r="V97" s="1236"/>
      <c r="W97" s="1236"/>
      <c r="X97" s="1236"/>
      <c r="Y97" s="1236"/>
      <c r="Z97" s="1236"/>
      <c r="AA97" s="1236"/>
      <c r="AB97" s="1236"/>
      <c r="AC97" s="1236"/>
      <c r="AD97" s="1236"/>
      <c r="AE97" s="1236"/>
      <c r="AF97" s="1236"/>
    </row>
    <row r="98" ht="12.0" customHeight="1">
      <c r="A98" s="45"/>
      <c r="B98" s="45"/>
      <c r="C98" s="45"/>
      <c r="D98" s="45"/>
      <c r="E98" s="45"/>
      <c r="F98" s="45"/>
      <c r="G98" s="45"/>
      <c r="H98" s="45"/>
      <c r="I98" s="45"/>
      <c r="J98" s="109"/>
      <c r="K98" s="109"/>
      <c r="L98" s="109"/>
      <c r="M98" s="80"/>
      <c r="N98" s="80"/>
      <c r="O98" s="80"/>
      <c r="P98" s="80"/>
      <c r="Q98" s="80"/>
      <c r="R98" s="80"/>
      <c r="S98" s="80"/>
      <c r="T98" s="80"/>
      <c r="U98" s="80"/>
      <c r="V98" s="1236"/>
      <c r="W98" s="1236"/>
      <c r="X98" s="1236"/>
      <c r="Y98" s="1236"/>
      <c r="Z98" s="1236"/>
      <c r="AA98" s="1236"/>
      <c r="AB98" s="1236"/>
      <c r="AC98" s="1236"/>
      <c r="AD98" s="1236"/>
      <c r="AE98" s="1236"/>
      <c r="AF98" s="1236"/>
    </row>
    <row r="99" ht="12.0" customHeight="1">
      <c r="A99" s="45"/>
      <c r="B99" s="45"/>
      <c r="C99" s="45"/>
      <c r="D99" s="45"/>
      <c r="E99" s="45"/>
      <c r="F99" s="45"/>
      <c r="G99" s="45"/>
      <c r="H99" s="45"/>
      <c r="I99" s="45"/>
      <c r="J99" s="109"/>
      <c r="K99" s="109"/>
      <c r="L99" s="109"/>
      <c r="M99" s="80"/>
      <c r="N99" s="80"/>
      <c r="O99" s="80"/>
      <c r="P99" s="80"/>
      <c r="Q99" s="80"/>
      <c r="R99" s="80"/>
      <c r="S99" s="80"/>
      <c r="T99" s="80"/>
      <c r="U99" s="80"/>
      <c r="V99" s="1236"/>
      <c r="W99" s="1236"/>
      <c r="X99" s="1236"/>
      <c r="Y99" s="1236"/>
      <c r="Z99" s="1236"/>
      <c r="AA99" s="1236"/>
      <c r="AB99" s="1236"/>
      <c r="AC99" s="1236"/>
      <c r="AD99" s="1236"/>
      <c r="AE99" s="1236"/>
      <c r="AF99" s="1236"/>
    </row>
    <row r="100" ht="12.0" customHeight="1">
      <c r="A100" s="45"/>
      <c r="B100" s="45"/>
      <c r="C100" s="45"/>
      <c r="D100" s="45"/>
      <c r="E100" s="45"/>
      <c r="F100" s="45"/>
      <c r="G100" s="45"/>
      <c r="H100" s="45"/>
      <c r="I100" s="45"/>
      <c r="J100" s="109"/>
      <c r="K100" s="109"/>
      <c r="L100" s="109"/>
      <c r="M100" s="80"/>
      <c r="N100" s="80"/>
      <c r="O100" s="80"/>
      <c r="P100" s="80"/>
      <c r="Q100" s="80"/>
      <c r="R100" s="80"/>
      <c r="S100" s="80"/>
      <c r="T100" s="80"/>
      <c r="U100" s="80"/>
      <c r="V100" s="1236"/>
      <c r="W100" s="1236"/>
      <c r="X100" s="1236"/>
      <c r="Y100" s="1236"/>
      <c r="Z100" s="1236"/>
      <c r="AA100" s="1236"/>
      <c r="AB100" s="1236"/>
      <c r="AC100" s="1236"/>
      <c r="AD100" s="1236"/>
      <c r="AE100" s="1236"/>
      <c r="AF100" s="1236"/>
    </row>
    <row r="101" ht="12.0" customHeight="1">
      <c r="A101" s="45"/>
      <c r="B101" s="45"/>
      <c r="C101" s="45"/>
      <c r="D101" s="45"/>
      <c r="E101" s="45"/>
      <c r="F101" s="45"/>
      <c r="G101" s="45"/>
      <c r="H101" s="45"/>
      <c r="I101" s="45"/>
      <c r="J101" s="109"/>
      <c r="K101" s="109"/>
      <c r="L101" s="109"/>
      <c r="M101" s="80"/>
      <c r="N101" s="80"/>
      <c r="O101" s="80"/>
      <c r="P101" s="80"/>
      <c r="Q101" s="80"/>
      <c r="R101" s="80"/>
      <c r="S101" s="80"/>
      <c r="T101" s="80"/>
      <c r="U101" s="80"/>
      <c r="V101" s="1236"/>
      <c r="W101" s="1236"/>
      <c r="X101" s="1236"/>
      <c r="Y101" s="1236"/>
      <c r="Z101" s="1236"/>
      <c r="AA101" s="1236"/>
      <c r="AB101" s="1236"/>
      <c r="AC101" s="1236"/>
      <c r="AD101" s="1236"/>
      <c r="AE101" s="1236"/>
      <c r="AF101" s="1236"/>
    </row>
    <row r="102" ht="12.0" customHeight="1">
      <c r="A102" s="45"/>
      <c r="B102" s="45"/>
      <c r="C102" s="45"/>
      <c r="D102" s="45"/>
      <c r="E102" s="45"/>
      <c r="F102" s="45"/>
      <c r="G102" s="45"/>
      <c r="H102" s="45"/>
      <c r="I102" s="45"/>
      <c r="J102" s="109"/>
      <c r="K102" s="109"/>
      <c r="L102" s="109"/>
      <c r="M102" s="80"/>
      <c r="N102" s="80"/>
      <c r="O102" s="80"/>
      <c r="P102" s="80"/>
      <c r="Q102" s="80"/>
      <c r="R102" s="80"/>
      <c r="S102" s="80"/>
      <c r="T102" s="80"/>
      <c r="U102" s="80"/>
      <c r="V102" s="1236"/>
      <c r="W102" s="1236"/>
      <c r="X102" s="1236"/>
      <c r="Y102" s="1236"/>
      <c r="Z102" s="1236"/>
      <c r="AA102" s="1236"/>
      <c r="AB102" s="1236"/>
      <c r="AC102" s="1236"/>
      <c r="AD102" s="1236"/>
      <c r="AE102" s="1236"/>
      <c r="AF102" s="1236"/>
    </row>
    <row r="103" ht="12.0" customHeight="1">
      <c r="A103" s="45"/>
      <c r="B103" s="45"/>
      <c r="C103" s="45"/>
      <c r="D103" s="45"/>
      <c r="E103" s="45"/>
      <c r="F103" s="45"/>
      <c r="G103" s="45"/>
      <c r="H103" s="45"/>
      <c r="I103" s="45"/>
      <c r="J103" s="109"/>
      <c r="K103" s="109"/>
      <c r="L103" s="109"/>
      <c r="M103" s="80"/>
      <c r="N103" s="80"/>
      <c r="O103" s="80"/>
      <c r="P103" s="80"/>
      <c r="Q103" s="80"/>
      <c r="R103" s="80"/>
      <c r="S103" s="80"/>
      <c r="T103" s="80"/>
      <c r="U103" s="80"/>
      <c r="V103" s="1236"/>
      <c r="W103" s="1236"/>
      <c r="X103" s="1236"/>
      <c r="Y103" s="1236"/>
      <c r="Z103" s="1236"/>
      <c r="AA103" s="1236"/>
      <c r="AB103" s="1236"/>
      <c r="AC103" s="1236"/>
      <c r="AD103" s="1236"/>
      <c r="AE103" s="1236"/>
      <c r="AF103" s="1236"/>
    </row>
    <row r="104" ht="12.0" customHeight="1">
      <c r="A104" s="45"/>
      <c r="B104" s="45"/>
      <c r="C104" s="45"/>
      <c r="D104" s="45"/>
      <c r="E104" s="45"/>
      <c r="F104" s="45"/>
      <c r="G104" s="45"/>
      <c r="H104" s="45"/>
      <c r="I104" s="45"/>
      <c r="J104" s="109"/>
      <c r="K104" s="109"/>
      <c r="L104" s="109"/>
      <c r="M104" s="80"/>
      <c r="N104" s="80"/>
      <c r="O104" s="80"/>
      <c r="P104" s="80"/>
      <c r="Q104" s="80"/>
      <c r="R104" s="80"/>
      <c r="S104" s="80"/>
      <c r="T104" s="80"/>
      <c r="U104" s="80"/>
      <c r="V104" s="1236"/>
      <c r="W104" s="1236"/>
      <c r="X104" s="1236"/>
      <c r="Y104" s="1236"/>
      <c r="Z104" s="1236"/>
      <c r="AA104" s="1236"/>
      <c r="AB104" s="1236"/>
      <c r="AC104" s="1236"/>
      <c r="AD104" s="1236"/>
      <c r="AE104" s="1236"/>
      <c r="AF104" s="1236"/>
    </row>
    <row r="105" ht="12.0" customHeight="1">
      <c r="A105" s="45"/>
      <c r="B105" s="45"/>
      <c r="C105" s="45"/>
      <c r="D105" s="45"/>
      <c r="E105" s="45"/>
      <c r="F105" s="45"/>
      <c r="G105" s="45"/>
      <c r="H105" s="45"/>
      <c r="I105" s="45"/>
      <c r="J105" s="109"/>
      <c r="K105" s="109"/>
      <c r="L105" s="109"/>
      <c r="M105" s="80"/>
      <c r="N105" s="80"/>
      <c r="O105" s="80"/>
      <c r="P105" s="80"/>
      <c r="Q105" s="80"/>
      <c r="R105" s="80"/>
      <c r="S105" s="80"/>
      <c r="T105" s="80"/>
      <c r="U105" s="80"/>
      <c r="V105" s="1236"/>
      <c r="W105" s="1236"/>
      <c r="X105" s="1236"/>
      <c r="Y105" s="1236"/>
      <c r="Z105" s="1236"/>
      <c r="AA105" s="1236"/>
      <c r="AB105" s="1236"/>
      <c r="AC105" s="1236"/>
      <c r="AD105" s="1236"/>
      <c r="AE105" s="1236"/>
      <c r="AF105" s="1236"/>
    </row>
    <row r="106" ht="12.0" customHeight="1">
      <c r="A106" s="45"/>
      <c r="B106" s="45"/>
      <c r="C106" s="45"/>
      <c r="D106" s="45"/>
      <c r="E106" s="45"/>
      <c r="F106" s="45"/>
      <c r="G106" s="45"/>
      <c r="H106" s="45"/>
      <c r="I106" s="45"/>
      <c r="J106" s="109"/>
      <c r="K106" s="109"/>
      <c r="L106" s="109"/>
      <c r="M106" s="80"/>
      <c r="N106" s="80"/>
      <c r="O106" s="80"/>
      <c r="P106" s="80"/>
      <c r="Q106" s="80"/>
      <c r="R106" s="80"/>
      <c r="S106" s="80"/>
      <c r="T106" s="80"/>
      <c r="U106" s="80"/>
      <c r="V106" s="1236"/>
      <c r="W106" s="1236"/>
      <c r="X106" s="1236"/>
      <c r="Y106" s="1236"/>
      <c r="Z106" s="1236"/>
      <c r="AA106" s="1236"/>
      <c r="AB106" s="1236"/>
      <c r="AC106" s="1236"/>
      <c r="AD106" s="1236"/>
      <c r="AE106" s="1236"/>
      <c r="AF106" s="1236"/>
    </row>
    <row r="107" ht="12.0" customHeight="1">
      <c r="A107" s="45"/>
      <c r="B107" s="45"/>
      <c r="C107" s="45"/>
      <c r="D107" s="45"/>
      <c r="E107" s="45"/>
      <c r="F107" s="45"/>
      <c r="G107" s="45"/>
      <c r="H107" s="45"/>
      <c r="I107" s="45"/>
      <c r="J107" s="109"/>
      <c r="K107" s="109"/>
      <c r="L107" s="109"/>
      <c r="M107" s="80"/>
      <c r="N107" s="80"/>
      <c r="O107" s="80"/>
      <c r="P107" s="80"/>
      <c r="Q107" s="80"/>
      <c r="R107" s="80"/>
      <c r="S107" s="80"/>
      <c r="T107" s="80"/>
      <c r="U107" s="80"/>
      <c r="V107" s="1236"/>
      <c r="W107" s="1236"/>
      <c r="X107" s="1236"/>
      <c r="Y107" s="1236"/>
      <c r="Z107" s="1236"/>
      <c r="AA107" s="1236"/>
      <c r="AB107" s="1236"/>
      <c r="AC107" s="1236"/>
      <c r="AD107" s="1236"/>
      <c r="AE107" s="1236"/>
      <c r="AF107" s="1236"/>
    </row>
    <row r="108" ht="12.0" customHeight="1">
      <c r="A108" s="45"/>
      <c r="B108" s="45"/>
      <c r="C108" s="45"/>
      <c r="D108" s="45"/>
      <c r="E108" s="45"/>
      <c r="F108" s="45"/>
      <c r="G108" s="45"/>
      <c r="H108" s="45"/>
      <c r="I108" s="45"/>
      <c r="J108" s="109"/>
      <c r="K108" s="109"/>
      <c r="L108" s="109"/>
      <c r="M108" s="80"/>
      <c r="N108" s="80"/>
      <c r="O108" s="80"/>
      <c r="P108" s="80"/>
      <c r="Q108" s="80"/>
      <c r="R108" s="80"/>
      <c r="S108" s="80"/>
      <c r="T108" s="80"/>
      <c r="U108" s="80"/>
      <c r="V108" s="1236"/>
      <c r="W108" s="1236"/>
      <c r="X108" s="1236"/>
      <c r="Y108" s="1236"/>
      <c r="Z108" s="1236"/>
      <c r="AA108" s="1236"/>
      <c r="AB108" s="1236"/>
      <c r="AC108" s="1236"/>
      <c r="AD108" s="1236"/>
      <c r="AE108" s="1236"/>
      <c r="AF108" s="1236"/>
    </row>
    <row r="109" ht="12.0" customHeight="1">
      <c r="A109" s="45"/>
      <c r="B109" s="45"/>
      <c r="C109" s="45"/>
      <c r="D109" s="45"/>
      <c r="E109" s="45"/>
      <c r="F109" s="45"/>
      <c r="G109" s="45"/>
      <c r="H109" s="45"/>
      <c r="I109" s="45"/>
      <c r="J109" s="109"/>
      <c r="K109" s="109"/>
      <c r="L109" s="109"/>
      <c r="M109" s="80"/>
      <c r="N109" s="80"/>
      <c r="O109" s="80"/>
      <c r="P109" s="80"/>
      <c r="Q109" s="80"/>
      <c r="R109" s="80"/>
      <c r="S109" s="80"/>
      <c r="T109" s="80"/>
      <c r="U109" s="80"/>
      <c r="V109" s="1236"/>
      <c r="W109" s="1236"/>
      <c r="X109" s="1236"/>
      <c r="Y109" s="1236"/>
      <c r="Z109" s="1236"/>
      <c r="AA109" s="1236"/>
      <c r="AB109" s="1236"/>
      <c r="AC109" s="1236"/>
      <c r="AD109" s="1236"/>
      <c r="AE109" s="1236"/>
      <c r="AF109" s="1236"/>
    </row>
    <row r="110" ht="12.0" customHeight="1">
      <c r="A110" s="45"/>
      <c r="B110" s="45"/>
      <c r="C110" s="45"/>
      <c r="D110" s="45"/>
      <c r="E110" s="45"/>
      <c r="F110" s="45"/>
      <c r="G110" s="45"/>
      <c r="H110" s="45"/>
      <c r="I110" s="45"/>
      <c r="J110" s="109"/>
      <c r="K110" s="109"/>
      <c r="L110" s="109"/>
      <c r="M110" s="80"/>
      <c r="N110" s="80"/>
      <c r="O110" s="80"/>
      <c r="P110" s="80"/>
      <c r="Q110" s="80"/>
      <c r="R110" s="80"/>
      <c r="S110" s="80"/>
      <c r="T110" s="80"/>
      <c r="U110" s="80"/>
      <c r="V110" s="1236"/>
      <c r="W110" s="1236"/>
      <c r="X110" s="1236"/>
      <c r="Y110" s="1236"/>
      <c r="Z110" s="1236"/>
      <c r="AA110" s="1236"/>
      <c r="AB110" s="1236"/>
      <c r="AC110" s="1236"/>
      <c r="AD110" s="1236"/>
      <c r="AE110" s="1236"/>
      <c r="AF110" s="1236"/>
    </row>
    <row r="111" ht="12.0" customHeight="1">
      <c r="A111" s="45"/>
      <c r="B111" s="45"/>
      <c r="C111" s="45"/>
      <c r="D111" s="45"/>
      <c r="E111" s="45"/>
      <c r="F111" s="45"/>
      <c r="G111" s="45"/>
      <c r="H111" s="45"/>
      <c r="I111" s="45"/>
      <c r="J111" s="109"/>
      <c r="K111" s="109"/>
      <c r="L111" s="109"/>
      <c r="M111" s="80"/>
      <c r="N111" s="80"/>
      <c r="O111" s="80"/>
      <c r="P111" s="80"/>
      <c r="Q111" s="80"/>
      <c r="R111" s="80"/>
      <c r="S111" s="80"/>
      <c r="T111" s="80"/>
      <c r="U111" s="80"/>
      <c r="V111" s="1236"/>
      <c r="W111" s="1236"/>
      <c r="X111" s="1236"/>
      <c r="Y111" s="1236"/>
      <c r="Z111" s="1236"/>
      <c r="AA111" s="1236"/>
      <c r="AB111" s="1236"/>
      <c r="AC111" s="1236"/>
      <c r="AD111" s="1236"/>
      <c r="AE111" s="1236"/>
      <c r="AF111" s="1236"/>
    </row>
    <row r="112" ht="12.0" customHeight="1">
      <c r="A112" s="45"/>
      <c r="B112" s="45"/>
      <c r="C112" s="45"/>
      <c r="D112" s="45"/>
      <c r="E112" s="45"/>
      <c r="F112" s="45"/>
      <c r="G112" s="45"/>
      <c r="H112" s="45"/>
      <c r="I112" s="45"/>
      <c r="J112" s="109"/>
      <c r="K112" s="109"/>
      <c r="L112" s="109"/>
      <c r="M112" s="80"/>
      <c r="N112" s="80"/>
      <c r="O112" s="80"/>
      <c r="P112" s="80"/>
      <c r="Q112" s="80"/>
      <c r="R112" s="80"/>
      <c r="S112" s="80"/>
      <c r="T112" s="80"/>
      <c r="U112" s="80"/>
      <c r="V112" s="1236"/>
      <c r="W112" s="1236"/>
      <c r="X112" s="1236"/>
      <c r="Y112" s="1236"/>
      <c r="Z112" s="1236"/>
      <c r="AA112" s="1236"/>
      <c r="AB112" s="1236"/>
      <c r="AC112" s="1236"/>
      <c r="AD112" s="1236"/>
      <c r="AE112" s="1236"/>
      <c r="AF112" s="1236"/>
    </row>
    <row r="113" ht="12.0" customHeight="1">
      <c r="A113" s="45"/>
      <c r="B113" s="45"/>
      <c r="C113" s="45"/>
      <c r="D113" s="45"/>
      <c r="E113" s="45"/>
      <c r="F113" s="45"/>
      <c r="G113" s="45"/>
      <c r="H113" s="45"/>
      <c r="I113" s="45"/>
      <c r="J113" s="109"/>
      <c r="K113" s="109"/>
      <c r="L113" s="109"/>
      <c r="M113" s="80"/>
      <c r="N113" s="80"/>
      <c r="O113" s="80"/>
      <c r="P113" s="80"/>
      <c r="Q113" s="80"/>
      <c r="R113" s="80"/>
      <c r="S113" s="80"/>
      <c r="T113" s="80"/>
      <c r="U113" s="80"/>
      <c r="V113" s="1236"/>
      <c r="W113" s="1236"/>
      <c r="X113" s="1236"/>
      <c r="Y113" s="1236"/>
      <c r="Z113" s="1236"/>
      <c r="AA113" s="1236"/>
      <c r="AB113" s="1236"/>
      <c r="AC113" s="1236"/>
      <c r="AD113" s="1236"/>
      <c r="AE113" s="1236"/>
      <c r="AF113" s="1236"/>
    </row>
    <row r="114" ht="12.0" customHeight="1">
      <c r="A114" s="45"/>
      <c r="B114" s="45"/>
      <c r="C114" s="45"/>
      <c r="D114" s="45"/>
      <c r="E114" s="45"/>
      <c r="F114" s="45"/>
      <c r="G114" s="45"/>
      <c r="H114" s="45"/>
      <c r="I114" s="45"/>
      <c r="J114" s="109"/>
      <c r="K114" s="109"/>
      <c r="L114" s="109"/>
      <c r="M114" s="80"/>
      <c r="N114" s="80"/>
      <c r="O114" s="80"/>
      <c r="P114" s="80"/>
      <c r="Q114" s="80"/>
      <c r="R114" s="80"/>
      <c r="S114" s="80"/>
      <c r="T114" s="80"/>
      <c r="U114" s="80"/>
      <c r="V114" s="1236"/>
      <c r="W114" s="1236"/>
      <c r="X114" s="1236"/>
      <c r="Y114" s="1236"/>
      <c r="Z114" s="1236"/>
      <c r="AA114" s="1236"/>
      <c r="AB114" s="1236"/>
      <c r="AC114" s="1236"/>
      <c r="AD114" s="1236"/>
      <c r="AE114" s="1236"/>
      <c r="AF114" s="1236"/>
    </row>
    <row r="115" ht="12.0" customHeight="1">
      <c r="A115" s="45"/>
      <c r="B115" s="45"/>
      <c r="C115" s="45"/>
      <c r="D115" s="45"/>
      <c r="E115" s="45"/>
      <c r="F115" s="45"/>
      <c r="G115" s="45"/>
      <c r="H115" s="45"/>
      <c r="I115" s="45"/>
      <c r="J115" s="109"/>
      <c r="K115" s="109"/>
      <c r="L115" s="109"/>
      <c r="M115" s="80"/>
      <c r="N115" s="80"/>
      <c r="O115" s="80"/>
      <c r="P115" s="80"/>
      <c r="Q115" s="80"/>
      <c r="R115" s="80"/>
      <c r="S115" s="80"/>
      <c r="T115" s="80"/>
      <c r="U115" s="80"/>
      <c r="V115" s="1236"/>
      <c r="W115" s="1236"/>
      <c r="X115" s="1236"/>
      <c r="Y115" s="1236"/>
      <c r="Z115" s="1236"/>
      <c r="AA115" s="1236"/>
      <c r="AB115" s="1236"/>
      <c r="AC115" s="1236"/>
      <c r="AD115" s="1236"/>
      <c r="AE115" s="1236"/>
      <c r="AF115" s="1236"/>
    </row>
    <row r="116" ht="12.0" customHeight="1">
      <c r="A116" s="45"/>
      <c r="B116" s="45"/>
      <c r="C116" s="45"/>
      <c r="D116" s="45"/>
      <c r="E116" s="45"/>
      <c r="F116" s="45"/>
      <c r="G116" s="45"/>
      <c r="H116" s="45"/>
      <c r="I116" s="45"/>
      <c r="J116" s="109"/>
      <c r="K116" s="109"/>
      <c r="L116" s="109"/>
      <c r="M116" s="80"/>
      <c r="N116" s="80"/>
      <c r="O116" s="80"/>
      <c r="P116" s="80"/>
      <c r="Q116" s="80"/>
      <c r="R116" s="80"/>
      <c r="S116" s="80"/>
      <c r="T116" s="80"/>
      <c r="U116" s="80"/>
      <c r="V116" s="1236"/>
      <c r="W116" s="1236"/>
      <c r="X116" s="1236"/>
      <c r="Y116" s="1236"/>
      <c r="Z116" s="1236"/>
      <c r="AA116" s="1236"/>
      <c r="AB116" s="1236"/>
      <c r="AC116" s="1236"/>
      <c r="AD116" s="1236"/>
      <c r="AE116" s="1236"/>
      <c r="AF116" s="1236"/>
    </row>
    <row r="117" ht="12.0" customHeight="1">
      <c r="A117" s="45"/>
      <c r="B117" s="45"/>
      <c r="C117" s="45"/>
      <c r="D117" s="45"/>
      <c r="E117" s="45"/>
      <c r="F117" s="45"/>
      <c r="G117" s="45"/>
      <c r="H117" s="45"/>
      <c r="I117" s="45"/>
      <c r="J117" s="109"/>
      <c r="K117" s="109"/>
      <c r="L117" s="109"/>
      <c r="M117" s="80"/>
      <c r="N117" s="80"/>
      <c r="O117" s="80"/>
      <c r="P117" s="80"/>
      <c r="Q117" s="80"/>
      <c r="R117" s="80"/>
      <c r="S117" s="80"/>
      <c r="T117" s="80"/>
      <c r="U117" s="80"/>
      <c r="V117" s="1236"/>
      <c r="W117" s="1236"/>
      <c r="X117" s="1236"/>
      <c r="Y117" s="1236"/>
      <c r="Z117" s="1236"/>
      <c r="AA117" s="1236"/>
      <c r="AB117" s="1236"/>
      <c r="AC117" s="1236"/>
      <c r="AD117" s="1236"/>
      <c r="AE117" s="1236"/>
      <c r="AF117" s="1236"/>
    </row>
    <row r="118" ht="12.0" customHeight="1">
      <c r="A118" s="45"/>
      <c r="B118" s="45"/>
      <c r="C118" s="45"/>
      <c r="D118" s="45"/>
      <c r="E118" s="45"/>
      <c r="F118" s="45"/>
      <c r="G118" s="45"/>
      <c r="H118" s="45"/>
      <c r="I118" s="45"/>
      <c r="J118" s="109"/>
      <c r="K118" s="109"/>
      <c r="L118" s="109"/>
      <c r="M118" s="80"/>
      <c r="N118" s="80"/>
      <c r="O118" s="80"/>
      <c r="P118" s="80"/>
      <c r="Q118" s="80"/>
      <c r="R118" s="80"/>
      <c r="S118" s="80"/>
      <c r="T118" s="80"/>
      <c r="U118" s="80"/>
      <c r="V118" s="1236"/>
      <c r="W118" s="1236"/>
      <c r="X118" s="1236"/>
      <c r="Y118" s="1236"/>
      <c r="Z118" s="1236"/>
      <c r="AA118" s="1236"/>
      <c r="AB118" s="1236"/>
      <c r="AC118" s="1236"/>
      <c r="AD118" s="1236"/>
      <c r="AE118" s="1236"/>
      <c r="AF118" s="1236"/>
    </row>
    <row r="119" ht="12.0" customHeight="1">
      <c r="A119" s="45"/>
      <c r="B119" s="45"/>
      <c r="C119" s="45"/>
      <c r="D119" s="45"/>
      <c r="E119" s="45"/>
      <c r="F119" s="45"/>
      <c r="G119" s="45"/>
      <c r="H119" s="45"/>
      <c r="I119" s="45"/>
      <c r="J119" s="109"/>
      <c r="K119" s="109"/>
      <c r="L119" s="109"/>
      <c r="M119" s="80"/>
      <c r="N119" s="80"/>
      <c r="O119" s="80"/>
      <c r="P119" s="80"/>
      <c r="Q119" s="80"/>
      <c r="R119" s="80"/>
      <c r="S119" s="80"/>
      <c r="T119" s="80"/>
      <c r="U119" s="80"/>
      <c r="V119" s="1236"/>
      <c r="W119" s="1236"/>
      <c r="X119" s="1236"/>
      <c r="Y119" s="1236"/>
      <c r="Z119" s="1236"/>
      <c r="AA119" s="1236"/>
      <c r="AB119" s="1236"/>
      <c r="AC119" s="1236"/>
      <c r="AD119" s="1236"/>
      <c r="AE119" s="1236"/>
      <c r="AF119" s="1236"/>
    </row>
    <row r="120" ht="12.0" customHeight="1">
      <c r="A120" s="45"/>
      <c r="B120" s="45"/>
      <c r="C120" s="45"/>
      <c r="D120" s="45"/>
      <c r="E120" s="45"/>
      <c r="F120" s="45"/>
      <c r="G120" s="45"/>
      <c r="H120" s="45"/>
      <c r="I120" s="45"/>
      <c r="J120" s="109"/>
      <c r="K120" s="109"/>
      <c r="L120" s="109"/>
      <c r="M120" s="80"/>
      <c r="N120" s="80"/>
      <c r="O120" s="80"/>
      <c r="P120" s="80"/>
      <c r="Q120" s="80"/>
      <c r="R120" s="80"/>
      <c r="S120" s="80"/>
      <c r="T120" s="80"/>
      <c r="U120" s="80"/>
      <c r="V120" s="1236"/>
      <c r="W120" s="1236"/>
      <c r="X120" s="1236"/>
      <c r="Y120" s="1236"/>
      <c r="Z120" s="1236"/>
      <c r="AA120" s="1236"/>
      <c r="AB120" s="1236"/>
      <c r="AC120" s="1236"/>
      <c r="AD120" s="1236"/>
      <c r="AE120" s="1236"/>
      <c r="AF120" s="1236"/>
    </row>
    <row r="121" ht="12.0" customHeight="1">
      <c r="A121" s="45"/>
      <c r="B121" s="45"/>
      <c r="C121" s="45"/>
      <c r="D121" s="45"/>
      <c r="E121" s="45"/>
      <c r="F121" s="45"/>
      <c r="G121" s="45"/>
      <c r="H121" s="45"/>
      <c r="I121" s="45"/>
      <c r="J121" s="109"/>
      <c r="K121" s="109"/>
      <c r="L121" s="109"/>
      <c r="M121" s="80"/>
      <c r="N121" s="80"/>
      <c r="O121" s="80"/>
      <c r="P121" s="80"/>
      <c r="Q121" s="80"/>
      <c r="R121" s="80"/>
      <c r="S121" s="80"/>
      <c r="T121" s="80"/>
      <c r="U121" s="80"/>
      <c r="V121" s="1236"/>
      <c r="W121" s="1236"/>
      <c r="X121" s="1236"/>
      <c r="Y121" s="1236"/>
      <c r="Z121" s="1236"/>
      <c r="AA121" s="1236"/>
      <c r="AB121" s="1236"/>
      <c r="AC121" s="1236"/>
      <c r="AD121" s="1236"/>
      <c r="AE121" s="1236"/>
      <c r="AF121" s="1236"/>
    </row>
    <row r="122" ht="12.0" customHeight="1">
      <c r="A122" s="45"/>
      <c r="B122" s="45"/>
      <c r="C122" s="45"/>
      <c r="D122" s="45"/>
      <c r="E122" s="45"/>
      <c r="F122" s="45"/>
      <c r="G122" s="45"/>
      <c r="H122" s="45"/>
      <c r="I122" s="45"/>
      <c r="J122" s="109"/>
      <c r="K122" s="109"/>
      <c r="L122" s="109"/>
      <c r="M122" s="80"/>
      <c r="N122" s="80"/>
      <c r="O122" s="80"/>
      <c r="P122" s="80"/>
      <c r="Q122" s="80"/>
      <c r="R122" s="80"/>
      <c r="S122" s="80"/>
      <c r="T122" s="80"/>
      <c r="U122" s="80"/>
      <c r="V122" s="1236"/>
      <c r="W122" s="1236"/>
      <c r="X122" s="1236"/>
      <c r="Y122" s="1236"/>
      <c r="Z122" s="1236"/>
      <c r="AA122" s="1236"/>
      <c r="AB122" s="1236"/>
      <c r="AC122" s="1236"/>
      <c r="AD122" s="1236"/>
      <c r="AE122" s="1236"/>
      <c r="AF122" s="1236"/>
    </row>
    <row r="123" ht="12.0" customHeight="1">
      <c r="A123" s="45"/>
      <c r="B123" s="45"/>
      <c r="C123" s="45"/>
      <c r="D123" s="45"/>
      <c r="E123" s="45"/>
      <c r="F123" s="45"/>
      <c r="G123" s="45"/>
      <c r="H123" s="45"/>
      <c r="I123" s="45"/>
      <c r="J123" s="109"/>
      <c r="K123" s="109"/>
      <c r="L123" s="109"/>
      <c r="M123" s="80"/>
      <c r="N123" s="80"/>
      <c r="O123" s="80"/>
      <c r="P123" s="80"/>
      <c r="Q123" s="80"/>
      <c r="R123" s="80"/>
      <c r="S123" s="80"/>
      <c r="T123" s="80"/>
      <c r="U123" s="80"/>
      <c r="V123" s="1236"/>
      <c r="W123" s="1236"/>
      <c r="X123" s="1236"/>
      <c r="Y123" s="1236"/>
      <c r="Z123" s="1236"/>
      <c r="AA123" s="1236"/>
      <c r="AB123" s="1236"/>
      <c r="AC123" s="1236"/>
      <c r="AD123" s="1236"/>
      <c r="AE123" s="1236"/>
      <c r="AF123" s="1236"/>
    </row>
    <row r="124" ht="12.0" customHeight="1">
      <c r="A124" s="45"/>
      <c r="B124" s="45"/>
      <c r="C124" s="45"/>
      <c r="D124" s="45"/>
      <c r="E124" s="45"/>
      <c r="F124" s="45"/>
      <c r="G124" s="45"/>
      <c r="H124" s="45"/>
      <c r="I124" s="45"/>
      <c r="J124" s="109"/>
      <c r="K124" s="109"/>
      <c r="L124" s="109"/>
      <c r="M124" s="80"/>
      <c r="N124" s="80"/>
      <c r="O124" s="80"/>
      <c r="P124" s="80"/>
      <c r="Q124" s="80"/>
      <c r="R124" s="80"/>
      <c r="S124" s="80"/>
      <c r="T124" s="80"/>
      <c r="U124" s="80"/>
      <c r="V124" s="1236"/>
      <c r="W124" s="1236"/>
      <c r="X124" s="1236"/>
      <c r="Y124" s="1236"/>
      <c r="Z124" s="1236"/>
      <c r="AA124" s="1236"/>
      <c r="AB124" s="1236"/>
      <c r="AC124" s="1236"/>
      <c r="AD124" s="1236"/>
      <c r="AE124" s="1236"/>
      <c r="AF124" s="1236"/>
    </row>
    <row r="125" ht="12.0" customHeight="1">
      <c r="A125" s="45"/>
      <c r="B125" s="45"/>
      <c r="C125" s="45"/>
      <c r="D125" s="45"/>
      <c r="E125" s="45"/>
      <c r="F125" s="45"/>
      <c r="G125" s="45"/>
      <c r="H125" s="45"/>
      <c r="I125" s="45"/>
      <c r="J125" s="109"/>
      <c r="K125" s="109"/>
      <c r="L125" s="109"/>
      <c r="M125" s="80"/>
      <c r="N125" s="80"/>
      <c r="O125" s="80"/>
      <c r="P125" s="80"/>
      <c r="Q125" s="80"/>
      <c r="R125" s="80"/>
      <c r="S125" s="80"/>
      <c r="T125" s="80"/>
      <c r="U125" s="80"/>
      <c r="V125" s="1236"/>
      <c r="W125" s="1236"/>
      <c r="X125" s="1236"/>
      <c r="Y125" s="1236"/>
      <c r="Z125" s="1236"/>
      <c r="AA125" s="1236"/>
      <c r="AB125" s="1236"/>
      <c r="AC125" s="1236"/>
      <c r="AD125" s="1236"/>
      <c r="AE125" s="1236"/>
      <c r="AF125" s="1236"/>
    </row>
    <row r="126" ht="12.0" customHeight="1">
      <c r="A126" s="45"/>
      <c r="B126" s="45"/>
      <c r="C126" s="45"/>
      <c r="D126" s="45"/>
      <c r="E126" s="45"/>
      <c r="F126" s="45"/>
      <c r="G126" s="45"/>
      <c r="H126" s="45"/>
      <c r="I126" s="45"/>
      <c r="J126" s="109"/>
      <c r="K126" s="109"/>
      <c r="L126" s="109"/>
      <c r="M126" s="80"/>
      <c r="N126" s="80"/>
      <c r="O126" s="80"/>
      <c r="P126" s="80"/>
      <c r="Q126" s="80"/>
      <c r="R126" s="80"/>
      <c r="S126" s="80"/>
      <c r="T126" s="80"/>
      <c r="U126" s="80"/>
      <c r="V126" s="1236"/>
      <c r="W126" s="1236"/>
      <c r="X126" s="1236"/>
      <c r="Y126" s="1236"/>
      <c r="Z126" s="1236"/>
      <c r="AA126" s="1236"/>
      <c r="AB126" s="1236"/>
      <c r="AC126" s="1236"/>
      <c r="AD126" s="1236"/>
      <c r="AE126" s="1236"/>
      <c r="AF126" s="1236"/>
    </row>
    <row r="127" ht="12.0" customHeight="1">
      <c r="A127" s="45"/>
      <c r="B127" s="45"/>
      <c r="C127" s="45"/>
      <c r="D127" s="45"/>
      <c r="E127" s="45"/>
      <c r="F127" s="45"/>
      <c r="G127" s="45"/>
      <c r="H127" s="45"/>
      <c r="I127" s="45"/>
      <c r="J127" s="109"/>
      <c r="K127" s="109"/>
      <c r="L127" s="109"/>
      <c r="M127" s="80"/>
      <c r="N127" s="80"/>
      <c r="O127" s="80"/>
      <c r="P127" s="80"/>
      <c r="Q127" s="80"/>
      <c r="R127" s="80"/>
      <c r="S127" s="80"/>
      <c r="T127" s="80"/>
      <c r="U127" s="80"/>
      <c r="V127" s="1236"/>
      <c r="W127" s="1236"/>
      <c r="X127" s="1236"/>
      <c r="Y127" s="1236"/>
      <c r="Z127" s="1236"/>
      <c r="AA127" s="1236"/>
      <c r="AB127" s="1236"/>
      <c r="AC127" s="1236"/>
      <c r="AD127" s="1236"/>
      <c r="AE127" s="1236"/>
      <c r="AF127" s="1236"/>
    </row>
    <row r="128" ht="12.0" customHeight="1">
      <c r="A128" s="45"/>
      <c r="B128" s="45"/>
      <c r="C128" s="45"/>
      <c r="D128" s="45"/>
      <c r="E128" s="45"/>
      <c r="F128" s="45"/>
      <c r="G128" s="45"/>
      <c r="H128" s="45"/>
      <c r="I128" s="45"/>
      <c r="J128" s="109"/>
      <c r="K128" s="109"/>
      <c r="L128" s="109"/>
      <c r="M128" s="80"/>
      <c r="N128" s="80"/>
      <c r="O128" s="80"/>
      <c r="P128" s="80"/>
      <c r="Q128" s="80"/>
      <c r="R128" s="80"/>
      <c r="S128" s="80"/>
      <c r="T128" s="80"/>
      <c r="U128" s="80"/>
      <c r="V128" s="1236"/>
      <c r="W128" s="1236"/>
      <c r="X128" s="1236"/>
      <c r="Y128" s="1236"/>
      <c r="Z128" s="1236"/>
      <c r="AA128" s="1236"/>
      <c r="AB128" s="1236"/>
      <c r="AC128" s="1236"/>
      <c r="AD128" s="1236"/>
      <c r="AE128" s="1236"/>
      <c r="AF128" s="1236"/>
    </row>
    <row r="129" ht="12.0" customHeight="1">
      <c r="A129" s="45"/>
      <c r="B129" s="45"/>
      <c r="C129" s="45"/>
      <c r="D129" s="45"/>
      <c r="E129" s="45"/>
      <c r="F129" s="45"/>
      <c r="G129" s="45"/>
      <c r="H129" s="45"/>
      <c r="I129" s="45"/>
      <c r="J129" s="109"/>
      <c r="K129" s="109"/>
      <c r="L129" s="109"/>
      <c r="M129" s="80"/>
      <c r="N129" s="80"/>
      <c r="O129" s="80"/>
      <c r="P129" s="80"/>
      <c r="Q129" s="80"/>
      <c r="R129" s="80"/>
      <c r="S129" s="80"/>
      <c r="T129" s="80"/>
      <c r="U129" s="80"/>
      <c r="V129" s="1236"/>
      <c r="W129" s="1236"/>
      <c r="X129" s="1236"/>
      <c r="Y129" s="1236"/>
      <c r="Z129" s="1236"/>
      <c r="AA129" s="1236"/>
      <c r="AB129" s="1236"/>
      <c r="AC129" s="1236"/>
      <c r="AD129" s="1236"/>
      <c r="AE129" s="1236"/>
      <c r="AF129" s="1236"/>
    </row>
    <row r="130" ht="12.0" customHeight="1">
      <c r="A130" s="45"/>
      <c r="B130" s="45"/>
      <c r="C130" s="45"/>
      <c r="D130" s="45"/>
      <c r="E130" s="45"/>
      <c r="F130" s="45"/>
      <c r="G130" s="45"/>
      <c r="H130" s="45"/>
      <c r="I130" s="45"/>
      <c r="J130" s="109"/>
      <c r="K130" s="109"/>
      <c r="L130" s="109"/>
      <c r="M130" s="80"/>
      <c r="N130" s="80"/>
      <c r="O130" s="80"/>
      <c r="P130" s="80"/>
      <c r="Q130" s="80"/>
      <c r="R130" s="80"/>
      <c r="S130" s="80"/>
      <c r="T130" s="80"/>
      <c r="U130" s="80"/>
      <c r="V130" s="1236"/>
      <c r="W130" s="1236"/>
      <c r="X130" s="1236"/>
      <c r="Y130" s="1236"/>
      <c r="Z130" s="1236"/>
      <c r="AA130" s="1236"/>
      <c r="AB130" s="1236"/>
      <c r="AC130" s="1236"/>
      <c r="AD130" s="1236"/>
      <c r="AE130" s="1236"/>
      <c r="AF130" s="1236"/>
    </row>
    <row r="131" ht="12.0" customHeight="1">
      <c r="A131" s="45"/>
      <c r="B131" s="45"/>
      <c r="C131" s="45"/>
      <c r="D131" s="45"/>
      <c r="E131" s="45"/>
      <c r="F131" s="45"/>
      <c r="G131" s="45"/>
      <c r="H131" s="45"/>
      <c r="I131" s="45"/>
      <c r="J131" s="109"/>
      <c r="K131" s="109"/>
      <c r="L131" s="109"/>
      <c r="M131" s="80"/>
      <c r="N131" s="80"/>
      <c r="O131" s="80"/>
      <c r="P131" s="80"/>
      <c r="Q131" s="80"/>
      <c r="R131" s="80"/>
      <c r="S131" s="80"/>
      <c r="T131" s="80"/>
      <c r="U131" s="80"/>
      <c r="V131" s="1236"/>
      <c r="W131" s="1236"/>
      <c r="X131" s="1236"/>
      <c r="Y131" s="1236"/>
      <c r="Z131" s="1236"/>
      <c r="AA131" s="1236"/>
      <c r="AB131" s="1236"/>
      <c r="AC131" s="1236"/>
      <c r="AD131" s="1236"/>
      <c r="AE131" s="1236"/>
      <c r="AF131" s="1236"/>
    </row>
    <row r="132" ht="12.0" customHeight="1">
      <c r="A132" s="45"/>
      <c r="B132" s="45"/>
      <c r="C132" s="45"/>
      <c r="D132" s="45"/>
      <c r="E132" s="45"/>
      <c r="F132" s="45"/>
      <c r="G132" s="45"/>
      <c r="H132" s="45"/>
      <c r="I132" s="45"/>
      <c r="J132" s="109"/>
      <c r="K132" s="109"/>
      <c r="L132" s="109"/>
      <c r="M132" s="80"/>
      <c r="N132" s="80"/>
      <c r="O132" s="80"/>
      <c r="P132" s="80"/>
      <c r="Q132" s="80"/>
      <c r="R132" s="80"/>
      <c r="S132" s="80"/>
      <c r="T132" s="80"/>
      <c r="U132" s="80"/>
      <c r="V132" s="1236"/>
      <c r="W132" s="1236"/>
      <c r="X132" s="1236"/>
      <c r="Y132" s="1236"/>
      <c r="Z132" s="1236"/>
      <c r="AA132" s="1236"/>
      <c r="AB132" s="1236"/>
      <c r="AC132" s="1236"/>
      <c r="AD132" s="1236"/>
      <c r="AE132" s="1236"/>
      <c r="AF132" s="1236"/>
    </row>
    <row r="133" ht="12.0" customHeight="1">
      <c r="A133" s="45"/>
      <c r="B133" s="45"/>
      <c r="C133" s="45"/>
      <c r="D133" s="45"/>
      <c r="E133" s="45"/>
      <c r="F133" s="45"/>
      <c r="G133" s="45"/>
      <c r="H133" s="45"/>
      <c r="I133" s="45"/>
      <c r="J133" s="109"/>
      <c r="K133" s="109"/>
      <c r="L133" s="109"/>
      <c r="M133" s="80"/>
      <c r="N133" s="80"/>
      <c r="O133" s="80"/>
      <c r="P133" s="80"/>
      <c r="Q133" s="80"/>
      <c r="R133" s="80"/>
      <c r="S133" s="80"/>
      <c r="T133" s="80"/>
      <c r="U133" s="80"/>
      <c r="V133" s="1236"/>
      <c r="W133" s="1236"/>
      <c r="X133" s="1236"/>
      <c r="Y133" s="1236"/>
      <c r="Z133" s="1236"/>
      <c r="AA133" s="1236"/>
      <c r="AB133" s="1236"/>
      <c r="AC133" s="1236"/>
      <c r="AD133" s="1236"/>
      <c r="AE133" s="1236"/>
      <c r="AF133" s="1236"/>
    </row>
    <row r="134" ht="12.0" customHeight="1">
      <c r="A134" s="45"/>
      <c r="B134" s="45"/>
      <c r="C134" s="45"/>
      <c r="D134" s="45"/>
      <c r="E134" s="45"/>
      <c r="F134" s="45"/>
      <c r="G134" s="45"/>
      <c r="H134" s="45"/>
      <c r="I134" s="45"/>
      <c r="J134" s="109"/>
      <c r="K134" s="109"/>
      <c r="L134" s="109"/>
      <c r="M134" s="80"/>
      <c r="N134" s="80"/>
      <c r="O134" s="80"/>
      <c r="P134" s="80"/>
      <c r="Q134" s="80"/>
      <c r="R134" s="80"/>
      <c r="S134" s="80"/>
      <c r="T134" s="80"/>
      <c r="U134" s="80"/>
      <c r="V134" s="1236"/>
      <c r="W134" s="1236"/>
      <c r="X134" s="1236"/>
      <c r="Y134" s="1236"/>
      <c r="Z134" s="1236"/>
      <c r="AA134" s="1236"/>
      <c r="AB134" s="1236"/>
      <c r="AC134" s="1236"/>
      <c r="AD134" s="1236"/>
      <c r="AE134" s="1236"/>
      <c r="AF134" s="1236"/>
    </row>
    <row r="135" ht="12.0" customHeight="1">
      <c r="A135" s="45"/>
      <c r="B135" s="45"/>
      <c r="C135" s="45"/>
      <c r="D135" s="45"/>
      <c r="E135" s="45"/>
      <c r="F135" s="45"/>
      <c r="G135" s="45"/>
      <c r="H135" s="45"/>
      <c r="I135" s="45"/>
      <c r="J135" s="109"/>
      <c r="K135" s="109"/>
      <c r="L135" s="109"/>
      <c r="M135" s="80"/>
      <c r="N135" s="80"/>
      <c r="O135" s="80"/>
      <c r="P135" s="80"/>
      <c r="Q135" s="80"/>
      <c r="R135" s="80"/>
      <c r="S135" s="80"/>
      <c r="T135" s="80"/>
      <c r="U135" s="80"/>
      <c r="V135" s="1236"/>
      <c r="W135" s="1236"/>
      <c r="X135" s="1236"/>
      <c r="Y135" s="1236"/>
      <c r="Z135" s="1236"/>
      <c r="AA135" s="1236"/>
      <c r="AB135" s="1236"/>
      <c r="AC135" s="1236"/>
      <c r="AD135" s="1236"/>
      <c r="AE135" s="1236"/>
      <c r="AF135" s="1236"/>
    </row>
    <row r="136" ht="12.0" customHeight="1">
      <c r="A136" s="45"/>
      <c r="B136" s="45"/>
      <c r="C136" s="45"/>
      <c r="D136" s="45"/>
      <c r="E136" s="45"/>
      <c r="F136" s="45"/>
      <c r="G136" s="45"/>
      <c r="H136" s="45"/>
      <c r="I136" s="45"/>
      <c r="J136" s="109"/>
      <c r="K136" s="109"/>
      <c r="L136" s="109"/>
      <c r="M136" s="80"/>
      <c r="N136" s="80"/>
      <c r="O136" s="80"/>
      <c r="P136" s="80"/>
      <c r="Q136" s="80"/>
      <c r="R136" s="80"/>
      <c r="S136" s="80"/>
      <c r="T136" s="80"/>
      <c r="U136" s="80"/>
      <c r="V136" s="1236"/>
      <c r="W136" s="1236"/>
      <c r="X136" s="1236"/>
      <c r="Y136" s="1236"/>
      <c r="Z136" s="1236"/>
      <c r="AA136" s="1236"/>
      <c r="AB136" s="1236"/>
      <c r="AC136" s="1236"/>
      <c r="AD136" s="1236"/>
      <c r="AE136" s="1236"/>
      <c r="AF136" s="1236"/>
    </row>
    <row r="137" ht="12.0" customHeight="1">
      <c r="A137" s="45"/>
      <c r="B137" s="45"/>
      <c r="C137" s="45"/>
      <c r="D137" s="45"/>
      <c r="E137" s="45"/>
      <c r="F137" s="45"/>
      <c r="G137" s="45"/>
      <c r="H137" s="45"/>
      <c r="I137" s="45"/>
      <c r="J137" s="109"/>
      <c r="K137" s="109"/>
      <c r="L137" s="109"/>
      <c r="M137" s="80"/>
      <c r="N137" s="80"/>
      <c r="O137" s="80"/>
      <c r="P137" s="80"/>
      <c r="Q137" s="80"/>
      <c r="R137" s="80"/>
      <c r="S137" s="80"/>
      <c r="T137" s="80"/>
      <c r="U137" s="80"/>
      <c r="V137" s="1236"/>
      <c r="W137" s="1236"/>
      <c r="X137" s="1236"/>
      <c r="Y137" s="1236"/>
      <c r="Z137" s="1236"/>
      <c r="AA137" s="1236"/>
      <c r="AB137" s="1236"/>
      <c r="AC137" s="1236"/>
      <c r="AD137" s="1236"/>
      <c r="AE137" s="1236"/>
      <c r="AF137" s="1236"/>
    </row>
    <row r="138" ht="12.0" customHeight="1">
      <c r="A138" s="45"/>
      <c r="B138" s="45"/>
      <c r="C138" s="45"/>
      <c r="D138" s="45"/>
      <c r="E138" s="45"/>
      <c r="F138" s="45"/>
      <c r="G138" s="45"/>
      <c r="H138" s="45"/>
      <c r="I138" s="45"/>
      <c r="J138" s="109"/>
      <c r="K138" s="109"/>
      <c r="L138" s="109"/>
      <c r="M138" s="80"/>
      <c r="N138" s="80"/>
      <c r="O138" s="80"/>
      <c r="P138" s="80"/>
      <c r="Q138" s="80"/>
      <c r="R138" s="80"/>
      <c r="S138" s="80"/>
      <c r="T138" s="80"/>
      <c r="U138" s="80"/>
      <c r="V138" s="1236"/>
      <c r="W138" s="1236"/>
      <c r="X138" s="1236"/>
      <c r="Y138" s="1236"/>
      <c r="Z138" s="1236"/>
      <c r="AA138" s="1236"/>
      <c r="AB138" s="1236"/>
      <c r="AC138" s="1236"/>
      <c r="AD138" s="1236"/>
      <c r="AE138" s="1236"/>
      <c r="AF138" s="1236"/>
    </row>
    <row r="139" ht="12.0" customHeight="1">
      <c r="A139" s="45"/>
      <c r="B139" s="45"/>
      <c r="C139" s="45"/>
      <c r="D139" s="45"/>
      <c r="E139" s="45"/>
      <c r="F139" s="45"/>
      <c r="G139" s="45"/>
      <c r="H139" s="45"/>
      <c r="I139" s="45"/>
      <c r="J139" s="109"/>
      <c r="K139" s="109"/>
      <c r="L139" s="109"/>
      <c r="M139" s="80"/>
      <c r="N139" s="80"/>
      <c r="O139" s="80"/>
      <c r="P139" s="80"/>
      <c r="Q139" s="80"/>
      <c r="R139" s="80"/>
      <c r="S139" s="80"/>
      <c r="T139" s="80"/>
      <c r="U139" s="80"/>
      <c r="V139" s="1236"/>
      <c r="W139" s="1236"/>
      <c r="X139" s="1236"/>
      <c r="Y139" s="1236"/>
      <c r="Z139" s="1236"/>
      <c r="AA139" s="1236"/>
      <c r="AB139" s="1236"/>
      <c r="AC139" s="1236"/>
      <c r="AD139" s="1236"/>
      <c r="AE139" s="1236"/>
      <c r="AF139" s="1236"/>
    </row>
    <row r="140" ht="12.0" customHeight="1">
      <c r="A140" s="45"/>
      <c r="B140" s="45"/>
      <c r="C140" s="45"/>
      <c r="D140" s="45"/>
      <c r="E140" s="45"/>
      <c r="F140" s="45"/>
      <c r="G140" s="45"/>
      <c r="H140" s="45"/>
      <c r="I140" s="45"/>
      <c r="J140" s="109"/>
      <c r="K140" s="109"/>
      <c r="L140" s="109"/>
      <c r="M140" s="80"/>
      <c r="N140" s="80"/>
      <c r="O140" s="80"/>
      <c r="P140" s="80"/>
      <c r="Q140" s="80"/>
      <c r="R140" s="80"/>
      <c r="S140" s="80"/>
      <c r="T140" s="80"/>
      <c r="U140" s="80"/>
      <c r="V140" s="1236"/>
      <c r="W140" s="1236"/>
      <c r="X140" s="1236"/>
      <c r="Y140" s="1236"/>
      <c r="Z140" s="1236"/>
      <c r="AA140" s="1236"/>
      <c r="AB140" s="1236"/>
      <c r="AC140" s="1236"/>
      <c r="AD140" s="1236"/>
      <c r="AE140" s="1236"/>
      <c r="AF140" s="1236"/>
    </row>
    <row r="141" ht="12.0" customHeight="1">
      <c r="A141" s="45"/>
      <c r="B141" s="45"/>
      <c r="C141" s="45"/>
      <c r="D141" s="45"/>
      <c r="E141" s="45"/>
      <c r="F141" s="45"/>
      <c r="G141" s="45"/>
      <c r="H141" s="45"/>
      <c r="I141" s="45"/>
      <c r="J141" s="109"/>
      <c r="K141" s="109"/>
      <c r="L141" s="109"/>
      <c r="M141" s="80"/>
      <c r="N141" s="80"/>
      <c r="O141" s="80"/>
      <c r="P141" s="80"/>
      <c r="Q141" s="80"/>
      <c r="R141" s="80"/>
      <c r="S141" s="80"/>
      <c r="T141" s="80"/>
      <c r="U141" s="80"/>
      <c r="V141" s="1236"/>
      <c r="W141" s="1236"/>
      <c r="X141" s="1236"/>
      <c r="Y141" s="1236"/>
      <c r="Z141" s="1236"/>
      <c r="AA141" s="1236"/>
      <c r="AB141" s="1236"/>
      <c r="AC141" s="1236"/>
      <c r="AD141" s="1236"/>
      <c r="AE141" s="1236"/>
      <c r="AF141" s="1236"/>
    </row>
    <row r="142" ht="12.0" customHeight="1">
      <c r="A142" s="45"/>
      <c r="B142" s="45"/>
      <c r="C142" s="45"/>
      <c r="D142" s="45"/>
      <c r="E142" s="45"/>
      <c r="F142" s="45"/>
      <c r="G142" s="45"/>
      <c r="H142" s="45"/>
      <c r="I142" s="45"/>
      <c r="J142" s="109"/>
      <c r="K142" s="109"/>
      <c r="L142" s="109"/>
      <c r="M142" s="80"/>
      <c r="N142" s="80"/>
      <c r="O142" s="80"/>
      <c r="P142" s="80"/>
      <c r="Q142" s="80"/>
      <c r="R142" s="80"/>
      <c r="S142" s="80"/>
      <c r="T142" s="80"/>
      <c r="U142" s="80"/>
      <c r="V142" s="1236"/>
      <c r="W142" s="1236"/>
      <c r="X142" s="1236"/>
      <c r="Y142" s="1236"/>
      <c r="Z142" s="1236"/>
      <c r="AA142" s="1236"/>
      <c r="AB142" s="1236"/>
      <c r="AC142" s="1236"/>
      <c r="AD142" s="1236"/>
      <c r="AE142" s="1236"/>
      <c r="AF142" s="1236"/>
    </row>
    <row r="143" ht="12.0" customHeight="1">
      <c r="A143" s="45"/>
      <c r="B143" s="45"/>
      <c r="C143" s="45"/>
      <c r="D143" s="45"/>
      <c r="E143" s="45"/>
      <c r="F143" s="45"/>
      <c r="G143" s="45"/>
      <c r="H143" s="45"/>
      <c r="I143" s="45"/>
      <c r="J143" s="109"/>
      <c r="K143" s="109"/>
      <c r="L143" s="109"/>
      <c r="M143" s="80"/>
      <c r="N143" s="80"/>
      <c r="O143" s="80"/>
      <c r="P143" s="80"/>
      <c r="Q143" s="80"/>
      <c r="R143" s="80"/>
      <c r="S143" s="80"/>
      <c r="T143" s="80"/>
      <c r="U143" s="80"/>
      <c r="V143" s="1236"/>
      <c r="W143" s="1236"/>
      <c r="X143" s="1236"/>
      <c r="Y143" s="1236"/>
      <c r="Z143" s="1236"/>
      <c r="AA143" s="1236"/>
      <c r="AB143" s="1236"/>
      <c r="AC143" s="1236"/>
      <c r="AD143" s="1236"/>
      <c r="AE143" s="1236"/>
      <c r="AF143" s="1236"/>
    </row>
    <row r="144" ht="12.0" customHeight="1">
      <c r="A144" s="45"/>
      <c r="B144" s="45"/>
      <c r="C144" s="45"/>
      <c r="D144" s="45"/>
      <c r="E144" s="45"/>
      <c r="F144" s="45"/>
      <c r="G144" s="45"/>
      <c r="H144" s="45"/>
      <c r="I144" s="45"/>
      <c r="J144" s="109"/>
      <c r="K144" s="109"/>
      <c r="L144" s="109"/>
      <c r="M144" s="80"/>
      <c r="N144" s="80"/>
      <c r="O144" s="80"/>
      <c r="P144" s="80"/>
      <c r="Q144" s="80"/>
      <c r="R144" s="80"/>
      <c r="S144" s="80"/>
      <c r="T144" s="80"/>
      <c r="U144" s="80"/>
      <c r="V144" s="1236"/>
      <c r="W144" s="1236"/>
      <c r="X144" s="1236"/>
      <c r="Y144" s="1236"/>
      <c r="Z144" s="1236"/>
      <c r="AA144" s="1236"/>
      <c r="AB144" s="1236"/>
      <c r="AC144" s="1236"/>
      <c r="AD144" s="1236"/>
      <c r="AE144" s="1236"/>
      <c r="AF144" s="1236"/>
    </row>
    <row r="145" ht="12.0" customHeight="1">
      <c r="A145" s="45"/>
      <c r="B145" s="45"/>
      <c r="C145" s="45"/>
      <c r="D145" s="45"/>
      <c r="E145" s="45"/>
      <c r="F145" s="45"/>
      <c r="G145" s="45"/>
      <c r="H145" s="45"/>
      <c r="I145" s="45"/>
      <c r="J145" s="109"/>
      <c r="K145" s="109"/>
      <c r="L145" s="109"/>
      <c r="M145" s="80"/>
      <c r="N145" s="80"/>
      <c r="O145" s="80"/>
      <c r="P145" s="80"/>
      <c r="Q145" s="80"/>
      <c r="R145" s="80"/>
      <c r="S145" s="80"/>
      <c r="T145" s="80"/>
      <c r="U145" s="80"/>
      <c r="V145" s="1236"/>
      <c r="W145" s="1236"/>
      <c r="X145" s="1236"/>
      <c r="Y145" s="1236"/>
      <c r="Z145" s="1236"/>
      <c r="AA145" s="1236"/>
      <c r="AB145" s="1236"/>
      <c r="AC145" s="1236"/>
      <c r="AD145" s="1236"/>
      <c r="AE145" s="1236"/>
      <c r="AF145" s="1236"/>
    </row>
    <row r="146" ht="12.0" customHeight="1">
      <c r="A146" s="45"/>
      <c r="B146" s="45"/>
      <c r="C146" s="45"/>
      <c r="D146" s="45"/>
      <c r="E146" s="45"/>
      <c r="F146" s="45"/>
      <c r="G146" s="45"/>
      <c r="H146" s="45"/>
      <c r="I146" s="45"/>
      <c r="J146" s="109"/>
      <c r="K146" s="109"/>
      <c r="L146" s="109"/>
      <c r="M146" s="80"/>
      <c r="N146" s="80"/>
      <c r="O146" s="80"/>
      <c r="P146" s="80"/>
      <c r="Q146" s="80"/>
      <c r="R146" s="80"/>
      <c r="S146" s="80"/>
      <c r="T146" s="80"/>
      <c r="U146" s="80"/>
      <c r="V146" s="1236"/>
      <c r="W146" s="1236"/>
      <c r="X146" s="1236"/>
      <c r="Y146" s="1236"/>
      <c r="Z146" s="1236"/>
      <c r="AA146" s="1236"/>
      <c r="AB146" s="1236"/>
      <c r="AC146" s="1236"/>
      <c r="AD146" s="1236"/>
      <c r="AE146" s="1236"/>
      <c r="AF146" s="1236"/>
    </row>
    <row r="147" ht="12.0" customHeight="1">
      <c r="A147" s="45"/>
      <c r="B147" s="45"/>
      <c r="C147" s="45"/>
      <c r="D147" s="45"/>
      <c r="E147" s="45"/>
      <c r="F147" s="45"/>
      <c r="G147" s="45"/>
      <c r="H147" s="45"/>
      <c r="I147" s="45"/>
      <c r="J147" s="109"/>
      <c r="K147" s="109"/>
      <c r="L147" s="109"/>
      <c r="M147" s="80"/>
      <c r="N147" s="80"/>
      <c r="O147" s="80"/>
      <c r="P147" s="80"/>
      <c r="Q147" s="80"/>
      <c r="R147" s="80"/>
      <c r="S147" s="80"/>
      <c r="T147" s="80"/>
      <c r="U147" s="80"/>
      <c r="V147" s="1236"/>
      <c r="W147" s="1236"/>
      <c r="X147" s="1236"/>
      <c r="Y147" s="1236"/>
      <c r="Z147" s="1236"/>
      <c r="AA147" s="1236"/>
      <c r="AB147" s="1236"/>
      <c r="AC147" s="1236"/>
      <c r="AD147" s="1236"/>
      <c r="AE147" s="1236"/>
      <c r="AF147" s="1236"/>
    </row>
    <row r="148" ht="12.0" customHeight="1">
      <c r="A148" s="45"/>
      <c r="B148" s="45"/>
      <c r="C148" s="45"/>
      <c r="D148" s="45"/>
      <c r="E148" s="45"/>
      <c r="F148" s="45"/>
      <c r="G148" s="45"/>
      <c r="H148" s="45"/>
      <c r="I148" s="45"/>
      <c r="J148" s="109"/>
      <c r="K148" s="109"/>
      <c r="L148" s="109"/>
      <c r="M148" s="80"/>
      <c r="N148" s="80"/>
      <c r="O148" s="80"/>
      <c r="P148" s="80"/>
      <c r="Q148" s="80"/>
      <c r="R148" s="80"/>
      <c r="S148" s="80"/>
      <c r="T148" s="80"/>
      <c r="U148" s="80"/>
      <c r="V148" s="1236"/>
      <c r="W148" s="1236"/>
      <c r="X148" s="1236"/>
      <c r="Y148" s="1236"/>
      <c r="Z148" s="1236"/>
      <c r="AA148" s="1236"/>
      <c r="AB148" s="1236"/>
      <c r="AC148" s="1236"/>
      <c r="AD148" s="1236"/>
      <c r="AE148" s="1236"/>
      <c r="AF148" s="1236"/>
    </row>
    <row r="149" ht="12.0" customHeight="1">
      <c r="A149" s="45"/>
      <c r="B149" s="45"/>
      <c r="C149" s="45"/>
      <c r="D149" s="45"/>
      <c r="E149" s="45"/>
      <c r="F149" s="45"/>
      <c r="G149" s="45"/>
      <c r="H149" s="45"/>
      <c r="I149" s="45"/>
      <c r="J149" s="109"/>
      <c r="K149" s="109"/>
      <c r="L149" s="109"/>
      <c r="M149" s="80"/>
      <c r="N149" s="80"/>
      <c r="O149" s="80"/>
      <c r="P149" s="80"/>
      <c r="Q149" s="80"/>
      <c r="R149" s="80"/>
      <c r="S149" s="80"/>
      <c r="T149" s="80"/>
      <c r="U149" s="80"/>
      <c r="V149" s="1236"/>
      <c r="W149" s="1236"/>
      <c r="X149" s="1236"/>
      <c r="Y149" s="1236"/>
      <c r="Z149" s="1236"/>
      <c r="AA149" s="1236"/>
      <c r="AB149" s="1236"/>
      <c r="AC149" s="1236"/>
      <c r="AD149" s="1236"/>
      <c r="AE149" s="1236"/>
      <c r="AF149" s="1236"/>
    </row>
    <row r="150" ht="12.0" customHeight="1">
      <c r="A150" s="45"/>
      <c r="B150" s="45"/>
      <c r="C150" s="45"/>
      <c r="D150" s="45"/>
      <c r="E150" s="45"/>
      <c r="F150" s="45"/>
      <c r="G150" s="45"/>
      <c r="H150" s="45"/>
      <c r="I150" s="45"/>
      <c r="J150" s="109"/>
      <c r="K150" s="109"/>
      <c r="L150" s="109"/>
      <c r="M150" s="80"/>
      <c r="N150" s="80"/>
      <c r="O150" s="80"/>
      <c r="P150" s="80"/>
      <c r="Q150" s="80"/>
      <c r="R150" s="80"/>
      <c r="S150" s="80"/>
      <c r="T150" s="80"/>
      <c r="U150" s="80"/>
      <c r="V150" s="1236"/>
      <c r="W150" s="1236"/>
      <c r="X150" s="1236"/>
      <c r="Y150" s="1236"/>
      <c r="Z150" s="1236"/>
      <c r="AA150" s="1236"/>
      <c r="AB150" s="1236"/>
      <c r="AC150" s="1236"/>
      <c r="AD150" s="1236"/>
      <c r="AE150" s="1236"/>
      <c r="AF150" s="1236"/>
    </row>
    <row r="151" ht="12.0" customHeight="1">
      <c r="A151" s="45"/>
      <c r="B151" s="45"/>
      <c r="C151" s="45"/>
      <c r="D151" s="45"/>
      <c r="E151" s="45"/>
      <c r="F151" s="45"/>
      <c r="G151" s="45"/>
      <c r="H151" s="45"/>
      <c r="I151" s="45"/>
      <c r="J151" s="109"/>
      <c r="K151" s="109"/>
      <c r="L151" s="109"/>
      <c r="M151" s="80"/>
      <c r="N151" s="80"/>
      <c r="O151" s="80"/>
      <c r="P151" s="80"/>
      <c r="Q151" s="80"/>
      <c r="R151" s="80"/>
      <c r="S151" s="80"/>
      <c r="T151" s="80"/>
      <c r="U151" s="80"/>
      <c r="V151" s="1236"/>
      <c r="W151" s="1236"/>
      <c r="X151" s="1236"/>
      <c r="Y151" s="1236"/>
      <c r="Z151" s="1236"/>
      <c r="AA151" s="1236"/>
      <c r="AB151" s="1236"/>
      <c r="AC151" s="1236"/>
      <c r="AD151" s="1236"/>
      <c r="AE151" s="1236"/>
      <c r="AF151" s="1236"/>
    </row>
    <row r="152" ht="12.0" customHeight="1">
      <c r="A152" s="45"/>
      <c r="B152" s="45"/>
      <c r="C152" s="45"/>
      <c r="D152" s="45"/>
      <c r="E152" s="45"/>
      <c r="F152" s="45"/>
      <c r="G152" s="45"/>
      <c r="H152" s="45"/>
      <c r="I152" s="45"/>
      <c r="J152" s="109"/>
      <c r="K152" s="109"/>
      <c r="L152" s="109"/>
      <c r="M152" s="80"/>
      <c r="N152" s="80"/>
      <c r="O152" s="80"/>
      <c r="P152" s="80"/>
      <c r="Q152" s="80"/>
      <c r="R152" s="80"/>
      <c r="S152" s="80"/>
      <c r="T152" s="80"/>
      <c r="U152" s="80"/>
      <c r="V152" s="1236"/>
      <c r="W152" s="1236"/>
      <c r="X152" s="1236"/>
      <c r="Y152" s="1236"/>
      <c r="Z152" s="1236"/>
      <c r="AA152" s="1236"/>
      <c r="AB152" s="1236"/>
      <c r="AC152" s="1236"/>
      <c r="AD152" s="1236"/>
      <c r="AE152" s="1236"/>
      <c r="AF152" s="1236"/>
    </row>
    <row r="153" ht="12.0" customHeight="1">
      <c r="A153" s="45"/>
      <c r="B153" s="45"/>
      <c r="C153" s="45"/>
      <c r="D153" s="45"/>
      <c r="E153" s="45"/>
      <c r="F153" s="45"/>
      <c r="G153" s="45"/>
      <c r="H153" s="45"/>
      <c r="I153" s="45"/>
      <c r="J153" s="109"/>
      <c r="K153" s="109"/>
      <c r="L153" s="109"/>
      <c r="M153" s="80"/>
      <c r="N153" s="80"/>
      <c r="O153" s="80"/>
      <c r="P153" s="80"/>
      <c r="Q153" s="80"/>
      <c r="R153" s="80"/>
      <c r="S153" s="80"/>
      <c r="T153" s="80"/>
      <c r="U153" s="80"/>
      <c r="V153" s="1236"/>
      <c r="W153" s="1236"/>
      <c r="X153" s="1236"/>
      <c r="Y153" s="1236"/>
      <c r="Z153" s="1236"/>
      <c r="AA153" s="1236"/>
      <c r="AB153" s="1236"/>
      <c r="AC153" s="1236"/>
      <c r="AD153" s="1236"/>
      <c r="AE153" s="1236"/>
      <c r="AF153" s="1236"/>
    </row>
    <row r="154" ht="12.0" customHeight="1">
      <c r="A154" s="45"/>
      <c r="B154" s="45"/>
      <c r="C154" s="45"/>
      <c r="D154" s="45"/>
      <c r="E154" s="45"/>
      <c r="F154" s="45"/>
      <c r="G154" s="45"/>
      <c r="H154" s="45"/>
      <c r="I154" s="45"/>
      <c r="J154" s="109"/>
      <c r="K154" s="109"/>
      <c r="L154" s="109"/>
      <c r="M154" s="80"/>
      <c r="N154" s="80"/>
      <c r="O154" s="80"/>
      <c r="P154" s="80"/>
      <c r="Q154" s="80"/>
      <c r="R154" s="80"/>
      <c r="S154" s="80"/>
      <c r="T154" s="80"/>
      <c r="U154" s="80"/>
      <c r="V154" s="1236"/>
      <c r="W154" s="1236"/>
      <c r="X154" s="1236"/>
      <c r="Y154" s="1236"/>
      <c r="Z154" s="1236"/>
      <c r="AA154" s="1236"/>
      <c r="AB154" s="1236"/>
      <c r="AC154" s="1236"/>
      <c r="AD154" s="1236"/>
      <c r="AE154" s="1236"/>
      <c r="AF154" s="1236"/>
    </row>
    <row r="155" ht="12.0" customHeight="1">
      <c r="A155" s="45"/>
      <c r="B155" s="45"/>
      <c r="C155" s="45"/>
      <c r="D155" s="45"/>
      <c r="E155" s="45"/>
      <c r="F155" s="45"/>
      <c r="G155" s="45"/>
      <c r="H155" s="45"/>
      <c r="I155" s="45"/>
      <c r="J155" s="109"/>
      <c r="K155" s="109"/>
      <c r="L155" s="109"/>
      <c r="M155" s="80"/>
      <c r="N155" s="80"/>
      <c r="O155" s="80"/>
      <c r="P155" s="80"/>
      <c r="Q155" s="80"/>
      <c r="R155" s="80"/>
      <c r="S155" s="80"/>
      <c r="T155" s="80"/>
      <c r="U155" s="80"/>
      <c r="V155" s="1236"/>
      <c r="W155" s="1236"/>
      <c r="X155" s="1236"/>
      <c r="Y155" s="1236"/>
      <c r="Z155" s="1236"/>
      <c r="AA155" s="1236"/>
      <c r="AB155" s="1236"/>
      <c r="AC155" s="1236"/>
      <c r="AD155" s="1236"/>
      <c r="AE155" s="1236"/>
      <c r="AF155" s="1236"/>
    </row>
    <row r="156" ht="12.0" customHeight="1">
      <c r="A156" s="45"/>
      <c r="B156" s="45"/>
      <c r="C156" s="45"/>
      <c r="D156" s="45"/>
      <c r="E156" s="45"/>
      <c r="F156" s="45"/>
      <c r="G156" s="45"/>
      <c r="H156" s="45"/>
      <c r="I156" s="45"/>
      <c r="J156" s="109"/>
      <c r="K156" s="109"/>
      <c r="L156" s="109"/>
      <c r="M156" s="80"/>
      <c r="N156" s="80"/>
      <c r="O156" s="80"/>
      <c r="P156" s="80"/>
      <c r="Q156" s="80"/>
      <c r="R156" s="80"/>
      <c r="S156" s="80"/>
      <c r="T156" s="80"/>
      <c r="U156" s="80"/>
      <c r="V156" s="1236"/>
      <c r="W156" s="1236"/>
      <c r="X156" s="1236"/>
      <c r="Y156" s="1236"/>
      <c r="Z156" s="1236"/>
      <c r="AA156" s="1236"/>
      <c r="AB156" s="1236"/>
      <c r="AC156" s="1236"/>
      <c r="AD156" s="1236"/>
      <c r="AE156" s="1236"/>
      <c r="AF156" s="1236"/>
    </row>
    <row r="157" ht="12.0" customHeight="1">
      <c r="A157" s="45"/>
      <c r="B157" s="45"/>
      <c r="C157" s="45"/>
      <c r="D157" s="45"/>
      <c r="E157" s="45"/>
      <c r="F157" s="45"/>
      <c r="G157" s="45"/>
      <c r="H157" s="45"/>
      <c r="I157" s="45"/>
      <c r="J157" s="109"/>
      <c r="K157" s="109"/>
      <c r="L157" s="109"/>
      <c r="M157" s="80"/>
      <c r="N157" s="80"/>
      <c r="O157" s="80"/>
      <c r="P157" s="80"/>
      <c r="Q157" s="80"/>
      <c r="R157" s="80"/>
      <c r="S157" s="80"/>
      <c r="T157" s="80"/>
      <c r="U157" s="80"/>
      <c r="V157" s="1236"/>
      <c r="W157" s="1236"/>
      <c r="X157" s="1236"/>
      <c r="Y157" s="1236"/>
      <c r="Z157" s="1236"/>
      <c r="AA157" s="1236"/>
      <c r="AB157" s="1236"/>
      <c r="AC157" s="1236"/>
      <c r="AD157" s="1236"/>
      <c r="AE157" s="1236"/>
      <c r="AF157" s="1236"/>
    </row>
    <row r="158" ht="12.0" customHeight="1">
      <c r="A158" s="45"/>
      <c r="B158" s="45"/>
      <c r="C158" s="45"/>
      <c r="D158" s="45"/>
      <c r="E158" s="45"/>
      <c r="F158" s="45"/>
      <c r="G158" s="45"/>
      <c r="H158" s="45"/>
      <c r="I158" s="45"/>
      <c r="J158" s="109"/>
      <c r="K158" s="109"/>
      <c r="L158" s="109"/>
      <c r="M158" s="80"/>
      <c r="N158" s="80"/>
      <c r="O158" s="80"/>
      <c r="P158" s="80"/>
      <c r="Q158" s="80"/>
      <c r="R158" s="80"/>
      <c r="S158" s="80"/>
      <c r="T158" s="80"/>
      <c r="U158" s="80"/>
      <c r="V158" s="1236"/>
      <c r="W158" s="1236"/>
      <c r="X158" s="1236"/>
      <c r="Y158" s="1236"/>
      <c r="Z158" s="1236"/>
      <c r="AA158" s="1236"/>
      <c r="AB158" s="1236"/>
      <c r="AC158" s="1236"/>
      <c r="AD158" s="1236"/>
      <c r="AE158" s="1236"/>
      <c r="AF158" s="1236"/>
    </row>
    <row r="159" ht="12.0" customHeight="1">
      <c r="A159" s="45"/>
      <c r="B159" s="45"/>
      <c r="C159" s="45"/>
      <c r="D159" s="45"/>
      <c r="E159" s="45"/>
      <c r="F159" s="45"/>
      <c r="G159" s="45"/>
      <c r="H159" s="45"/>
      <c r="I159" s="45"/>
      <c r="J159" s="109"/>
      <c r="K159" s="109"/>
      <c r="L159" s="109"/>
      <c r="M159" s="80"/>
      <c r="N159" s="80"/>
      <c r="O159" s="80"/>
      <c r="P159" s="80"/>
      <c r="Q159" s="80"/>
      <c r="R159" s="80"/>
      <c r="S159" s="80"/>
      <c r="T159" s="80"/>
      <c r="U159" s="80"/>
      <c r="V159" s="1236"/>
      <c r="W159" s="1236"/>
      <c r="X159" s="1236"/>
      <c r="Y159" s="1236"/>
      <c r="Z159" s="1236"/>
      <c r="AA159" s="1236"/>
      <c r="AB159" s="1236"/>
      <c r="AC159" s="1236"/>
      <c r="AD159" s="1236"/>
      <c r="AE159" s="1236"/>
      <c r="AF159" s="1236"/>
    </row>
    <row r="160" ht="12.0" customHeight="1">
      <c r="A160" s="45"/>
      <c r="B160" s="45"/>
      <c r="C160" s="45"/>
      <c r="D160" s="45"/>
      <c r="E160" s="45"/>
      <c r="F160" s="45"/>
      <c r="G160" s="45"/>
      <c r="H160" s="45"/>
      <c r="I160" s="45"/>
      <c r="J160" s="109"/>
      <c r="K160" s="109"/>
      <c r="L160" s="109"/>
      <c r="M160" s="80"/>
      <c r="N160" s="80"/>
      <c r="O160" s="80"/>
      <c r="P160" s="80"/>
      <c r="Q160" s="80"/>
      <c r="R160" s="80"/>
      <c r="S160" s="80"/>
      <c r="T160" s="80"/>
      <c r="U160" s="80"/>
      <c r="V160" s="1236"/>
      <c r="W160" s="1236"/>
      <c r="X160" s="1236"/>
      <c r="Y160" s="1236"/>
      <c r="Z160" s="1236"/>
      <c r="AA160" s="1236"/>
      <c r="AB160" s="1236"/>
      <c r="AC160" s="1236"/>
      <c r="AD160" s="1236"/>
      <c r="AE160" s="1236"/>
      <c r="AF160" s="1236"/>
    </row>
    <row r="161" ht="12.0" customHeight="1">
      <c r="A161" s="45"/>
      <c r="B161" s="45"/>
      <c r="C161" s="45"/>
      <c r="D161" s="45"/>
      <c r="E161" s="45"/>
      <c r="F161" s="45"/>
      <c r="G161" s="45"/>
      <c r="H161" s="45"/>
      <c r="I161" s="45"/>
      <c r="J161" s="109"/>
      <c r="K161" s="109"/>
      <c r="L161" s="109"/>
      <c r="M161" s="80"/>
      <c r="N161" s="80"/>
      <c r="O161" s="80"/>
      <c r="P161" s="80"/>
      <c r="Q161" s="80"/>
      <c r="R161" s="80"/>
      <c r="S161" s="80"/>
      <c r="T161" s="80"/>
      <c r="U161" s="80"/>
      <c r="V161" s="1236"/>
      <c r="W161" s="1236"/>
      <c r="X161" s="1236"/>
      <c r="Y161" s="1236"/>
      <c r="Z161" s="1236"/>
      <c r="AA161" s="1236"/>
      <c r="AB161" s="1236"/>
      <c r="AC161" s="1236"/>
      <c r="AD161" s="1236"/>
      <c r="AE161" s="1236"/>
      <c r="AF161" s="1236"/>
    </row>
    <row r="162" ht="12.0" customHeight="1">
      <c r="A162" s="45"/>
      <c r="B162" s="45"/>
      <c r="C162" s="45"/>
      <c r="D162" s="45"/>
      <c r="E162" s="45"/>
      <c r="F162" s="45"/>
      <c r="G162" s="45"/>
      <c r="H162" s="45"/>
      <c r="I162" s="45"/>
      <c r="J162" s="109"/>
      <c r="K162" s="109"/>
      <c r="L162" s="109"/>
      <c r="M162" s="80"/>
      <c r="N162" s="80"/>
      <c r="O162" s="80"/>
      <c r="P162" s="80"/>
      <c r="Q162" s="80"/>
      <c r="R162" s="80"/>
      <c r="S162" s="80"/>
      <c r="T162" s="80"/>
      <c r="U162" s="80"/>
      <c r="V162" s="1236"/>
      <c r="W162" s="1236"/>
      <c r="X162" s="1236"/>
      <c r="Y162" s="1236"/>
      <c r="Z162" s="1236"/>
      <c r="AA162" s="1236"/>
      <c r="AB162" s="1236"/>
      <c r="AC162" s="1236"/>
      <c r="AD162" s="1236"/>
      <c r="AE162" s="1236"/>
      <c r="AF162" s="1236"/>
    </row>
    <row r="163" ht="12.0" customHeight="1">
      <c r="A163" s="45"/>
      <c r="B163" s="45"/>
      <c r="C163" s="45"/>
      <c r="D163" s="45"/>
      <c r="E163" s="45"/>
      <c r="F163" s="45"/>
      <c r="G163" s="45"/>
      <c r="H163" s="45"/>
      <c r="I163" s="45"/>
      <c r="J163" s="109"/>
      <c r="K163" s="109"/>
      <c r="L163" s="109"/>
      <c r="M163" s="80"/>
      <c r="N163" s="80"/>
      <c r="O163" s="80"/>
      <c r="P163" s="80"/>
      <c r="Q163" s="80"/>
      <c r="R163" s="80"/>
      <c r="S163" s="80"/>
      <c r="T163" s="80"/>
      <c r="U163" s="80"/>
      <c r="V163" s="1236"/>
      <c r="W163" s="1236"/>
      <c r="X163" s="1236"/>
      <c r="Y163" s="1236"/>
      <c r="Z163" s="1236"/>
      <c r="AA163" s="1236"/>
      <c r="AB163" s="1236"/>
      <c r="AC163" s="1236"/>
      <c r="AD163" s="1236"/>
      <c r="AE163" s="1236"/>
      <c r="AF163" s="1236"/>
    </row>
    <row r="164" ht="12.0" customHeight="1">
      <c r="A164" s="45"/>
      <c r="B164" s="45"/>
      <c r="C164" s="45"/>
      <c r="D164" s="45"/>
      <c r="E164" s="45"/>
      <c r="F164" s="45"/>
      <c r="G164" s="45"/>
      <c r="H164" s="45"/>
      <c r="I164" s="45"/>
      <c r="J164" s="109"/>
      <c r="K164" s="109"/>
      <c r="L164" s="109"/>
      <c r="M164" s="80"/>
      <c r="N164" s="80"/>
      <c r="O164" s="80"/>
      <c r="P164" s="80"/>
      <c r="Q164" s="80"/>
      <c r="R164" s="80"/>
      <c r="S164" s="80"/>
      <c r="T164" s="80"/>
      <c r="U164" s="80"/>
      <c r="V164" s="1236"/>
      <c r="W164" s="1236"/>
      <c r="X164" s="1236"/>
      <c r="Y164" s="1236"/>
      <c r="Z164" s="1236"/>
      <c r="AA164" s="1236"/>
      <c r="AB164" s="1236"/>
      <c r="AC164" s="1236"/>
      <c r="AD164" s="1236"/>
      <c r="AE164" s="1236"/>
      <c r="AF164" s="1236"/>
    </row>
    <row r="165" ht="12.0" customHeight="1">
      <c r="A165" s="45"/>
      <c r="B165" s="45"/>
      <c r="C165" s="45"/>
      <c r="D165" s="45"/>
      <c r="E165" s="45"/>
      <c r="F165" s="45"/>
      <c r="G165" s="45"/>
      <c r="H165" s="45"/>
      <c r="I165" s="45"/>
      <c r="J165" s="109"/>
      <c r="K165" s="109"/>
      <c r="L165" s="109"/>
      <c r="M165" s="80"/>
      <c r="N165" s="80"/>
      <c r="O165" s="80"/>
      <c r="P165" s="80"/>
      <c r="Q165" s="80"/>
      <c r="R165" s="80"/>
      <c r="S165" s="80"/>
      <c r="T165" s="80"/>
      <c r="U165" s="80"/>
      <c r="V165" s="1236"/>
      <c r="W165" s="1236"/>
      <c r="X165" s="1236"/>
      <c r="Y165" s="1236"/>
      <c r="Z165" s="1236"/>
      <c r="AA165" s="1236"/>
      <c r="AB165" s="1236"/>
      <c r="AC165" s="1236"/>
      <c r="AD165" s="1236"/>
      <c r="AE165" s="1236"/>
      <c r="AF165" s="1236"/>
    </row>
    <row r="166" ht="12.0" customHeight="1">
      <c r="A166" s="45"/>
      <c r="B166" s="45"/>
      <c r="C166" s="45"/>
      <c r="D166" s="45"/>
      <c r="E166" s="45"/>
      <c r="F166" s="45"/>
      <c r="G166" s="45"/>
      <c r="H166" s="45"/>
      <c r="I166" s="45"/>
      <c r="J166" s="109"/>
      <c r="K166" s="109"/>
      <c r="L166" s="109"/>
      <c r="M166" s="80"/>
      <c r="N166" s="80"/>
      <c r="O166" s="80"/>
      <c r="P166" s="80"/>
      <c r="Q166" s="80"/>
      <c r="R166" s="80"/>
      <c r="S166" s="80"/>
      <c r="T166" s="80"/>
      <c r="U166" s="80"/>
      <c r="V166" s="1236"/>
      <c r="W166" s="1236"/>
      <c r="X166" s="1236"/>
      <c r="Y166" s="1236"/>
      <c r="Z166" s="1236"/>
      <c r="AA166" s="1236"/>
      <c r="AB166" s="1236"/>
      <c r="AC166" s="1236"/>
      <c r="AD166" s="1236"/>
      <c r="AE166" s="1236"/>
      <c r="AF166" s="1236"/>
    </row>
    <row r="167" ht="12.0" customHeight="1">
      <c r="A167" s="45"/>
      <c r="B167" s="45"/>
      <c r="C167" s="45"/>
      <c r="D167" s="45"/>
      <c r="E167" s="45"/>
      <c r="F167" s="45"/>
      <c r="G167" s="45"/>
      <c r="H167" s="45"/>
      <c r="I167" s="45"/>
      <c r="J167" s="109"/>
      <c r="K167" s="109"/>
      <c r="L167" s="109"/>
      <c r="M167" s="80"/>
      <c r="N167" s="80"/>
      <c r="O167" s="80"/>
      <c r="P167" s="80"/>
      <c r="Q167" s="80"/>
      <c r="R167" s="80"/>
      <c r="S167" s="80"/>
      <c r="T167" s="80"/>
      <c r="U167" s="80"/>
      <c r="V167" s="1236"/>
      <c r="W167" s="1236"/>
      <c r="X167" s="1236"/>
      <c r="Y167" s="1236"/>
      <c r="Z167" s="1236"/>
      <c r="AA167" s="1236"/>
      <c r="AB167" s="1236"/>
      <c r="AC167" s="1236"/>
      <c r="AD167" s="1236"/>
      <c r="AE167" s="1236"/>
      <c r="AF167" s="1236"/>
    </row>
    <row r="168" ht="12.0" customHeight="1">
      <c r="A168" s="45"/>
      <c r="B168" s="45"/>
      <c r="C168" s="45"/>
      <c r="D168" s="45"/>
      <c r="E168" s="45"/>
      <c r="F168" s="45"/>
      <c r="G168" s="45"/>
      <c r="H168" s="45"/>
      <c r="I168" s="45"/>
      <c r="J168" s="109"/>
      <c r="K168" s="109"/>
      <c r="L168" s="109"/>
      <c r="M168" s="80"/>
      <c r="N168" s="80"/>
      <c r="O168" s="80"/>
      <c r="P168" s="80"/>
      <c r="Q168" s="80"/>
      <c r="R168" s="80"/>
      <c r="S168" s="80"/>
      <c r="T168" s="80"/>
      <c r="U168" s="80"/>
      <c r="V168" s="1236"/>
      <c r="W168" s="1236"/>
      <c r="X168" s="1236"/>
      <c r="Y168" s="1236"/>
      <c r="Z168" s="1236"/>
      <c r="AA168" s="1236"/>
      <c r="AB168" s="1236"/>
      <c r="AC168" s="1236"/>
      <c r="AD168" s="1236"/>
      <c r="AE168" s="1236"/>
      <c r="AF168" s="1236"/>
    </row>
    <row r="169" ht="12.0" customHeight="1">
      <c r="A169" s="45"/>
      <c r="B169" s="45"/>
      <c r="C169" s="45"/>
      <c r="D169" s="45"/>
      <c r="E169" s="45"/>
      <c r="F169" s="45"/>
      <c r="G169" s="45"/>
      <c r="H169" s="45"/>
      <c r="I169" s="45"/>
      <c r="J169" s="109"/>
      <c r="K169" s="109"/>
      <c r="L169" s="109"/>
      <c r="M169" s="80"/>
      <c r="N169" s="80"/>
      <c r="O169" s="80"/>
      <c r="P169" s="80"/>
      <c r="Q169" s="80"/>
      <c r="R169" s="80"/>
      <c r="S169" s="80"/>
      <c r="T169" s="80"/>
      <c r="U169" s="80"/>
      <c r="V169" s="1236"/>
      <c r="W169" s="1236"/>
      <c r="X169" s="1236"/>
      <c r="Y169" s="1236"/>
      <c r="Z169" s="1236"/>
      <c r="AA169" s="1236"/>
      <c r="AB169" s="1236"/>
      <c r="AC169" s="1236"/>
      <c r="AD169" s="1236"/>
      <c r="AE169" s="1236"/>
      <c r="AF169" s="1236"/>
    </row>
    <row r="170" ht="12.0" customHeight="1">
      <c r="A170" s="45"/>
      <c r="B170" s="45"/>
      <c r="C170" s="45"/>
      <c r="D170" s="45"/>
      <c r="E170" s="45"/>
      <c r="F170" s="45"/>
      <c r="G170" s="45"/>
      <c r="H170" s="45"/>
      <c r="I170" s="45"/>
      <c r="J170" s="109"/>
      <c r="K170" s="109"/>
      <c r="L170" s="109"/>
      <c r="M170" s="80"/>
      <c r="N170" s="80"/>
      <c r="O170" s="80"/>
      <c r="P170" s="80"/>
      <c r="Q170" s="80"/>
      <c r="R170" s="80"/>
      <c r="S170" s="80"/>
      <c r="T170" s="80"/>
      <c r="U170" s="80"/>
      <c r="V170" s="1236"/>
      <c r="W170" s="1236"/>
      <c r="X170" s="1236"/>
      <c r="Y170" s="1236"/>
      <c r="Z170" s="1236"/>
      <c r="AA170" s="1236"/>
      <c r="AB170" s="1236"/>
      <c r="AC170" s="1236"/>
      <c r="AD170" s="1236"/>
      <c r="AE170" s="1236"/>
      <c r="AF170" s="1236"/>
    </row>
    <row r="171" ht="12.0" customHeight="1">
      <c r="A171" s="45"/>
      <c r="B171" s="45"/>
      <c r="C171" s="45"/>
      <c r="D171" s="45"/>
      <c r="E171" s="45"/>
      <c r="F171" s="45"/>
      <c r="G171" s="45"/>
      <c r="H171" s="45"/>
      <c r="I171" s="45"/>
      <c r="J171" s="109"/>
      <c r="K171" s="109"/>
      <c r="L171" s="109"/>
      <c r="M171" s="80"/>
      <c r="N171" s="80"/>
      <c r="O171" s="80"/>
      <c r="P171" s="80"/>
      <c r="Q171" s="80"/>
      <c r="R171" s="80"/>
      <c r="S171" s="80"/>
      <c r="T171" s="80"/>
      <c r="U171" s="80"/>
      <c r="V171" s="1236"/>
      <c r="W171" s="1236"/>
      <c r="X171" s="1236"/>
      <c r="Y171" s="1236"/>
      <c r="Z171" s="1236"/>
      <c r="AA171" s="1236"/>
      <c r="AB171" s="1236"/>
      <c r="AC171" s="1236"/>
      <c r="AD171" s="1236"/>
      <c r="AE171" s="1236"/>
      <c r="AF171" s="1236"/>
    </row>
    <row r="172" ht="12.0" customHeight="1">
      <c r="A172" s="45"/>
      <c r="B172" s="45"/>
      <c r="C172" s="45"/>
      <c r="D172" s="45"/>
      <c r="E172" s="45"/>
      <c r="F172" s="45"/>
      <c r="G172" s="45"/>
      <c r="H172" s="45"/>
      <c r="I172" s="45"/>
      <c r="J172" s="109"/>
      <c r="K172" s="109"/>
      <c r="L172" s="109"/>
      <c r="M172" s="80"/>
      <c r="N172" s="80"/>
      <c r="O172" s="80"/>
      <c r="P172" s="80"/>
      <c r="Q172" s="80"/>
      <c r="R172" s="80"/>
      <c r="S172" s="80"/>
      <c r="T172" s="80"/>
      <c r="U172" s="80"/>
      <c r="V172" s="1236"/>
      <c r="W172" s="1236"/>
      <c r="X172" s="1236"/>
      <c r="Y172" s="1236"/>
      <c r="Z172" s="1236"/>
      <c r="AA172" s="1236"/>
      <c r="AB172" s="1236"/>
      <c r="AC172" s="1236"/>
      <c r="AD172" s="1236"/>
      <c r="AE172" s="1236"/>
      <c r="AF172" s="1236"/>
    </row>
    <row r="173" ht="12.0" customHeight="1">
      <c r="A173" s="45"/>
      <c r="B173" s="45"/>
      <c r="C173" s="45"/>
      <c r="D173" s="45"/>
      <c r="E173" s="45"/>
      <c r="F173" s="45"/>
      <c r="G173" s="45"/>
      <c r="H173" s="45"/>
      <c r="I173" s="45"/>
      <c r="J173" s="109"/>
      <c r="K173" s="109"/>
      <c r="L173" s="109"/>
      <c r="M173" s="80"/>
      <c r="N173" s="80"/>
      <c r="O173" s="80"/>
      <c r="P173" s="80"/>
      <c r="Q173" s="80"/>
      <c r="R173" s="80"/>
      <c r="S173" s="80"/>
      <c r="T173" s="80"/>
      <c r="U173" s="80"/>
      <c r="V173" s="1236"/>
      <c r="W173" s="1236"/>
      <c r="X173" s="1236"/>
      <c r="Y173" s="1236"/>
      <c r="Z173" s="1236"/>
      <c r="AA173" s="1236"/>
      <c r="AB173" s="1236"/>
      <c r="AC173" s="1236"/>
      <c r="AD173" s="1236"/>
      <c r="AE173" s="1236"/>
      <c r="AF173" s="1236"/>
    </row>
    <row r="174" ht="12.0" customHeight="1">
      <c r="A174" s="45"/>
      <c r="B174" s="45"/>
      <c r="C174" s="45"/>
      <c r="D174" s="45"/>
      <c r="E174" s="45"/>
      <c r="F174" s="45"/>
      <c r="G174" s="45"/>
      <c r="H174" s="45"/>
      <c r="I174" s="45"/>
      <c r="J174" s="109"/>
      <c r="K174" s="109"/>
      <c r="L174" s="109"/>
      <c r="M174" s="80"/>
      <c r="N174" s="80"/>
      <c r="O174" s="80"/>
      <c r="P174" s="80"/>
      <c r="Q174" s="80"/>
      <c r="R174" s="80"/>
      <c r="S174" s="80"/>
      <c r="T174" s="80"/>
      <c r="U174" s="80"/>
      <c r="V174" s="1236"/>
      <c r="W174" s="1236"/>
      <c r="X174" s="1236"/>
      <c r="Y174" s="1236"/>
      <c r="Z174" s="1236"/>
      <c r="AA174" s="1236"/>
      <c r="AB174" s="1236"/>
      <c r="AC174" s="1236"/>
      <c r="AD174" s="1236"/>
      <c r="AE174" s="1236"/>
      <c r="AF174" s="1236"/>
    </row>
    <row r="175" ht="12.0" customHeight="1">
      <c r="A175" s="45"/>
      <c r="B175" s="45"/>
      <c r="C175" s="45"/>
      <c r="D175" s="45"/>
      <c r="E175" s="45"/>
      <c r="F175" s="45"/>
      <c r="G175" s="45"/>
      <c r="H175" s="45"/>
      <c r="I175" s="45"/>
      <c r="J175" s="109"/>
      <c r="K175" s="109"/>
      <c r="L175" s="109"/>
      <c r="M175" s="80"/>
      <c r="N175" s="80"/>
      <c r="O175" s="80"/>
      <c r="P175" s="80"/>
      <c r="Q175" s="80"/>
      <c r="R175" s="80"/>
      <c r="S175" s="80"/>
      <c r="T175" s="80"/>
      <c r="U175" s="80"/>
      <c r="V175" s="1236"/>
      <c r="W175" s="1236"/>
      <c r="X175" s="1236"/>
      <c r="Y175" s="1236"/>
      <c r="Z175" s="1236"/>
      <c r="AA175" s="1236"/>
      <c r="AB175" s="1236"/>
      <c r="AC175" s="1236"/>
      <c r="AD175" s="1236"/>
      <c r="AE175" s="1236"/>
      <c r="AF175" s="1236"/>
    </row>
    <row r="176" ht="12.0" customHeight="1">
      <c r="A176" s="45"/>
      <c r="B176" s="45"/>
      <c r="C176" s="45"/>
      <c r="D176" s="45"/>
      <c r="E176" s="45"/>
      <c r="F176" s="45"/>
      <c r="G176" s="45"/>
      <c r="H176" s="45"/>
      <c r="I176" s="45"/>
      <c r="J176" s="109"/>
      <c r="K176" s="109"/>
      <c r="L176" s="109"/>
      <c r="M176" s="80"/>
      <c r="N176" s="80"/>
      <c r="O176" s="80"/>
      <c r="P176" s="80"/>
      <c r="Q176" s="80"/>
      <c r="R176" s="80"/>
      <c r="S176" s="80"/>
      <c r="T176" s="80"/>
      <c r="U176" s="80"/>
      <c r="V176" s="1236"/>
      <c r="W176" s="1236"/>
      <c r="X176" s="1236"/>
      <c r="Y176" s="1236"/>
      <c r="Z176" s="1236"/>
      <c r="AA176" s="1236"/>
      <c r="AB176" s="1236"/>
      <c r="AC176" s="1236"/>
      <c r="AD176" s="1236"/>
      <c r="AE176" s="1236"/>
      <c r="AF176" s="1236"/>
    </row>
    <row r="177" ht="12.0" customHeight="1">
      <c r="A177" s="45"/>
      <c r="B177" s="45"/>
      <c r="C177" s="45"/>
      <c r="D177" s="45"/>
      <c r="E177" s="45"/>
      <c r="F177" s="45"/>
      <c r="G177" s="45"/>
      <c r="H177" s="45"/>
      <c r="I177" s="45"/>
      <c r="J177" s="109"/>
      <c r="K177" s="109"/>
      <c r="L177" s="109"/>
      <c r="M177" s="80"/>
      <c r="N177" s="80"/>
      <c r="O177" s="80"/>
      <c r="P177" s="80"/>
      <c r="Q177" s="80"/>
      <c r="R177" s="80"/>
      <c r="S177" s="80"/>
      <c r="T177" s="80"/>
      <c r="U177" s="80"/>
      <c r="V177" s="1236"/>
      <c r="W177" s="1236"/>
      <c r="X177" s="1236"/>
      <c r="Y177" s="1236"/>
      <c r="Z177" s="1236"/>
      <c r="AA177" s="1236"/>
      <c r="AB177" s="1236"/>
      <c r="AC177" s="1236"/>
      <c r="AD177" s="1236"/>
      <c r="AE177" s="1236"/>
      <c r="AF177" s="1236"/>
    </row>
    <row r="178" ht="12.0" customHeight="1">
      <c r="A178" s="45"/>
      <c r="B178" s="45"/>
      <c r="C178" s="45"/>
      <c r="D178" s="45"/>
      <c r="E178" s="45"/>
      <c r="F178" s="45"/>
      <c r="G178" s="45"/>
      <c r="H178" s="45"/>
      <c r="I178" s="45"/>
      <c r="J178" s="109"/>
      <c r="K178" s="109"/>
      <c r="L178" s="109"/>
      <c r="M178" s="80"/>
      <c r="N178" s="80"/>
      <c r="O178" s="80"/>
      <c r="P178" s="80"/>
      <c r="Q178" s="80"/>
      <c r="R178" s="80"/>
      <c r="S178" s="80"/>
      <c r="T178" s="80"/>
      <c r="U178" s="80"/>
      <c r="V178" s="1236"/>
      <c r="W178" s="1236"/>
      <c r="X178" s="1236"/>
      <c r="Y178" s="1236"/>
      <c r="Z178" s="1236"/>
      <c r="AA178" s="1236"/>
      <c r="AB178" s="1236"/>
      <c r="AC178" s="1236"/>
      <c r="AD178" s="1236"/>
      <c r="AE178" s="1236"/>
      <c r="AF178" s="1236"/>
    </row>
    <row r="179" ht="12.0" customHeight="1">
      <c r="A179" s="45"/>
      <c r="B179" s="45"/>
      <c r="C179" s="45"/>
      <c r="D179" s="45"/>
      <c r="E179" s="45"/>
      <c r="F179" s="45"/>
      <c r="G179" s="45"/>
      <c r="H179" s="45"/>
      <c r="I179" s="45"/>
      <c r="J179" s="109"/>
      <c r="K179" s="109"/>
      <c r="L179" s="109"/>
      <c r="M179" s="80"/>
      <c r="N179" s="80"/>
      <c r="O179" s="80"/>
      <c r="P179" s="80"/>
      <c r="Q179" s="80"/>
      <c r="R179" s="80"/>
      <c r="S179" s="80"/>
      <c r="T179" s="80"/>
      <c r="U179" s="80"/>
      <c r="V179" s="1236"/>
      <c r="W179" s="1236"/>
      <c r="X179" s="1236"/>
      <c r="Y179" s="1236"/>
      <c r="Z179" s="1236"/>
      <c r="AA179" s="1236"/>
      <c r="AB179" s="1236"/>
      <c r="AC179" s="1236"/>
      <c r="AD179" s="1236"/>
      <c r="AE179" s="1236"/>
      <c r="AF179" s="1236"/>
    </row>
    <row r="180" ht="12.0" customHeight="1">
      <c r="A180" s="45"/>
      <c r="B180" s="45"/>
      <c r="C180" s="45"/>
      <c r="D180" s="45"/>
      <c r="E180" s="45"/>
      <c r="F180" s="45"/>
      <c r="G180" s="45"/>
      <c r="H180" s="45"/>
      <c r="I180" s="45"/>
      <c r="J180" s="109"/>
      <c r="K180" s="109"/>
      <c r="L180" s="109"/>
      <c r="M180" s="80"/>
      <c r="N180" s="80"/>
      <c r="O180" s="80"/>
      <c r="P180" s="80"/>
      <c r="Q180" s="80"/>
      <c r="R180" s="80"/>
      <c r="S180" s="80"/>
      <c r="T180" s="80"/>
      <c r="U180" s="80"/>
      <c r="V180" s="1236"/>
      <c r="W180" s="1236"/>
      <c r="X180" s="1236"/>
      <c r="Y180" s="1236"/>
      <c r="Z180" s="1236"/>
      <c r="AA180" s="1236"/>
      <c r="AB180" s="1236"/>
      <c r="AC180" s="1236"/>
      <c r="AD180" s="1236"/>
      <c r="AE180" s="1236"/>
      <c r="AF180" s="1236"/>
    </row>
    <row r="181" ht="12.0" customHeight="1">
      <c r="A181" s="45"/>
      <c r="B181" s="45"/>
      <c r="C181" s="45"/>
      <c r="D181" s="45"/>
      <c r="E181" s="45"/>
      <c r="F181" s="45"/>
      <c r="G181" s="45"/>
      <c r="H181" s="45"/>
      <c r="I181" s="45"/>
      <c r="J181" s="109"/>
      <c r="K181" s="109"/>
      <c r="L181" s="109"/>
      <c r="M181" s="80"/>
      <c r="N181" s="80"/>
      <c r="O181" s="80"/>
      <c r="P181" s="80"/>
      <c r="Q181" s="80"/>
      <c r="R181" s="80"/>
      <c r="S181" s="80"/>
      <c r="T181" s="80"/>
      <c r="U181" s="80"/>
      <c r="V181" s="1236"/>
      <c r="W181" s="1236"/>
      <c r="X181" s="1236"/>
      <c r="Y181" s="1236"/>
      <c r="Z181" s="1236"/>
      <c r="AA181" s="1236"/>
      <c r="AB181" s="1236"/>
      <c r="AC181" s="1236"/>
      <c r="AD181" s="1236"/>
      <c r="AE181" s="1236"/>
      <c r="AF181" s="1236"/>
    </row>
    <row r="182" ht="12.0" customHeight="1">
      <c r="A182" s="45"/>
      <c r="B182" s="45"/>
      <c r="C182" s="45"/>
      <c r="D182" s="45"/>
      <c r="E182" s="45"/>
      <c r="F182" s="45"/>
      <c r="G182" s="45"/>
      <c r="H182" s="45"/>
      <c r="I182" s="45"/>
      <c r="J182" s="109"/>
      <c r="K182" s="109"/>
      <c r="L182" s="109"/>
      <c r="M182" s="80"/>
      <c r="N182" s="80"/>
      <c r="O182" s="80"/>
      <c r="P182" s="80"/>
      <c r="Q182" s="80"/>
      <c r="R182" s="80"/>
      <c r="S182" s="80"/>
      <c r="T182" s="80"/>
      <c r="U182" s="80"/>
      <c r="V182" s="1236"/>
      <c r="W182" s="1236"/>
      <c r="X182" s="1236"/>
      <c r="Y182" s="1236"/>
      <c r="Z182" s="1236"/>
      <c r="AA182" s="1236"/>
      <c r="AB182" s="1236"/>
      <c r="AC182" s="1236"/>
      <c r="AD182" s="1236"/>
      <c r="AE182" s="1236"/>
      <c r="AF182" s="1236"/>
    </row>
    <row r="183" ht="12.0" customHeight="1">
      <c r="A183" s="45"/>
      <c r="B183" s="45"/>
      <c r="C183" s="45"/>
      <c r="D183" s="45"/>
      <c r="E183" s="45"/>
      <c r="F183" s="45"/>
      <c r="G183" s="45"/>
      <c r="H183" s="45"/>
      <c r="I183" s="45"/>
      <c r="J183" s="109"/>
      <c r="K183" s="109"/>
      <c r="L183" s="109"/>
      <c r="M183" s="80"/>
      <c r="N183" s="80"/>
      <c r="O183" s="80"/>
      <c r="P183" s="80"/>
      <c r="Q183" s="80"/>
      <c r="R183" s="80"/>
      <c r="S183" s="80"/>
      <c r="T183" s="80"/>
      <c r="U183" s="80"/>
      <c r="V183" s="1236"/>
      <c r="W183" s="1236"/>
      <c r="X183" s="1236"/>
      <c r="Y183" s="1236"/>
      <c r="Z183" s="1236"/>
      <c r="AA183" s="1236"/>
      <c r="AB183" s="1236"/>
      <c r="AC183" s="1236"/>
      <c r="AD183" s="1236"/>
      <c r="AE183" s="1236"/>
      <c r="AF183" s="1236"/>
    </row>
    <row r="184" ht="12.0" customHeight="1">
      <c r="A184" s="45"/>
      <c r="B184" s="45"/>
      <c r="C184" s="45"/>
      <c r="D184" s="45"/>
      <c r="E184" s="45"/>
      <c r="F184" s="45"/>
      <c r="G184" s="45"/>
      <c r="H184" s="45"/>
      <c r="I184" s="45"/>
      <c r="J184" s="109"/>
      <c r="K184" s="109"/>
      <c r="L184" s="109"/>
      <c r="M184" s="80"/>
      <c r="N184" s="80"/>
      <c r="O184" s="80"/>
      <c r="P184" s="80"/>
      <c r="Q184" s="80"/>
      <c r="R184" s="80"/>
      <c r="S184" s="80"/>
      <c r="T184" s="80"/>
      <c r="U184" s="80"/>
      <c r="V184" s="1236"/>
      <c r="W184" s="1236"/>
      <c r="X184" s="1236"/>
      <c r="Y184" s="1236"/>
      <c r="Z184" s="1236"/>
      <c r="AA184" s="1236"/>
      <c r="AB184" s="1236"/>
      <c r="AC184" s="1236"/>
      <c r="AD184" s="1236"/>
      <c r="AE184" s="1236"/>
      <c r="AF184" s="1236"/>
    </row>
    <row r="185" ht="12.0" customHeight="1">
      <c r="A185" s="45"/>
      <c r="B185" s="45"/>
      <c r="C185" s="45"/>
      <c r="D185" s="45"/>
      <c r="E185" s="45"/>
      <c r="F185" s="45"/>
      <c r="G185" s="45"/>
      <c r="H185" s="45"/>
      <c r="I185" s="45"/>
      <c r="J185" s="109"/>
      <c r="K185" s="109"/>
      <c r="L185" s="109"/>
      <c r="M185" s="80"/>
      <c r="N185" s="80"/>
      <c r="O185" s="80"/>
      <c r="P185" s="80"/>
      <c r="Q185" s="80"/>
      <c r="R185" s="80"/>
      <c r="S185" s="80"/>
      <c r="T185" s="80"/>
      <c r="U185" s="80"/>
      <c r="V185" s="1236"/>
      <c r="W185" s="1236"/>
      <c r="X185" s="1236"/>
      <c r="Y185" s="1236"/>
      <c r="Z185" s="1236"/>
      <c r="AA185" s="1236"/>
      <c r="AB185" s="1236"/>
      <c r="AC185" s="1236"/>
      <c r="AD185" s="1236"/>
      <c r="AE185" s="1236"/>
      <c r="AF185" s="1236"/>
    </row>
    <row r="186" ht="12.0" customHeight="1">
      <c r="A186" s="45"/>
      <c r="B186" s="45"/>
      <c r="C186" s="45"/>
      <c r="D186" s="45"/>
      <c r="E186" s="45"/>
      <c r="F186" s="45"/>
      <c r="G186" s="45"/>
      <c r="H186" s="45"/>
      <c r="I186" s="45"/>
      <c r="J186" s="109"/>
      <c r="K186" s="109"/>
      <c r="L186" s="109"/>
      <c r="M186" s="80"/>
      <c r="N186" s="80"/>
      <c r="O186" s="80"/>
      <c r="P186" s="80"/>
      <c r="Q186" s="80"/>
      <c r="R186" s="80"/>
      <c r="S186" s="80"/>
      <c r="T186" s="80"/>
      <c r="U186" s="80"/>
      <c r="V186" s="1236"/>
      <c r="W186" s="1236"/>
      <c r="X186" s="1236"/>
      <c r="Y186" s="1236"/>
      <c r="Z186" s="1236"/>
      <c r="AA186" s="1236"/>
      <c r="AB186" s="1236"/>
      <c r="AC186" s="1236"/>
      <c r="AD186" s="1236"/>
      <c r="AE186" s="1236"/>
      <c r="AF186" s="1236"/>
    </row>
    <row r="187" ht="12.0" customHeight="1">
      <c r="A187" s="45"/>
      <c r="B187" s="45"/>
      <c r="C187" s="45"/>
      <c r="D187" s="45"/>
      <c r="E187" s="45"/>
      <c r="F187" s="45"/>
      <c r="G187" s="45"/>
      <c r="H187" s="45"/>
      <c r="I187" s="45"/>
      <c r="J187" s="109"/>
      <c r="K187" s="109"/>
      <c r="L187" s="109"/>
      <c r="M187" s="80"/>
      <c r="N187" s="80"/>
      <c r="O187" s="80"/>
      <c r="P187" s="80"/>
      <c r="Q187" s="80"/>
      <c r="R187" s="80"/>
      <c r="S187" s="80"/>
      <c r="T187" s="80"/>
      <c r="U187" s="80"/>
      <c r="V187" s="1236"/>
      <c r="W187" s="1236"/>
      <c r="X187" s="1236"/>
      <c r="Y187" s="1236"/>
      <c r="Z187" s="1236"/>
      <c r="AA187" s="1236"/>
      <c r="AB187" s="1236"/>
      <c r="AC187" s="1236"/>
      <c r="AD187" s="1236"/>
      <c r="AE187" s="1236"/>
      <c r="AF187" s="1236"/>
    </row>
    <row r="188" ht="12.0" customHeight="1">
      <c r="A188" s="45"/>
      <c r="B188" s="45"/>
      <c r="C188" s="45"/>
      <c r="D188" s="45"/>
      <c r="E188" s="45"/>
      <c r="F188" s="45"/>
      <c r="G188" s="45"/>
      <c r="H188" s="45"/>
      <c r="I188" s="45"/>
      <c r="J188" s="109"/>
      <c r="K188" s="109"/>
      <c r="L188" s="109"/>
      <c r="M188" s="80"/>
      <c r="N188" s="80"/>
      <c r="O188" s="80"/>
      <c r="P188" s="80"/>
      <c r="Q188" s="80"/>
      <c r="R188" s="80"/>
      <c r="S188" s="80"/>
      <c r="T188" s="80"/>
      <c r="U188" s="80"/>
      <c r="V188" s="1236"/>
      <c r="W188" s="1236"/>
      <c r="X188" s="1236"/>
      <c r="Y188" s="1236"/>
      <c r="Z188" s="1236"/>
      <c r="AA188" s="1236"/>
      <c r="AB188" s="1236"/>
      <c r="AC188" s="1236"/>
      <c r="AD188" s="1236"/>
      <c r="AE188" s="1236"/>
      <c r="AF188" s="1236"/>
    </row>
    <row r="189" ht="12.0" customHeight="1">
      <c r="A189" s="45"/>
      <c r="B189" s="45"/>
      <c r="C189" s="45"/>
      <c r="D189" s="45"/>
      <c r="E189" s="45"/>
      <c r="F189" s="45"/>
      <c r="G189" s="45"/>
      <c r="H189" s="45"/>
      <c r="I189" s="45"/>
      <c r="J189" s="109"/>
      <c r="K189" s="109"/>
      <c r="L189" s="109"/>
      <c r="M189" s="80"/>
      <c r="N189" s="80"/>
      <c r="O189" s="80"/>
      <c r="P189" s="80"/>
      <c r="Q189" s="80"/>
      <c r="R189" s="80"/>
      <c r="S189" s="80"/>
      <c r="T189" s="80"/>
      <c r="U189" s="80"/>
      <c r="V189" s="1236"/>
      <c r="W189" s="1236"/>
      <c r="X189" s="1236"/>
      <c r="Y189" s="1236"/>
      <c r="Z189" s="1236"/>
      <c r="AA189" s="1236"/>
      <c r="AB189" s="1236"/>
      <c r="AC189" s="1236"/>
      <c r="AD189" s="1236"/>
      <c r="AE189" s="1236"/>
      <c r="AF189" s="1236"/>
    </row>
    <row r="190" ht="12.0" customHeight="1">
      <c r="A190" s="45"/>
      <c r="B190" s="45"/>
      <c r="C190" s="45"/>
      <c r="D190" s="45"/>
      <c r="E190" s="45"/>
      <c r="F190" s="45"/>
      <c r="G190" s="45"/>
      <c r="H190" s="45"/>
      <c r="I190" s="45"/>
      <c r="J190" s="109"/>
      <c r="K190" s="109"/>
      <c r="L190" s="109"/>
      <c r="M190" s="80"/>
      <c r="N190" s="80"/>
      <c r="O190" s="80"/>
      <c r="P190" s="80"/>
      <c r="Q190" s="80"/>
      <c r="R190" s="80"/>
      <c r="S190" s="80"/>
      <c r="T190" s="80"/>
      <c r="U190" s="80"/>
      <c r="V190" s="1236"/>
      <c r="W190" s="1236"/>
      <c r="X190" s="1236"/>
      <c r="Y190" s="1236"/>
      <c r="Z190" s="1236"/>
      <c r="AA190" s="1236"/>
      <c r="AB190" s="1236"/>
      <c r="AC190" s="1236"/>
      <c r="AD190" s="1236"/>
      <c r="AE190" s="1236"/>
      <c r="AF190" s="1236"/>
    </row>
    <row r="191" ht="12.0" customHeight="1">
      <c r="A191" s="45"/>
      <c r="B191" s="45"/>
      <c r="C191" s="45"/>
      <c r="D191" s="45"/>
      <c r="E191" s="45"/>
      <c r="F191" s="45"/>
      <c r="G191" s="45"/>
      <c r="H191" s="45"/>
      <c r="I191" s="45"/>
      <c r="J191" s="109"/>
      <c r="K191" s="109"/>
      <c r="L191" s="109"/>
      <c r="M191" s="80"/>
      <c r="N191" s="80"/>
      <c r="O191" s="80"/>
      <c r="P191" s="80"/>
      <c r="Q191" s="80"/>
      <c r="R191" s="80"/>
      <c r="S191" s="80"/>
      <c r="T191" s="80"/>
      <c r="U191" s="80"/>
      <c r="V191" s="1236"/>
      <c r="W191" s="1236"/>
      <c r="X191" s="1236"/>
      <c r="Y191" s="1236"/>
      <c r="Z191" s="1236"/>
      <c r="AA191" s="1236"/>
      <c r="AB191" s="1236"/>
      <c r="AC191" s="1236"/>
      <c r="AD191" s="1236"/>
      <c r="AE191" s="1236"/>
      <c r="AF191" s="1236"/>
    </row>
    <row r="192" ht="12.0" customHeight="1">
      <c r="A192" s="45"/>
      <c r="B192" s="45"/>
      <c r="C192" s="45"/>
      <c r="D192" s="45"/>
      <c r="E192" s="45"/>
      <c r="F192" s="45"/>
      <c r="G192" s="45"/>
      <c r="H192" s="45"/>
      <c r="I192" s="45"/>
      <c r="J192" s="109"/>
      <c r="K192" s="109"/>
      <c r="L192" s="109"/>
      <c r="M192" s="80"/>
      <c r="N192" s="80"/>
      <c r="O192" s="80"/>
      <c r="P192" s="80"/>
      <c r="Q192" s="80"/>
      <c r="R192" s="80"/>
      <c r="S192" s="80"/>
      <c r="T192" s="80"/>
      <c r="U192" s="80"/>
      <c r="V192" s="1236"/>
      <c r="W192" s="1236"/>
      <c r="X192" s="1236"/>
      <c r="Y192" s="1236"/>
      <c r="Z192" s="1236"/>
      <c r="AA192" s="1236"/>
      <c r="AB192" s="1236"/>
      <c r="AC192" s="1236"/>
      <c r="AD192" s="1236"/>
      <c r="AE192" s="1236"/>
      <c r="AF192" s="1236"/>
    </row>
    <row r="193" ht="12.0" customHeight="1">
      <c r="A193" s="45"/>
      <c r="B193" s="45"/>
      <c r="C193" s="45"/>
      <c r="D193" s="45"/>
      <c r="E193" s="45"/>
      <c r="F193" s="45"/>
      <c r="G193" s="45"/>
      <c r="H193" s="45"/>
      <c r="I193" s="45"/>
      <c r="J193" s="109"/>
      <c r="K193" s="109"/>
      <c r="L193" s="109"/>
      <c r="M193" s="80"/>
      <c r="N193" s="80"/>
      <c r="O193" s="80"/>
      <c r="P193" s="80"/>
      <c r="Q193" s="80"/>
      <c r="R193" s="80"/>
      <c r="S193" s="80"/>
      <c r="T193" s="80"/>
      <c r="U193" s="80"/>
      <c r="V193" s="1236"/>
      <c r="W193" s="1236"/>
      <c r="X193" s="1236"/>
      <c r="Y193" s="1236"/>
      <c r="Z193" s="1236"/>
      <c r="AA193" s="1236"/>
      <c r="AB193" s="1236"/>
      <c r="AC193" s="1236"/>
      <c r="AD193" s="1236"/>
      <c r="AE193" s="1236"/>
      <c r="AF193" s="1236"/>
    </row>
    <row r="194" ht="12.0" customHeight="1">
      <c r="A194" s="45"/>
      <c r="B194" s="45"/>
      <c r="C194" s="45"/>
      <c r="D194" s="45"/>
      <c r="E194" s="45"/>
      <c r="F194" s="45"/>
      <c r="G194" s="45"/>
      <c r="H194" s="45"/>
      <c r="I194" s="45"/>
      <c r="J194" s="109"/>
      <c r="K194" s="109"/>
      <c r="L194" s="109"/>
      <c r="M194" s="80"/>
      <c r="N194" s="80"/>
      <c r="O194" s="80"/>
      <c r="P194" s="80"/>
      <c r="Q194" s="80"/>
      <c r="R194" s="80"/>
      <c r="S194" s="80"/>
      <c r="T194" s="80"/>
      <c r="U194" s="80"/>
      <c r="V194" s="1236"/>
      <c r="W194" s="1236"/>
      <c r="X194" s="1236"/>
      <c r="Y194" s="1236"/>
      <c r="Z194" s="1236"/>
      <c r="AA194" s="1236"/>
      <c r="AB194" s="1236"/>
      <c r="AC194" s="1236"/>
      <c r="AD194" s="1236"/>
      <c r="AE194" s="1236"/>
      <c r="AF194" s="1236"/>
    </row>
    <row r="195" ht="12.0" customHeight="1">
      <c r="A195" s="45"/>
      <c r="B195" s="45"/>
      <c r="C195" s="45"/>
      <c r="D195" s="45"/>
      <c r="E195" s="45"/>
      <c r="F195" s="45"/>
      <c r="G195" s="45"/>
      <c r="H195" s="45"/>
      <c r="I195" s="45"/>
      <c r="J195" s="109"/>
      <c r="K195" s="109"/>
      <c r="L195" s="109"/>
      <c r="M195" s="80"/>
      <c r="N195" s="80"/>
      <c r="O195" s="80"/>
      <c r="P195" s="80"/>
      <c r="Q195" s="80"/>
      <c r="R195" s="80"/>
      <c r="S195" s="80"/>
      <c r="T195" s="80"/>
      <c r="U195" s="80"/>
      <c r="V195" s="1236"/>
      <c r="W195" s="1236"/>
      <c r="X195" s="1236"/>
      <c r="Y195" s="1236"/>
      <c r="Z195" s="1236"/>
      <c r="AA195" s="1236"/>
      <c r="AB195" s="1236"/>
      <c r="AC195" s="1236"/>
      <c r="AD195" s="1236"/>
      <c r="AE195" s="1236"/>
      <c r="AF195" s="1236"/>
    </row>
    <row r="196" ht="12.0" customHeight="1">
      <c r="A196" s="45"/>
      <c r="B196" s="45"/>
      <c r="C196" s="45"/>
      <c r="D196" s="45"/>
      <c r="E196" s="45"/>
      <c r="F196" s="45"/>
      <c r="G196" s="45"/>
      <c r="H196" s="45"/>
      <c r="I196" s="45"/>
      <c r="J196" s="109"/>
      <c r="K196" s="109"/>
      <c r="L196" s="109"/>
      <c r="M196" s="80"/>
      <c r="N196" s="80"/>
      <c r="O196" s="80"/>
      <c r="P196" s="80"/>
      <c r="Q196" s="80"/>
      <c r="R196" s="80"/>
      <c r="S196" s="80"/>
      <c r="T196" s="80"/>
      <c r="U196" s="80"/>
      <c r="V196" s="1236"/>
      <c r="W196" s="1236"/>
      <c r="X196" s="1236"/>
      <c r="Y196" s="1236"/>
      <c r="Z196" s="1236"/>
      <c r="AA196" s="1236"/>
      <c r="AB196" s="1236"/>
      <c r="AC196" s="1236"/>
      <c r="AD196" s="1236"/>
      <c r="AE196" s="1236"/>
      <c r="AF196" s="1236"/>
    </row>
    <row r="197" ht="12.0" customHeight="1">
      <c r="A197" s="45"/>
      <c r="B197" s="45"/>
      <c r="C197" s="45"/>
      <c r="D197" s="45"/>
      <c r="E197" s="45"/>
      <c r="F197" s="45"/>
      <c r="G197" s="45"/>
      <c r="H197" s="45"/>
      <c r="I197" s="45"/>
      <c r="J197" s="109"/>
      <c r="K197" s="109"/>
      <c r="L197" s="109"/>
      <c r="M197" s="80"/>
      <c r="N197" s="80"/>
      <c r="O197" s="80"/>
      <c r="P197" s="80"/>
      <c r="Q197" s="80"/>
      <c r="R197" s="80"/>
      <c r="S197" s="80"/>
      <c r="T197" s="80"/>
      <c r="U197" s="80"/>
      <c r="V197" s="1236"/>
      <c r="W197" s="1236"/>
      <c r="X197" s="1236"/>
      <c r="Y197" s="1236"/>
      <c r="Z197" s="1236"/>
      <c r="AA197" s="1236"/>
      <c r="AB197" s="1236"/>
      <c r="AC197" s="1236"/>
      <c r="AD197" s="1236"/>
      <c r="AE197" s="1236"/>
      <c r="AF197" s="1236"/>
    </row>
    <row r="198" ht="12.0" customHeight="1">
      <c r="A198" s="45"/>
      <c r="B198" s="45"/>
      <c r="C198" s="45"/>
      <c r="D198" s="45"/>
      <c r="E198" s="45"/>
      <c r="F198" s="45"/>
      <c r="G198" s="45"/>
      <c r="H198" s="45"/>
      <c r="I198" s="45"/>
      <c r="J198" s="109"/>
      <c r="K198" s="109"/>
      <c r="L198" s="109"/>
      <c r="M198" s="80"/>
      <c r="N198" s="80"/>
      <c r="O198" s="80"/>
      <c r="P198" s="80"/>
      <c r="Q198" s="80"/>
      <c r="R198" s="80"/>
      <c r="S198" s="80"/>
      <c r="T198" s="80"/>
      <c r="U198" s="80"/>
      <c r="V198" s="1236"/>
      <c r="W198" s="1236"/>
      <c r="X198" s="1236"/>
      <c r="Y198" s="1236"/>
      <c r="Z198" s="1236"/>
      <c r="AA198" s="1236"/>
      <c r="AB198" s="1236"/>
      <c r="AC198" s="1236"/>
      <c r="AD198" s="1236"/>
      <c r="AE198" s="1236"/>
      <c r="AF198" s="1236"/>
    </row>
    <row r="199" ht="12.0" customHeight="1">
      <c r="A199" s="45"/>
      <c r="B199" s="45"/>
      <c r="C199" s="45"/>
      <c r="D199" s="45"/>
      <c r="E199" s="45"/>
      <c r="F199" s="45"/>
      <c r="G199" s="45"/>
      <c r="H199" s="45"/>
      <c r="I199" s="45"/>
      <c r="J199" s="109"/>
      <c r="K199" s="109"/>
      <c r="L199" s="109"/>
      <c r="M199" s="80"/>
      <c r="N199" s="80"/>
      <c r="O199" s="80"/>
      <c r="P199" s="80"/>
      <c r="Q199" s="80"/>
      <c r="R199" s="80"/>
      <c r="S199" s="80"/>
      <c r="T199" s="80"/>
      <c r="U199" s="80"/>
      <c r="V199" s="1236"/>
      <c r="W199" s="1236"/>
      <c r="X199" s="1236"/>
      <c r="Y199" s="1236"/>
      <c r="Z199" s="1236"/>
      <c r="AA199" s="1236"/>
      <c r="AB199" s="1236"/>
      <c r="AC199" s="1236"/>
      <c r="AD199" s="1236"/>
      <c r="AE199" s="1236"/>
      <c r="AF199" s="1236"/>
    </row>
    <row r="200" ht="12.0" customHeight="1">
      <c r="A200" s="45"/>
      <c r="B200" s="45"/>
      <c r="C200" s="45"/>
      <c r="D200" s="45"/>
      <c r="E200" s="45"/>
      <c r="F200" s="45"/>
      <c r="G200" s="45"/>
      <c r="H200" s="45"/>
      <c r="I200" s="45"/>
      <c r="J200" s="109"/>
      <c r="K200" s="109"/>
      <c r="L200" s="109"/>
      <c r="M200" s="80"/>
      <c r="N200" s="80"/>
      <c r="O200" s="80"/>
      <c r="P200" s="80"/>
      <c r="Q200" s="80"/>
      <c r="R200" s="80"/>
      <c r="S200" s="80"/>
      <c r="T200" s="80"/>
      <c r="U200" s="80"/>
      <c r="V200" s="1236"/>
      <c r="W200" s="1236"/>
      <c r="X200" s="1236"/>
      <c r="Y200" s="1236"/>
      <c r="Z200" s="1236"/>
      <c r="AA200" s="1236"/>
      <c r="AB200" s="1236"/>
      <c r="AC200" s="1236"/>
      <c r="AD200" s="1236"/>
      <c r="AE200" s="1236"/>
      <c r="AF200" s="1236"/>
    </row>
    <row r="201" ht="12.0" customHeight="1">
      <c r="A201" s="45"/>
      <c r="B201" s="45"/>
      <c r="C201" s="45"/>
      <c r="D201" s="45"/>
      <c r="E201" s="45"/>
      <c r="F201" s="45"/>
      <c r="G201" s="45"/>
      <c r="H201" s="45"/>
      <c r="I201" s="45"/>
      <c r="J201" s="109"/>
      <c r="K201" s="109"/>
      <c r="L201" s="109"/>
      <c r="M201" s="80"/>
      <c r="N201" s="80"/>
      <c r="O201" s="80"/>
      <c r="P201" s="80"/>
      <c r="Q201" s="80"/>
      <c r="R201" s="80"/>
      <c r="S201" s="80"/>
      <c r="T201" s="80"/>
      <c r="U201" s="80"/>
      <c r="V201" s="1236"/>
      <c r="W201" s="1236"/>
      <c r="X201" s="1236"/>
      <c r="Y201" s="1236"/>
      <c r="Z201" s="1236"/>
      <c r="AA201" s="1236"/>
      <c r="AB201" s="1236"/>
      <c r="AC201" s="1236"/>
      <c r="AD201" s="1236"/>
      <c r="AE201" s="1236"/>
      <c r="AF201" s="1236"/>
    </row>
    <row r="202" ht="12.0" customHeight="1">
      <c r="A202" s="45"/>
      <c r="B202" s="45"/>
      <c r="C202" s="45"/>
      <c r="D202" s="45"/>
      <c r="E202" s="45"/>
      <c r="F202" s="45"/>
      <c r="G202" s="45"/>
      <c r="H202" s="45"/>
      <c r="I202" s="45"/>
      <c r="J202" s="109"/>
      <c r="K202" s="109"/>
      <c r="L202" s="109"/>
      <c r="M202" s="80"/>
      <c r="N202" s="80"/>
      <c r="O202" s="80"/>
      <c r="P202" s="80"/>
      <c r="Q202" s="80"/>
      <c r="R202" s="80"/>
      <c r="S202" s="80"/>
      <c r="T202" s="80"/>
      <c r="U202" s="80"/>
      <c r="V202" s="1236"/>
      <c r="W202" s="1236"/>
      <c r="X202" s="1236"/>
      <c r="Y202" s="1236"/>
      <c r="Z202" s="1236"/>
      <c r="AA202" s="1236"/>
      <c r="AB202" s="1236"/>
      <c r="AC202" s="1236"/>
      <c r="AD202" s="1236"/>
      <c r="AE202" s="1236"/>
      <c r="AF202" s="1236"/>
    </row>
    <row r="203" ht="12.0" customHeight="1">
      <c r="A203" s="45"/>
      <c r="B203" s="45"/>
      <c r="C203" s="45"/>
      <c r="D203" s="45"/>
      <c r="E203" s="45"/>
      <c r="F203" s="45"/>
      <c r="G203" s="45"/>
      <c r="H203" s="45"/>
      <c r="I203" s="45"/>
      <c r="J203" s="109"/>
      <c r="K203" s="109"/>
      <c r="L203" s="109"/>
      <c r="M203" s="80"/>
      <c r="N203" s="80"/>
      <c r="O203" s="80"/>
      <c r="P203" s="80"/>
      <c r="Q203" s="80"/>
      <c r="R203" s="80"/>
      <c r="S203" s="80"/>
      <c r="T203" s="80"/>
      <c r="U203" s="80"/>
      <c r="V203" s="1236"/>
      <c r="W203" s="1236"/>
      <c r="X203" s="1236"/>
      <c r="Y203" s="1236"/>
      <c r="Z203" s="1236"/>
      <c r="AA203" s="1236"/>
      <c r="AB203" s="1236"/>
      <c r="AC203" s="1236"/>
      <c r="AD203" s="1236"/>
      <c r="AE203" s="1236"/>
      <c r="AF203" s="1236"/>
    </row>
    <row r="204" ht="12.0" customHeight="1">
      <c r="A204" s="45"/>
      <c r="B204" s="45"/>
      <c r="C204" s="45"/>
      <c r="D204" s="45"/>
      <c r="E204" s="45"/>
      <c r="F204" s="45"/>
      <c r="G204" s="45"/>
      <c r="H204" s="45"/>
      <c r="I204" s="45"/>
      <c r="J204" s="109"/>
      <c r="K204" s="109"/>
      <c r="L204" s="109"/>
      <c r="M204" s="80"/>
      <c r="N204" s="80"/>
      <c r="O204" s="80"/>
      <c r="P204" s="80"/>
      <c r="Q204" s="80"/>
      <c r="R204" s="80"/>
      <c r="S204" s="80"/>
      <c r="T204" s="80"/>
      <c r="U204" s="80"/>
      <c r="V204" s="1236"/>
      <c r="W204" s="1236"/>
      <c r="X204" s="1236"/>
      <c r="Y204" s="1236"/>
      <c r="Z204" s="1236"/>
      <c r="AA204" s="1236"/>
      <c r="AB204" s="1236"/>
      <c r="AC204" s="1236"/>
      <c r="AD204" s="1236"/>
      <c r="AE204" s="1236"/>
      <c r="AF204" s="1236"/>
    </row>
    <row r="205" ht="12.0" customHeight="1">
      <c r="A205" s="45"/>
      <c r="B205" s="45"/>
      <c r="C205" s="45"/>
      <c r="D205" s="45"/>
      <c r="E205" s="45"/>
      <c r="F205" s="45"/>
      <c r="G205" s="45"/>
      <c r="H205" s="45"/>
      <c r="I205" s="45"/>
      <c r="J205" s="109"/>
      <c r="K205" s="109"/>
      <c r="L205" s="109"/>
      <c r="M205" s="80"/>
      <c r="N205" s="80"/>
      <c r="O205" s="80"/>
      <c r="P205" s="80"/>
      <c r="Q205" s="80"/>
      <c r="R205" s="80"/>
      <c r="S205" s="80"/>
      <c r="T205" s="80"/>
      <c r="U205" s="80"/>
      <c r="V205" s="1236"/>
      <c r="W205" s="1236"/>
      <c r="X205" s="1236"/>
      <c r="Y205" s="1236"/>
      <c r="Z205" s="1236"/>
      <c r="AA205" s="1236"/>
      <c r="AB205" s="1236"/>
      <c r="AC205" s="1236"/>
      <c r="AD205" s="1236"/>
      <c r="AE205" s="1236"/>
      <c r="AF205" s="1236"/>
    </row>
    <row r="206" ht="12.0" customHeight="1">
      <c r="A206" s="45"/>
      <c r="B206" s="45"/>
      <c r="C206" s="45"/>
      <c r="D206" s="45"/>
      <c r="E206" s="45"/>
      <c r="F206" s="45"/>
      <c r="G206" s="45"/>
      <c r="H206" s="45"/>
      <c r="I206" s="45"/>
      <c r="J206" s="109"/>
      <c r="K206" s="109"/>
      <c r="L206" s="109"/>
      <c r="M206" s="80"/>
      <c r="N206" s="80"/>
      <c r="O206" s="80"/>
      <c r="P206" s="80"/>
      <c r="Q206" s="80"/>
      <c r="R206" s="80"/>
      <c r="S206" s="80"/>
      <c r="T206" s="80"/>
      <c r="U206" s="80"/>
      <c r="V206" s="1236"/>
      <c r="W206" s="1236"/>
      <c r="X206" s="1236"/>
      <c r="Y206" s="1236"/>
      <c r="Z206" s="1236"/>
      <c r="AA206" s="1236"/>
      <c r="AB206" s="1236"/>
      <c r="AC206" s="1236"/>
      <c r="AD206" s="1236"/>
      <c r="AE206" s="1236"/>
      <c r="AF206" s="1236"/>
    </row>
    <row r="207" ht="12.0" customHeight="1">
      <c r="A207" s="45"/>
      <c r="B207" s="45"/>
      <c r="C207" s="45"/>
      <c r="D207" s="45"/>
      <c r="E207" s="45"/>
      <c r="F207" s="45"/>
      <c r="G207" s="45"/>
      <c r="H207" s="45"/>
      <c r="I207" s="45"/>
      <c r="J207" s="109"/>
      <c r="K207" s="109"/>
      <c r="L207" s="109"/>
      <c r="M207" s="80"/>
      <c r="N207" s="80"/>
      <c r="O207" s="80"/>
      <c r="P207" s="80"/>
      <c r="Q207" s="80"/>
      <c r="R207" s="80"/>
      <c r="S207" s="80"/>
      <c r="T207" s="80"/>
      <c r="U207" s="80"/>
      <c r="V207" s="1236"/>
      <c r="W207" s="1236"/>
      <c r="X207" s="1236"/>
      <c r="Y207" s="1236"/>
      <c r="Z207" s="1236"/>
      <c r="AA207" s="1236"/>
      <c r="AB207" s="1236"/>
      <c r="AC207" s="1236"/>
      <c r="AD207" s="1236"/>
      <c r="AE207" s="1236"/>
      <c r="AF207" s="1236"/>
    </row>
    <row r="208" ht="12.0" customHeight="1">
      <c r="A208" s="45"/>
      <c r="B208" s="45"/>
      <c r="C208" s="45"/>
      <c r="D208" s="45"/>
      <c r="E208" s="45"/>
      <c r="F208" s="45"/>
      <c r="G208" s="45"/>
      <c r="H208" s="45"/>
      <c r="I208" s="45"/>
      <c r="J208" s="109"/>
      <c r="K208" s="109"/>
      <c r="L208" s="109"/>
      <c r="M208" s="80"/>
      <c r="N208" s="80"/>
      <c r="O208" s="80"/>
      <c r="P208" s="80"/>
      <c r="Q208" s="80"/>
      <c r="R208" s="80"/>
      <c r="S208" s="80"/>
      <c r="T208" s="80"/>
      <c r="U208" s="80"/>
      <c r="V208" s="1236"/>
      <c r="W208" s="1236"/>
      <c r="X208" s="1236"/>
      <c r="Y208" s="1236"/>
      <c r="Z208" s="1236"/>
      <c r="AA208" s="1236"/>
      <c r="AB208" s="1236"/>
      <c r="AC208" s="1236"/>
      <c r="AD208" s="1236"/>
      <c r="AE208" s="1236"/>
      <c r="AF208" s="1236"/>
    </row>
    <row r="209" ht="12.0" customHeight="1">
      <c r="A209" s="45"/>
      <c r="B209" s="45"/>
      <c r="C209" s="45"/>
      <c r="D209" s="45"/>
      <c r="E209" s="45"/>
      <c r="F209" s="45"/>
      <c r="G209" s="45"/>
      <c r="H209" s="45"/>
      <c r="I209" s="45"/>
      <c r="J209" s="109"/>
      <c r="K209" s="109"/>
      <c r="L209" s="109"/>
      <c r="M209" s="80"/>
      <c r="N209" s="80"/>
      <c r="O209" s="80"/>
      <c r="P209" s="80"/>
      <c r="Q209" s="80"/>
      <c r="R209" s="80"/>
      <c r="S209" s="80"/>
      <c r="T209" s="80"/>
      <c r="U209" s="80"/>
      <c r="V209" s="1236"/>
      <c r="W209" s="1236"/>
      <c r="X209" s="1236"/>
      <c r="Y209" s="1236"/>
      <c r="Z209" s="1236"/>
      <c r="AA209" s="1236"/>
      <c r="AB209" s="1236"/>
      <c r="AC209" s="1236"/>
      <c r="AD209" s="1236"/>
      <c r="AE209" s="1236"/>
      <c r="AF209" s="1236"/>
    </row>
    <row r="210" ht="12.0" customHeight="1">
      <c r="A210" s="45"/>
      <c r="B210" s="45"/>
      <c r="C210" s="45"/>
      <c r="D210" s="45"/>
      <c r="E210" s="45"/>
      <c r="F210" s="45"/>
      <c r="G210" s="45"/>
      <c r="H210" s="45"/>
      <c r="I210" s="45"/>
      <c r="J210" s="109"/>
      <c r="K210" s="109"/>
      <c r="L210" s="109"/>
      <c r="M210" s="80"/>
      <c r="N210" s="80"/>
      <c r="O210" s="80"/>
      <c r="P210" s="80"/>
      <c r="Q210" s="80"/>
      <c r="R210" s="80"/>
      <c r="S210" s="80"/>
      <c r="T210" s="80"/>
      <c r="U210" s="80"/>
      <c r="V210" s="1236"/>
      <c r="W210" s="1236"/>
      <c r="X210" s="1236"/>
      <c r="Y210" s="1236"/>
      <c r="Z210" s="1236"/>
      <c r="AA210" s="1236"/>
      <c r="AB210" s="1236"/>
      <c r="AC210" s="1236"/>
      <c r="AD210" s="1236"/>
      <c r="AE210" s="1236"/>
      <c r="AF210" s="1236"/>
    </row>
    <row r="211" ht="12.0" customHeight="1">
      <c r="A211" s="45"/>
      <c r="B211" s="45"/>
      <c r="C211" s="45"/>
      <c r="D211" s="45"/>
      <c r="E211" s="45"/>
      <c r="F211" s="45"/>
      <c r="G211" s="45"/>
      <c r="H211" s="45"/>
      <c r="I211" s="45"/>
      <c r="J211" s="109"/>
      <c r="K211" s="109"/>
      <c r="L211" s="109"/>
      <c r="M211" s="80"/>
      <c r="N211" s="80"/>
      <c r="O211" s="80"/>
      <c r="P211" s="80"/>
      <c r="Q211" s="80"/>
      <c r="R211" s="80"/>
      <c r="S211" s="80"/>
      <c r="T211" s="80"/>
      <c r="U211" s="80"/>
      <c r="V211" s="1236"/>
      <c r="W211" s="1236"/>
      <c r="X211" s="1236"/>
      <c r="Y211" s="1236"/>
      <c r="Z211" s="1236"/>
      <c r="AA211" s="1236"/>
      <c r="AB211" s="1236"/>
      <c r="AC211" s="1236"/>
      <c r="AD211" s="1236"/>
      <c r="AE211" s="1236"/>
      <c r="AF211" s="1236"/>
    </row>
    <row r="212" ht="12.0" customHeight="1">
      <c r="A212" s="45"/>
      <c r="B212" s="45"/>
      <c r="C212" s="45"/>
      <c r="D212" s="45"/>
      <c r="E212" s="45"/>
      <c r="F212" s="45"/>
      <c r="G212" s="45"/>
      <c r="H212" s="45"/>
      <c r="I212" s="45"/>
      <c r="J212" s="109"/>
      <c r="K212" s="109"/>
      <c r="L212" s="109"/>
      <c r="M212" s="80"/>
      <c r="N212" s="80"/>
      <c r="O212" s="80"/>
      <c r="P212" s="80"/>
      <c r="Q212" s="80"/>
      <c r="R212" s="80"/>
      <c r="S212" s="80"/>
      <c r="T212" s="80"/>
      <c r="U212" s="80"/>
      <c r="V212" s="1236"/>
      <c r="W212" s="1236"/>
      <c r="X212" s="1236"/>
      <c r="Y212" s="1236"/>
      <c r="Z212" s="1236"/>
      <c r="AA212" s="1236"/>
      <c r="AB212" s="1236"/>
      <c r="AC212" s="1236"/>
      <c r="AD212" s="1236"/>
      <c r="AE212" s="1236"/>
      <c r="AF212" s="1236"/>
    </row>
    <row r="213" ht="12.0" customHeight="1">
      <c r="A213" s="45"/>
      <c r="B213" s="45"/>
      <c r="C213" s="45"/>
      <c r="D213" s="45"/>
      <c r="E213" s="45"/>
      <c r="F213" s="45"/>
      <c r="G213" s="45"/>
      <c r="H213" s="45"/>
      <c r="I213" s="45"/>
      <c r="J213" s="109"/>
      <c r="K213" s="109"/>
      <c r="L213" s="109"/>
      <c r="M213" s="80"/>
      <c r="N213" s="80"/>
      <c r="O213" s="80"/>
      <c r="P213" s="80"/>
      <c r="Q213" s="80"/>
      <c r="R213" s="80"/>
      <c r="S213" s="80"/>
      <c r="T213" s="80"/>
      <c r="U213" s="80"/>
      <c r="V213" s="1236"/>
      <c r="W213" s="1236"/>
      <c r="X213" s="1236"/>
      <c r="Y213" s="1236"/>
      <c r="Z213" s="1236"/>
      <c r="AA213" s="1236"/>
      <c r="AB213" s="1236"/>
      <c r="AC213" s="1236"/>
      <c r="AD213" s="1236"/>
      <c r="AE213" s="1236"/>
      <c r="AF213" s="1236"/>
    </row>
    <row r="214" ht="12.0" customHeight="1">
      <c r="A214" s="45"/>
      <c r="B214" s="45"/>
      <c r="C214" s="45"/>
      <c r="D214" s="45"/>
      <c r="E214" s="45"/>
      <c r="F214" s="45"/>
      <c r="G214" s="45"/>
      <c r="H214" s="45"/>
      <c r="I214" s="45"/>
      <c r="J214" s="109"/>
      <c r="K214" s="109"/>
      <c r="L214" s="109"/>
      <c r="M214" s="80"/>
      <c r="N214" s="80"/>
      <c r="O214" s="80"/>
      <c r="P214" s="80"/>
      <c r="Q214" s="80"/>
      <c r="R214" s="80"/>
      <c r="S214" s="80"/>
      <c r="T214" s="80"/>
      <c r="U214" s="80"/>
      <c r="V214" s="1236"/>
      <c r="W214" s="1236"/>
      <c r="X214" s="1236"/>
      <c r="Y214" s="1236"/>
      <c r="Z214" s="1236"/>
      <c r="AA214" s="1236"/>
      <c r="AB214" s="1236"/>
      <c r="AC214" s="1236"/>
      <c r="AD214" s="1236"/>
      <c r="AE214" s="1236"/>
      <c r="AF214" s="1236"/>
    </row>
    <row r="215" ht="12.0" customHeight="1">
      <c r="A215" s="45"/>
      <c r="B215" s="45"/>
      <c r="C215" s="45"/>
      <c r="D215" s="45"/>
      <c r="E215" s="45"/>
      <c r="F215" s="45"/>
      <c r="G215" s="45"/>
      <c r="H215" s="45"/>
      <c r="I215" s="45"/>
      <c r="J215" s="109"/>
      <c r="K215" s="109"/>
      <c r="L215" s="109"/>
      <c r="M215" s="80"/>
      <c r="N215" s="80"/>
      <c r="O215" s="80"/>
      <c r="P215" s="80"/>
      <c r="Q215" s="80"/>
      <c r="R215" s="80"/>
      <c r="S215" s="80"/>
      <c r="T215" s="80"/>
      <c r="U215" s="80"/>
      <c r="V215" s="1236"/>
      <c r="W215" s="1236"/>
      <c r="X215" s="1236"/>
      <c r="Y215" s="1236"/>
      <c r="Z215" s="1236"/>
      <c r="AA215" s="1236"/>
      <c r="AB215" s="1236"/>
      <c r="AC215" s="1236"/>
      <c r="AD215" s="1236"/>
      <c r="AE215" s="1236"/>
      <c r="AF215" s="1236"/>
    </row>
    <row r="216" ht="12.0" customHeight="1">
      <c r="A216" s="45"/>
      <c r="B216" s="45"/>
      <c r="C216" s="45"/>
      <c r="D216" s="45"/>
      <c r="E216" s="45"/>
      <c r="F216" s="45"/>
      <c r="G216" s="45"/>
      <c r="H216" s="45"/>
      <c r="I216" s="45"/>
      <c r="J216" s="109"/>
      <c r="K216" s="109"/>
      <c r="L216" s="109"/>
      <c r="M216" s="80"/>
      <c r="N216" s="80"/>
      <c r="O216" s="80"/>
      <c r="P216" s="80"/>
      <c r="Q216" s="80"/>
      <c r="R216" s="80"/>
      <c r="S216" s="80"/>
      <c r="T216" s="80"/>
      <c r="U216" s="80"/>
      <c r="V216" s="1236"/>
      <c r="W216" s="1236"/>
      <c r="X216" s="1236"/>
      <c r="Y216" s="1236"/>
      <c r="Z216" s="1236"/>
      <c r="AA216" s="1236"/>
      <c r="AB216" s="1236"/>
      <c r="AC216" s="1236"/>
      <c r="AD216" s="1236"/>
      <c r="AE216" s="1236"/>
      <c r="AF216" s="1236"/>
    </row>
    <row r="217" ht="12.0" customHeight="1">
      <c r="A217" s="45"/>
      <c r="B217" s="45"/>
      <c r="C217" s="45"/>
      <c r="D217" s="45"/>
      <c r="E217" s="45"/>
      <c r="F217" s="45"/>
      <c r="G217" s="45"/>
      <c r="H217" s="45"/>
      <c r="I217" s="45"/>
      <c r="J217" s="109"/>
      <c r="K217" s="109"/>
      <c r="L217" s="109"/>
      <c r="M217" s="80"/>
      <c r="N217" s="80"/>
      <c r="O217" s="80"/>
      <c r="P217" s="80"/>
      <c r="Q217" s="80"/>
      <c r="R217" s="80"/>
      <c r="S217" s="80"/>
      <c r="T217" s="80"/>
      <c r="U217" s="80"/>
      <c r="V217" s="1236"/>
      <c r="W217" s="1236"/>
      <c r="X217" s="1236"/>
      <c r="Y217" s="1236"/>
      <c r="Z217" s="1236"/>
      <c r="AA217" s="1236"/>
      <c r="AB217" s="1236"/>
      <c r="AC217" s="1236"/>
      <c r="AD217" s="1236"/>
      <c r="AE217" s="1236"/>
      <c r="AF217" s="1236"/>
    </row>
    <row r="218" ht="12.0" customHeight="1">
      <c r="A218" s="45"/>
      <c r="B218" s="45"/>
      <c r="C218" s="45"/>
      <c r="D218" s="45"/>
      <c r="E218" s="45"/>
      <c r="F218" s="45"/>
      <c r="G218" s="45"/>
      <c r="H218" s="45"/>
      <c r="I218" s="45"/>
      <c r="J218" s="109"/>
      <c r="K218" s="109"/>
      <c r="L218" s="109"/>
      <c r="M218" s="80"/>
      <c r="N218" s="80"/>
      <c r="O218" s="80"/>
      <c r="P218" s="80"/>
      <c r="Q218" s="80"/>
      <c r="R218" s="80"/>
      <c r="S218" s="80"/>
      <c r="T218" s="80"/>
      <c r="U218" s="80"/>
      <c r="V218" s="1236"/>
      <c r="W218" s="1236"/>
      <c r="X218" s="1236"/>
      <c r="Y218" s="1236"/>
      <c r="Z218" s="1236"/>
      <c r="AA218" s="1236"/>
      <c r="AB218" s="1236"/>
      <c r="AC218" s="1236"/>
      <c r="AD218" s="1236"/>
      <c r="AE218" s="1236"/>
      <c r="AF218" s="1236"/>
    </row>
    <row r="219" ht="12.0" customHeight="1">
      <c r="A219" s="45"/>
      <c r="B219" s="45"/>
      <c r="C219" s="45"/>
      <c r="D219" s="45"/>
      <c r="E219" s="45"/>
      <c r="F219" s="45"/>
      <c r="G219" s="45"/>
      <c r="H219" s="45"/>
      <c r="I219" s="45"/>
      <c r="J219" s="109"/>
      <c r="K219" s="109"/>
      <c r="L219" s="109"/>
      <c r="M219" s="80"/>
      <c r="N219" s="80"/>
      <c r="O219" s="80"/>
      <c r="P219" s="80"/>
      <c r="Q219" s="80"/>
      <c r="R219" s="80"/>
      <c r="S219" s="80"/>
      <c r="T219" s="80"/>
      <c r="U219" s="80"/>
      <c r="V219" s="1236"/>
      <c r="W219" s="1236"/>
      <c r="X219" s="1236"/>
      <c r="Y219" s="1236"/>
      <c r="Z219" s="1236"/>
      <c r="AA219" s="1236"/>
      <c r="AB219" s="1236"/>
      <c r="AC219" s="1236"/>
      <c r="AD219" s="1236"/>
      <c r="AE219" s="1236"/>
      <c r="AF219" s="1236"/>
    </row>
    <row r="220" ht="12.0" customHeight="1">
      <c r="A220" s="45"/>
      <c r="B220" s="45"/>
      <c r="C220" s="45"/>
      <c r="D220" s="45"/>
      <c r="E220" s="45"/>
      <c r="F220" s="45"/>
      <c r="G220" s="45"/>
      <c r="H220" s="45"/>
      <c r="I220" s="45"/>
      <c r="J220" s="109"/>
      <c r="K220" s="109"/>
      <c r="L220" s="109"/>
      <c r="M220" s="80"/>
      <c r="N220" s="80"/>
      <c r="O220" s="80"/>
      <c r="P220" s="80"/>
      <c r="Q220" s="80"/>
      <c r="R220" s="80"/>
      <c r="S220" s="80"/>
      <c r="T220" s="80"/>
      <c r="U220" s="80"/>
      <c r="V220" s="1236"/>
      <c r="W220" s="1236"/>
      <c r="X220" s="1236"/>
      <c r="Y220" s="1236"/>
      <c r="Z220" s="1236"/>
      <c r="AA220" s="1236"/>
      <c r="AB220" s="1236"/>
      <c r="AC220" s="1236"/>
      <c r="AD220" s="1236"/>
      <c r="AE220" s="1236"/>
      <c r="AF220" s="1236"/>
    </row>
    <row r="221" ht="12.0" customHeight="1">
      <c r="A221" s="45"/>
      <c r="B221" s="45"/>
      <c r="C221" s="45"/>
      <c r="D221" s="45"/>
      <c r="E221" s="45"/>
      <c r="F221" s="45"/>
      <c r="G221" s="45"/>
      <c r="H221" s="45"/>
      <c r="I221" s="45"/>
      <c r="J221" s="109"/>
      <c r="K221" s="109"/>
      <c r="L221" s="109"/>
      <c r="M221" s="80"/>
      <c r="N221" s="80"/>
      <c r="O221" s="80"/>
      <c r="P221" s="80"/>
      <c r="Q221" s="80"/>
      <c r="R221" s="80"/>
      <c r="S221" s="80"/>
      <c r="T221" s="80"/>
      <c r="U221" s="80"/>
      <c r="V221" s="1236"/>
      <c r="W221" s="1236"/>
      <c r="X221" s="1236"/>
      <c r="Y221" s="1236"/>
      <c r="Z221" s="1236"/>
      <c r="AA221" s="1236"/>
      <c r="AB221" s="1236"/>
      <c r="AC221" s="1236"/>
      <c r="AD221" s="1236"/>
      <c r="AE221" s="1236"/>
      <c r="AF221" s="1236"/>
    </row>
    <row r="222" ht="12.0" customHeight="1">
      <c r="A222" s="45"/>
      <c r="B222" s="45"/>
      <c r="C222" s="45"/>
      <c r="D222" s="45"/>
      <c r="E222" s="45"/>
      <c r="F222" s="45"/>
      <c r="G222" s="45"/>
      <c r="H222" s="45"/>
      <c r="I222" s="45"/>
      <c r="J222" s="109"/>
      <c r="K222" s="109"/>
      <c r="L222" s="109"/>
      <c r="M222" s="80"/>
      <c r="N222" s="80"/>
      <c r="O222" s="80"/>
      <c r="P222" s="80"/>
      <c r="Q222" s="80"/>
      <c r="R222" s="80"/>
      <c r="S222" s="80"/>
      <c r="T222" s="80"/>
      <c r="U222" s="80"/>
      <c r="V222" s="1236"/>
      <c r="W222" s="1236"/>
      <c r="X222" s="1236"/>
      <c r="Y222" s="1236"/>
      <c r="Z222" s="1236"/>
      <c r="AA222" s="1236"/>
      <c r="AB222" s="1236"/>
      <c r="AC222" s="1236"/>
      <c r="AD222" s="1236"/>
      <c r="AE222" s="1236"/>
      <c r="AF222" s="1236"/>
    </row>
    <row r="223" ht="12.0" customHeight="1">
      <c r="A223" s="45"/>
      <c r="B223" s="45"/>
      <c r="C223" s="45"/>
      <c r="D223" s="45"/>
      <c r="E223" s="45"/>
      <c r="F223" s="45"/>
      <c r="G223" s="45"/>
      <c r="H223" s="45"/>
      <c r="I223" s="45"/>
      <c r="J223" s="109"/>
      <c r="K223" s="109"/>
      <c r="L223" s="109"/>
      <c r="M223" s="80"/>
      <c r="N223" s="80"/>
      <c r="O223" s="80"/>
      <c r="P223" s="80"/>
      <c r="Q223" s="80"/>
      <c r="R223" s="80"/>
      <c r="S223" s="80"/>
      <c r="T223" s="80"/>
      <c r="U223" s="80"/>
      <c r="V223" s="1236"/>
      <c r="W223" s="1236"/>
      <c r="X223" s="1236"/>
      <c r="Y223" s="1236"/>
      <c r="Z223" s="1236"/>
      <c r="AA223" s="1236"/>
      <c r="AB223" s="1236"/>
      <c r="AC223" s="1236"/>
      <c r="AD223" s="1236"/>
      <c r="AE223" s="1236"/>
      <c r="AF223" s="1236"/>
    </row>
    <row r="224" ht="12.0" customHeight="1">
      <c r="A224" s="45"/>
      <c r="B224" s="45"/>
      <c r="C224" s="45"/>
      <c r="D224" s="45"/>
      <c r="E224" s="45"/>
      <c r="F224" s="45"/>
      <c r="G224" s="45"/>
      <c r="H224" s="45"/>
      <c r="I224" s="45"/>
      <c r="J224" s="109"/>
      <c r="K224" s="109"/>
      <c r="L224" s="109"/>
      <c r="M224" s="80"/>
      <c r="N224" s="80"/>
      <c r="O224" s="80"/>
      <c r="P224" s="80"/>
      <c r="Q224" s="80"/>
      <c r="R224" s="80"/>
      <c r="S224" s="80"/>
      <c r="T224" s="80"/>
      <c r="U224" s="80"/>
      <c r="V224" s="1236"/>
      <c r="W224" s="1236"/>
      <c r="X224" s="1236"/>
      <c r="Y224" s="1236"/>
      <c r="Z224" s="1236"/>
      <c r="AA224" s="1236"/>
      <c r="AB224" s="1236"/>
      <c r="AC224" s="1236"/>
      <c r="AD224" s="1236"/>
      <c r="AE224" s="1236"/>
      <c r="AF224" s="1236"/>
    </row>
    <row r="225" ht="12.0" customHeight="1">
      <c r="A225" s="45"/>
      <c r="B225" s="45"/>
      <c r="C225" s="45"/>
      <c r="D225" s="45"/>
      <c r="E225" s="45"/>
      <c r="F225" s="45"/>
      <c r="G225" s="45"/>
      <c r="H225" s="45"/>
      <c r="I225" s="45"/>
      <c r="J225" s="109"/>
      <c r="K225" s="109"/>
      <c r="L225" s="109"/>
      <c r="M225" s="80"/>
      <c r="N225" s="80"/>
      <c r="O225" s="80"/>
      <c r="P225" s="80"/>
      <c r="Q225" s="80"/>
      <c r="R225" s="80"/>
      <c r="S225" s="80"/>
      <c r="T225" s="80"/>
      <c r="U225" s="80"/>
      <c r="V225" s="1236"/>
      <c r="W225" s="1236"/>
      <c r="X225" s="1236"/>
      <c r="Y225" s="1236"/>
      <c r="Z225" s="1236"/>
      <c r="AA225" s="1236"/>
      <c r="AB225" s="1236"/>
      <c r="AC225" s="1236"/>
      <c r="AD225" s="1236"/>
      <c r="AE225" s="1236"/>
      <c r="AF225" s="1236"/>
    </row>
    <row r="226" ht="12.0" customHeight="1">
      <c r="A226" s="45"/>
      <c r="B226" s="45"/>
      <c r="C226" s="45"/>
      <c r="D226" s="45"/>
      <c r="E226" s="45"/>
      <c r="F226" s="45"/>
      <c r="G226" s="45"/>
      <c r="H226" s="45"/>
      <c r="I226" s="45"/>
      <c r="J226" s="109"/>
      <c r="K226" s="109"/>
      <c r="L226" s="109"/>
      <c r="M226" s="80"/>
      <c r="N226" s="80"/>
      <c r="O226" s="80"/>
      <c r="P226" s="80"/>
      <c r="Q226" s="80"/>
      <c r="R226" s="80"/>
      <c r="S226" s="80"/>
      <c r="T226" s="80"/>
      <c r="U226" s="80"/>
      <c r="V226" s="1236"/>
      <c r="W226" s="1236"/>
      <c r="X226" s="1236"/>
      <c r="Y226" s="1236"/>
      <c r="Z226" s="1236"/>
      <c r="AA226" s="1236"/>
      <c r="AB226" s="1236"/>
      <c r="AC226" s="1236"/>
      <c r="AD226" s="1236"/>
      <c r="AE226" s="1236"/>
      <c r="AF226" s="1236"/>
    </row>
    <row r="227" ht="12.0" customHeight="1">
      <c r="A227" s="45"/>
      <c r="B227" s="45"/>
      <c r="C227" s="45"/>
      <c r="D227" s="45"/>
      <c r="E227" s="45"/>
      <c r="F227" s="45"/>
      <c r="G227" s="45"/>
      <c r="H227" s="45"/>
      <c r="I227" s="45"/>
      <c r="J227" s="109"/>
      <c r="K227" s="109"/>
      <c r="L227" s="109"/>
      <c r="M227" s="80"/>
      <c r="N227" s="80"/>
      <c r="O227" s="80"/>
      <c r="P227" s="80"/>
      <c r="Q227" s="80"/>
      <c r="R227" s="80"/>
      <c r="S227" s="80"/>
      <c r="T227" s="80"/>
      <c r="U227" s="80"/>
      <c r="V227" s="1236"/>
      <c r="W227" s="1236"/>
      <c r="X227" s="1236"/>
      <c r="Y227" s="1236"/>
      <c r="Z227" s="1236"/>
      <c r="AA227" s="1236"/>
      <c r="AB227" s="1236"/>
      <c r="AC227" s="1236"/>
      <c r="AD227" s="1236"/>
      <c r="AE227" s="1236"/>
      <c r="AF227" s="1236"/>
    </row>
    <row r="228" ht="12.0" customHeight="1">
      <c r="A228" s="45"/>
      <c r="B228" s="45"/>
      <c r="C228" s="45"/>
      <c r="D228" s="45"/>
      <c r="E228" s="45"/>
      <c r="F228" s="45"/>
      <c r="G228" s="45"/>
      <c r="H228" s="45"/>
      <c r="I228" s="45"/>
      <c r="J228" s="109"/>
      <c r="K228" s="109"/>
      <c r="L228" s="109"/>
      <c r="M228" s="80"/>
      <c r="N228" s="80"/>
      <c r="O228" s="80"/>
      <c r="P228" s="80"/>
      <c r="Q228" s="80"/>
      <c r="R228" s="80"/>
      <c r="S228" s="80"/>
      <c r="T228" s="80"/>
      <c r="U228" s="80"/>
      <c r="V228" s="1236"/>
      <c r="W228" s="1236"/>
      <c r="X228" s="1236"/>
      <c r="Y228" s="1236"/>
      <c r="Z228" s="1236"/>
      <c r="AA228" s="1236"/>
      <c r="AB228" s="1236"/>
      <c r="AC228" s="1236"/>
      <c r="AD228" s="1236"/>
      <c r="AE228" s="1236"/>
      <c r="AF228" s="1236"/>
    </row>
    <row r="229" ht="12.0" customHeight="1">
      <c r="A229" s="45"/>
      <c r="B229" s="45"/>
      <c r="C229" s="45"/>
      <c r="D229" s="45"/>
      <c r="E229" s="45"/>
      <c r="F229" s="45"/>
      <c r="G229" s="45"/>
      <c r="H229" s="45"/>
      <c r="I229" s="45"/>
      <c r="J229" s="109"/>
      <c r="K229" s="109"/>
      <c r="L229" s="109"/>
      <c r="M229" s="80"/>
      <c r="N229" s="80"/>
      <c r="O229" s="80"/>
      <c r="P229" s="80"/>
      <c r="Q229" s="80"/>
      <c r="R229" s="80"/>
      <c r="S229" s="80"/>
      <c r="T229" s="80"/>
      <c r="U229" s="80"/>
      <c r="V229" s="1236"/>
      <c r="W229" s="1236"/>
      <c r="X229" s="1236"/>
      <c r="Y229" s="1236"/>
      <c r="Z229" s="1236"/>
      <c r="AA229" s="1236"/>
      <c r="AB229" s="1236"/>
      <c r="AC229" s="1236"/>
      <c r="AD229" s="1236"/>
      <c r="AE229" s="1236"/>
      <c r="AF229" s="1236"/>
    </row>
    <row r="230" ht="12.0" customHeight="1">
      <c r="A230" s="45"/>
      <c r="B230" s="45"/>
      <c r="C230" s="45"/>
      <c r="D230" s="45"/>
      <c r="E230" s="45"/>
      <c r="F230" s="45"/>
      <c r="G230" s="45"/>
      <c r="H230" s="45"/>
      <c r="I230" s="45"/>
      <c r="J230" s="109"/>
      <c r="K230" s="109"/>
      <c r="L230" s="109"/>
      <c r="M230" s="80"/>
      <c r="N230" s="80"/>
      <c r="O230" s="80"/>
      <c r="P230" s="80"/>
      <c r="Q230" s="80"/>
      <c r="R230" s="80"/>
      <c r="S230" s="80"/>
      <c r="T230" s="80"/>
      <c r="U230" s="80"/>
      <c r="V230" s="1236"/>
      <c r="W230" s="1236"/>
      <c r="X230" s="1236"/>
      <c r="Y230" s="1236"/>
      <c r="Z230" s="1236"/>
      <c r="AA230" s="1236"/>
      <c r="AB230" s="1236"/>
      <c r="AC230" s="1236"/>
      <c r="AD230" s="1236"/>
      <c r="AE230" s="1236"/>
      <c r="AF230" s="1236"/>
    </row>
    <row r="231" ht="12.0" customHeight="1">
      <c r="A231" s="45"/>
      <c r="B231" s="45"/>
      <c r="C231" s="45"/>
      <c r="D231" s="45"/>
      <c r="E231" s="45"/>
      <c r="F231" s="45"/>
      <c r="G231" s="45"/>
      <c r="H231" s="45"/>
      <c r="I231" s="45"/>
      <c r="J231" s="109"/>
      <c r="K231" s="109"/>
      <c r="L231" s="109"/>
      <c r="M231" s="80"/>
      <c r="N231" s="80"/>
      <c r="O231" s="80"/>
      <c r="P231" s="80"/>
      <c r="Q231" s="80"/>
      <c r="R231" s="80"/>
      <c r="S231" s="80"/>
      <c r="T231" s="80"/>
      <c r="U231" s="80"/>
      <c r="V231" s="1236"/>
      <c r="W231" s="1236"/>
      <c r="X231" s="1236"/>
      <c r="Y231" s="1236"/>
      <c r="Z231" s="1236"/>
      <c r="AA231" s="1236"/>
      <c r="AB231" s="1236"/>
      <c r="AC231" s="1236"/>
      <c r="AD231" s="1236"/>
      <c r="AE231" s="1236"/>
      <c r="AF231" s="1236"/>
    </row>
    <row r="232" ht="12.0" customHeight="1">
      <c r="A232" s="45"/>
      <c r="B232" s="45"/>
      <c r="C232" s="45"/>
      <c r="D232" s="45"/>
      <c r="E232" s="45"/>
      <c r="F232" s="45"/>
      <c r="G232" s="45"/>
      <c r="H232" s="45"/>
      <c r="I232" s="45"/>
      <c r="J232" s="109"/>
      <c r="K232" s="109"/>
      <c r="L232" s="109"/>
      <c r="M232" s="80"/>
      <c r="N232" s="80"/>
      <c r="O232" s="80"/>
      <c r="P232" s="80"/>
      <c r="Q232" s="80"/>
      <c r="R232" s="80"/>
      <c r="S232" s="80"/>
      <c r="T232" s="80"/>
      <c r="U232" s="80"/>
      <c r="V232" s="1236"/>
      <c r="W232" s="1236"/>
      <c r="X232" s="1236"/>
      <c r="Y232" s="1236"/>
      <c r="Z232" s="1236"/>
      <c r="AA232" s="1236"/>
      <c r="AB232" s="1236"/>
      <c r="AC232" s="1236"/>
      <c r="AD232" s="1236"/>
      <c r="AE232" s="1236"/>
      <c r="AF232" s="1236"/>
    </row>
    <row r="233" ht="12.0" customHeight="1">
      <c r="A233" s="45"/>
      <c r="B233" s="45"/>
      <c r="C233" s="45"/>
      <c r="D233" s="45"/>
      <c r="E233" s="45"/>
      <c r="F233" s="45"/>
      <c r="G233" s="45"/>
      <c r="H233" s="45"/>
      <c r="I233" s="45"/>
      <c r="J233" s="109"/>
      <c r="K233" s="109"/>
      <c r="L233" s="109"/>
      <c r="M233" s="80"/>
      <c r="N233" s="80"/>
      <c r="O233" s="80"/>
      <c r="P233" s="80"/>
      <c r="Q233" s="80"/>
      <c r="R233" s="80"/>
      <c r="S233" s="80"/>
      <c r="T233" s="80"/>
      <c r="U233" s="80"/>
      <c r="V233" s="1236"/>
      <c r="W233" s="1236"/>
      <c r="X233" s="1236"/>
      <c r="Y233" s="1236"/>
      <c r="Z233" s="1236"/>
      <c r="AA233" s="1236"/>
      <c r="AB233" s="1236"/>
      <c r="AC233" s="1236"/>
      <c r="AD233" s="1236"/>
      <c r="AE233" s="1236"/>
      <c r="AF233" s="1236"/>
    </row>
    <row r="234" ht="12.0" customHeight="1">
      <c r="A234" s="45"/>
      <c r="B234" s="45"/>
      <c r="C234" s="45"/>
      <c r="D234" s="45"/>
      <c r="E234" s="45"/>
      <c r="F234" s="45"/>
      <c r="G234" s="45"/>
      <c r="H234" s="45"/>
      <c r="I234" s="45"/>
      <c r="J234" s="109"/>
      <c r="K234" s="109"/>
      <c r="L234" s="109"/>
      <c r="M234" s="80"/>
      <c r="N234" s="80"/>
      <c r="O234" s="80"/>
      <c r="P234" s="80"/>
      <c r="Q234" s="80"/>
      <c r="R234" s="80"/>
      <c r="S234" s="80"/>
      <c r="T234" s="80"/>
      <c r="U234" s="80"/>
      <c r="V234" s="1236"/>
      <c r="W234" s="1236"/>
      <c r="X234" s="1236"/>
      <c r="Y234" s="1236"/>
      <c r="Z234" s="1236"/>
      <c r="AA234" s="1236"/>
      <c r="AB234" s="1236"/>
      <c r="AC234" s="1236"/>
      <c r="AD234" s="1236"/>
      <c r="AE234" s="1236"/>
      <c r="AF234" s="1236"/>
    </row>
    <row r="235" ht="12.0" customHeight="1">
      <c r="A235" s="45"/>
      <c r="B235" s="45"/>
      <c r="C235" s="45"/>
      <c r="D235" s="45"/>
      <c r="E235" s="45"/>
      <c r="F235" s="45"/>
      <c r="G235" s="45"/>
      <c r="H235" s="45"/>
      <c r="I235" s="45"/>
      <c r="J235" s="109"/>
      <c r="K235" s="109"/>
      <c r="L235" s="109"/>
      <c r="M235" s="80"/>
      <c r="N235" s="80"/>
      <c r="O235" s="80"/>
      <c r="P235" s="80"/>
      <c r="Q235" s="80"/>
      <c r="R235" s="80"/>
      <c r="S235" s="80"/>
      <c r="T235" s="80"/>
      <c r="U235" s="80"/>
      <c r="V235" s="1236"/>
      <c r="W235" s="1236"/>
      <c r="X235" s="1236"/>
      <c r="Y235" s="1236"/>
      <c r="Z235" s="1236"/>
      <c r="AA235" s="1236"/>
      <c r="AB235" s="1236"/>
      <c r="AC235" s="1236"/>
      <c r="AD235" s="1236"/>
      <c r="AE235" s="1236"/>
      <c r="AF235" s="1236"/>
    </row>
    <row r="236" ht="12.0" customHeight="1">
      <c r="A236" s="45"/>
      <c r="B236" s="45"/>
      <c r="C236" s="45"/>
      <c r="D236" s="45"/>
      <c r="E236" s="45"/>
      <c r="F236" s="45"/>
      <c r="G236" s="45"/>
      <c r="H236" s="45"/>
      <c r="I236" s="45"/>
      <c r="J236" s="109"/>
      <c r="K236" s="109"/>
      <c r="L236" s="109"/>
      <c r="M236" s="80"/>
      <c r="N236" s="80"/>
      <c r="O236" s="80"/>
      <c r="P236" s="80"/>
      <c r="Q236" s="80"/>
      <c r="R236" s="80"/>
      <c r="S236" s="80"/>
      <c r="T236" s="80"/>
      <c r="U236" s="80"/>
      <c r="V236" s="1236"/>
      <c r="W236" s="1236"/>
      <c r="X236" s="1236"/>
      <c r="Y236" s="1236"/>
      <c r="Z236" s="1236"/>
      <c r="AA236" s="1236"/>
      <c r="AB236" s="1236"/>
      <c r="AC236" s="1236"/>
      <c r="AD236" s="1236"/>
      <c r="AE236" s="1236"/>
      <c r="AF236" s="1236"/>
    </row>
    <row r="237" ht="12.0" customHeight="1">
      <c r="A237" s="45"/>
      <c r="B237" s="45"/>
      <c r="C237" s="45"/>
      <c r="D237" s="45"/>
      <c r="E237" s="45"/>
      <c r="F237" s="45"/>
      <c r="G237" s="45"/>
      <c r="H237" s="45"/>
      <c r="I237" s="45"/>
      <c r="J237" s="109"/>
      <c r="K237" s="109"/>
      <c r="L237" s="109"/>
      <c r="M237" s="80"/>
      <c r="N237" s="80"/>
      <c r="O237" s="80"/>
      <c r="P237" s="80"/>
      <c r="Q237" s="80"/>
      <c r="R237" s="80"/>
      <c r="S237" s="80"/>
      <c r="T237" s="80"/>
      <c r="U237" s="80"/>
      <c r="V237" s="1236"/>
      <c r="W237" s="1236"/>
      <c r="X237" s="1236"/>
      <c r="Y237" s="1236"/>
      <c r="Z237" s="1236"/>
      <c r="AA237" s="1236"/>
      <c r="AB237" s="1236"/>
      <c r="AC237" s="1236"/>
      <c r="AD237" s="1236"/>
      <c r="AE237" s="1236"/>
      <c r="AF237" s="1236"/>
    </row>
    <row r="238" ht="12.0" customHeight="1">
      <c r="A238" s="45"/>
      <c r="B238" s="45"/>
      <c r="C238" s="45"/>
      <c r="D238" s="45"/>
      <c r="E238" s="45"/>
      <c r="F238" s="45"/>
      <c r="G238" s="45"/>
      <c r="H238" s="45"/>
      <c r="I238" s="45"/>
      <c r="J238" s="109"/>
      <c r="K238" s="109"/>
      <c r="L238" s="109"/>
      <c r="M238" s="80"/>
      <c r="N238" s="80"/>
      <c r="O238" s="80"/>
      <c r="P238" s="80"/>
      <c r="Q238" s="80"/>
      <c r="R238" s="80"/>
      <c r="S238" s="80"/>
      <c r="T238" s="80"/>
      <c r="U238" s="80"/>
      <c r="V238" s="1236"/>
      <c r="W238" s="1236"/>
      <c r="X238" s="1236"/>
      <c r="Y238" s="1236"/>
      <c r="Z238" s="1236"/>
      <c r="AA238" s="1236"/>
      <c r="AB238" s="1236"/>
      <c r="AC238" s="1236"/>
      <c r="AD238" s="1236"/>
      <c r="AE238" s="1236"/>
      <c r="AF238" s="1236"/>
    </row>
    <row r="239" ht="12.0" customHeight="1">
      <c r="A239" s="45"/>
      <c r="B239" s="45"/>
      <c r="C239" s="45"/>
      <c r="D239" s="45"/>
      <c r="E239" s="45"/>
      <c r="F239" s="45"/>
      <c r="G239" s="45"/>
      <c r="H239" s="45"/>
      <c r="I239" s="45"/>
      <c r="J239" s="109"/>
      <c r="K239" s="109"/>
      <c r="L239" s="109"/>
      <c r="M239" s="80"/>
      <c r="N239" s="80"/>
      <c r="O239" s="80"/>
      <c r="P239" s="80"/>
      <c r="Q239" s="80"/>
      <c r="R239" s="80"/>
      <c r="S239" s="80"/>
      <c r="T239" s="80"/>
      <c r="U239" s="80"/>
      <c r="V239" s="1236"/>
      <c r="W239" s="1236"/>
      <c r="X239" s="1236"/>
      <c r="Y239" s="1236"/>
      <c r="Z239" s="1236"/>
      <c r="AA239" s="1236"/>
      <c r="AB239" s="1236"/>
      <c r="AC239" s="1236"/>
      <c r="AD239" s="1236"/>
      <c r="AE239" s="1236"/>
      <c r="AF239" s="1236"/>
    </row>
    <row r="240" ht="12.0" customHeight="1">
      <c r="A240" s="45"/>
      <c r="B240" s="45"/>
      <c r="C240" s="45"/>
      <c r="D240" s="45"/>
      <c r="E240" s="45"/>
      <c r="F240" s="45"/>
      <c r="G240" s="45"/>
      <c r="H240" s="45"/>
      <c r="I240" s="45"/>
      <c r="J240" s="109"/>
      <c r="K240" s="109"/>
      <c r="L240" s="109"/>
      <c r="M240" s="80"/>
      <c r="N240" s="80"/>
      <c r="O240" s="80"/>
      <c r="P240" s="80"/>
      <c r="Q240" s="80"/>
      <c r="R240" s="80"/>
      <c r="S240" s="80"/>
      <c r="T240" s="80"/>
      <c r="U240" s="80"/>
      <c r="V240" s="1236"/>
      <c r="W240" s="1236"/>
      <c r="X240" s="1236"/>
      <c r="Y240" s="1236"/>
      <c r="Z240" s="1236"/>
      <c r="AA240" s="1236"/>
      <c r="AB240" s="1236"/>
      <c r="AC240" s="1236"/>
      <c r="AD240" s="1236"/>
      <c r="AE240" s="1236"/>
      <c r="AF240" s="1236"/>
    </row>
    <row r="241" ht="12.0" customHeight="1">
      <c r="A241" s="45"/>
      <c r="B241" s="45"/>
      <c r="C241" s="45"/>
      <c r="D241" s="45"/>
      <c r="E241" s="45"/>
      <c r="F241" s="45"/>
      <c r="G241" s="45"/>
      <c r="H241" s="45"/>
      <c r="I241" s="45"/>
      <c r="J241" s="109"/>
      <c r="K241" s="109"/>
      <c r="L241" s="109"/>
      <c r="M241" s="80"/>
      <c r="N241" s="80"/>
      <c r="O241" s="80"/>
      <c r="P241" s="80"/>
      <c r="Q241" s="80"/>
      <c r="R241" s="80"/>
      <c r="S241" s="80"/>
      <c r="T241" s="80"/>
      <c r="U241" s="80"/>
      <c r="V241" s="1236"/>
      <c r="W241" s="1236"/>
      <c r="X241" s="1236"/>
      <c r="Y241" s="1236"/>
      <c r="Z241" s="1236"/>
      <c r="AA241" s="1236"/>
      <c r="AB241" s="1236"/>
      <c r="AC241" s="1236"/>
      <c r="AD241" s="1236"/>
      <c r="AE241" s="1236"/>
      <c r="AF241" s="1236"/>
    </row>
    <row r="242" ht="12.0" customHeight="1">
      <c r="A242" s="45"/>
      <c r="B242" s="45"/>
      <c r="C242" s="45"/>
      <c r="D242" s="45"/>
      <c r="E242" s="45"/>
      <c r="F242" s="45"/>
      <c r="G242" s="45"/>
      <c r="H242" s="45"/>
      <c r="I242" s="45"/>
      <c r="J242" s="109"/>
      <c r="K242" s="109"/>
      <c r="L242" s="109"/>
      <c r="M242" s="80"/>
      <c r="N242" s="80"/>
      <c r="O242" s="80"/>
      <c r="P242" s="80"/>
      <c r="Q242" s="80"/>
      <c r="R242" s="80"/>
      <c r="S242" s="80"/>
      <c r="T242" s="80"/>
      <c r="U242" s="80"/>
      <c r="V242" s="1236"/>
      <c r="W242" s="1236"/>
      <c r="X242" s="1236"/>
      <c r="Y242" s="1236"/>
      <c r="Z242" s="1236"/>
      <c r="AA242" s="1236"/>
      <c r="AB242" s="1236"/>
      <c r="AC242" s="1236"/>
      <c r="AD242" s="1236"/>
      <c r="AE242" s="1236"/>
      <c r="AF242" s="1236"/>
    </row>
    <row r="243" ht="12.0" customHeight="1">
      <c r="A243" s="45"/>
      <c r="B243" s="45"/>
      <c r="C243" s="45"/>
      <c r="D243" s="45"/>
      <c r="E243" s="45"/>
      <c r="F243" s="45"/>
      <c r="G243" s="45"/>
      <c r="H243" s="45"/>
      <c r="I243" s="45"/>
      <c r="J243" s="109"/>
      <c r="K243" s="109"/>
      <c r="L243" s="109"/>
      <c r="M243" s="80"/>
      <c r="N243" s="80"/>
      <c r="O243" s="80"/>
      <c r="P243" s="80"/>
      <c r="Q243" s="80"/>
      <c r="R243" s="80"/>
      <c r="S243" s="80"/>
      <c r="T243" s="80"/>
      <c r="U243" s="80"/>
      <c r="V243" s="1236"/>
      <c r="W243" s="1236"/>
      <c r="X243" s="1236"/>
      <c r="Y243" s="1236"/>
      <c r="Z243" s="1236"/>
      <c r="AA243" s="1236"/>
      <c r="AB243" s="1236"/>
      <c r="AC243" s="1236"/>
      <c r="AD243" s="1236"/>
      <c r="AE243" s="1236"/>
      <c r="AF243" s="1236"/>
    </row>
    <row r="244" ht="12.0" customHeight="1">
      <c r="A244" s="45"/>
      <c r="B244" s="45"/>
      <c r="C244" s="45"/>
      <c r="D244" s="45"/>
      <c r="E244" s="45"/>
      <c r="F244" s="45"/>
      <c r="G244" s="45"/>
      <c r="H244" s="45"/>
      <c r="I244" s="45"/>
      <c r="J244" s="109"/>
      <c r="K244" s="109"/>
      <c r="L244" s="109"/>
      <c r="M244" s="80"/>
      <c r="N244" s="80"/>
      <c r="O244" s="80"/>
      <c r="P244" s="80"/>
      <c r="Q244" s="80"/>
      <c r="R244" s="80"/>
      <c r="S244" s="80"/>
      <c r="T244" s="80"/>
      <c r="U244" s="80"/>
      <c r="V244" s="1236"/>
      <c r="W244" s="1236"/>
      <c r="X244" s="1236"/>
      <c r="Y244" s="1236"/>
      <c r="Z244" s="1236"/>
      <c r="AA244" s="1236"/>
      <c r="AB244" s="1236"/>
      <c r="AC244" s="1236"/>
      <c r="AD244" s="1236"/>
      <c r="AE244" s="1236"/>
      <c r="AF244" s="1236"/>
    </row>
    <row r="245" ht="12.0" customHeight="1">
      <c r="A245" s="45"/>
      <c r="B245" s="45"/>
      <c r="C245" s="45"/>
      <c r="D245" s="45"/>
      <c r="E245" s="45"/>
      <c r="F245" s="45"/>
      <c r="G245" s="45"/>
      <c r="H245" s="45"/>
      <c r="I245" s="45"/>
      <c r="J245" s="109"/>
      <c r="K245" s="109"/>
      <c r="L245" s="109"/>
      <c r="M245" s="80"/>
      <c r="N245" s="80"/>
      <c r="O245" s="80"/>
      <c r="P245" s="80"/>
      <c r="Q245" s="80"/>
      <c r="R245" s="80"/>
      <c r="S245" s="80"/>
      <c r="T245" s="80"/>
      <c r="U245" s="80"/>
      <c r="V245" s="1236"/>
      <c r="W245" s="1236"/>
      <c r="X245" s="1236"/>
      <c r="Y245" s="1236"/>
      <c r="Z245" s="1236"/>
      <c r="AA245" s="1236"/>
      <c r="AB245" s="1236"/>
      <c r="AC245" s="1236"/>
      <c r="AD245" s="1236"/>
      <c r="AE245" s="1236"/>
      <c r="AF245" s="1236"/>
    </row>
    <row r="246" ht="12.0" customHeight="1">
      <c r="A246" s="45"/>
      <c r="B246" s="45"/>
      <c r="C246" s="45"/>
      <c r="D246" s="45"/>
      <c r="E246" s="45"/>
      <c r="F246" s="45"/>
      <c r="G246" s="45"/>
      <c r="H246" s="45"/>
      <c r="I246" s="45"/>
      <c r="J246" s="109"/>
      <c r="K246" s="109"/>
      <c r="L246" s="109"/>
      <c r="M246" s="80"/>
      <c r="N246" s="80"/>
      <c r="O246" s="80"/>
      <c r="P246" s="80"/>
      <c r="Q246" s="80"/>
      <c r="R246" s="80"/>
      <c r="S246" s="80"/>
      <c r="T246" s="80"/>
      <c r="U246" s="80"/>
      <c r="V246" s="1236"/>
      <c r="W246" s="1236"/>
      <c r="X246" s="1236"/>
      <c r="Y246" s="1236"/>
      <c r="Z246" s="1236"/>
      <c r="AA246" s="1236"/>
      <c r="AB246" s="1236"/>
      <c r="AC246" s="1236"/>
      <c r="AD246" s="1236"/>
      <c r="AE246" s="1236"/>
      <c r="AF246" s="1236"/>
    </row>
    <row r="247" ht="12.0" customHeight="1">
      <c r="A247" s="45"/>
      <c r="B247" s="45"/>
      <c r="C247" s="45"/>
      <c r="D247" s="45"/>
      <c r="E247" s="45"/>
      <c r="F247" s="45"/>
      <c r="G247" s="45"/>
      <c r="H247" s="45"/>
      <c r="I247" s="45"/>
      <c r="J247" s="109"/>
      <c r="K247" s="109"/>
      <c r="L247" s="109"/>
      <c r="M247" s="80"/>
      <c r="N247" s="80"/>
      <c r="O247" s="80"/>
      <c r="P247" s="80"/>
      <c r="Q247" s="80"/>
      <c r="R247" s="80"/>
      <c r="S247" s="80"/>
      <c r="T247" s="80"/>
      <c r="U247" s="80"/>
      <c r="V247" s="1236"/>
      <c r="W247" s="1236"/>
      <c r="X247" s="1236"/>
      <c r="Y247" s="1236"/>
      <c r="Z247" s="1236"/>
      <c r="AA247" s="1236"/>
      <c r="AB247" s="1236"/>
      <c r="AC247" s="1236"/>
      <c r="AD247" s="1236"/>
      <c r="AE247" s="1236"/>
      <c r="AF247" s="1236"/>
    </row>
    <row r="248" ht="12.0" customHeight="1">
      <c r="A248" s="45"/>
      <c r="B248" s="45"/>
      <c r="C248" s="45"/>
      <c r="D248" s="45"/>
      <c r="E248" s="45"/>
      <c r="F248" s="45"/>
      <c r="G248" s="45"/>
      <c r="H248" s="45"/>
      <c r="I248" s="45"/>
      <c r="J248" s="109"/>
      <c r="K248" s="109"/>
      <c r="L248" s="109"/>
      <c r="M248" s="80"/>
      <c r="N248" s="80"/>
      <c r="O248" s="80"/>
      <c r="P248" s="80"/>
      <c r="Q248" s="80"/>
      <c r="R248" s="80"/>
      <c r="S248" s="80"/>
      <c r="T248" s="80"/>
      <c r="U248" s="80"/>
      <c r="V248" s="1236"/>
      <c r="W248" s="1236"/>
      <c r="X248" s="1236"/>
      <c r="Y248" s="1236"/>
      <c r="Z248" s="1236"/>
      <c r="AA248" s="1236"/>
      <c r="AB248" s="1236"/>
      <c r="AC248" s="1236"/>
      <c r="AD248" s="1236"/>
      <c r="AE248" s="1236"/>
      <c r="AF248" s="1236"/>
    </row>
    <row r="249" ht="12.0" customHeight="1">
      <c r="A249" s="45"/>
      <c r="B249" s="45"/>
      <c r="C249" s="45"/>
      <c r="D249" s="45"/>
      <c r="E249" s="45"/>
      <c r="F249" s="45"/>
      <c r="G249" s="45"/>
      <c r="H249" s="45"/>
      <c r="I249" s="45"/>
      <c r="J249" s="109"/>
      <c r="K249" s="109"/>
      <c r="L249" s="109"/>
      <c r="M249" s="80"/>
      <c r="N249" s="80"/>
      <c r="O249" s="80"/>
      <c r="P249" s="80"/>
      <c r="Q249" s="80"/>
      <c r="R249" s="80"/>
      <c r="S249" s="80"/>
      <c r="T249" s="80"/>
      <c r="U249" s="80"/>
      <c r="V249" s="1236"/>
      <c r="W249" s="1236"/>
      <c r="X249" s="1236"/>
      <c r="Y249" s="1236"/>
      <c r="Z249" s="1236"/>
      <c r="AA249" s="1236"/>
      <c r="AB249" s="1236"/>
      <c r="AC249" s="1236"/>
      <c r="AD249" s="1236"/>
      <c r="AE249" s="1236"/>
      <c r="AF249" s="1236"/>
    </row>
    <row r="250" ht="12.0" customHeight="1">
      <c r="A250" s="45"/>
      <c r="B250" s="45"/>
      <c r="C250" s="45"/>
      <c r="D250" s="45"/>
      <c r="E250" s="45"/>
      <c r="F250" s="45"/>
      <c r="G250" s="45"/>
      <c r="H250" s="45"/>
      <c r="I250" s="45"/>
      <c r="J250" s="109"/>
      <c r="K250" s="109"/>
      <c r="L250" s="109"/>
      <c r="M250" s="80"/>
      <c r="N250" s="80"/>
      <c r="O250" s="80"/>
      <c r="P250" s="80"/>
      <c r="Q250" s="80"/>
      <c r="R250" s="80"/>
      <c r="S250" s="80"/>
      <c r="T250" s="80"/>
      <c r="U250" s="80"/>
      <c r="V250" s="1236"/>
      <c r="W250" s="1236"/>
      <c r="X250" s="1236"/>
      <c r="Y250" s="1236"/>
      <c r="Z250" s="1236"/>
      <c r="AA250" s="1236"/>
      <c r="AB250" s="1236"/>
      <c r="AC250" s="1236"/>
      <c r="AD250" s="1236"/>
      <c r="AE250" s="1236"/>
      <c r="AF250" s="1236"/>
    </row>
    <row r="251" ht="12.0" customHeight="1">
      <c r="A251" s="45"/>
      <c r="B251" s="45"/>
      <c r="C251" s="45"/>
      <c r="D251" s="45"/>
      <c r="E251" s="45"/>
      <c r="F251" s="45"/>
      <c r="G251" s="45"/>
      <c r="H251" s="45"/>
      <c r="I251" s="45"/>
      <c r="J251" s="109"/>
      <c r="K251" s="109"/>
      <c r="L251" s="109"/>
      <c r="M251" s="80"/>
      <c r="N251" s="80"/>
      <c r="O251" s="80"/>
      <c r="P251" s="80"/>
      <c r="Q251" s="80"/>
      <c r="R251" s="80"/>
      <c r="S251" s="80"/>
      <c r="T251" s="80"/>
      <c r="U251" s="80"/>
      <c r="V251" s="1236"/>
      <c r="W251" s="1236"/>
      <c r="X251" s="1236"/>
      <c r="Y251" s="1236"/>
      <c r="Z251" s="1236"/>
      <c r="AA251" s="1236"/>
      <c r="AB251" s="1236"/>
      <c r="AC251" s="1236"/>
      <c r="AD251" s="1236"/>
      <c r="AE251" s="1236"/>
      <c r="AF251" s="1236"/>
    </row>
    <row r="252" ht="12.0" customHeight="1">
      <c r="A252" s="45"/>
      <c r="B252" s="45"/>
      <c r="C252" s="45"/>
      <c r="D252" s="45"/>
      <c r="E252" s="45"/>
      <c r="F252" s="45"/>
      <c r="G252" s="45"/>
      <c r="H252" s="45"/>
      <c r="I252" s="45"/>
      <c r="J252" s="109"/>
      <c r="K252" s="109"/>
      <c r="L252" s="109"/>
      <c r="M252" s="80"/>
      <c r="N252" s="80"/>
      <c r="O252" s="80"/>
      <c r="P252" s="80"/>
      <c r="Q252" s="80"/>
      <c r="R252" s="80"/>
      <c r="S252" s="80"/>
      <c r="T252" s="80"/>
      <c r="U252" s="80"/>
      <c r="V252" s="1236"/>
      <c r="W252" s="1236"/>
      <c r="X252" s="1236"/>
      <c r="Y252" s="1236"/>
      <c r="Z252" s="1236"/>
      <c r="AA252" s="1236"/>
      <c r="AB252" s="1236"/>
      <c r="AC252" s="1236"/>
      <c r="AD252" s="1236"/>
      <c r="AE252" s="1236"/>
      <c r="AF252" s="1236"/>
    </row>
    <row r="253" ht="12.0" customHeight="1">
      <c r="A253" s="45"/>
      <c r="B253" s="45"/>
      <c r="C253" s="45"/>
      <c r="D253" s="45"/>
      <c r="E253" s="45"/>
      <c r="F253" s="45"/>
      <c r="G253" s="45"/>
      <c r="H253" s="45"/>
      <c r="I253" s="45"/>
      <c r="J253" s="109"/>
      <c r="K253" s="109"/>
      <c r="L253" s="109"/>
      <c r="M253" s="80"/>
      <c r="N253" s="80"/>
      <c r="O253" s="80"/>
      <c r="P253" s="80"/>
      <c r="Q253" s="80"/>
      <c r="R253" s="80"/>
      <c r="S253" s="80"/>
      <c r="T253" s="80"/>
      <c r="U253" s="80"/>
      <c r="V253" s="1236"/>
      <c r="W253" s="1236"/>
      <c r="X253" s="1236"/>
      <c r="Y253" s="1236"/>
      <c r="Z253" s="1236"/>
      <c r="AA253" s="1236"/>
      <c r="AB253" s="1236"/>
      <c r="AC253" s="1236"/>
      <c r="AD253" s="1236"/>
      <c r="AE253" s="1236"/>
      <c r="AF253" s="1236"/>
    </row>
    <row r="254" ht="12.0" customHeight="1">
      <c r="A254" s="45"/>
      <c r="B254" s="45"/>
      <c r="C254" s="45"/>
      <c r="D254" s="45"/>
      <c r="E254" s="45"/>
      <c r="F254" s="45"/>
      <c r="G254" s="45"/>
      <c r="H254" s="45"/>
      <c r="I254" s="45"/>
      <c r="J254" s="109"/>
      <c r="K254" s="109"/>
      <c r="L254" s="109"/>
      <c r="M254" s="80"/>
      <c r="N254" s="80"/>
      <c r="O254" s="80"/>
      <c r="P254" s="80"/>
      <c r="Q254" s="80"/>
      <c r="R254" s="80"/>
      <c r="S254" s="80"/>
      <c r="T254" s="80"/>
      <c r="U254" s="80"/>
      <c r="V254" s="1236"/>
      <c r="W254" s="1236"/>
      <c r="X254" s="1236"/>
      <c r="Y254" s="1236"/>
      <c r="Z254" s="1236"/>
      <c r="AA254" s="1236"/>
      <c r="AB254" s="1236"/>
      <c r="AC254" s="1236"/>
      <c r="AD254" s="1236"/>
      <c r="AE254" s="1236"/>
      <c r="AF254" s="1236"/>
    </row>
    <row r="255" ht="12.0" customHeight="1">
      <c r="A255" s="45"/>
      <c r="B255" s="45"/>
      <c r="C255" s="45"/>
      <c r="D255" s="45"/>
      <c r="E255" s="45"/>
      <c r="F255" s="45"/>
      <c r="G255" s="45"/>
      <c r="H255" s="45"/>
      <c r="I255" s="45"/>
      <c r="J255" s="109"/>
      <c r="K255" s="109"/>
      <c r="L255" s="109"/>
      <c r="M255" s="80"/>
      <c r="N255" s="80"/>
      <c r="O255" s="80"/>
      <c r="P255" s="80"/>
      <c r="Q255" s="80"/>
      <c r="R255" s="80"/>
      <c r="S255" s="80"/>
      <c r="T255" s="80"/>
      <c r="U255" s="80"/>
      <c r="V255" s="1236"/>
      <c r="W255" s="1236"/>
      <c r="X255" s="1236"/>
      <c r="Y255" s="1236"/>
      <c r="Z255" s="1236"/>
      <c r="AA255" s="1236"/>
      <c r="AB255" s="1236"/>
      <c r="AC255" s="1236"/>
      <c r="AD255" s="1236"/>
      <c r="AE255" s="1236"/>
      <c r="AF255" s="1236"/>
    </row>
    <row r="256" ht="12.0" customHeight="1">
      <c r="A256" s="45"/>
      <c r="B256" s="45"/>
      <c r="C256" s="45"/>
      <c r="D256" s="45"/>
      <c r="E256" s="45"/>
      <c r="F256" s="45"/>
      <c r="G256" s="45"/>
      <c r="H256" s="45"/>
      <c r="I256" s="45"/>
      <c r="J256" s="109"/>
      <c r="K256" s="109"/>
      <c r="L256" s="109"/>
      <c r="M256" s="80"/>
      <c r="N256" s="80"/>
      <c r="O256" s="80"/>
      <c r="P256" s="80"/>
      <c r="Q256" s="80"/>
      <c r="R256" s="80"/>
      <c r="S256" s="80"/>
      <c r="T256" s="80"/>
      <c r="U256" s="80"/>
      <c r="V256" s="1236"/>
      <c r="W256" s="1236"/>
      <c r="X256" s="1236"/>
      <c r="Y256" s="1236"/>
      <c r="Z256" s="1236"/>
      <c r="AA256" s="1236"/>
      <c r="AB256" s="1236"/>
      <c r="AC256" s="1236"/>
      <c r="AD256" s="1236"/>
      <c r="AE256" s="1236"/>
      <c r="AF256" s="1236"/>
    </row>
    <row r="257" ht="12.0" customHeight="1">
      <c r="A257" s="45"/>
      <c r="B257" s="45"/>
      <c r="C257" s="45"/>
      <c r="D257" s="45"/>
      <c r="E257" s="45"/>
      <c r="F257" s="45"/>
      <c r="G257" s="45"/>
      <c r="H257" s="45"/>
      <c r="I257" s="45"/>
      <c r="J257" s="109"/>
      <c r="K257" s="109"/>
      <c r="L257" s="109"/>
      <c r="M257" s="80"/>
      <c r="N257" s="80"/>
      <c r="O257" s="80"/>
      <c r="P257" s="80"/>
      <c r="Q257" s="80"/>
      <c r="R257" s="80"/>
      <c r="S257" s="80"/>
      <c r="T257" s="80"/>
      <c r="U257" s="80"/>
      <c r="V257" s="1236"/>
      <c r="W257" s="1236"/>
      <c r="X257" s="1236"/>
      <c r="Y257" s="1236"/>
      <c r="Z257" s="1236"/>
      <c r="AA257" s="1236"/>
      <c r="AB257" s="1236"/>
      <c r="AC257" s="1236"/>
      <c r="AD257" s="1236"/>
      <c r="AE257" s="1236"/>
      <c r="AF257" s="1236"/>
    </row>
    <row r="258" ht="12.0" customHeight="1">
      <c r="A258" s="45"/>
      <c r="B258" s="45"/>
      <c r="C258" s="45"/>
      <c r="D258" s="45"/>
      <c r="E258" s="45"/>
      <c r="F258" s="45"/>
      <c r="G258" s="45"/>
      <c r="H258" s="45"/>
      <c r="I258" s="45"/>
      <c r="J258" s="109"/>
      <c r="K258" s="109"/>
      <c r="L258" s="109"/>
      <c r="M258" s="80"/>
      <c r="N258" s="80"/>
      <c r="O258" s="80"/>
      <c r="P258" s="80"/>
      <c r="Q258" s="80"/>
      <c r="R258" s="80"/>
      <c r="S258" s="80"/>
      <c r="T258" s="80"/>
      <c r="U258" s="80"/>
      <c r="V258" s="1236"/>
      <c r="W258" s="1236"/>
      <c r="X258" s="1236"/>
      <c r="Y258" s="1236"/>
      <c r="Z258" s="1236"/>
      <c r="AA258" s="1236"/>
      <c r="AB258" s="1236"/>
      <c r="AC258" s="1236"/>
      <c r="AD258" s="1236"/>
      <c r="AE258" s="1236"/>
      <c r="AF258" s="1236"/>
    </row>
    <row r="259" ht="12.0" customHeight="1">
      <c r="A259" s="45"/>
      <c r="B259" s="45"/>
      <c r="C259" s="45"/>
      <c r="D259" s="45"/>
      <c r="E259" s="45"/>
      <c r="F259" s="45"/>
      <c r="G259" s="45"/>
      <c r="H259" s="45"/>
      <c r="I259" s="45"/>
      <c r="J259" s="109"/>
      <c r="K259" s="109"/>
      <c r="L259" s="109"/>
      <c r="M259" s="80"/>
      <c r="N259" s="80"/>
      <c r="O259" s="80"/>
      <c r="P259" s="80"/>
      <c r="Q259" s="80"/>
      <c r="R259" s="80"/>
      <c r="S259" s="80"/>
      <c r="T259" s="80"/>
      <c r="U259" s="80"/>
      <c r="V259" s="1236"/>
      <c r="W259" s="1236"/>
      <c r="X259" s="1236"/>
      <c r="Y259" s="1236"/>
      <c r="Z259" s="1236"/>
      <c r="AA259" s="1236"/>
      <c r="AB259" s="1236"/>
      <c r="AC259" s="1236"/>
      <c r="AD259" s="1236"/>
      <c r="AE259" s="1236"/>
      <c r="AF259" s="1236"/>
    </row>
    <row r="260" ht="12.0" customHeight="1">
      <c r="A260" s="45"/>
      <c r="B260" s="45"/>
      <c r="C260" s="45"/>
      <c r="D260" s="45"/>
      <c r="E260" s="45"/>
      <c r="F260" s="45"/>
      <c r="G260" s="45"/>
      <c r="H260" s="45"/>
      <c r="I260" s="45"/>
      <c r="J260" s="109"/>
      <c r="K260" s="109"/>
      <c r="L260" s="109"/>
      <c r="M260" s="80"/>
      <c r="N260" s="80"/>
      <c r="O260" s="80"/>
      <c r="P260" s="80"/>
      <c r="Q260" s="80"/>
      <c r="R260" s="80"/>
      <c r="S260" s="80"/>
      <c r="T260" s="80"/>
      <c r="U260" s="80"/>
      <c r="V260" s="1236"/>
      <c r="W260" s="1236"/>
      <c r="X260" s="1236"/>
      <c r="Y260" s="1236"/>
      <c r="Z260" s="1236"/>
      <c r="AA260" s="1236"/>
      <c r="AB260" s="1236"/>
      <c r="AC260" s="1236"/>
      <c r="AD260" s="1236"/>
      <c r="AE260" s="1236"/>
      <c r="AF260" s="1236"/>
    </row>
    <row r="261" ht="12.0" customHeight="1">
      <c r="A261" s="45"/>
      <c r="B261" s="45"/>
      <c r="C261" s="45"/>
      <c r="D261" s="45"/>
      <c r="E261" s="45"/>
      <c r="F261" s="45"/>
      <c r="G261" s="45"/>
      <c r="H261" s="45"/>
      <c r="I261" s="45"/>
      <c r="J261" s="109"/>
      <c r="K261" s="109"/>
      <c r="L261" s="109"/>
      <c r="M261" s="80"/>
      <c r="N261" s="80"/>
      <c r="O261" s="80"/>
      <c r="P261" s="80"/>
      <c r="Q261" s="80"/>
      <c r="R261" s="80"/>
      <c r="S261" s="80"/>
      <c r="T261" s="80"/>
      <c r="U261" s="80"/>
      <c r="V261" s="1236"/>
      <c r="W261" s="1236"/>
      <c r="X261" s="1236"/>
      <c r="Y261" s="1236"/>
      <c r="Z261" s="1236"/>
      <c r="AA261" s="1236"/>
      <c r="AB261" s="1236"/>
      <c r="AC261" s="1236"/>
      <c r="AD261" s="1236"/>
      <c r="AE261" s="1236"/>
      <c r="AF261" s="1236"/>
    </row>
    <row r="262" ht="12.0" customHeight="1">
      <c r="A262" s="45"/>
      <c r="B262" s="45"/>
      <c r="C262" s="45"/>
      <c r="D262" s="45"/>
      <c r="E262" s="45"/>
      <c r="F262" s="45"/>
      <c r="G262" s="45"/>
      <c r="H262" s="45"/>
      <c r="I262" s="45"/>
      <c r="J262" s="109"/>
      <c r="K262" s="109"/>
      <c r="L262" s="109"/>
      <c r="M262" s="80"/>
      <c r="N262" s="80"/>
      <c r="O262" s="80"/>
      <c r="P262" s="80"/>
      <c r="Q262" s="80"/>
      <c r="R262" s="80"/>
      <c r="S262" s="80"/>
      <c r="T262" s="80"/>
      <c r="U262" s="80"/>
      <c r="V262" s="1236"/>
      <c r="W262" s="1236"/>
      <c r="X262" s="1236"/>
      <c r="Y262" s="1236"/>
      <c r="Z262" s="1236"/>
      <c r="AA262" s="1236"/>
      <c r="AB262" s="1236"/>
      <c r="AC262" s="1236"/>
      <c r="AD262" s="1236"/>
      <c r="AE262" s="1236"/>
      <c r="AF262" s="1236"/>
    </row>
    <row r="263" ht="12.0" customHeight="1">
      <c r="A263" s="45"/>
      <c r="B263" s="45"/>
      <c r="C263" s="45"/>
      <c r="D263" s="45"/>
      <c r="E263" s="45"/>
      <c r="F263" s="45"/>
      <c r="G263" s="45"/>
      <c r="H263" s="45"/>
      <c r="I263" s="45"/>
      <c r="J263" s="109"/>
      <c r="K263" s="109"/>
      <c r="L263" s="109"/>
      <c r="M263" s="80"/>
      <c r="N263" s="80"/>
      <c r="O263" s="80"/>
      <c r="P263" s="80"/>
      <c r="Q263" s="80"/>
      <c r="R263" s="80"/>
      <c r="S263" s="80"/>
      <c r="T263" s="80"/>
      <c r="U263" s="80"/>
      <c r="V263" s="1236"/>
      <c r="W263" s="1236"/>
      <c r="X263" s="1236"/>
      <c r="Y263" s="1236"/>
      <c r="Z263" s="1236"/>
      <c r="AA263" s="1236"/>
      <c r="AB263" s="1236"/>
      <c r="AC263" s="1236"/>
      <c r="AD263" s="1236"/>
      <c r="AE263" s="1236"/>
      <c r="AF263" s="1236"/>
    </row>
    <row r="264" ht="12.0" customHeight="1">
      <c r="A264" s="45"/>
      <c r="B264" s="45"/>
      <c r="C264" s="45"/>
      <c r="D264" s="45"/>
      <c r="E264" s="45"/>
      <c r="F264" s="45"/>
      <c r="G264" s="45"/>
      <c r="H264" s="45"/>
      <c r="I264" s="45"/>
      <c r="J264" s="109"/>
      <c r="K264" s="109"/>
      <c r="L264" s="109"/>
      <c r="M264" s="80"/>
      <c r="N264" s="80"/>
      <c r="O264" s="80"/>
      <c r="P264" s="80"/>
      <c r="Q264" s="80"/>
      <c r="R264" s="80"/>
      <c r="S264" s="80"/>
      <c r="T264" s="80"/>
      <c r="U264" s="80"/>
      <c r="V264" s="1236"/>
      <c r="W264" s="1236"/>
      <c r="X264" s="1236"/>
      <c r="Y264" s="1236"/>
      <c r="Z264" s="1236"/>
      <c r="AA264" s="1236"/>
      <c r="AB264" s="1236"/>
      <c r="AC264" s="1236"/>
      <c r="AD264" s="1236"/>
      <c r="AE264" s="1236"/>
      <c r="AF264" s="1236"/>
    </row>
    <row r="265" ht="12.0" customHeight="1">
      <c r="A265" s="45"/>
      <c r="B265" s="45"/>
      <c r="C265" s="45"/>
      <c r="D265" s="45"/>
      <c r="E265" s="45"/>
      <c r="F265" s="45"/>
      <c r="G265" s="45"/>
      <c r="H265" s="45"/>
      <c r="I265" s="45"/>
      <c r="J265" s="109"/>
      <c r="K265" s="109"/>
      <c r="L265" s="109"/>
      <c r="M265" s="80"/>
      <c r="N265" s="80"/>
      <c r="O265" s="80"/>
      <c r="P265" s="80"/>
      <c r="Q265" s="80"/>
      <c r="R265" s="80"/>
      <c r="S265" s="80"/>
      <c r="T265" s="80"/>
      <c r="U265" s="80"/>
      <c r="V265" s="1236"/>
      <c r="W265" s="1236"/>
      <c r="X265" s="1236"/>
      <c r="Y265" s="1236"/>
      <c r="Z265" s="1236"/>
      <c r="AA265" s="1236"/>
      <c r="AB265" s="1236"/>
      <c r="AC265" s="1236"/>
      <c r="AD265" s="1236"/>
      <c r="AE265" s="1236"/>
      <c r="AF265" s="1236"/>
    </row>
    <row r="266" ht="12.0" customHeight="1">
      <c r="A266" s="45"/>
      <c r="B266" s="45"/>
      <c r="C266" s="45"/>
      <c r="D266" s="45"/>
      <c r="E266" s="45"/>
      <c r="F266" s="45"/>
      <c r="G266" s="45"/>
      <c r="H266" s="45"/>
      <c r="I266" s="45"/>
      <c r="J266" s="109"/>
      <c r="K266" s="109"/>
      <c r="L266" s="109"/>
      <c r="M266" s="80"/>
      <c r="N266" s="80"/>
      <c r="O266" s="80"/>
      <c r="P266" s="80"/>
      <c r="Q266" s="80"/>
      <c r="R266" s="80"/>
      <c r="S266" s="80"/>
      <c r="T266" s="80"/>
      <c r="U266" s="80"/>
      <c r="V266" s="1236"/>
      <c r="W266" s="1236"/>
      <c r="X266" s="1236"/>
      <c r="Y266" s="1236"/>
      <c r="Z266" s="1236"/>
      <c r="AA266" s="1236"/>
      <c r="AB266" s="1236"/>
      <c r="AC266" s="1236"/>
      <c r="AD266" s="1236"/>
      <c r="AE266" s="1236"/>
      <c r="AF266" s="1236"/>
    </row>
    <row r="267" ht="12.0" customHeight="1">
      <c r="A267" s="45"/>
      <c r="B267" s="45"/>
      <c r="C267" s="45"/>
      <c r="D267" s="45"/>
      <c r="E267" s="45"/>
      <c r="F267" s="45"/>
      <c r="G267" s="45"/>
      <c r="H267" s="45"/>
      <c r="I267" s="45"/>
      <c r="J267" s="109"/>
      <c r="K267" s="109"/>
      <c r="L267" s="109"/>
      <c r="M267" s="80"/>
      <c r="N267" s="80"/>
      <c r="O267" s="80"/>
      <c r="P267" s="80"/>
      <c r="Q267" s="80"/>
      <c r="R267" s="80"/>
      <c r="S267" s="80"/>
      <c r="T267" s="80"/>
      <c r="U267" s="80"/>
      <c r="V267" s="1236"/>
      <c r="W267" s="1236"/>
      <c r="X267" s="1236"/>
      <c r="Y267" s="1236"/>
      <c r="Z267" s="1236"/>
      <c r="AA267" s="1236"/>
      <c r="AB267" s="1236"/>
      <c r="AC267" s="1236"/>
      <c r="AD267" s="1236"/>
      <c r="AE267" s="1236"/>
      <c r="AF267" s="1236"/>
    </row>
    <row r="268" ht="12.0" customHeight="1">
      <c r="A268" s="45"/>
      <c r="B268" s="45"/>
      <c r="C268" s="45"/>
      <c r="D268" s="45"/>
      <c r="E268" s="45"/>
      <c r="F268" s="45"/>
      <c r="G268" s="45"/>
      <c r="H268" s="45"/>
      <c r="I268" s="45"/>
      <c r="J268" s="109"/>
      <c r="K268" s="109"/>
      <c r="L268" s="109"/>
      <c r="M268" s="80"/>
      <c r="N268" s="80"/>
      <c r="O268" s="80"/>
      <c r="P268" s="80"/>
      <c r="Q268" s="80"/>
      <c r="R268" s="80"/>
      <c r="S268" s="80"/>
      <c r="T268" s="80"/>
      <c r="U268" s="80"/>
      <c r="V268" s="1236"/>
      <c r="W268" s="1236"/>
      <c r="X268" s="1236"/>
      <c r="Y268" s="1236"/>
      <c r="Z268" s="1236"/>
      <c r="AA268" s="1236"/>
      <c r="AB268" s="1236"/>
      <c r="AC268" s="1236"/>
      <c r="AD268" s="1236"/>
      <c r="AE268" s="1236"/>
      <c r="AF268" s="1236"/>
    </row>
    <row r="269" ht="12.0" customHeight="1">
      <c r="A269" s="45"/>
      <c r="B269" s="45"/>
      <c r="C269" s="45"/>
      <c r="D269" s="45"/>
      <c r="E269" s="45"/>
      <c r="F269" s="45"/>
      <c r="G269" s="45"/>
      <c r="H269" s="45"/>
      <c r="I269" s="45"/>
      <c r="J269" s="109"/>
      <c r="K269" s="109"/>
      <c r="L269" s="109"/>
      <c r="M269" s="80"/>
      <c r="N269" s="80"/>
      <c r="O269" s="80"/>
      <c r="P269" s="80"/>
      <c r="Q269" s="80"/>
      <c r="R269" s="80"/>
      <c r="S269" s="80"/>
      <c r="T269" s="80"/>
      <c r="U269" s="80"/>
      <c r="V269" s="1236"/>
      <c r="W269" s="1236"/>
      <c r="X269" s="1236"/>
      <c r="Y269" s="1236"/>
      <c r="Z269" s="1236"/>
      <c r="AA269" s="1236"/>
      <c r="AB269" s="1236"/>
      <c r="AC269" s="1236"/>
      <c r="AD269" s="1236"/>
      <c r="AE269" s="1236"/>
      <c r="AF269" s="1236"/>
    </row>
    <row r="270" ht="12.0" customHeight="1">
      <c r="A270" s="45"/>
      <c r="B270" s="45"/>
      <c r="C270" s="45"/>
      <c r="D270" s="45"/>
      <c r="E270" s="45"/>
      <c r="F270" s="45"/>
      <c r="G270" s="45"/>
      <c r="H270" s="45"/>
      <c r="I270" s="45"/>
      <c r="J270" s="109"/>
      <c r="K270" s="109"/>
      <c r="L270" s="109"/>
      <c r="M270" s="80"/>
      <c r="N270" s="80"/>
      <c r="O270" s="80"/>
      <c r="P270" s="80"/>
      <c r="Q270" s="80"/>
      <c r="R270" s="80"/>
      <c r="S270" s="80"/>
      <c r="T270" s="80"/>
      <c r="U270" s="80"/>
      <c r="V270" s="1236"/>
      <c r="W270" s="1236"/>
      <c r="X270" s="1236"/>
      <c r="Y270" s="1236"/>
      <c r="Z270" s="1236"/>
      <c r="AA270" s="1236"/>
      <c r="AB270" s="1236"/>
      <c r="AC270" s="1236"/>
      <c r="AD270" s="1236"/>
      <c r="AE270" s="1236"/>
      <c r="AF270" s="1236"/>
    </row>
    <row r="271" ht="12.0" customHeight="1">
      <c r="A271" s="45"/>
      <c r="B271" s="45"/>
      <c r="C271" s="45"/>
      <c r="D271" s="45"/>
      <c r="E271" s="45"/>
      <c r="F271" s="45"/>
      <c r="G271" s="45"/>
      <c r="H271" s="45"/>
      <c r="I271" s="45"/>
      <c r="J271" s="109"/>
      <c r="K271" s="109"/>
      <c r="L271" s="109"/>
      <c r="M271" s="80"/>
      <c r="N271" s="80"/>
      <c r="O271" s="80"/>
      <c r="P271" s="80"/>
      <c r="Q271" s="80"/>
      <c r="R271" s="80"/>
      <c r="S271" s="80"/>
      <c r="T271" s="80"/>
      <c r="U271" s="80"/>
      <c r="V271" s="1236"/>
      <c r="W271" s="1236"/>
      <c r="X271" s="1236"/>
      <c r="Y271" s="1236"/>
      <c r="Z271" s="1236"/>
      <c r="AA271" s="1236"/>
      <c r="AB271" s="1236"/>
      <c r="AC271" s="1236"/>
      <c r="AD271" s="1236"/>
      <c r="AE271" s="1236"/>
      <c r="AF271" s="1236"/>
    </row>
    <row r="272" ht="12.0" customHeight="1">
      <c r="A272" s="45"/>
      <c r="B272" s="45"/>
      <c r="C272" s="45"/>
      <c r="D272" s="45"/>
      <c r="E272" s="45"/>
      <c r="F272" s="45"/>
      <c r="G272" s="45"/>
      <c r="H272" s="45"/>
      <c r="I272" s="45"/>
      <c r="J272" s="109"/>
      <c r="K272" s="109"/>
      <c r="L272" s="109"/>
      <c r="M272" s="80"/>
      <c r="N272" s="80"/>
      <c r="O272" s="80"/>
      <c r="P272" s="80"/>
      <c r="Q272" s="80"/>
      <c r="R272" s="80"/>
      <c r="S272" s="80"/>
      <c r="T272" s="80"/>
      <c r="U272" s="80"/>
      <c r="V272" s="1236"/>
      <c r="W272" s="1236"/>
      <c r="X272" s="1236"/>
      <c r="Y272" s="1236"/>
      <c r="Z272" s="1236"/>
      <c r="AA272" s="1236"/>
      <c r="AB272" s="1236"/>
      <c r="AC272" s="1236"/>
      <c r="AD272" s="1236"/>
      <c r="AE272" s="1236"/>
      <c r="AF272" s="1236"/>
    </row>
    <row r="273" ht="12.0" customHeight="1">
      <c r="A273" s="45"/>
      <c r="B273" s="45"/>
      <c r="C273" s="45"/>
      <c r="D273" s="45"/>
      <c r="E273" s="45"/>
      <c r="F273" s="45"/>
      <c r="G273" s="45"/>
      <c r="H273" s="45"/>
      <c r="I273" s="45"/>
      <c r="J273" s="109"/>
      <c r="K273" s="109"/>
      <c r="L273" s="109"/>
      <c r="M273" s="80"/>
      <c r="N273" s="80"/>
      <c r="O273" s="80"/>
      <c r="P273" s="80"/>
      <c r="Q273" s="80"/>
      <c r="R273" s="80"/>
      <c r="S273" s="80"/>
      <c r="T273" s="80"/>
      <c r="U273" s="80"/>
      <c r="V273" s="1236"/>
      <c r="W273" s="1236"/>
      <c r="X273" s="1236"/>
      <c r="Y273" s="1236"/>
      <c r="Z273" s="1236"/>
      <c r="AA273" s="1236"/>
      <c r="AB273" s="1236"/>
      <c r="AC273" s="1236"/>
      <c r="AD273" s="1236"/>
      <c r="AE273" s="1236"/>
      <c r="AF273" s="1236"/>
    </row>
    <row r="274" ht="12.0" customHeight="1">
      <c r="A274" s="45"/>
      <c r="B274" s="45"/>
      <c r="C274" s="45"/>
      <c r="D274" s="45"/>
      <c r="E274" s="45"/>
      <c r="F274" s="45"/>
      <c r="G274" s="45"/>
      <c r="H274" s="45"/>
      <c r="I274" s="45"/>
      <c r="J274" s="109"/>
      <c r="K274" s="109"/>
      <c r="L274" s="109"/>
      <c r="M274" s="80"/>
      <c r="N274" s="80"/>
      <c r="O274" s="80"/>
      <c r="P274" s="80"/>
      <c r="Q274" s="80"/>
      <c r="R274" s="80"/>
      <c r="S274" s="80"/>
      <c r="T274" s="80"/>
      <c r="U274" s="80"/>
      <c r="V274" s="1236"/>
      <c r="W274" s="1236"/>
      <c r="X274" s="1236"/>
      <c r="Y274" s="1236"/>
      <c r="Z274" s="1236"/>
      <c r="AA274" s="1236"/>
      <c r="AB274" s="1236"/>
      <c r="AC274" s="1236"/>
      <c r="AD274" s="1236"/>
      <c r="AE274" s="1236"/>
      <c r="AF274" s="1236"/>
    </row>
    <row r="275" ht="12.0" customHeight="1">
      <c r="A275" s="45"/>
      <c r="B275" s="45"/>
      <c r="C275" s="45"/>
      <c r="D275" s="45"/>
      <c r="E275" s="45"/>
      <c r="F275" s="45"/>
      <c r="G275" s="45"/>
      <c r="H275" s="45"/>
      <c r="I275" s="45"/>
      <c r="J275" s="109"/>
      <c r="K275" s="109"/>
      <c r="L275" s="109"/>
      <c r="M275" s="80"/>
      <c r="N275" s="80"/>
      <c r="O275" s="80"/>
      <c r="P275" s="80"/>
      <c r="Q275" s="80"/>
      <c r="R275" s="80"/>
      <c r="S275" s="80"/>
      <c r="T275" s="80"/>
      <c r="U275" s="80"/>
      <c r="V275" s="1236"/>
      <c r="W275" s="1236"/>
      <c r="X275" s="1236"/>
      <c r="Y275" s="1236"/>
      <c r="Z275" s="1236"/>
      <c r="AA275" s="1236"/>
      <c r="AB275" s="1236"/>
      <c r="AC275" s="1236"/>
      <c r="AD275" s="1236"/>
      <c r="AE275" s="1236"/>
      <c r="AF275" s="1236"/>
    </row>
    <row r="276" ht="12.0" customHeight="1">
      <c r="A276" s="45"/>
      <c r="B276" s="45"/>
      <c r="C276" s="45"/>
      <c r="D276" s="45"/>
      <c r="E276" s="45"/>
      <c r="F276" s="45"/>
      <c r="G276" s="45"/>
      <c r="H276" s="45"/>
      <c r="I276" s="45"/>
      <c r="J276" s="109"/>
      <c r="K276" s="109"/>
      <c r="L276" s="109"/>
      <c r="M276" s="80"/>
      <c r="N276" s="80"/>
      <c r="O276" s="80"/>
      <c r="P276" s="80"/>
      <c r="Q276" s="80"/>
      <c r="R276" s="80"/>
      <c r="S276" s="80"/>
      <c r="T276" s="80"/>
      <c r="U276" s="80"/>
      <c r="V276" s="1236"/>
      <c r="W276" s="1236"/>
      <c r="X276" s="1236"/>
      <c r="Y276" s="1236"/>
      <c r="Z276" s="1236"/>
      <c r="AA276" s="1236"/>
      <c r="AB276" s="1236"/>
      <c r="AC276" s="1236"/>
      <c r="AD276" s="1236"/>
      <c r="AE276" s="1236"/>
      <c r="AF276" s="1236"/>
    </row>
    <row r="277" ht="12.0" customHeight="1">
      <c r="A277" s="45"/>
      <c r="B277" s="45"/>
      <c r="C277" s="45"/>
      <c r="D277" s="45"/>
      <c r="E277" s="45"/>
      <c r="F277" s="45"/>
      <c r="G277" s="45"/>
      <c r="H277" s="45"/>
      <c r="I277" s="45"/>
      <c r="J277" s="109"/>
      <c r="K277" s="109"/>
      <c r="L277" s="109"/>
      <c r="M277" s="80"/>
      <c r="N277" s="80"/>
      <c r="O277" s="80"/>
      <c r="P277" s="80"/>
      <c r="Q277" s="80"/>
      <c r="R277" s="80"/>
      <c r="S277" s="80"/>
      <c r="T277" s="80"/>
      <c r="U277" s="80"/>
      <c r="V277" s="1236"/>
      <c r="W277" s="1236"/>
      <c r="X277" s="1236"/>
      <c r="Y277" s="1236"/>
      <c r="Z277" s="1236"/>
      <c r="AA277" s="1236"/>
      <c r="AB277" s="1236"/>
      <c r="AC277" s="1236"/>
      <c r="AD277" s="1236"/>
      <c r="AE277" s="1236"/>
      <c r="AF277" s="1236"/>
    </row>
    <row r="278" ht="12.0" customHeight="1">
      <c r="A278" s="45"/>
      <c r="B278" s="45"/>
      <c r="C278" s="45"/>
      <c r="D278" s="45"/>
      <c r="E278" s="45"/>
      <c r="F278" s="45"/>
      <c r="G278" s="45"/>
      <c r="H278" s="45"/>
      <c r="I278" s="45"/>
      <c r="J278" s="109"/>
      <c r="K278" s="109"/>
      <c r="L278" s="109"/>
      <c r="M278" s="80"/>
      <c r="N278" s="80"/>
      <c r="O278" s="80"/>
      <c r="P278" s="80"/>
      <c r="Q278" s="80"/>
      <c r="R278" s="80"/>
      <c r="S278" s="80"/>
      <c r="T278" s="80"/>
      <c r="U278" s="80"/>
      <c r="V278" s="1236"/>
      <c r="W278" s="1236"/>
      <c r="X278" s="1236"/>
      <c r="Y278" s="1236"/>
      <c r="Z278" s="1236"/>
      <c r="AA278" s="1236"/>
      <c r="AB278" s="1236"/>
      <c r="AC278" s="1236"/>
      <c r="AD278" s="1236"/>
      <c r="AE278" s="1236"/>
      <c r="AF278" s="1236"/>
    </row>
    <row r="279" ht="12.0" customHeight="1">
      <c r="A279" s="45"/>
      <c r="B279" s="45"/>
      <c r="C279" s="45"/>
      <c r="D279" s="45"/>
      <c r="E279" s="45"/>
      <c r="F279" s="45"/>
      <c r="G279" s="45"/>
      <c r="H279" s="45"/>
      <c r="I279" s="45"/>
      <c r="J279" s="109"/>
      <c r="K279" s="109"/>
      <c r="L279" s="109"/>
      <c r="M279" s="80"/>
      <c r="N279" s="80"/>
      <c r="O279" s="80"/>
      <c r="P279" s="80"/>
      <c r="Q279" s="80"/>
      <c r="R279" s="80"/>
      <c r="S279" s="80"/>
      <c r="T279" s="80"/>
      <c r="U279" s="80"/>
      <c r="V279" s="1236"/>
      <c r="W279" s="1236"/>
      <c r="X279" s="1236"/>
      <c r="Y279" s="1236"/>
      <c r="Z279" s="1236"/>
      <c r="AA279" s="1236"/>
      <c r="AB279" s="1236"/>
      <c r="AC279" s="1236"/>
      <c r="AD279" s="1236"/>
      <c r="AE279" s="1236"/>
      <c r="AF279" s="1236"/>
    </row>
    <row r="280" ht="12.0" customHeight="1">
      <c r="A280" s="45"/>
      <c r="B280" s="45"/>
      <c r="C280" s="45"/>
      <c r="D280" s="45"/>
      <c r="E280" s="45"/>
      <c r="F280" s="45"/>
      <c r="G280" s="45"/>
      <c r="H280" s="45"/>
      <c r="I280" s="45"/>
      <c r="J280" s="109"/>
      <c r="K280" s="109"/>
      <c r="L280" s="109"/>
      <c r="M280" s="80"/>
      <c r="N280" s="80"/>
      <c r="O280" s="80"/>
      <c r="P280" s="80"/>
      <c r="Q280" s="80"/>
      <c r="R280" s="80"/>
      <c r="S280" s="80"/>
      <c r="T280" s="80"/>
      <c r="U280" s="80"/>
      <c r="V280" s="1236"/>
      <c r="W280" s="1236"/>
      <c r="X280" s="1236"/>
      <c r="Y280" s="1236"/>
      <c r="Z280" s="1236"/>
      <c r="AA280" s="1236"/>
      <c r="AB280" s="1236"/>
      <c r="AC280" s="1236"/>
      <c r="AD280" s="1236"/>
      <c r="AE280" s="1236"/>
      <c r="AF280" s="1236"/>
    </row>
    <row r="281" ht="12.0" customHeight="1">
      <c r="A281" s="45"/>
      <c r="B281" s="45"/>
      <c r="C281" s="45"/>
      <c r="D281" s="45"/>
      <c r="E281" s="45"/>
      <c r="F281" s="45"/>
      <c r="G281" s="45"/>
      <c r="H281" s="45"/>
      <c r="I281" s="45"/>
      <c r="J281" s="109"/>
      <c r="K281" s="109"/>
      <c r="L281" s="109"/>
      <c r="M281" s="80"/>
      <c r="N281" s="80"/>
      <c r="O281" s="80"/>
      <c r="P281" s="80"/>
      <c r="Q281" s="80"/>
      <c r="R281" s="80"/>
      <c r="S281" s="80"/>
      <c r="T281" s="80"/>
      <c r="U281" s="80"/>
      <c r="V281" s="1236"/>
      <c r="W281" s="1236"/>
      <c r="X281" s="1236"/>
      <c r="Y281" s="1236"/>
      <c r="Z281" s="1236"/>
      <c r="AA281" s="1236"/>
      <c r="AB281" s="1236"/>
      <c r="AC281" s="1236"/>
      <c r="AD281" s="1236"/>
      <c r="AE281" s="1236"/>
      <c r="AF281" s="1236"/>
    </row>
    <row r="282" ht="12.0" customHeight="1">
      <c r="A282" s="45"/>
      <c r="B282" s="45"/>
      <c r="C282" s="45"/>
      <c r="D282" s="45"/>
      <c r="E282" s="45"/>
      <c r="F282" s="45"/>
      <c r="G282" s="45"/>
      <c r="H282" s="45"/>
      <c r="I282" s="45"/>
      <c r="J282" s="109"/>
      <c r="K282" s="109"/>
      <c r="L282" s="109"/>
      <c r="M282" s="80"/>
      <c r="N282" s="80"/>
      <c r="O282" s="80"/>
      <c r="P282" s="80"/>
      <c r="Q282" s="80"/>
      <c r="R282" s="80"/>
      <c r="S282" s="80"/>
      <c r="T282" s="80"/>
      <c r="U282" s="80"/>
      <c r="V282" s="1236"/>
      <c r="W282" s="1236"/>
      <c r="X282" s="1236"/>
      <c r="Y282" s="1236"/>
      <c r="Z282" s="1236"/>
      <c r="AA282" s="1236"/>
      <c r="AB282" s="1236"/>
      <c r="AC282" s="1236"/>
      <c r="AD282" s="1236"/>
      <c r="AE282" s="1236"/>
      <c r="AF282" s="1236"/>
    </row>
    <row r="283" ht="12.0" customHeight="1">
      <c r="A283" s="45"/>
      <c r="B283" s="45"/>
      <c r="C283" s="45"/>
      <c r="D283" s="45"/>
      <c r="E283" s="45"/>
      <c r="F283" s="45"/>
      <c r="G283" s="45"/>
      <c r="H283" s="45"/>
      <c r="I283" s="45"/>
      <c r="J283" s="109"/>
      <c r="K283" s="109"/>
      <c r="L283" s="109"/>
      <c r="M283" s="80"/>
      <c r="N283" s="80"/>
      <c r="O283" s="80"/>
      <c r="P283" s="80"/>
      <c r="Q283" s="80"/>
      <c r="R283" s="80"/>
      <c r="S283" s="80"/>
      <c r="T283" s="80"/>
      <c r="U283" s="80"/>
      <c r="V283" s="1236"/>
      <c r="W283" s="1236"/>
      <c r="X283" s="1236"/>
      <c r="Y283" s="1236"/>
      <c r="Z283" s="1236"/>
      <c r="AA283" s="1236"/>
      <c r="AB283" s="1236"/>
      <c r="AC283" s="1236"/>
      <c r="AD283" s="1236"/>
      <c r="AE283" s="1236"/>
      <c r="AF283" s="1236"/>
    </row>
    <row r="284" ht="12.0" customHeight="1">
      <c r="A284" s="45"/>
      <c r="B284" s="45"/>
      <c r="C284" s="45"/>
      <c r="D284" s="45"/>
      <c r="E284" s="45"/>
      <c r="F284" s="45"/>
      <c r="G284" s="45"/>
      <c r="H284" s="45"/>
      <c r="I284" s="45"/>
      <c r="J284" s="109"/>
      <c r="K284" s="109"/>
      <c r="L284" s="109"/>
      <c r="M284" s="80"/>
      <c r="N284" s="80"/>
      <c r="O284" s="80"/>
      <c r="P284" s="80"/>
      <c r="Q284" s="80"/>
      <c r="R284" s="80"/>
      <c r="S284" s="80"/>
      <c r="T284" s="80"/>
      <c r="U284" s="80"/>
      <c r="V284" s="1236"/>
      <c r="W284" s="1236"/>
      <c r="X284" s="1236"/>
      <c r="Y284" s="1236"/>
      <c r="Z284" s="1236"/>
      <c r="AA284" s="1236"/>
      <c r="AB284" s="1236"/>
      <c r="AC284" s="1236"/>
      <c r="AD284" s="1236"/>
      <c r="AE284" s="1236"/>
      <c r="AF284" s="1236"/>
    </row>
    <row r="285" ht="12.0" customHeight="1">
      <c r="A285" s="45"/>
      <c r="B285" s="45"/>
      <c r="C285" s="45"/>
      <c r="D285" s="45"/>
      <c r="E285" s="45"/>
      <c r="F285" s="45"/>
      <c r="G285" s="45"/>
      <c r="H285" s="45"/>
      <c r="I285" s="45"/>
      <c r="J285" s="109"/>
      <c r="K285" s="109"/>
      <c r="L285" s="109"/>
      <c r="M285" s="80"/>
      <c r="N285" s="80"/>
      <c r="O285" s="80"/>
      <c r="P285" s="80"/>
      <c r="Q285" s="80"/>
      <c r="R285" s="80"/>
      <c r="S285" s="80"/>
      <c r="T285" s="80"/>
      <c r="U285" s="80"/>
      <c r="V285" s="1236"/>
      <c r="W285" s="1236"/>
      <c r="X285" s="1236"/>
      <c r="Y285" s="1236"/>
      <c r="Z285" s="1236"/>
      <c r="AA285" s="1236"/>
      <c r="AB285" s="1236"/>
      <c r="AC285" s="1236"/>
      <c r="AD285" s="1236"/>
      <c r="AE285" s="1236"/>
      <c r="AF285" s="1236"/>
    </row>
    <row r="286" ht="12.0" customHeight="1">
      <c r="A286" s="45"/>
      <c r="B286" s="45"/>
      <c r="C286" s="45"/>
      <c r="D286" s="45"/>
      <c r="E286" s="45"/>
      <c r="F286" s="45"/>
      <c r="G286" s="45"/>
      <c r="H286" s="45"/>
      <c r="I286" s="45"/>
      <c r="J286" s="109"/>
      <c r="K286" s="109"/>
      <c r="L286" s="109"/>
      <c r="M286" s="80"/>
      <c r="N286" s="80"/>
      <c r="O286" s="80"/>
      <c r="P286" s="80"/>
      <c r="Q286" s="80"/>
      <c r="R286" s="80"/>
      <c r="S286" s="80"/>
      <c r="T286" s="80"/>
      <c r="U286" s="80"/>
      <c r="V286" s="1236"/>
      <c r="W286" s="1236"/>
      <c r="X286" s="1236"/>
      <c r="Y286" s="1236"/>
      <c r="Z286" s="1236"/>
      <c r="AA286" s="1236"/>
      <c r="AB286" s="1236"/>
      <c r="AC286" s="1236"/>
      <c r="AD286" s="1236"/>
      <c r="AE286" s="1236"/>
      <c r="AF286" s="1236"/>
    </row>
    <row r="287" ht="12.0" customHeight="1">
      <c r="A287" s="45"/>
      <c r="B287" s="45"/>
      <c r="C287" s="45"/>
      <c r="D287" s="45"/>
      <c r="E287" s="45"/>
      <c r="F287" s="45"/>
      <c r="G287" s="45"/>
      <c r="H287" s="45"/>
      <c r="I287" s="45"/>
      <c r="J287" s="109"/>
      <c r="K287" s="109"/>
      <c r="L287" s="109"/>
      <c r="M287" s="80"/>
      <c r="N287" s="80"/>
      <c r="O287" s="80"/>
      <c r="P287" s="80"/>
      <c r="Q287" s="80"/>
      <c r="R287" s="80"/>
      <c r="S287" s="80"/>
      <c r="T287" s="80"/>
      <c r="U287" s="80"/>
      <c r="V287" s="1236"/>
      <c r="W287" s="1236"/>
      <c r="X287" s="1236"/>
      <c r="Y287" s="1236"/>
      <c r="Z287" s="1236"/>
      <c r="AA287" s="1236"/>
      <c r="AB287" s="1236"/>
      <c r="AC287" s="1236"/>
      <c r="AD287" s="1236"/>
      <c r="AE287" s="1236"/>
      <c r="AF287" s="1236"/>
    </row>
    <row r="288" ht="12.0" customHeight="1">
      <c r="A288" s="45"/>
      <c r="B288" s="45"/>
      <c r="C288" s="45"/>
      <c r="D288" s="45"/>
      <c r="E288" s="45"/>
      <c r="F288" s="45"/>
      <c r="G288" s="45"/>
      <c r="H288" s="45"/>
      <c r="I288" s="45"/>
      <c r="J288" s="109"/>
      <c r="K288" s="109"/>
      <c r="L288" s="109"/>
      <c r="M288" s="80"/>
      <c r="N288" s="80"/>
      <c r="O288" s="80"/>
      <c r="P288" s="80"/>
      <c r="Q288" s="80"/>
      <c r="R288" s="80"/>
      <c r="S288" s="80"/>
      <c r="T288" s="80"/>
      <c r="U288" s="80"/>
      <c r="V288" s="1236"/>
      <c r="W288" s="1236"/>
      <c r="X288" s="1236"/>
      <c r="Y288" s="1236"/>
      <c r="Z288" s="1236"/>
      <c r="AA288" s="1236"/>
      <c r="AB288" s="1236"/>
      <c r="AC288" s="1236"/>
      <c r="AD288" s="1236"/>
      <c r="AE288" s="1236"/>
      <c r="AF288" s="1236"/>
    </row>
    <row r="289" ht="12.0" customHeight="1">
      <c r="A289" s="45"/>
      <c r="B289" s="45"/>
      <c r="C289" s="45"/>
      <c r="D289" s="45"/>
      <c r="E289" s="45"/>
      <c r="F289" s="45"/>
      <c r="G289" s="45"/>
      <c r="H289" s="45"/>
      <c r="I289" s="45"/>
      <c r="J289" s="109"/>
      <c r="K289" s="109"/>
      <c r="L289" s="109"/>
      <c r="M289" s="80"/>
      <c r="N289" s="80"/>
      <c r="O289" s="80"/>
      <c r="P289" s="80"/>
      <c r="Q289" s="80"/>
      <c r="R289" s="80"/>
      <c r="S289" s="80"/>
      <c r="T289" s="80"/>
      <c r="U289" s="80"/>
      <c r="V289" s="1236"/>
      <c r="W289" s="1236"/>
      <c r="X289" s="1236"/>
      <c r="Y289" s="1236"/>
      <c r="Z289" s="1236"/>
      <c r="AA289" s="1236"/>
      <c r="AB289" s="1236"/>
      <c r="AC289" s="1236"/>
      <c r="AD289" s="1236"/>
      <c r="AE289" s="1236"/>
      <c r="AF289" s="1236"/>
    </row>
    <row r="290" ht="12.0" customHeight="1">
      <c r="A290" s="45"/>
      <c r="B290" s="45"/>
      <c r="C290" s="45"/>
      <c r="D290" s="45"/>
      <c r="E290" s="45"/>
      <c r="F290" s="45"/>
      <c r="G290" s="45"/>
      <c r="H290" s="45"/>
      <c r="I290" s="45"/>
      <c r="J290" s="109"/>
      <c r="K290" s="109"/>
      <c r="L290" s="109"/>
      <c r="M290" s="80"/>
      <c r="N290" s="80"/>
      <c r="O290" s="80"/>
      <c r="P290" s="80"/>
      <c r="Q290" s="80"/>
      <c r="R290" s="80"/>
      <c r="S290" s="80"/>
      <c r="T290" s="80"/>
      <c r="U290" s="80"/>
      <c r="V290" s="1236"/>
      <c r="W290" s="1236"/>
      <c r="X290" s="1236"/>
      <c r="Y290" s="1236"/>
      <c r="Z290" s="1236"/>
      <c r="AA290" s="1236"/>
      <c r="AB290" s="1236"/>
      <c r="AC290" s="1236"/>
      <c r="AD290" s="1236"/>
      <c r="AE290" s="1236"/>
      <c r="AF290" s="1236"/>
    </row>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25" right="0.25" top="0.75"/>
  <pageSetup orientation="portrait"/>
  <headerFooter>
    <oddHeader>&amp;CSOUCE: "Nola Mgmt - 2018A and confirmed 2019 and 2020 projections.xlsx" email attachment from Terry enttiled "It's Game Time" (02-05-2019)</oddHeader>
    <oddFooter>&amp;CCONFIDENTIAL</oddFooter>
  </headerFooter>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8.86"/>
    <col customWidth="1" min="5" max="5" width="8.71"/>
    <col customWidth="1" min="6" max="6" width="9.43"/>
    <col customWidth="1" min="7" max="26" width="8.71"/>
  </cols>
  <sheetData>
    <row r="1" ht="12.0" customHeight="1">
      <c r="A1" s="1351" t="s">
        <v>1572</v>
      </c>
      <c r="B1" s="1352" t="s">
        <v>1573</v>
      </c>
      <c r="C1" s="1352" t="s">
        <v>1574</v>
      </c>
      <c r="D1" s="1353" t="s">
        <v>1575</v>
      </c>
      <c r="E1" s="45"/>
      <c r="F1" s="45" t="s">
        <v>1576</v>
      </c>
      <c r="G1" s="45" t="s">
        <v>1577</v>
      </c>
      <c r="H1" s="45" t="s">
        <v>1578</v>
      </c>
      <c r="I1" s="45"/>
      <c r="J1" s="45"/>
      <c r="K1" s="45"/>
      <c r="L1" s="45"/>
      <c r="M1" s="45"/>
      <c r="N1" s="45"/>
      <c r="O1" s="45"/>
      <c r="P1" s="45"/>
      <c r="Q1" s="45"/>
      <c r="R1" s="45"/>
      <c r="S1" s="45"/>
      <c r="T1" s="45"/>
      <c r="U1" s="45"/>
      <c r="V1" s="45"/>
      <c r="W1" s="45"/>
      <c r="X1" s="45"/>
      <c r="Y1" s="45"/>
      <c r="Z1" s="45"/>
    </row>
    <row r="2" ht="12.0" customHeight="1">
      <c r="A2" s="1354"/>
      <c r="B2" s="1354"/>
      <c r="C2" s="1354"/>
      <c r="D2" s="1355"/>
      <c r="E2" s="45"/>
      <c r="F2" s="1356" t="str">
        <f>'Standalone Case'!#REF!</f>
        <v>#ERROR!</v>
      </c>
      <c r="G2" s="1357" t="str">
        <f t="shared" ref="G2:H2" si="1">#REF!</f>
        <v>#REF!</v>
      </c>
      <c r="H2" s="1357" t="str">
        <f t="shared" si="1"/>
        <v>#REF!</v>
      </c>
      <c r="I2" s="45"/>
      <c r="J2" s="45"/>
      <c r="K2" s="45"/>
      <c r="L2" s="45"/>
      <c r="M2" s="45"/>
      <c r="N2" s="45"/>
      <c r="O2" s="45"/>
      <c r="P2" s="45"/>
      <c r="Q2" s="45"/>
      <c r="R2" s="45"/>
      <c r="S2" s="45"/>
      <c r="T2" s="45"/>
      <c r="U2" s="45"/>
      <c r="V2" s="45"/>
      <c r="W2" s="45"/>
      <c r="X2" s="45"/>
      <c r="Y2" s="45"/>
      <c r="Z2" s="45"/>
    </row>
    <row r="3" ht="12.0" customHeight="1">
      <c r="A3" s="1358" t="str">
        <f>'Standalone Case'!#REF!</f>
        <v>#ERROR!</v>
      </c>
      <c r="B3" s="1359"/>
      <c r="C3" s="1359"/>
      <c r="D3" s="1355"/>
      <c r="E3" s="45"/>
      <c r="F3" s="45"/>
      <c r="G3" s="45"/>
      <c r="H3" s="45"/>
      <c r="I3" s="45"/>
      <c r="J3" s="45"/>
      <c r="K3" s="45"/>
      <c r="L3" s="45"/>
      <c r="M3" s="45"/>
      <c r="N3" s="45"/>
      <c r="O3" s="45"/>
      <c r="P3" s="45"/>
      <c r="Q3" s="45"/>
      <c r="R3" s="45"/>
      <c r="S3" s="45"/>
      <c r="T3" s="45"/>
      <c r="U3" s="45"/>
      <c r="V3" s="45"/>
      <c r="W3" s="45"/>
      <c r="X3" s="45"/>
      <c r="Y3" s="45"/>
      <c r="Z3" s="45"/>
    </row>
    <row r="4" ht="12.0" customHeight="1">
      <c r="A4" s="1359"/>
      <c r="B4" s="1359" t="str">
        <f>G2</f>
        <v>#REF!</v>
      </c>
      <c r="C4" s="1359"/>
      <c r="D4" s="1355"/>
      <c r="E4" s="45"/>
      <c r="F4" s="45"/>
      <c r="G4" s="45"/>
      <c r="H4" s="45"/>
      <c r="I4" s="45"/>
      <c r="J4" s="45"/>
      <c r="K4" s="45"/>
      <c r="L4" s="45"/>
      <c r="M4" s="45"/>
      <c r="N4" s="45"/>
      <c r="O4" s="45"/>
      <c r="P4" s="45"/>
      <c r="Q4" s="45"/>
      <c r="R4" s="45"/>
      <c r="S4" s="45"/>
      <c r="T4" s="45"/>
      <c r="U4" s="45"/>
      <c r="V4" s="45"/>
      <c r="W4" s="45"/>
      <c r="X4" s="45"/>
      <c r="Y4" s="45"/>
      <c r="Z4" s="45"/>
    </row>
    <row r="5" ht="12.0" customHeight="1">
      <c r="A5" s="1359"/>
      <c r="B5" s="1359"/>
      <c r="C5" s="1359" t="str">
        <f>H2</f>
        <v>#REF!</v>
      </c>
      <c r="D5" s="1355"/>
      <c r="E5" s="45"/>
      <c r="F5" s="45"/>
      <c r="G5" s="45"/>
      <c r="H5" s="45"/>
      <c r="I5" s="45"/>
      <c r="J5" s="45"/>
      <c r="K5" s="45"/>
      <c r="L5" s="45"/>
      <c r="M5" s="45"/>
      <c r="N5" s="45"/>
      <c r="O5" s="45"/>
      <c r="P5" s="45"/>
      <c r="Q5" s="45"/>
      <c r="R5" s="45"/>
      <c r="S5" s="45"/>
      <c r="T5" s="45"/>
      <c r="U5" s="45"/>
      <c r="V5" s="45"/>
      <c r="W5" s="45"/>
      <c r="X5" s="45"/>
      <c r="Y5" s="45"/>
      <c r="Z5" s="45"/>
    </row>
    <row r="6" ht="12.0" customHeight="1">
      <c r="A6" s="1360"/>
      <c r="B6" s="1361"/>
      <c r="C6" s="1360"/>
      <c r="D6" s="1355"/>
      <c r="E6" s="45"/>
      <c r="F6" s="45"/>
      <c r="G6" s="45"/>
      <c r="H6" s="45"/>
      <c r="I6" s="45"/>
      <c r="J6" s="45"/>
      <c r="K6" s="45"/>
      <c r="L6" s="45"/>
      <c r="M6" s="45"/>
      <c r="N6" s="45"/>
      <c r="O6" s="45"/>
      <c r="P6" s="45"/>
      <c r="Q6" s="45"/>
      <c r="R6" s="45"/>
      <c r="S6" s="45"/>
      <c r="T6" s="45"/>
      <c r="U6" s="45"/>
      <c r="V6" s="45"/>
      <c r="W6" s="45"/>
      <c r="X6" s="45"/>
      <c r="Y6" s="45"/>
      <c r="Z6" s="45"/>
    </row>
    <row r="7" ht="12.0" customHeight="1">
      <c r="A7" s="1360"/>
      <c r="B7" s="1361"/>
      <c r="C7" s="1360"/>
      <c r="D7" s="1355" t="s">
        <v>1579</v>
      </c>
      <c r="E7" s="45"/>
      <c r="F7" s="45"/>
      <c r="G7" s="45"/>
      <c r="H7" s="45"/>
      <c r="I7" s="45"/>
      <c r="J7" s="45"/>
      <c r="K7" s="45"/>
      <c r="L7" s="45"/>
      <c r="M7" s="45"/>
      <c r="N7" s="45"/>
      <c r="O7" s="45"/>
      <c r="P7" s="45"/>
      <c r="Q7" s="45"/>
      <c r="R7" s="45"/>
      <c r="S7" s="45"/>
      <c r="T7" s="45"/>
      <c r="U7" s="45"/>
      <c r="V7" s="45"/>
      <c r="W7" s="45"/>
      <c r="X7" s="45"/>
      <c r="Y7" s="45"/>
      <c r="Z7" s="45"/>
    </row>
    <row r="8" ht="12.0" customHeight="1">
      <c r="A8" s="45"/>
      <c r="B8" s="45"/>
      <c r="C8" s="45"/>
      <c r="D8" s="45"/>
      <c r="E8" s="45"/>
      <c r="F8" s="45"/>
      <c r="G8" s="45"/>
      <c r="H8" s="45"/>
      <c r="I8" s="45"/>
      <c r="J8" s="45"/>
      <c r="K8" s="45"/>
      <c r="L8" s="45"/>
      <c r="M8" s="45"/>
      <c r="N8" s="45"/>
      <c r="O8" s="45"/>
      <c r="P8" s="45"/>
      <c r="Q8" s="45"/>
      <c r="R8" s="45"/>
      <c r="S8" s="45"/>
      <c r="T8" s="45"/>
      <c r="U8" s="45"/>
      <c r="V8" s="45"/>
      <c r="W8" s="45"/>
      <c r="X8" s="45"/>
      <c r="Y8" s="45"/>
      <c r="Z8" s="45"/>
    </row>
    <row r="9" ht="12.0" customHeight="1">
      <c r="A9" s="45"/>
      <c r="B9" s="45"/>
      <c r="C9" s="45"/>
      <c r="D9" s="45"/>
      <c r="E9" s="45"/>
      <c r="F9" s="45"/>
      <c r="G9" s="45"/>
      <c r="H9" s="45"/>
      <c r="I9" s="45"/>
      <c r="J9" s="45"/>
      <c r="K9" s="45"/>
      <c r="L9" s="45"/>
      <c r="M9" s="45"/>
      <c r="N9" s="45"/>
      <c r="O9" s="45"/>
      <c r="P9" s="45"/>
      <c r="Q9" s="45"/>
      <c r="R9" s="45"/>
      <c r="S9" s="45"/>
      <c r="T9" s="45"/>
      <c r="U9" s="45"/>
      <c r="V9" s="45"/>
      <c r="W9" s="45"/>
      <c r="X9" s="45"/>
      <c r="Y9" s="45"/>
      <c r="Z9" s="45"/>
    </row>
    <row r="10" ht="12.0" customHeight="1">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ht="12.0" customHeight="1">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row>
    <row r="12" ht="12.0" customHeight="1">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ht="12.0" customHeight="1">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row>
    <row r="14" ht="12.0" customHeight="1">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ht="12.0" customHeight="1">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ht="12.0" customHeight="1">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ht="12.0" customHeight="1">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ht="12.0" customHeight="1">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ht="12.0" customHeight="1">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ht="12.0" customHeight="1">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ht="12.0" customHeight="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ht="12.0" customHeight="1">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ht="12.0" customHeight="1">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ht="12.0" customHeight="1">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ht="12.0" customHeight="1">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ht="12.0" customHeight="1">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ht="12.0" customHeight="1">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ht="12.0" customHeight="1">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ht="12.0" customHeight="1">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ht="12.0" customHeight="1">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ht="12.0" customHeight="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ht="12.0" customHeight="1">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ht="12.0" customHeight="1">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ht="12.0" customHeight="1">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ht="12.0" customHeight="1">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ht="12.0" customHeight="1">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ht="12.0" customHeight="1">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ht="12.0" customHeight="1">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ht="12.0" customHeight="1">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ht="12.0" customHeigh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ht="12.0"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ht="12.0" customHeigh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ht="12.0" customHeigh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ht="12.0"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ht="12.0" customHeigh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ht="12.0" customHeigh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ht="12.0"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ht="12.0"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ht="12.0" customHeight="1">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ht="12.0" customHeight="1">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ht="12.0" customHeight="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ht="12.0"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ht="12.0"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ht="12.0" customHeight="1">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ht="12.0"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ht="12.0"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ht="12.0" customHeigh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ht="12.0" customHeight="1">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ht="12.0" customHeigh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ht="12.0" customHeight="1">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ht="12.0" customHeight="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ht="12.0" customHeight="1">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ht="12.0"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ht="12.0"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ht="12.0" customHeight="1">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ht="12.0"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ht="12.0"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ht="12.0"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ht="12.0"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ht="12.0"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ht="12.0"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ht="12.0"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ht="12.0"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ht="12.0"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ht="12.0"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ht="12.0"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ht="12.0"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ht="12.0"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ht="12.0"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ht="12.0"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ht="12.0"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ht="12.0"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ht="12.0"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ht="12.0"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ht="12.0"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ht="12.0"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ht="12.0"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ht="12.0"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ht="12.0"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ht="12.0"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ht="12.0"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ht="12.0"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ht="12.0"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ht="12.0"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ht="12.0"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ht="12.0"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ht="12.0"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ht="12.0"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ht="12.0"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ht="12.0"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ht="12.0"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ht="12.0"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ht="12.0"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ht="12.0"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ht="12.0"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ht="12.0"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ht="12.0"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ht="12.0"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ht="12.0"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ht="12.0"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ht="12.0"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ht="12.0"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ht="12.0"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ht="12.0"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ht="12.0"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ht="12.0"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ht="12.0"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ht="12.0"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ht="12.0"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ht="12.0"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ht="12.0"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ht="12.0"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ht="12.0"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ht="12.0"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ht="12.0"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ht="12.0"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ht="12.0"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ht="12.0"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ht="12.0"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ht="12.0"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ht="12.0"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ht="12.0"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ht="12.0"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ht="12.0"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ht="12.0"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ht="12.0"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ht="12.0"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ht="12.0"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ht="12.0"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ht="12.0"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ht="12.0"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ht="12.0"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ht="12.0"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ht="12.0"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ht="12.0"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ht="12.0"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ht="12.0"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ht="12.0"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ht="12.0"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ht="12.0"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ht="12.0"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ht="12.0"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ht="12.0"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ht="12.0"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ht="12.0"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ht="12.0"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ht="12.0"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ht="12.0"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ht="12.0"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ht="12.0"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ht="12.0"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ht="12.0"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ht="12.0"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ht="12.0"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ht="12.0"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ht="12.0"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ht="12.0"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ht="12.0"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ht="12.0"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ht="12.0"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ht="12.0"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ht="12.0"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ht="12.0"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ht="12.0"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ht="12.0"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ht="12.0"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ht="12.0"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ht="12.0"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ht="12.0"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ht="12.0"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ht="12.0"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ht="12.0"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ht="12.0"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ht="12.0"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ht="12.0"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ht="12.0"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ht="12.0"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ht="12.0"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ht="12.0"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ht="12.0"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ht="12.0"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ht="12.0"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ht="12.0"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ht="12.0"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ht="12.0"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ht="12.0"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ht="12.0"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ht="12.0"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ht="12.0"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ht="12.0"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ht="12.0"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ht="12.0"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ht="12.0"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ht="12.0"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ht="12.0"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ht="12.0"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ht="12.0"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ht="12.0"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ht="12.0"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ht="12.0"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ht="12.0"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ht="12.0"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ht="12.0"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ht="12.0"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ht="12.0"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ht="12.0"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ht="12.0"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ht="12.0"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ht="12.0"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ht="12.0"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