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Ja\Documents\Code\projects\p0003\data\"/>
    </mc:Choice>
  </mc:AlternateContent>
  <bookViews>
    <workbookView xWindow="0" yWindow="0" windowWidth="23040" windowHeight="9192" activeTab="1"/>
  </bookViews>
  <sheets>
    <sheet name="Scenario" sheetId="1" r:id="rId1"/>
    <sheet name="BEAM_general" sheetId="2" r:id="rId2"/>
    <sheet name="Ref_pop" sheetId="3" r:id="rId3"/>
  </sheets>
  <calcPr calcId="162913"/>
  <pivotCaches>
    <pivotCache cacheId="4"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5" i="2" l="1"/>
  <c r="E114" i="2"/>
  <c r="E113" i="2"/>
  <c r="E112" i="2"/>
  <c r="E111" i="2"/>
  <c r="E110" i="2"/>
  <c r="E109" i="2"/>
  <c r="E108" i="2"/>
  <c r="E65" i="2" l="1"/>
  <c r="E64" i="2"/>
  <c r="E63" i="2"/>
  <c r="E61" i="2"/>
  <c r="E60" i="2"/>
  <c r="E59" i="2"/>
  <c r="E58" i="2"/>
  <c r="E56" i="2"/>
  <c r="E55" i="2"/>
  <c r="E54" i="2"/>
  <c r="P156" i="2" l="1"/>
  <c r="B185" i="2"/>
  <c r="B184" i="2"/>
  <c r="B244" i="2" l="1"/>
  <c r="B243" i="2"/>
  <c r="D233" i="2"/>
  <c r="D232" i="2"/>
  <c r="B232" i="2"/>
  <c r="B231" i="2"/>
  <c r="B230" i="2"/>
  <c r="R164" i="2"/>
  <c r="Q164" i="2"/>
  <c r="P164" i="2"/>
  <c r="R163" i="2"/>
  <c r="Q163" i="2"/>
  <c r="P163" i="2"/>
  <c r="Q162" i="2"/>
  <c r="P162" i="2"/>
  <c r="B162" i="2"/>
  <c r="Q161" i="2"/>
  <c r="P161" i="2"/>
  <c r="B161" i="2"/>
  <c r="Q160" i="2"/>
  <c r="R165" i="2" s="1"/>
  <c r="P160" i="2"/>
  <c r="B160" i="2"/>
  <c r="Q159" i="2"/>
  <c r="R166" i="2" s="1"/>
  <c r="P159" i="2"/>
  <c r="R158" i="2"/>
  <c r="Q158" i="2"/>
  <c r="P158" i="2"/>
  <c r="R157" i="2"/>
  <c r="Q157" i="2"/>
  <c r="P157" i="2"/>
  <c r="R156" i="2"/>
  <c r="Q156" i="2"/>
  <c r="Q168" i="2" s="1"/>
  <c r="R155" i="2"/>
  <c r="Q155" i="2"/>
  <c r="P155" i="2"/>
  <c r="R154" i="2"/>
  <c r="Q154" i="2"/>
  <c r="P154" i="2"/>
  <c r="P168" i="2" l="1"/>
  <c r="Q151" i="2"/>
  <c r="Q152" i="2"/>
  <c r="R168" i="2"/>
  <c r="P152" i="2"/>
  <c r="P151" i="2"/>
  <c r="E85" i="2"/>
  <c r="E74" i="2"/>
  <c r="E92" i="2"/>
  <c r="E82" i="2"/>
  <c r="E81" i="2"/>
  <c r="E71" i="2"/>
  <c r="E91" i="2"/>
  <c r="E90" i="2"/>
  <c r="E89" i="2"/>
  <c r="E88" i="2"/>
  <c r="E84" i="2"/>
  <c r="E83" i="2"/>
  <c r="E80" i="2"/>
  <c r="E79" i="2"/>
  <c r="E78" i="2"/>
  <c r="E75" i="2"/>
  <c r="E73" i="2"/>
  <c r="E72" i="2"/>
  <c r="E70" i="2"/>
  <c r="E69" i="2"/>
  <c r="E68" i="2"/>
  <c r="D10" i="3"/>
  <c r="D9" i="3"/>
  <c r="D8" i="3"/>
  <c r="D7" i="3"/>
  <c r="D6" i="3"/>
  <c r="D5" i="3"/>
  <c r="D4" i="3"/>
  <c r="D3" i="3"/>
  <c r="D2" i="3"/>
  <c r="R152" i="2" l="1"/>
  <c r="R151" i="2"/>
</calcChain>
</file>

<file path=xl/comments1.xml><?xml version="1.0" encoding="utf-8"?>
<comments xmlns="http://schemas.openxmlformats.org/spreadsheetml/2006/main">
  <authors>
    <author>JH</author>
  </authors>
  <commentList>
    <comment ref="H150" authorId="0" shapeId="0">
      <text>
        <r>
          <rPr>
            <b/>
            <sz val="9"/>
            <color indexed="81"/>
            <rFont val="Tahoma"/>
            <family val="2"/>
          </rPr>
          <t>JH:</t>
        </r>
        <r>
          <rPr>
            <sz val="9"/>
            <color indexed="81"/>
            <rFont val="Tahoma"/>
            <family val="2"/>
          </rPr>
          <t xml:space="preserve">
H-YD = High, York direct response
H-YI = High, York indirect source (incl reports)
M=medium
L=low</t>
        </r>
      </text>
    </comment>
  </commentList>
</comments>
</file>

<file path=xl/sharedStrings.xml><?xml version="1.0" encoding="utf-8"?>
<sst xmlns="http://schemas.openxmlformats.org/spreadsheetml/2006/main" count="2320" uniqueCount="714">
  <si>
    <t>Based on "Energy and GHG Scope Revised May 26 2020.docx"</t>
  </si>
  <si>
    <t>Scope &amp; assumptions</t>
  </si>
  <si>
    <t>Emission estimates will include those associated with trucking and processing of materials for each scenario.</t>
  </si>
  <si>
    <t>Wastewater emissions would only be estimated for scenarios where FWG is used.  These additional emissions would be from conveyance, wastewater treatment and sludge handling of the incremental loading due to food waste.</t>
  </si>
  <si>
    <t xml:space="preserve">Carbon dioxide (CO2), methane (CH4) and Nitrous Oxide (N2O) will be quantified as a part of this exercise. </t>
  </si>
  <si>
    <t>GHG emissions will be separated into non-biogenic and biogenic sources.</t>
  </si>
  <si>
    <t>Provincial GHG emission numbers will be used for electricity usage.</t>
  </si>
  <si>
    <t>Trucks and heavy machineries used to transport and process food waste are driven by conventional IC diesel engines with standard trailers.</t>
  </si>
  <si>
    <t>BEAM assumptions to verify for negli.</t>
  </si>
  <si>
    <t>Area</t>
  </si>
  <si>
    <t>Assumption</t>
  </si>
  <si>
    <t>Impacts</t>
  </si>
  <si>
    <t>User Guide Table 1 (pg. 7)</t>
  </si>
  <si>
    <t>Compost</t>
  </si>
  <si>
    <t>Windrow TS &gt;55% (aerobic)</t>
  </si>
  <si>
    <t>CH4 &amp; N2O</t>
  </si>
  <si>
    <t>if process air is treated (e.g.biofilter)</t>
  </si>
  <si>
    <t>CH4</t>
  </si>
  <si>
    <t>if C:N&gt; 30</t>
  </si>
  <si>
    <t>N2O</t>
  </si>
  <si>
    <t>In these scenarios the %FWG use refers to the fraction of the multi-residential units in York Region that use FWG. adjust during the FWG study</t>
  </si>
  <si>
    <t xml:space="preserve">the current fractionation of food waste going to landfill and composting would be maintained for the 0% FWG use </t>
  </si>
  <si>
    <t>Scenario</t>
  </si>
  <si>
    <t>FWGdiversion</t>
  </si>
  <si>
    <t>EmissionsEstimate</t>
  </si>
  <si>
    <t>BEAMid</t>
  </si>
  <si>
    <t>Resp</t>
  </si>
  <si>
    <t>AnalysisApproach</t>
  </si>
  <si>
    <t>ExistingInfrastructureBase</t>
  </si>
  <si>
    <t>CompostEmissions</t>
  </si>
  <si>
    <t>Ex_00_Compost</t>
  </si>
  <si>
    <t>OCWA</t>
  </si>
  <si>
    <t>BEAM for disposal, BEAM for green stream transport</t>
  </si>
  <si>
    <t>Landfill Emissions</t>
  </si>
  <si>
    <t>Ex_00_Landfill</t>
  </si>
  <si>
    <t>BEAM for disposal, BEAM for black stream transport + green contam to Walkers</t>
  </si>
  <si>
    <t>IncineratorEmissions</t>
  </si>
  <si>
    <t>Ex_00_Incinerator</t>
  </si>
  <si>
    <t>WWTPEmissions</t>
  </si>
  <si>
    <t>Ex_00_WWTP</t>
  </si>
  <si>
    <t>UW</t>
  </si>
  <si>
    <t>outisde of BEAM using OWC</t>
  </si>
  <si>
    <t>WWCollectionEmissions</t>
  </si>
  <si>
    <t>Ex_00_WWColl</t>
  </si>
  <si>
    <t>ADEmissions</t>
  </si>
  <si>
    <t>Ex_00_AD</t>
  </si>
  <si>
    <t>GHD</t>
  </si>
  <si>
    <t>includes Cornerstone (Seacliffe &amp; Elmira)</t>
  </si>
  <si>
    <t>ExistingOrganicMgmtwFWG</t>
  </si>
  <si>
    <t>EOMFWG_10_Compost</t>
  </si>
  <si>
    <t>EOMFWG_10_Landfill</t>
  </si>
  <si>
    <t>EOMFWG_10_Incinerator</t>
  </si>
  <si>
    <t>EOMFWG_10_WWTP</t>
  </si>
  <si>
    <t>EOMFWG_10_WWColl</t>
  </si>
  <si>
    <t>EOMFWG_10_AD</t>
  </si>
  <si>
    <t>ADreplCompostwFWG</t>
  </si>
  <si>
    <t>ADFWG_10_Landfill</t>
  </si>
  <si>
    <t>ADFWG_10_Incinerator</t>
  </si>
  <si>
    <t>ADFWG_10_WWTP</t>
  </si>
  <si>
    <t>ADFWG_10_WWColl</t>
  </si>
  <si>
    <t>ADFWG_10_AD</t>
  </si>
  <si>
    <t>Breakdown schematic -</t>
  </si>
  <si>
    <t>Existing Scenario 1, Scenario 2</t>
  </si>
  <si>
    <t>Collected as</t>
  </si>
  <si>
    <t>Type</t>
  </si>
  <si>
    <t>Destination</t>
  </si>
  <si>
    <t>SpecificReceiver</t>
  </si>
  <si>
    <t>Proportion</t>
  </si>
  <si>
    <t>Notes</t>
  </si>
  <si>
    <t>Total Solid Waste</t>
  </si>
  <si>
    <t>Garbage (blue, black bins)</t>
  </si>
  <si>
    <t>SSO</t>
  </si>
  <si>
    <t>Landfill</t>
  </si>
  <si>
    <t>WalkerNiagara</t>
  </si>
  <si>
    <t>WMWatford</t>
  </si>
  <si>
    <t>GreenLaneSouthwold</t>
  </si>
  <si>
    <t>Incinerator</t>
  </si>
  <si>
    <t>Covanta</t>
  </si>
  <si>
    <t>DurhamYEC</t>
  </si>
  <si>
    <t>Emerald</t>
  </si>
  <si>
    <t>SSO-leachate</t>
  </si>
  <si>
    <t>SSO-evaporated</t>
  </si>
  <si>
    <t>Green bins</t>
  </si>
  <si>
    <t>SSO-contaminants</t>
  </si>
  <si>
    <t xml:space="preserve">Assumed sole receiver </t>
  </si>
  <si>
    <t>SSO-Processable</t>
  </si>
  <si>
    <t>CovertusLon</t>
  </si>
  <si>
    <t>CovertusOtt</t>
  </si>
  <si>
    <t>GFLMooseCr</t>
  </si>
  <si>
    <t>AD</t>
  </si>
  <si>
    <t>CornerstoneElmira</t>
  </si>
  <si>
    <t>CornerstoneEssex</t>
  </si>
  <si>
    <t>HuroniaGBF</t>
  </si>
  <si>
    <t>Lost</t>
  </si>
  <si>
    <t>NA</t>
  </si>
  <si>
    <t xml:space="preserve">Total wastewater - </t>
  </si>
  <si>
    <t>Sanitary sewer WW (base)</t>
  </si>
  <si>
    <t>Wastewater</t>
  </si>
  <si>
    <t>WWTP</t>
  </si>
  <si>
    <t>DuffinCreek</t>
  </si>
  <si>
    <t>85% of flow to Duffin Creek
5% to others - assume Duffin Creek for GHG modelling
10% to Peel
GE Booth - request from CIMA
would want to run
OWC (stick with other report though if substantially different)</t>
  </si>
  <si>
    <t>Peel</t>
  </si>
  <si>
    <t>Future Scenario 3</t>
  </si>
  <si>
    <t>SSO (less diverted to FWG)</t>
  </si>
  <si>
    <t>SSO-leachate (less diverted to FWG)</t>
  </si>
  <si>
    <t>SSO-evaporated (less diverted to FWG)</t>
  </si>
  <si>
    <t>SSO-contaminants (unchanged)</t>
  </si>
  <si>
    <t>SSO-Processable (less diverted to FWG)</t>
  </si>
  <si>
    <t>Total wastewater</t>
  </si>
  <si>
    <t>FWG flushed</t>
  </si>
  <si>
    <t>SSO-contaminants (assume none?)</t>
  </si>
  <si>
    <t>SSO-Processable (addl diversion + garbage diverted + green bin diverted</t>
  </si>
  <si>
    <t>SSO-leachate (addl SSO diversion + diverted from garbage + diverted from green bin)</t>
  </si>
  <si>
    <t>SSO-evaporated (add'l SSO diversion + diverted from garbage + diverted from green bin)</t>
  </si>
  <si>
    <t>Flushing Water - make some assumption or see if it can be derived fromstudy</t>
  </si>
  <si>
    <t>Future Scenario 4</t>
  </si>
  <si>
    <t>YRAD</t>
  </si>
  <si>
    <t>assumes all current compost vol goes to new AD</t>
  </si>
  <si>
    <t>all other cells leave as default or use placeholder values - does not impact calc</t>
  </si>
  <si>
    <t>BEAMtab</t>
  </si>
  <si>
    <t>BEAMcell</t>
  </si>
  <si>
    <t>FWParameter</t>
  </si>
  <si>
    <t>InputValue</t>
  </si>
  <si>
    <t>IsBEAMdefault</t>
  </si>
  <si>
    <t>FWUnit</t>
  </si>
  <si>
    <t>Rationale</t>
  </si>
  <si>
    <t>FWSource_RefIndex</t>
  </si>
  <si>
    <t>BEAMParameter</t>
  </si>
  <si>
    <t>DefaultBiosolidValue</t>
  </si>
  <si>
    <t>BEAMUnit</t>
  </si>
  <si>
    <t>RefinePotential</t>
  </si>
  <si>
    <t>All</t>
  </si>
  <si>
    <t>WWT Inputs &amp; CO2E Totals</t>
  </si>
  <si>
    <t>B26</t>
  </si>
  <si>
    <t>x</t>
  </si>
  <si>
    <t>No</t>
  </si>
  <si>
    <t>to carry over result from another tab</t>
  </si>
  <si>
    <t>B27</t>
  </si>
  <si>
    <t>B30</t>
  </si>
  <si>
    <t>D14</t>
  </si>
  <si>
    <t>ON</t>
  </si>
  <si>
    <t>province for electricity assumptions</t>
  </si>
  <si>
    <t>D10</t>
  </si>
  <si>
    <t>Metric Tonne/yr</t>
  </si>
  <si>
    <t>Amount of Wastewater Treated</t>
  </si>
  <si>
    <t>million liters/day</t>
  </si>
  <si>
    <t>D12</t>
  </si>
  <si>
    <t>Population served by Wastewater Treatment Plant</t>
  </si>
  <si>
    <t>Number</t>
  </si>
  <si>
    <t>D13</t>
  </si>
  <si>
    <t>Influent BOD5</t>
  </si>
  <si>
    <t>mg/L</t>
  </si>
  <si>
    <t>Composting</t>
  </si>
  <si>
    <t>B7</t>
  </si>
  <si>
    <t>SSO Total Solids</t>
  </si>
  <si>
    <t>%</t>
  </si>
  <si>
    <t>Solids content</t>
  </si>
  <si>
    <t>B9</t>
  </si>
  <si>
    <t>SSO Density</t>
  </si>
  <si>
    <t>kg/m3</t>
  </si>
  <si>
    <t>Sludge density</t>
  </si>
  <si>
    <t>B11</t>
  </si>
  <si>
    <t>Prior Digestion</t>
  </si>
  <si>
    <t>no</t>
  </si>
  <si>
    <t>Yes</t>
  </si>
  <si>
    <t>Boolean</t>
  </si>
  <si>
    <t>Has the sludge been digested prior to composting?</t>
  </si>
  <si>
    <t>B12</t>
  </si>
  <si>
    <t xml:space="preserve">SSO Total nitrogen </t>
  </si>
  <si>
    <t>%-dry weight</t>
  </si>
  <si>
    <t xml:space="preserve">Total nitrogen </t>
  </si>
  <si>
    <t>B13</t>
  </si>
  <si>
    <t xml:space="preserve">SSO Total phosphorus </t>
  </si>
  <si>
    <t xml:space="preserve">Total phosphorus </t>
  </si>
  <si>
    <t>B14</t>
  </si>
  <si>
    <t>SSO Total volatile solids</t>
  </si>
  <si>
    <t xml:space="preserve">Total volatile solids - TVS </t>
  </si>
  <si>
    <t>B15</t>
  </si>
  <si>
    <t xml:space="preserve">SSO Organic carbon </t>
  </si>
  <si>
    <t xml:space="preserve">Organic carbon </t>
  </si>
  <si>
    <t>B16</t>
  </si>
  <si>
    <t>CompostCommercialUse</t>
  </si>
  <si>
    <t>yes</t>
  </si>
  <si>
    <t>Assumed</t>
  </si>
  <si>
    <t>Will compost use replace commercial fertilizer use where it is applied?</t>
  </si>
  <si>
    <t>B17</t>
  </si>
  <si>
    <t>CompostAmendmentRatio</t>
  </si>
  <si>
    <t>ratio</t>
  </si>
  <si>
    <t xml:space="preserve">Volumetric ratio of amendment to sludge </t>
  </si>
  <si>
    <t>m3 amendment:m3 sludge, as is*</t>
  </si>
  <si>
    <t>B18</t>
  </si>
  <si>
    <t>CompostAmendmentGrinding</t>
  </si>
  <si>
    <t>use BEAM default unless processing facility reports substantially different</t>
  </si>
  <si>
    <t>Amendment grinding on-site?</t>
  </si>
  <si>
    <t>B22</t>
  </si>
  <si>
    <t>CompostAmendmentDensity</t>
  </si>
  <si>
    <t>Density of amendment</t>
  </si>
  <si>
    <t>B25</t>
  </si>
  <si>
    <t>Blended Feed C:N</t>
  </si>
  <si>
    <t>Blended Feed Solids content</t>
  </si>
  <si>
    <t xml:space="preserve">Type of composting operation </t>
  </si>
  <si>
    <t>ASP</t>
  </si>
  <si>
    <t>11,12</t>
  </si>
  <si>
    <t>PresetChoice</t>
  </si>
  <si>
    <t>B28</t>
  </si>
  <si>
    <t>Are active composting piles covered or is the air from them treated through a biofilter?</t>
  </si>
  <si>
    <t>B33</t>
  </si>
  <si>
    <t>Total fuel use for composting equipment</t>
  </si>
  <si>
    <t>can use BEAM default, unlikely to be published</t>
  </si>
  <si>
    <t xml:space="preserve"> L-diesel fuel/day</t>
  </si>
  <si>
    <t>B34</t>
  </si>
  <si>
    <t>Applying compost to land</t>
  </si>
  <si>
    <t>B38</t>
  </si>
  <si>
    <t>Electricity requirements of composting system (kWh/day)</t>
  </si>
  <si>
    <t>Landfill Disposal</t>
  </si>
  <si>
    <t>B6</t>
  </si>
  <si>
    <t xml:space="preserve">Density </t>
  </si>
  <si>
    <t xml:space="preserve">Solids content </t>
  </si>
  <si>
    <t>B10</t>
  </si>
  <si>
    <t>Methane correction factor for landfill (DOCf that will decompose in landfill)</t>
  </si>
  <si>
    <t>use BEAM default, unlikely to be published</t>
  </si>
  <si>
    <t xml:space="preserve">Quality of soil cover at landfill </t>
  </si>
  <si>
    <t>high</t>
  </si>
  <si>
    <t xml:space="preserve">Methane captured at landfill and flared, combusted or otherwise used - after 3 years </t>
  </si>
  <si>
    <t>Percent of captured methane used to generate electricity</t>
  </si>
  <si>
    <t>check Walkers</t>
  </si>
  <si>
    <t>B19</t>
  </si>
  <si>
    <t xml:space="preserve">DOCf - fraction of degradable organic carbon that can decompose </t>
  </si>
  <si>
    <t>ratio'd mix of SSO contaminants + SSO in garbage</t>
  </si>
  <si>
    <t>B20</t>
  </si>
  <si>
    <t xml:space="preserve">Amount of decomposable TDOC decomposed in 3 years </t>
  </si>
  <si>
    <t>Combustion</t>
  </si>
  <si>
    <t>B8</t>
  </si>
  <si>
    <t>Type of incinerator</t>
  </si>
  <si>
    <t>need to check major incinerator</t>
  </si>
  <si>
    <t>Fluidized Bed</t>
  </si>
  <si>
    <t>Recovered energy to electricity</t>
  </si>
  <si>
    <t>Recovered energy as heat</t>
  </si>
  <si>
    <t>Disposition of ash</t>
  </si>
  <si>
    <t>Disposition ofash</t>
  </si>
  <si>
    <t>none</t>
  </si>
  <si>
    <t>Urea-based selectivenoncatalytic emissions reduction</t>
  </si>
  <si>
    <t>Is a ureabased selective noncatalytic reduction emissions system being used</t>
  </si>
  <si>
    <t>Avg high freeboard temperature of combustion</t>
  </si>
  <si>
    <t>degC</t>
  </si>
  <si>
    <t>Incinerator natural gas used</t>
  </si>
  <si>
    <t>m3/day</t>
  </si>
  <si>
    <t>use BEAM default unless published</t>
  </si>
  <si>
    <t>Natural gas used</t>
  </si>
  <si>
    <t>B32</t>
  </si>
  <si>
    <t>Incinerator net electricity used</t>
  </si>
  <si>
    <t>kWh/day</t>
  </si>
  <si>
    <t>Net electricity used</t>
  </si>
  <si>
    <t>Ex_00</t>
  </si>
  <si>
    <t>Quantity SSO compost</t>
  </si>
  <si>
    <t>Mg/day-wet</t>
  </si>
  <si>
    <t>3-yr (2018-2020) average of SSO tonnage to Covertus London, Covertus Ottawa and GFL Moose Creek (Dest. 10-11-12)</t>
  </si>
  <si>
    <t>47,48,49,50,51,52,54,55,56</t>
  </si>
  <si>
    <t>Quantity of sludge going to composting</t>
  </si>
  <si>
    <t>B5</t>
  </si>
  <si>
    <t>Quantity SSO going to landfill</t>
  </si>
  <si>
    <t>Organic Fraction of 3-yr (2018-2020) average of Residuals tonnage to Green Lane, WM Watford, Walker Niagara (Dest. 3-4-5)</t>
  </si>
  <si>
    <t>84,85,86,87,88,89,90,91,92</t>
  </si>
  <si>
    <t xml:space="preserve">Quantity going to landfill </t>
  </si>
  <si>
    <t>Quantity SSO going to incinerator</t>
  </si>
  <si>
    <t>Organic Fraction of 3-yr (2018-2020) average of Residuals tonnage to Emerald EFW, DYEC, Covanta Niagara (Dest. 6-7-8)</t>
  </si>
  <si>
    <t>68,69,70,71,72,73,74,75,76,77,78,79</t>
  </si>
  <si>
    <t xml:space="preserve">Quantity going to combustion </t>
  </si>
  <si>
    <t>Anaerobic Digestion</t>
  </si>
  <si>
    <t>Quantity SSO going to AD</t>
  </si>
  <si>
    <t>Sludge quantity fed to digesters</t>
  </si>
  <si>
    <t>Quantity Leachate-SSO going to AD</t>
  </si>
  <si>
    <t>65,66,67</t>
  </si>
  <si>
    <t>EOMFWG_10</t>
  </si>
  <si>
    <t>Quantity SSO going to compost</t>
  </si>
  <si>
    <t>3-yr (2018-2020) average of SSO tonnage to Covertus London, Covertus Ottawa and GFL Moose Creek (Dest. 10-11-12), post FWG diversion deduction</t>
  </si>
  <si>
    <t>47,48,49,50,51,52,54,55,56,118,119</t>
  </si>
  <si>
    <t>Organic Fraction of 3-yr (2018-2020) average of Residuals tonnage to Green Lane, WM Watford, Walker Niagara (Dest. 3-4-5), post FWG diversion deduction</t>
  </si>
  <si>
    <t>84,85,86,87,88,89,90,91,92,119</t>
  </si>
  <si>
    <t>Organic Fraction of 3-yr (2018-2020) average of Residuals tonnage to Emerald EFW, DYEC, Covanta Niagara (Dest. 6-7-8), post FWG diversion deduction</t>
  </si>
  <si>
    <t>68,69,70,71,72,73,74,75,76,77,78,79,118,119</t>
  </si>
  <si>
    <t>65,66,67,119</t>
  </si>
  <si>
    <t>ADFWG_10</t>
  </si>
  <si>
    <t>84,85,86,87,88,89,90,91,92,118,119</t>
  </si>
  <si>
    <t>Transportation</t>
  </si>
  <si>
    <t>D5</t>
  </si>
  <si>
    <t>Food waste weight to destination</t>
  </si>
  <si>
    <t>Mg-wet/yr</t>
  </si>
  <si>
    <t>Sludge/biosolids to this destination</t>
  </si>
  <si>
    <t>E5</t>
  </si>
  <si>
    <t>F5</t>
  </si>
  <si>
    <t>G5</t>
  </si>
  <si>
    <t>H5</t>
  </si>
  <si>
    <t>I5</t>
  </si>
  <si>
    <t>J5</t>
  </si>
  <si>
    <t>K5</t>
  </si>
  <si>
    <t>L5</t>
  </si>
  <si>
    <t>M5</t>
  </si>
  <si>
    <t>D6</t>
  </si>
  <si>
    <t>Average SSO weight per load</t>
  </si>
  <si>
    <t>Mg-wet</t>
  </si>
  <si>
    <t>Average biosolids weight per load</t>
  </si>
  <si>
    <t>E6</t>
  </si>
  <si>
    <t>F6</t>
  </si>
  <si>
    <t>G6</t>
  </si>
  <si>
    <t>H6</t>
  </si>
  <si>
    <t>I6</t>
  </si>
  <si>
    <t>J6</t>
  </si>
  <si>
    <t>K6</t>
  </si>
  <si>
    <t>L6</t>
  </si>
  <si>
    <t>M6</t>
  </si>
  <si>
    <t>D8</t>
  </si>
  <si>
    <t>Round trip distance_Dest1</t>
  </si>
  <si>
    <t>km</t>
  </si>
  <si>
    <t>to be conservative, assume no backhaul hence r/t default</t>
  </si>
  <si>
    <t>E8</t>
  </si>
  <si>
    <t>Round trip distance_Dest2</t>
  </si>
  <si>
    <t>F8</t>
  </si>
  <si>
    <t>Round trip distance_Dest3</t>
  </si>
  <si>
    <t>G8</t>
  </si>
  <si>
    <t>Round trip distance_Dest4</t>
  </si>
  <si>
    <t>H8</t>
  </si>
  <si>
    <t>Round trip distance_Dest5</t>
  </si>
  <si>
    <t>I8</t>
  </si>
  <si>
    <t>Round trip distance_Dest6</t>
  </si>
  <si>
    <t>J8</t>
  </si>
  <si>
    <t>Round trip distance_Dest7</t>
  </si>
  <si>
    <t>K8</t>
  </si>
  <si>
    <t>Round trip distance_Dest8</t>
  </si>
  <si>
    <t>L8</t>
  </si>
  <si>
    <t>Round trip distance_Dest9</t>
  </si>
  <si>
    <t>M8</t>
  </si>
  <si>
    <t>Round trip distance_Dest10</t>
  </si>
  <si>
    <t>D15</t>
  </si>
  <si>
    <t>truck mileage</t>
  </si>
  <si>
    <t>km/L</t>
  </si>
  <si>
    <t>Percent of fuel usage that is biodiesel</t>
  </si>
  <si>
    <t>E10</t>
  </si>
  <si>
    <t>F10</t>
  </si>
  <si>
    <t>G10</t>
  </si>
  <si>
    <t>H10</t>
  </si>
  <si>
    <t>I10</t>
  </si>
  <si>
    <t>J10</t>
  </si>
  <si>
    <t>K10</t>
  </si>
  <si>
    <t>L10</t>
  </si>
  <si>
    <t>M10</t>
  </si>
  <si>
    <t>Scenarios/Phases, Based on 2018-2020 average tonnage</t>
  </si>
  <si>
    <t>OrganicsDistToProcessor_CovertusLon</t>
  </si>
  <si>
    <t>OrganicsDistToProcessor_GFLMooseCr</t>
  </si>
  <si>
    <t>OrganicsDistToProcessor_Cornerstone</t>
  </si>
  <si>
    <t>OrganicsLeachateDistToProcessor_HuroniaGBF</t>
  </si>
  <si>
    <t>OrganicsDistToProcessor_CovertusOtt</t>
  </si>
  <si>
    <t>OrganicsDistToProcessor_CornerstoneElmira</t>
  </si>
  <si>
    <t>OrganicsDistToProcessor_CornerstoneSeacliff</t>
  </si>
  <si>
    <t>ResidualsDistToProcessor_CovantaNiagara</t>
  </si>
  <si>
    <t>ResidualsDistToProcessor_DurhamYEC</t>
  </si>
  <si>
    <t>ResidualsDistToProcessor_EmeraldExVaughn</t>
  </si>
  <si>
    <t>ResidualsDistToProcessor_EmeraldVaughn</t>
  </si>
  <si>
    <t>ResidualsDistToProcessor_WalkerNiagara</t>
  </si>
  <si>
    <t>ResidualsDistToProcessor_WMWatford</t>
  </si>
  <si>
    <t>ResidualsDistToProcessor_GreenLaneSouthwold</t>
  </si>
  <si>
    <t>"Phase 1/2"</t>
  </si>
  <si>
    <t>"Phase 3"</t>
  </si>
  <si>
    <t>"Phase 4"</t>
  </si>
  <si>
    <t>Parameter</t>
  </si>
  <si>
    <t>Value</t>
  </si>
  <si>
    <t>Unit</t>
  </si>
  <si>
    <t>DataDetail</t>
  </si>
  <si>
    <t>Reference List</t>
  </si>
  <si>
    <t>RefLoc</t>
  </si>
  <si>
    <t>RefIndex</t>
  </si>
  <si>
    <t>DataSourceQual</t>
  </si>
  <si>
    <t>index</t>
  </si>
  <si>
    <t>Name</t>
  </si>
  <si>
    <t>geometry</t>
  </si>
  <si>
    <t>category</t>
  </si>
  <si>
    <t>Ex_00_AnnualOrganicTonnage</t>
  </si>
  <si>
    <t>EOMFWG_10_AnnualOrganicTonnage</t>
  </si>
  <si>
    <t>ADFWG_10_AnnualOrganicTonnage</t>
  </si>
  <si>
    <t>OrganicsProcessed_YR_2020</t>
  </si>
  <si>
    <t>tonnes</t>
  </si>
  <si>
    <t>total tonnes shipped to SSO facilities for processing</t>
  </si>
  <si>
    <t>York Region 2021 Response to Study RFI</t>
  </si>
  <si>
    <t>pg.6</t>
  </si>
  <si>
    <t>H-YD</t>
  </si>
  <si>
    <t>Earl Turcott Waste Management Facility (ETWMF)</t>
  </si>
  <si>
    <t>c(-79.3481881</t>
  </si>
  <si>
    <t>TransferStation</t>
  </si>
  <si>
    <t>OrganicsProcessed_YR_2019</t>
  </si>
  <si>
    <t>York Region Waste Management Centre (YRWMC)</t>
  </si>
  <si>
    <t>c(-79.4035613</t>
  </si>
  <si>
    <t>OrganicsProcessed_YR_2018</t>
  </si>
  <si>
    <t>total tonnes shipped to SSO facilities for processing. The difference from collected due to the moisture loss from evaporation (1,086 tonnes) as well as leachate that is collected and sent elsewhere. This is detailed in the paragraphs of the Organic section in the 2018 diversion report.</t>
  </si>
  <si>
    <t>pg.6 comment</t>
  </si>
  <si>
    <t>Green Lane Landfill</t>
  </si>
  <si>
    <t>OrganicsProcessed_YR_2018a</t>
  </si>
  <si>
    <t xml:space="preserve">collected @ curb &amp; depot, incl. sent to compost + leachate, contaminants; minus evap., incl. </t>
  </si>
  <si>
    <t>York Region (2019), 2018 Annual Solid Waste Diversion Report</t>
  </si>
  <si>
    <t>pg.8 graph</t>
  </si>
  <si>
    <t>H-YI</t>
  </si>
  <si>
    <t>Waste Management  Twin Creeks Watford Landfill</t>
  </si>
  <si>
    <t>OrganicsProcessed_YR_2017</t>
  </si>
  <si>
    <t>Walker Environmental Niagara Landfill</t>
  </si>
  <si>
    <t>OrganicsProcessed_YR_2016</t>
  </si>
  <si>
    <t>Emerald EFW</t>
  </si>
  <si>
    <t>Incineration</t>
  </si>
  <si>
    <t>Durham York Energy Centre EFW</t>
  </si>
  <si>
    <t>OrganicsCollected_YR_2018</t>
  </si>
  <si>
    <t>Covanta Niagara EFW</t>
  </si>
  <si>
    <t>OrganicsEvap_YR_2018</t>
  </si>
  <si>
    <t>Region of Huronia Georgian Bluffs Biodigester (leachate)</t>
  </si>
  <si>
    <t>AD-leachate</t>
  </si>
  <si>
    <t>ProcessedFrac_Covertus_2018</t>
  </si>
  <si>
    <t>fraction</t>
  </si>
  <si>
    <t>fraction of 2018 processed to Renewi/Covertus</t>
  </si>
  <si>
    <t>pg.8 tbl</t>
  </si>
  <si>
    <t>GFL Environmental Aerobic Compost</t>
  </si>
  <si>
    <t>ProcessedFrac_GFLMooseCr_2018</t>
  </si>
  <si>
    <t>fraction of 2018 processed</t>
  </si>
  <si>
    <t>Covertus Ottawa Aerobic Compost</t>
  </si>
  <si>
    <t>ProcessedFrac_CornerstMooseCr_2018</t>
  </si>
  <si>
    <t>fraction of 2018 processed,5050t- but this doesn't line up if Cornerstone can only treat liquid leachate</t>
  </si>
  <si>
    <t>Covertus London Aerobic Compost</t>
  </si>
  <si>
    <t>ProcessType_Covertus</t>
  </si>
  <si>
    <t>CH2M Hill (2017) Source-separated Organics Processing Feasibility Study</t>
  </si>
  <si>
    <t>pg.7</t>
  </si>
  <si>
    <t>M</t>
  </si>
  <si>
    <t>Cornerstone Elmira</t>
  </si>
  <si>
    <t>c(-82.5634536, 42.028553, 0)</t>
  </si>
  <si>
    <t>AD-SSO</t>
  </si>
  <si>
    <t>ProcessType_GFLMooseCr</t>
  </si>
  <si>
    <t>Channel</t>
  </si>
  <si>
    <t>Cornerstone Essex</t>
  </si>
  <si>
    <t>c(-80.560945, 43.5777244, 0)</t>
  </si>
  <si>
    <t>ProcessType_Cornerstone</t>
  </si>
  <si>
    <t>negligible fraction of processed (not equipped to handle solids)</t>
  </si>
  <si>
    <t>York Region (2020) SM4RT Living – The York Region Waste Management Master Plan</t>
  </si>
  <si>
    <t>App B https://www.york.ca/wps/wcm/connect/yorkpublic/3e97de1d-be2d-47a2-8415-8f7e148f5413/Appendix+B+-+Final+Report-Long+Term+Source+Separated+Organic+Waste+Processing+Plan.pdf?MOD=AJPERES&amp;CVID=n5r9Onv</t>
  </si>
  <si>
    <t>New AD Facility</t>
  </si>
  <si>
    <t>ProductDest_Covertus</t>
  </si>
  <si>
    <t>compost sold to local agriculture</t>
  </si>
  <si>
    <t>ProductDest_GFLMooseCr</t>
  </si>
  <si>
    <t>compost sold to agriculture, horiculture,soil blenders</t>
  </si>
  <si>
    <t>ProductDest_Cornerstone</t>
  </si>
  <si>
    <t>not reported in 2017 report; negligible fraction of processed</t>
  </si>
  <si>
    <t>ReceiverTotal</t>
  </si>
  <si>
    <t xml:space="preserve"> to Covertus/Renewi (London)</t>
  </si>
  <si>
    <t>App B Table 2</t>
  </si>
  <si>
    <t xml:space="preserve"> to GFL (Moose Creek)</t>
  </si>
  <si>
    <t>SSOcontaminationNFW_2016</t>
  </si>
  <si>
    <t>non food waste (plastics, towels) from 2016 audit</t>
  </si>
  <si>
    <t>Figure2-2, pg. 15</t>
  </si>
  <si>
    <t>SSOcontaminationUFW_2016</t>
  </si>
  <si>
    <t>unavoidable food waste (bones,scraps) from 2016 audit</t>
  </si>
  <si>
    <t>SSOcontaminationAFW_2016</t>
  </si>
  <si>
    <t>avoidable food waste (leftovers) from 2016 audit</t>
  </si>
  <si>
    <t>SSOreceiptETWMC_YR</t>
  </si>
  <si>
    <t>Earl Turcott Waste Management Centre,2019</t>
  </si>
  <si>
    <t>App B</t>
  </si>
  <si>
    <t>SSOreceiptYRWMC_YR</t>
  </si>
  <si>
    <t>York Region Waste Management Centre,2019</t>
  </si>
  <si>
    <t>SSOpeak_YR</t>
  </si>
  <si>
    <t>January, May, August October</t>
  </si>
  <si>
    <t>up to 1.22 peaking factor</t>
  </si>
  <si>
    <t>pg.16</t>
  </si>
  <si>
    <t>SSOtrough_YR</t>
  </si>
  <si>
    <t>February, March, December</t>
  </si>
  <si>
    <t>down to 0.8 peak factor</t>
  </si>
  <si>
    <t>OrganicsLeachateCollected_YR_2016</t>
  </si>
  <si>
    <t>amount treated at receiving loc., excludes loss to evaportation</t>
  </si>
  <si>
    <t>pg.19</t>
  </si>
  <si>
    <t>York Region (2018), 2017 Annual Solid Waste Diversion Report</t>
  </si>
  <si>
    <t>pg.8</t>
  </si>
  <si>
    <t>FWGusageMin_YR</t>
  </si>
  <si>
    <t>fraction of the multi-residential units in York Region that use FWG</t>
  </si>
  <si>
    <t>TBD from present study</t>
  </si>
  <si>
    <t>FWGusageMax_YR</t>
  </si>
  <si>
    <t>WasteFractionTo_ETWMC</t>
  </si>
  <si>
    <t>fraction of total YR waste sent vai this transfer station</t>
  </si>
  <si>
    <t>Ref 98-115 (2016 population and YR response to TS destination by municipality)</t>
  </si>
  <si>
    <t>WasteFractionTo_YRWMC</t>
  </si>
  <si>
    <t>OrganicsTotal_YR_2018</t>
  </si>
  <si>
    <t>total collected incl. processed, leachate, evaporation</t>
  </si>
  <si>
    <t>OrganicsTotal_YR_2017</t>
  </si>
  <si>
    <t>OrganicsTotal_YR_2016</t>
  </si>
  <si>
    <t>OrganicsTotal_YR_2019</t>
  </si>
  <si>
    <t>SSO received at the two transfer stations</t>
  </si>
  <si>
    <t>Region of Huronia Environmental Services AD treatment of leachate</t>
  </si>
  <si>
    <t>OrganicsLeachateCollectedAvg_YR</t>
  </si>
  <si>
    <t>% of SSO collected (tonnes)</t>
  </si>
  <si>
    <t>not sure of which years, average annual</t>
  </si>
  <si>
    <t>AnnualLongHaulTruck_ETWMC</t>
  </si>
  <si>
    <t>count</t>
  </si>
  <si>
    <t xml:space="preserve">not sure where to,cubside excluded; scenario 1 base from Earl Turcott </t>
  </si>
  <si>
    <t>App B, Figure 8</t>
  </si>
  <si>
    <t>AnnualLongHaulTruck_YRWMC</t>
  </si>
  <si>
    <t>not sure where to,curbside excluded; scenario 1 base from YRWMC</t>
  </si>
  <si>
    <t>ResidualWasteTo_EFW_2018</t>
  </si>
  <si>
    <t>to three facilities</t>
  </si>
  <si>
    <t>pg. 13</t>
  </si>
  <si>
    <t>ResidualWasteTo_Landfill_2018</t>
  </si>
  <si>
    <t>Walkers South in Thorold</t>
  </si>
  <si>
    <t>EFWlocations</t>
  </si>
  <si>
    <t>Covanta Niagara, Emerald Energy from Waste Brampton, DYEC Durham</t>
  </si>
  <si>
    <t>OrganicsProcessed_CovertusLon_2018</t>
  </si>
  <si>
    <t>Contract 50k-80k t shared between London &amp; Ottawa 4675 Wellington Road South, London</t>
  </si>
  <si>
    <t>OrganicsProcessed_CovertusLon_2019</t>
  </si>
  <si>
    <t>OrganicsProcessed_CovertusLon_2020</t>
  </si>
  <si>
    <t>OrganicsProcessed_CovertusOtt_2018</t>
  </si>
  <si>
    <t>Contract 50k-80k t shared between London &amp; Ottawa 5123 Hawthorne Road
Gloucester</t>
  </si>
  <si>
    <t>OrganicsProcessed_CovertusOtt_2019</t>
  </si>
  <si>
    <t>OrganicsProcessed_CovertusOtt_2020</t>
  </si>
  <si>
    <t>Convertus Ottawa
5123 Hawthorne Road
Gloucester, ON, Canada, K1G 3Y3</t>
  </si>
  <si>
    <t>Google Map</t>
  </si>
  <si>
    <t>OrganicsProcessed_GFLMooseCr_2018</t>
  </si>
  <si>
    <t xml:space="preserve">GFL Environmental 
17125 Lafleche Rd, 
Moose Creek, ON K0C 1W0
</t>
  </si>
  <si>
    <t>OrganicsProcessed_GFLMooseCr_2019</t>
  </si>
  <si>
    <t>OrganicsProcessed_GFLMooseCr_2020</t>
  </si>
  <si>
    <t>OrganicsProcessed_CornerstoneElmira_2018</t>
  </si>
  <si>
    <t>Cornerstone brokers to Bio-En at Elmira</t>
  </si>
  <si>
    <t>OrganicsProcessed_CornerstoneElmira_2019</t>
  </si>
  <si>
    <t>OrganicsProcessed_CornerstoneElmira_2020</t>
  </si>
  <si>
    <t>York Region to Bio-En Elmira, one-way; Cornerstone has option to divert to Seacliff</t>
  </si>
  <si>
    <t>OrganicsDistToProcessor_CornerstoneEssex</t>
  </si>
  <si>
    <t>York Region to Bio-En Elmira, one-way</t>
  </si>
  <si>
    <t>OrganicsProcessed_CornerstoneEssex_2018</t>
  </si>
  <si>
    <t>Cornerstone brokers to Seacliff Energy 1200 Mersea Road 1, Leamington, ON</t>
  </si>
  <si>
    <t>OrganicsProcessed_CornerstoneEssex_2019</t>
  </si>
  <si>
    <t>OrganicsProcessed_CornerstoneEssex_2020</t>
  </si>
  <si>
    <t>OrganicsLeachateProcessed_HuroniaGBF_2018</t>
  </si>
  <si>
    <t>Georgian Bluffs Biodigester 62111 Side Rd 3 #4 Owen Sound, ON</t>
  </si>
  <si>
    <t>OrganicsLeachateProcessed_HuroniaGBF_2019</t>
  </si>
  <si>
    <t>OrganicsLeachateProcessed_HuroniaGBF_2020</t>
  </si>
  <si>
    <t>ResidualEFWprocessed_CovantaNiagara_2018</t>
  </si>
  <si>
    <t>CovantaNiagara</t>
  </si>
  <si>
    <t>ResidualEFWprocessed_CovantaNiagara_2019</t>
  </si>
  <si>
    <t>ResidualEFWprocessed_CovantaNiagara_2020</t>
  </si>
  <si>
    <t>ResidualEFWprocessed_DurhamYEC_2018</t>
  </si>
  <si>
    <t>Durham York Energy Centre (21.4% York Ownership Share)</t>
  </si>
  <si>
    <t>ResidualEFWprocessed_DurhamYEC_2019</t>
  </si>
  <si>
    <t>ResidualEFWprocessed_DurhamYEC_2020</t>
  </si>
  <si>
    <t>ResidualEFWprocessed_EmeraldExVaughn_2018</t>
  </si>
  <si>
    <t>Emerald (tonnage received at ETWMF &amp; YRWMC from the local municipalities except Vaughan, shipped to Emerald via long haul trailers – excludes Vaughan curbside tonnage)</t>
  </si>
  <si>
    <t>ResidualEFWprocessed_EmeraldExVaughn_2019</t>
  </si>
  <si>
    <t>ResidualEFWprocessed_EmeraldExVaughn_2020</t>
  </si>
  <si>
    <t>ResidualEFWprocessed_EmeraldVaughn_2018</t>
  </si>
  <si>
    <t>Emerald (Vaughan curbside collection trucks direct to Emerald, bypassing ETWMF/YRWMC due to close proximity to Vaughan)</t>
  </si>
  <si>
    <t>ResidualEFWprocessed_EmeraldVaughn_2019</t>
  </si>
  <si>
    <t>ResidualEFWprocessed_EmeraldVaughn_2020</t>
  </si>
  <si>
    <t>ResidualLFprocessed_WalkerNiagara_2018</t>
  </si>
  <si>
    <t>Walker Environmental 3081 Taylor Rd, Niagara Falls, ON</t>
  </si>
  <si>
    <t>ResidualLFprocessed_WalkerNiagara_2019</t>
  </si>
  <si>
    <t>ResidualLFprocessed_WalkerNiagara_2020</t>
  </si>
  <si>
    <t>ResidualLFprocessed_WMWatford_2018</t>
  </si>
  <si>
    <t>Waste Management -Twin Creeks 5768 Nauvoo Road Watford, Ontario N0M 2S0</t>
  </si>
  <si>
    <t>ResidualLFprocessed_WMWatford_2019</t>
  </si>
  <si>
    <t>ResidualLFprocessed_WMWatford_2020</t>
  </si>
  <si>
    <t>ResidualLFprocessed_GreenLaneSouthwold_2018</t>
  </si>
  <si>
    <t>only broken glass for road base use - 38593 Third Line RR 7, Southwold, ON N0L 2G0</t>
  </si>
  <si>
    <t>ResidualLFprocessed_GreenLaneSouthwold_2019</t>
  </si>
  <si>
    <t>ResidualLFprocessed_GreenLaneSouthwold_2020</t>
  </si>
  <si>
    <t>ResidualsPerCapita_2019</t>
  </si>
  <si>
    <t>kg</t>
  </si>
  <si>
    <t>slight increase in 2019 (and expect to persist) due to removal of contaminants in recycling stream starting 2019</t>
  </si>
  <si>
    <t>York Region (2020), 2019 Annual Solid Waste Diversion Report</t>
  </si>
  <si>
    <t>Pg. 7 plot</t>
  </si>
  <si>
    <t>OrganicsPerCapita_2019</t>
  </si>
  <si>
    <t>fairly steady over past five years</t>
  </si>
  <si>
    <t>PopulationAurora_2016</t>
  </si>
  <si>
    <t>persons</t>
  </si>
  <si>
    <t>2016 Census</t>
  </si>
  <si>
    <t>L</t>
  </si>
  <si>
    <t>PopulationEGwillim_2016</t>
  </si>
  <si>
    <t>PopulationGeorgina_2016</t>
  </si>
  <si>
    <t>PopulationKing_2016</t>
  </si>
  <si>
    <t>PopulationMarkham_2016</t>
  </si>
  <si>
    <t>PopulationNewmarket_2016</t>
  </si>
  <si>
    <t>PopulationRichmondHill_2016</t>
  </si>
  <si>
    <t>PopulationVaughn_2016</t>
  </si>
  <si>
    <t>PopulationWhitStouff_2016</t>
  </si>
  <si>
    <t>OrganicsTransferDest_Aurora</t>
  </si>
  <si>
    <t>YRWMC</t>
  </si>
  <si>
    <t>York Region Waste Management Centre (YRWMC), 100 Garfield Wright Boulevard, Sharon, ON L0G 1V0</t>
  </si>
  <si>
    <t>OrganicsTransferDest_EGwillim</t>
  </si>
  <si>
    <t>OrganicsTransferDest_Georgina</t>
  </si>
  <si>
    <t>OrganicsTransferDest_King</t>
  </si>
  <si>
    <t>OrganicsTransferDest_Markham</t>
  </si>
  <si>
    <t>ETWMF</t>
  </si>
  <si>
    <t>Earl Turcott Waste Management Facility (ETWMF), 300 Rodick Rd, Markham, ON L6G 1E2</t>
  </si>
  <si>
    <t>OrganicsTransferDest_Newmarket</t>
  </si>
  <si>
    <t>OrganicsTransferDest_RichmondHill</t>
  </si>
  <si>
    <t>OrganicsTransferDest_Vaughn</t>
  </si>
  <si>
    <t>OrganicsTransferDest_WhitStouff</t>
  </si>
  <si>
    <t>VehicularGasConsumption_Collection</t>
  </si>
  <si>
    <t>check literature; YR uses 15t</t>
  </si>
  <si>
    <t>OrganicFractionInResidual</t>
  </si>
  <si>
    <t>Estimated food waste content (tonnes/year), audit % (where available) for garbage sent to DYEC in 2019 from single family and multi-res</t>
  </si>
  <si>
    <t>York Region 2021 Response to Study RFI, from D.Siu (YR) corr. 2020-11-30</t>
  </si>
  <si>
    <t>Email</t>
  </si>
  <si>
    <t>FoodWasteGrinderWasteDiversion</t>
  </si>
  <si>
    <t>Assumed value until corrected by this study</t>
  </si>
  <si>
    <t>Municipality</t>
  </si>
  <si>
    <t>Status</t>
  </si>
  <si>
    <t>Percent</t>
  </si>
  <si>
    <t>Aurora</t>
  </si>
  <si>
    <t>Town</t>
  </si>
  <si>
    <t>East Gwillimbury</t>
  </si>
  <si>
    <t>Georgina</t>
  </si>
  <si>
    <t>King</t>
  </si>
  <si>
    <t>Township</t>
  </si>
  <si>
    <t>Markham</t>
  </si>
  <si>
    <t>City</t>
  </si>
  <si>
    <t>Newmarket</t>
  </si>
  <si>
    <t>Richmond Hill</t>
  </si>
  <si>
    <t>Vaughan</t>
  </si>
  <si>
    <t>Whitchurch–Stouffville</t>
  </si>
  <si>
    <t>York (total)</t>
  </si>
  <si>
    <t>Regional Municipality</t>
  </si>
  <si>
    <t>Row Labels</t>
  </si>
  <si>
    <t>Sum of Percent</t>
  </si>
  <si>
    <t>Grand Total</t>
  </si>
  <si>
    <t>Population (2016)</t>
  </si>
  <si>
    <t>Table 1.0 - BEAM general set-up</t>
  </si>
  <si>
    <t>SSO long haul trailers carry rough average of 37 tonnes per load as compared to the collection truck which carry a fraction of this tonnage (under 15 tonnes depending on density and type of truck). The long-haul trailers may be walking floor trailers or open top trailers.</t>
  </si>
  <si>
    <t>TruckCapacityToProcessor</t>
  </si>
  <si>
    <t>OrganicsDistToProcessor_NewAD</t>
  </si>
  <si>
    <t>doesn't appear to affect anything?</t>
  </si>
  <si>
    <t>NA-DefaultUsed</t>
  </si>
  <si>
    <t>biofilter used at Covertus London &amp; GFL - majority of the tonnage</t>
  </si>
  <si>
    <t>7</t>
  </si>
  <si>
    <t>Food waste weight to_Dest1(Index-4 WM Watford)</t>
  </si>
  <si>
    <t>MassFlowTbl</t>
  </si>
  <si>
    <t>Food waste weight to_Dest2(Index-5 Walker Niagara)</t>
  </si>
  <si>
    <t>Food waste weight to_Dest3(Index-6 EmeraldEFW Brampton)</t>
  </si>
  <si>
    <t>Food waste weight to_Dest4(Index-7 DYECEFW Durham)</t>
  </si>
  <si>
    <t>Food waste weight to_Dest5(Index-8 CovantaEFW Niagara)</t>
  </si>
  <si>
    <t>Food waste weight to_Dest6(Index-10 GFLCompost)</t>
  </si>
  <si>
    <t>Food waste weight to_Dest7(Index-11 CovertusCompost Ottawa)</t>
  </si>
  <si>
    <t>Food waste weight to_Dest8(Index-12 CovertusCompost London)</t>
  </si>
  <si>
    <t>not used</t>
  </si>
  <si>
    <t>compost obsolete'd</t>
  </si>
  <si>
    <t>Round trip distance_Dest1(Index-4 WM Watford)</t>
  </si>
  <si>
    <t>94</t>
  </si>
  <si>
    <t>Round trip distance_Dest2(Index-5 Walker Niagara)</t>
  </si>
  <si>
    <t>93</t>
  </si>
  <si>
    <t>Round trip distance_Dest3(Index-6 EmeraldEFW Brampton)</t>
  </si>
  <si>
    <t>82,83</t>
  </si>
  <si>
    <t>Round trip distance_Dest4(Index-7 DYECEFW Durham)</t>
  </si>
  <si>
    <t>81</t>
  </si>
  <si>
    <t>Round trip distance_Dest5(Index-8 CovantaEFW Niagara)</t>
  </si>
  <si>
    <t>80</t>
  </si>
  <si>
    <t>Round trip distance_Dest6(Index-10 GFLCompost)</t>
  </si>
  <si>
    <t>20</t>
  </si>
  <si>
    <t>Round trip distance_Dest7(Index-11 CovertusCompost Ottawa)</t>
  </si>
  <si>
    <t>53</t>
  </si>
  <si>
    <t>Round trip distance_Dest8(Index-12 CovertusCompost London)</t>
  </si>
  <si>
    <t>19</t>
  </si>
  <si>
    <t>AirFiltrationAtCompost</t>
  </si>
  <si>
    <t xml:space="preserve">Used at Covertus London and GFL (majority of tonnage); Covertus Ottawa uses multi-step odour abatement system </t>
  </si>
  <si>
    <t>Section 2.2 pg. 11</t>
  </si>
  <si>
    <t>75% ETWMC 170km + 25% YRWMC 195km</t>
  </si>
  <si>
    <t>75% ETWMC 62km + 25% YRWMC 90km</t>
  </si>
  <si>
    <t>Google Map, Ref 74:76</t>
  </si>
  <si>
    <t>Google Map, Ref 77:79</t>
  </si>
  <si>
    <t>147 km from ETWMC; 25% at 171km from YRWMC</t>
  </si>
  <si>
    <t>259 from ETWMC ; 25% at 288 km from YRWMC</t>
  </si>
  <si>
    <t>NA -only broken glass sent here, irrelevant for study</t>
  </si>
  <si>
    <t>Table 2.0 - Ref List</t>
  </si>
  <si>
    <t>TB-GHD-2021-05-20</t>
  </si>
  <si>
    <t>GHD TB email corr. 2021-05-20</t>
  </si>
  <si>
    <t>assumption by GHD</t>
  </si>
  <si>
    <t>annotation</t>
  </si>
  <si>
    <t>Table 3.0 - Destination Weight (mass flows)</t>
  </si>
  <si>
    <t>GHD TB email corr. 2021-05-21</t>
  </si>
  <si>
    <t>GHD TB email corr. 2021-05-22</t>
  </si>
  <si>
    <t>GHD TB email corr. 2021-05-23</t>
  </si>
  <si>
    <t>GHD TB email corr. 2021-05-24</t>
  </si>
  <si>
    <t>GHD TB email corr. 2021-05-25</t>
  </si>
  <si>
    <t>120</t>
  </si>
  <si>
    <t>121</t>
  </si>
  <si>
    <t>122</t>
  </si>
  <si>
    <t>123</t>
  </si>
  <si>
    <t>124</t>
  </si>
  <si>
    <t>125</t>
  </si>
  <si>
    <t>regional municipal SSO typical - from GHD exp.</t>
  </si>
  <si>
    <t>GHD noted to Convertus is in-vessel not ASP; supersede Ch2M  Hill noted Tunnel (Renewi) in 2017 report</t>
  </si>
  <si>
    <t>In-vessel</t>
  </si>
  <si>
    <t>regional SSO typical</t>
  </si>
  <si>
    <t xml:space="preserve">(Guideline for the production of compost in Ontario </t>
  </si>
  <si>
    <t>(work backwards with C:N ratio and desired mix density) 
• Desired bulk density range for composting mix is 0.5 – 0.65 g/cm3 (Guideline for the production of compost in Ontario | Ontario.ca)</t>
  </si>
  <si>
    <t>(Guideline for the production of compost in Ontario | Ontario.ca)</t>
  </si>
  <si>
    <t>g/cm3</t>
  </si>
  <si>
    <t xml:space="preserve">Compost amendment density
</t>
  </si>
  <si>
    <t>In-Vessel/ASP</t>
  </si>
  <si>
    <t>Covertus in-vessel; others asp</t>
  </si>
  <si>
    <t>use BEAM default; GHD: 75% a good assumption for Walker (typical goal/target for industry)</t>
  </si>
  <si>
    <t>Multiple Hearth</t>
  </si>
  <si>
    <t>Only two options available in BEAM: Multiple Hearth or Fluidized Bed.  Whereas e.g. Emerald EFW is a starved air multi-chamber gasification process.</t>
  </si>
  <si>
    <t>hazardous landfill from Emerald EFW (major receiver)</t>
  </si>
  <si>
    <t>https://emeraldefw.com/process/</t>
  </si>
  <si>
    <t>not stated if it is urea based</t>
  </si>
  <si>
    <t>Emerald EFW process</t>
  </si>
  <si>
    <t>H</t>
  </si>
  <si>
    <t>EmeraldCombusionTemp</t>
  </si>
  <si>
    <t>The waste is put into one of 5 modular gasification units by front end loader. The waste is heated to produce a gas. The gas is combusted, reaching a temperature of 1000° C</t>
  </si>
  <si>
    <t>EmeraldCombusionType</t>
  </si>
  <si>
    <t>starved air process with two chambers. The units comprise a refractory-lined combustion chamber (no grate is required) into which waste is loaded. Air is supplied to this chamber at a rate less than that required for complete combustion. The waste is initially ignited by an auxiliary burner and undergoes essentially a gasification/pyrolysis process.</t>
  </si>
  <si>
    <t>http://www.durhamenvironmentwatch.org/Incinerator%20Files%20II/OverviewOfIncinerationAndEFWKnox.pdf</t>
  </si>
  <si>
    <t>starved air</t>
  </si>
  <si>
    <t>129</t>
  </si>
  <si>
    <t>128</t>
  </si>
  <si>
    <t>126,127</t>
  </si>
  <si>
    <t>work backwards with C:N ratio and desired mix density) -- Desired bulk density range for composting mix is 0.5 – 0.65 g/cm3 (Guideline for the production of compost in Ontario | Ontario.ca</t>
  </si>
  <si>
    <t>changed default sawdust of 250 to 300 in order to reach closer to desired value for C:N and bulk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</si>
</sst>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b/>
      <sz val="11"/>
      <color theme="1"/>
      <name val="Calibri"/>
      <family val="2"/>
      <scheme val="minor"/>
    </font>
    <font>
      <i/>
      <sz val="11"/>
      <color theme="0" tint="-0.499984740745262"/>
      <name val="Calibri"/>
      <family val="2"/>
      <scheme val="minor"/>
    </font>
    <font>
      <sz val="11"/>
      <color theme="0" tint="-0.499984740745262"/>
      <name val="Calibri"/>
      <family val="2"/>
      <scheme val="minor"/>
    </font>
    <font>
      <b/>
      <i/>
      <sz val="11"/>
      <color theme="0" tint="-0.499984740745262"/>
      <name val="Calibri"/>
      <family val="2"/>
      <scheme val="minor"/>
    </font>
    <font>
      <b/>
      <sz val="11"/>
      <color theme="0" tint="-0.499984740745262"/>
      <name val="Calibri"/>
      <family val="2"/>
      <scheme val="minor"/>
    </font>
    <font>
      <sz val="11"/>
      <color theme="0" tint="-4.9989318521683403E-2"/>
      <name val="Calibri"/>
      <family val="2"/>
      <scheme val="minor"/>
    </font>
    <font>
      <b/>
      <sz val="11"/>
      <color theme="7" tint="-0.249977111117893"/>
      <name val="Calibri"/>
      <family val="2"/>
      <scheme val="minor"/>
    </font>
    <font>
      <sz val="11"/>
      <color theme="7" tint="-0.249977111117893"/>
      <name val="Calibri"/>
      <family val="2"/>
      <scheme val="minor"/>
    </font>
    <font>
      <i/>
      <sz val="11"/>
      <color theme="1"/>
      <name val="Calibri"/>
      <family val="2"/>
      <scheme val="minor"/>
    </font>
    <font>
      <sz val="8"/>
      <color theme="1"/>
      <name val="Calibri"/>
      <family val="2"/>
      <scheme val="minor"/>
    </font>
    <font>
      <i/>
      <sz val="11"/>
      <color theme="7" tint="-0.249977111117893"/>
      <name val="Calibri"/>
      <family val="2"/>
      <scheme val="minor"/>
    </font>
    <font>
      <sz val="11"/>
      <color theme="4" tint="-0.249977111117893"/>
      <name val="Calibri"/>
      <family val="2"/>
      <scheme val="minor"/>
    </font>
    <font>
      <b/>
      <sz val="9"/>
      <color theme="1"/>
      <name val="Calibri"/>
      <family val="2"/>
      <scheme val="minor"/>
    </font>
    <font>
      <sz val="9"/>
      <color theme="7" tint="-0.249977111117893"/>
      <name val="Calibri"/>
      <family val="2"/>
      <scheme val="minor"/>
    </font>
    <font>
      <sz val="11"/>
      <color indexed="8"/>
      <name val="Calibri"/>
      <family val="2"/>
    </font>
    <font>
      <u/>
      <sz val="11"/>
      <color rgb="FF008080"/>
      <name val="Calibri"/>
      <family val="2"/>
      <scheme val="minor"/>
    </font>
    <font>
      <b/>
      <sz val="8"/>
      <color rgb="FF202122"/>
      <name val="Arial"/>
      <family val="2"/>
    </font>
    <font>
      <sz val="8"/>
      <color rgb="FF202122"/>
      <name val="Arial"/>
      <family val="2"/>
    </font>
    <font>
      <sz val="11"/>
      <name val="Calibri"/>
      <family val="2"/>
      <scheme val="minor"/>
    </font>
    <font>
      <sz val="9"/>
      <color indexed="81"/>
      <name val="Tahoma"/>
      <family val="2"/>
    </font>
    <font>
      <b/>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92D050"/>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theme="3" tint="0.79998168889431442"/>
        <bgColor theme="7" tint="0.79998168889431442"/>
      </patternFill>
    </fill>
    <fill>
      <patternFill patternType="solid">
        <fgColor theme="9"/>
        <bgColor indexed="64"/>
      </patternFill>
    </fill>
    <fill>
      <patternFill patternType="solid">
        <fgColor rgb="FFEAECF0"/>
        <bgColor indexed="64"/>
      </patternFill>
    </fill>
    <fill>
      <patternFill patternType="solid">
        <fgColor rgb="FFF8F9FA"/>
        <bgColor indexed="64"/>
      </patternFill>
    </fill>
    <fill>
      <patternFill patternType="solid">
        <fgColor theme="7" tint="0.79998168889431442"/>
        <bgColor theme="7" tint="0.79998168889431442"/>
      </patternFill>
    </fill>
  </fills>
  <borders count="5">
    <border>
      <left/>
      <right/>
      <top/>
      <bottom/>
      <diagonal/>
    </border>
    <border>
      <left/>
      <right style="thin">
        <color indexed="64"/>
      </right>
      <top style="thin">
        <color indexed="64"/>
      </top>
      <bottom/>
      <diagonal/>
    </border>
    <border>
      <left/>
      <right/>
      <top/>
      <bottom style="thin">
        <color theme="4"/>
      </bottom>
      <diagonal/>
    </border>
    <border>
      <left/>
      <right/>
      <top style="thin">
        <color indexed="64"/>
      </top>
      <bottom style="medium">
        <color indexed="64"/>
      </bottom>
      <diagonal/>
    </border>
    <border>
      <left style="medium">
        <color rgb="FFA2A9B1"/>
      </left>
      <right style="medium">
        <color rgb="FFA2A9B1"/>
      </right>
      <top style="medium">
        <color rgb="FFA2A9B1"/>
      </top>
      <bottom style="medium">
        <color rgb="FFA2A9B1"/>
      </bottom>
      <diagonal/>
    </border>
  </borders>
  <cellStyleXfs count="4">
    <xf numFmtId="0" fontId="0" fillId="0" borderId="0"/>
    <xf numFmtId="9" fontId="1" fillId="0" borderId="0" applyFont="0" applyFill="0" applyBorder="0" applyAlignment="0" applyProtection="0"/>
    <xf numFmtId="9" fontId="16" fillId="0" borderId="0" applyFont="0" applyFill="0" applyBorder="0" applyAlignment="0" applyProtection="0"/>
    <xf numFmtId="0" fontId="23" fillId="0" borderId="0" applyNumberFormat="0" applyFill="0" applyBorder="0" applyAlignment="0" applyProtection="0"/>
  </cellStyleXfs>
  <cellXfs count="126">
    <xf numFmtId="0" fontId="0" fillId="0" borderId="0" xfId="0"/>
    <xf numFmtId="0" fontId="2" fillId="0" borderId="0" xfId="0" applyFont="1" applyBorder="1" applyAlignment="1">
      <alignment vertical="center"/>
    </xf>
    <xf numFmtId="0" fontId="2" fillId="0" borderId="0" xfId="0" applyFont="1" applyBorder="1" applyAlignment="1">
      <alignment horizontal="left" vertical="center"/>
    </xf>
    <xf numFmtId="0" fontId="0" fillId="0" borderId="0" xfId="0" applyBorder="1" applyAlignment="1">
      <alignment horizontal="left"/>
    </xf>
    <xf numFmtId="0" fontId="0" fillId="2" borderId="0" xfId="0" applyFont="1" applyFill="1" applyBorder="1" applyAlignment="1">
      <alignment vertical="center"/>
    </xf>
    <xf numFmtId="9" fontId="0" fillId="2" borderId="0" xfId="0" applyNumberFormat="1" applyFill="1" applyBorder="1" applyAlignment="1">
      <alignment horizontal="left" vertical="center"/>
    </xf>
    <xf numFmtId="0" fontId="0" fillId="2" borderId="0" xfId="0" applyFill="1" applyBorder="1" applyAlignment="1">
      <alignment horizontal="left" vertical="center"/>
    </xf>
    <xf numFmtId="0" fontId="0" fillId="2" borderId="0" xfId="0" applyFill="1" applyBorder="1" applyAlignment="1">
      <alignment horizontal="left"/>
    </xf>
    <xf numFmtId="0" fontId="0" fillId="2" borderId="0" xfId="0" applyFill="1"/>
    <xf numFmtId="0" fontId="3" fillId="2" borderId="0" xfId="0" applyFont="1" applyFill="1" applyBorder="1" applyAlignment="1">
      <alignment vertical="center"/>
    </xf>
    <xf numFmtId="9" fontId="3" fillId="2" borderId="0" xfId="0" applyNumberFormat="1" applyFont="1" applyFill="1" applyBorder="1" applyAlignment="1">
      <alignment horizontal="lef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xf>
    <xf numFmtId="0" fontId="4" fillId="2" borderId="0" xfId="0" applyFont="1" applyFill="1" applyBorder="1" applyAlignment="1">
      <alignment vertical="center"/>
    </xf>
    <xf numFmtId="0" fontId="5" fillId="2" borderId="0" xfId="0" applyFont="1" applyFill="1" applyBorder="1" applyAlignment="1">
      <alignment vertical="center"/>
    </xf>
    <xf numFmtId="9" fontId="5" fillId="2" borderId="0" xfId="0" applyNumberFormat="1" applyFont="1" applyFill="1" applyBorder="1" applyAlignment="1">
      <alignment horizontal="left" vertical="center"/>
    </xf>
    <xf numFmtId="0" fontId="5" fillId="2" borderId="0" xfId="0" applyFont="1" applyFill="1" applyBorder="1" applyAlignment="1">
      <alignment horizontal="left" vertical="center"/>
    </xf>
    <xf numFmtId="0" fontId="5" fillId="2" borderId="0" xfId="0" applyFont="1" applyFill="1" applyBorder="1" applyAlignment="1">
      <alignment horizontal="left"/>
    </xf>
    <xf numFmtId="0" fontId="5" fillId="2" borderId="1" xfId="0" applyFont="1" applyFill="1" applyBorder="1"/>
    <xf numFmtId="0" fontId="5" fillId="2" borderId="0" xfId="0" applyFont="1" applyFill="1"/>
    <xf numFmtId="0" fontId="0" fillId="3" borderId="0" xfId="0" applyFont="1" applyFill="1" applyBorder="1" applyAlignment="1">
      <alignment vertical="center"/>
    </xf>
    <xf numFmtId="9" fontId="0" fillId="3" borderId="0" xfId="0" applyNumberFormat="1" applyFill="1" applyBorder="1" applyAlignment="1">
      <alignment horizontal="left" vertical="center"/>
    </xf>
    <xf numFmtId="0" fontId="0" fillId="3" borderId="0" xfId="0" applyFill="1" applyBorder="1" applyAlignment="1">
      <alignment horizontal="left" vertical="center"/>
    </xf>
    <xf numFmtId="0" fontId="0" fillId="3" borderId="0" xfId="0" applyFill="1" applyBorder="1" applyAlignment="1">
      <alignment horizontal="left"/>
    </xf>
    <xf numFmtId="0" fontId="0" fillId="3" borderId="0" xfId="0" applyFill="1" applyBorder="1"/>
    <xf numFmtId="0" fontId="4" fillId="3" borderId="0" xfId="0" applyFont="1" applyFill="1" applyBorder="1" applyAlignment="1">
      <alignment vertical="center"/>
    </xf>
    <xf numFmtId="9" fontId="4" fillId="3" borderId="0"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3" borderId="0" xfId="0" applyFont="1" applyFill="1" applyBorder="1" applyAlignment="1">
      <alignment horizontal="left"/>
    </xf>
    <xf numFmtId="0" fontId="6" fillId="3" borderId="0" xfId="0" applyFont="1" applyFill="1" applyBorder="1" applyAlignment="1">
      <alignment vertical="center"/>
    </xf>
    <xf numFmtId="9" fontId="6" fillId="3" borderId="0" xfId="0" applyNumberFormat="1" applyFont="1" applyFill="1" applyBorder="1" applyAlignment="1">
      <alignment horizontal="left" vertical="center"/>
    </xf>
    <xf numFmtId="0" fontId="5" fillId="3" borderId="0" xfId="0" applyFont="1" applyFill="1" applyBorder="1" applyAlignment="1">
      <alignment horizontal="left" vertical="center"/>
    </xf>
    <xf numFmtId="0" fontId="5" fillId="3" borderId="0" xfId="0" applyFont="1" applyFill="1" applyBorder="1" applyAlignment="1">
      <alignment horizontal="left"/>
    </xf>
    <xf numFmtId="0" fontId="5" fillId="3" borderId="0" xfId="0" applyFont="1" applyFill="1" applyBorder="1"/>
    <xf numFmtId="0" fontId="0" fillId="4" borderId="0" xfId="0" applyFont="1" applyFill="1" applyBorder="1" applyAlignment="1">
      <alignment vertical="center"/>
    </xf>
    <xf numFmtId="9" fontId="0" fillId="4" borderId="0" xfId="0" applyNumberFormat="1" applyFill="1" applyBorder="1" applyAlignment="1">
      <alignment horizontal="left" vertical="center"/>
    </xf>
    <xf numFmtId="0" fontId="0" fillId="4" borderId="0" xfId="0" applyFill="1" applyBorder="1" applyAlignment="1">
      <alignment horizontal="left" vertical="center"/>
    </xf>
    <xf numFmtId="0" fontId="0" fillId="4" borderId="0" xfId="0" applyFill="1" applyBorder="1" applyAlignment="1">
      <alignment horizontal="left"/>
    </xf>
    <xf numFmtId="0" fontId="0" fillId="4" borderId="0" xfId="0" applyFill="1" applyBorder="1"/>
    <xf numFmtId="0" fontId="4" fillId="4" borderId="0" xfId="0" applyFont="1" applyFill="1" applyBorder="1" applyAlignment="1">
      <alignment vertical="center"/>
    </xf>
    <xf numFmtId="9" fontId="4" fillId="4" borderId="0" xfId="0" applyNumberFormat="1" applyFont="1" applyFill="1" applyBorder="1" applyAlignment="1">
      <alignment horizontal="left" vertical="center"/>
    </xf>
    <xf numFmtId="0" fontId="3" fillId="4" borderId="0" xfId="0" applyFont="1" applyFill="1" applyBorder="1" applyAlignment="1">
      <alignment horizontal="left" vertical="center"/>
    </xf>
    <xf numFmtId="0" fontId="3" fillId="4" borderId="0" xfId="0" applyFont="1" applyFill="1" applyBorder="1" applyAlignment="1">
      <alignment horizontal="left"/>
    </xf>
    <xf numFmtId="0" fontId="6" fillId="4" borderId="0" xfId="0" applyFont="1" applyFill="1" applyBorder="1" applyAlignment="1">
      <alignment vertical="center"/>
    </xf>
    <xf numFmtId="9" fontId="6" fillId="4" borderId="0" xfId="0" applyNumberFormat="1" applyFont="1" applyFill="1" applyBorder="1" applyAlignment="1">
      <alignment horizontal="left" vertical="center"/>
    </xf>
    <xf numFmtId="0" fontId="5" fillId="4" borderId="0" xfId="0" applyFont="1" applyFill="1" applyBorder="1" applyAlignment="1">
      <alignment horizontal="left" vertical="center"/>
    </xf>
    <xf numFmtId="0" fontId="5" fillId="4" borderId="0" xfId="0" applyFont="1" applyFill="1" applyBorder="1" applyAlignment="1">
      <alignment horizontal="left"/>
    </xf>
    <xf numFmtId="0" fontId="5" fillId="4" borderId="0" xfId="0" applyFont="1" applyFill="1" applyBorder="1"/>
    <xf numFmtId="0" fontId="2" fillId="0" borderId="0" xfId="0" applyFont="1"/>
    <xf numFmtId="0" fontId="0" fillId="5" borderId="0" xfId="0" applyFill="1"/>
    <xf numFmtId="0" fontId="0" fillId="6" borderId="0" xfId="0" applyFill="1"/>
    <xf numFmtId="0" fontId="0" fillId="3" borderId="0" xfId="0" applyFill="1"/>
    <xf numFmtId="0" fontId="0" fillId="2" borderId="0" xfId="0" applyFill="1" applyBorder="1"/>
    <xf numFmtId="0" fontId="0" fillId="0" borderId="0" xfId="0" applyBorder="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9" fontId="0" fillId="0" borderId="0" xfId="0" applyNumberFormat="1"/>
    <xf numFmtId="0" fontId="2" fillId="0" borderId="0" xfId="0" applyFont="1" applyAlignment="1">
      <alignment vertical="top"/>
    </xf>
    <xf numFmtId="0" fontId="0" fillId="0" borderId="0" xfId="0" applyFont="1" applyAlignment="1">
      <alignment vertical="top" wrapText="1"/>
    </xf>
    <xf numFmtId="0" fontId="2" fillId="0" borderId="0" xfId="0" applyFont="1" applyFill="1"/>
    <xf numFmtId="0" fontId="2" fillId="0" borderId="0" xfId="0" applyFont="1" applyBorder="1"/>
    <xf numFmtId="0" fontId="0" fillId="15" borderId="0" xfId="0" applyFill="1"/>
    <xf numFmtId="0" fontId="7" fillId="3" borderId="0" xfId="0" applyFont="1" applyFill="1"/>
    <xf numFmtId="0" fontId="0" fillId="11" borderId="0" xfId="0" applyFill="1" applyAlignment="1">
      <alignment wrapText="1"/>
    </xf>
    <xf numFmtId="0" fontId="0" fillId="0" borderId="0" xfId="0" applyFill="1" applyBorder="1"/>
    <xf numFmtId="0" fontId="0" fillId="16" borderId="0" xfId="0" applyFill="1"/>
    <xf numFmtId="0" fontId="2" fillId="4" borderId="0" xfId="0" applyFont="1" applyFill="1" applyBorder="1"/>
    <xf numFmtId="0" fontId="10" fillId="0" borderId="0" xfId="0" applyFont="1"/>
    <xf numFmtId="0" fontId="8" fillId="0" borderId="0" xfId="0" applyFont="1" applyFill="1" applyBorder="1"/>
    <xf numFmtId="49" fontId="9" fillId="0" borderId="0" xfId="0" applyNumberFormat="1" applyFont="1" applyFill="1" applyBorder="1"/>
    <xf numFmtId="49" fontId="0" fillId="0" borderId="0" xfId="0" applyNumberFormat="1" applyFill="1" applyBorder="1"/>
    <xf numFmtId="0" fontId="0" fillId="0" borderId="0" xfId="0" applyFont="1" applyFill="1" applyBorder="1"/>
    <xf numFmtId="0" fontId="2" fillId="0" borderId="0" xfId="0" applyFont="1" applyFill="1" applyBorder="1"/>
    <xf numFmtId="9" fontId="0" fillId="0" borderId="0" xfId="0" applyNumberFormat="1" applyFill="1" applyBorder="1"/>
    <xf numFmtId="0" fontId="0" fillId="0" borderId="0" xfId="0" applyNumberFormat="1" applyFill="1" applyBorder="1"/>
    <xf numFmtId="0" fontId="11" fillId="0" borderId="0" xfId="0" applyFont="1" applyFill="1" applyBorder="1"/>
    <xf numFmtId="10" fontId="0" fillId="0" borderId="0" xfId="0" applyNumberFormat="1" applyFill="1" applyBorder="1"/>
    <xf numFmtId="1" fontId="0" fillId="0" borderId="0" xfId="0" applyNumberFormat="1" applyFill="1" applyBorder="1"/>
    <xf numFmtId="49" fontId="12" fillId="0" borderId="0" xfId="0" applyNumberFormat="1" applyFont="1" applyFill="1" applyBorder="1"/>
    <xf numFmtId="0" fontId="13" fillId="17" borderId="0" xfId="0" applyFont="1" applyFill="1"/>
    <xf numFmtId="0" fontId="13" fillId="0" borderId="0" xfId="0" applyFont="1"/>
    <xf numFmtId="0" fontId="13" fillId="7" borderId="0" xfId="0" applyFont="1" applyFill="1"/>
    <xf numFmtId="9" fontId="0" fillId="0" borderId="0" xfId="0" applyNumberFormat="1" applyBorder="1" applyAlignment="1">
      <alignment horizontal="left" vertical="center"/>
    </xf>
    <xf numFmtId="0" fontId="0" fillId="0" borderId="0" xfId="0" applyBorder="1" applyAlignment="1">
      <alignment horizontal="left" vertical="center"/>
    </xf>
    <xf numFmtId="0" fontId="13" fillId="0" borderId="2" xfId="0" applyFont="1" applyBorder="1"/>
    <xf numFmtId="0" fontId="14" fillId="0" borderId="0" xfId="0" applyFont="1" applyBorder="1" applyAlignment="1">
      <alignment vertical="center" wrapText="1"/>
    </xf>
    <xf numFmtId="0" fontId="0" fillId="0" borderId="3" xfId="0" applyBorder="1"/>
    <xf numFmtId="49" fontId="15" fillId="18" borderId="3" xfId="0" applyNumberFormat="1" applyFont="1" applyFill="1" applyBorder="1"/>
    <xf numFmtId="49" fontId="15" fillId="15" borderId="3" xfId="0" applyNumberFormat="1" applyFont="1" applyFill="1" applyBorder="1"/>
    <xf numFmtId="0" fontId="0" fillId="0" borderId="0" xfId="0" applyAlignment="1">
      <alignment horizontal="left"/>
    </xf>
    <xf numFmtId="0" fontId="0" fillId="19" borderId="0" xfId="0" applyFill="1"/>
    <xf numFmtId="1" fontId="0" fillId="19" borderId="0" xfId="0" applyNumberFormat="1" applyFill="1"/>
    <xf numFmtId="1" fontId="0" fillId="0" borderId="0" xfId="0" applyNumberFormat="1"/>
    <xf numFmtId="0" fontId="0" fillId="0" borderId="0" xfId="0" applyFill="1"/>
    <xf numFmtId="0" fontId="2" fillId="19" borderId="0" xfId="0" applyFont="1" applyFill="1"/>
    <xf numFmtId="1" fontId="2" fillId="0" borderId="0" xfId="0" applyNumberFormat="1" applyFont="1"/>
    <xf numFmtId="0" fontId="0" fillId="0" borderId="0" xfId="0" applyAlignment="1"/>
    <xf numFmtId="0" fontId="0" fillId="0" borderId="0" xfId="0" applyAlignment="1">
      <alignment wrapText="1"/>
    </xf>
    <xf numFmtId="9" fontId="1" fillId="0" borderId="0" xfId="2" applyFont="1" applyAlignment="1">
      <alignment wrapText="1"/>
    </xf>
    <xf numFmtId="0" fontId="17" fillId="0" borderId="0" xfId="0" applyFont="1"/>
    <xf numFmtId="0" fontId="18" fillId="20" borderId="4" xfId="0" applyFont="1" applyFill="1" applyBorder="1" applyAlignment="1">
      <alignment horizontal="center" vertical="center" wrapText="1"/>
    </xf>
    <xf numFmtId="0" fontId="19" fillId="21" borderId="4" xfId="0" applyFont="1" applyFill="1" applyBorder="1" applyAlignment="1">
      <alignment vertical="center" wrapText="1"/>
    </xf>
    <xf numFmtId="3" fontId="19" fillId="21" borderId="4" xfId="0" applyNumberFormat="1" applyFont="1" applyFill="1" applyBorder="1" applyAlignment="1">
      <alignment vertical="center" wrapText="1"/>
    </xf>
    <xf numFmtId="9" fontId="0" fillId="0" borderId="0" xfId="1" applyFont="1"/>
    <xf numFmtId="0" fontId="2" fillId="0" borderId="0" xfId="0" applyNumberFormat="1" applyFont="1"/>
    <xf numFmtId="0" fontId="0" fillId="0" borderId="0" xfId="0" applyNumberFormat="1"/>
    <xf numFmtId="0" fontId="20" fillId="0" borderId="0" xfId="0" applyFont="1"/>
    <xf numFmtId="0" fontId="10" fillId="0" borderId="3" xfId="0" applyFont="1" applyBorder="1"/>
    <xf numFmtId="0" fontId="10" fillId="0" borderId="0" xfId="0" applyFont="1" applyFill="1"/>
    <xf numFmtId="0" fontId="0" fillId="0" borderId="0" xfId="0" applyFill="1" applyAlignment="1">
      <alignment horizontal="left"/>
    </xf>
    <xf numFmtId="49" fontId="0" fillId="0" borderId="0" xfId="0" applyNumberFormat="1" applyFont="1" applyFill="1" applyBorder="1"/>
    <xf numFmtId="0" fontId="9" fillId="0" borderId="0" xfId="0" applyFont="1" applyBorder="1"/>
    <xf numFmtId="49" fontId="9" fillId="0" borderId="0" xfId="0" applyNumberFormat="1" applyFont="1" applyBorder="1"/>
    <xf numFmtId="10" fontId="9" fillId="0" borderId="0" xfId="0" applyNumberFormat="1" applyFont="1" applyBorder="1"/>
    <xf numFmtId="49" fontId="8" fillId="0" borderId="0" xfId="0" applyNumberFormat="1" applyFont="1" applyFill="1" applyBorder="1"/>
    <xf numFmtId="49" fontId="2" fillId="0" borderId="0" xfId="0" applyNumberFormat="1" applyFont="1" applyFill="1" applyBorder="1"/>
    <xf numFmtId="10" fontId="2" fillId="0" borderId="0" xfId="0" applyNumberFormat="1" applyFont="1" applyFill="1" applyBorder="1"/>
    <xf numFmtId="0" fontId="23" fillId="0" borderId="0" xfId="3"/>
    <xf numFmtId="49" fontId="9" fillId="22" borderId="0" xfId="0" applyNumberFormat="1" applyFont="1" applyFill="1" applyBorder="1"/>
    <xf numFmtId="49" fontId="9" fillId="0" borderId="0" xfId="0" applyNumberFormat="1" applyFont="1" applyBorder="1" applyAlignment="1">
      <alignment wrapText="1"/>
    </xf>
  </cellXfs>
  <cellStyles count="4">
    <cellStyle name="Hyperlink" xfId="3" builtinId="8"/>
    <cellStyle name="Normal" xfId="0" builtinId="0"/>
    <cellStyle name="Percent" xfId="1" builtinId="5"/>
    <cellStyle name="Percent 2" xfId="2"/>
  </cellStyles>
  <dxfs count="21">
    <dxf>
      <font>
        <b/>
      </font>
    </dxf>
    <dxf>
      <alignment horizontal="left" vertical="bottom" textRotation="0" wrapText="0" indent="0" justifyLastLine="0" shrinkToFit="0" readingOrder="0"/>
    </dxf>
    <dxf>
      <numFmt numFmtId="30" formatCode="@"/>
      <fill>
        <patternFill patternType="none">
          <bgColor auto="1"/>
        </patternFill>
      </fill>
    </dxf>
    <dxf>
      <numFmt numFmtId="30" formatCode="@"/>
      <fill>
        <patternFill patternType="none">
          <bgColor auto="1"/>
        </patternFill>
      </fill>
    </dxf>
    <dxf>
      <numFmt numFmtId="30" formatCode="@"/>
      <fill>
        <patternFill patternType="none">
          <bgColor auto="1"/>
        </patternFill>
      </fill>
    </dxf>
    <dxf>
      <numFmt numFmtId="30" formatCode="@"/>
      <fill>
        <patternFill patternType="none">
          <bgColor auto="1"/>
        </patternFill>
      </fill>
    </dxf>
    <dxf>
      <numFmt numFmtId="30" formatCode="@"/>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30" formatCode="@"/>
      <fill>
        <patternFill patternType="none">
          <bgColor auto="1"/>
        </patternFill>
      </fill>
    </dxf>
    <dxf>
      <numFmt numFmtId="30" formatCode="@"/>
      <fill>
        <patternFill patternType="none">
          <bgColor auto="1"/>
        </patternFill>
      </fill>
    </dxf>
    <dxf>
      <fill>
        <patternFill patternType="none">
          <bgColor auto="1"/>
        </patternFill>
      </fill>
    </dxf>
    <dxf>
      <fill>
        <patternFill patternType="none">
          <bgColor auto="1"/>
        </patternFill>
      </fill>
    </dxf>
    <dxf>
      <alignment horizontal="left" vertical="bottom" textRotation="0" wrapText="0" indent="0" justifyLastLine="0" shrinkToFit="0" readingOrder="0"/>
    </dxf>
    <dxf>
      <alignment horizontal="left" vertical="center" textRotation="0" wrapText="0" indent="0" justifyLastLine="0" shrinkToFit="0" readingOrder="0"/>
    </dxf>
    <dxf>
      <numFmt numFmtId="13" formatCode="0%"/>
      <alignment horizontal="left" vertical="center" textRotation="0" wrapText="0" indent="0" justifyLastLine="0" shrinkToFit="0" readingOrder="0"/>
    </dxf>
    <dxf>
      <font>
        <b/>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10</xdr:col>
      <xdr:colOff>22860</xdr:colOff>
      <xdr:row>150</xdr:row>
      <xdr:rowOff>15240</xdr:rowOff>
    </xdr:from>
    <xdr:ext cx="1577340" cy="365760"/>
    <xdr:sp macro="" textlink="">
      <xdr:nvSpPr>
        <xdr:cNvPr id="2" name="TextBox 1"/>
        <xdr:cNvSpPr txBox="1"/>
      </xdr:nvSpPr>
      <xdr:spPr>
        <a:xfrm>
          <a:off x="10622280" y="11544300"/>
          <a:ext cx="1577340" cy="36576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tIns="9144" bIns="9144" rtlCol="0" anchor="t">
          <a:noAutofit/>
        </a:bodyPr>
        <a:lstStyle/>
        <a:p>
          <a:r>
            <a:rPr lang="en-CA" sz="1000"/>
            <a:t>75% of total </a:t>
          </a:r>
          <a:r>
            <a:rPr lang="en-CA" sz="700"/>
            <a:t>(by pop.</a:t>
          </a:r>
          <a:r>
            <a:rPr lang="en-CA" sz="700" baseline="0"/>
            <a:t> proportion)</a:t>
          </a:r>
        </a:p>
        <a:p>
          <a:r>
            <a:rPr lang="en-CA" sz="1000"/>
            <a:t>25%</a:t>
          </a:r>
          <a:r>
            <a:rPr lang="en-CA" sz="1000">
              <a:solidFill>
                <a:schemeClr val="tx1"/>
              </a:solidFill>
              <a:effectLst/>
              <a:latin typeface="+mn-lt"/>
              <a:ea typeface="+mn-ea"/>
              <a:cs typeface="+mn-cs"/>
            </a:rPr>
            <a:t> of total </a:t>
          </a:r>
          <a:r>
            <a:rPr lang="en-CA" sz="700">
              <a:solidFill>
                <a:schemeClr val="tx1"/>
              </a:solidFill>
              <a:effectLst/>
              <a:latin typeface="+mn-lt"/>
              <a:ea typeface="+mn-ea"/>
              <a:cs typeface="+mn-cs"/>
            </a:rPr>
            <a:t>(by pop.</a:t>
          </a:r>
          <a:r>
            <a:rPr lang="en-CA" sz="700" baseline="0">
              <a:solidFill>
                <a:schemeClr val="tx1"/>
              </a:solidFill>
              <a:effectLst/>
              <a:latin typeface="+mn-lt"/>
              <a:ea typeface="+mn-ea"/>
              <a:cs typeface="+mn-cs"/>
            </a:rPr>
            <a:t> proportion)</a:t>
          </a:r>
          <a:endParaRPr lang="en-CA" sz="700"/>
        </a:p>
      </xdr:txBody>
    </xdr:sp>
    <xdr:clientData/>
  </xdr:oneCellAnchor>
  <xdr:oneCellAnchor>
    <xdr:from>
      <xdr:col>10</xdr:col>
      <xdr:colOff>106680</xdr:colOff>
      <xdr:row>152</xdr:row>
      <xdr:rowOff>30481</xdr:rowOff>
    </xdr:from>
    <xdr:ext cx="1455420" cy="1021080"/>
    <xdr:sp macro="" textlink="">
      <xdr:nvSpPr>
        <xdr:cNvPr id="3" name="TextBox 2"/>
        <xdr:cNvSpPr txBox="1"/>
      </xdr:nvSpPr>
      <xdr:spPr>
        <a:xfrm>
          <a:off x="10706100" y="11925301"/>
          <a:ext cx="1455420" cy="102108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a:t>Organic waste in Residual Streams, approx. 8.8%</a:t>
          </a:r>
        </a:p>
        <a:p>
          <a:r>
            <a:rPr lang="en-CA" sz="1100" b="1" i="1"/>
            <a:t>10% </a:t>
          </a:r>
          <a:r>
            <a:rPr lang="en-CA" sz="1100" i="1"/>
            <a:t>deducted by FWG in Phase 3,</a:t>
          </a:r>
          <a:r>
            <a:rPr lang="en-CA" sz="1100" i="1" baseline="0"/>
            <a:t> 4</a:t>
          </a:r>
        </a:p>
        <a:p>
          <a:endParaRPr lang="en-CA" sz="1100" i="1"/>
        </a:p>
      </xdr:txBody>
    </xdr:sp>
    <xdr:clientData/>
  </xdr:oneCellAnchor>
  <xdr:oneCellAnchor>
    <xdr:from>
      <xdr:col>10</xdr:col>
      <xdr:colOff>91440</xdr:colOff>
      <xdr:row>158</xdr:row>
      <xdr:rowOff>22860</xdr:rowOff>
    </xdr:from>
    <xdr:ext cx="1455420" cy="1363979"/>
    <xdr:sp macro="" textlink="">
      <xdr:nvSpPr>
        <xdr:cNvPr id="4" name="TextBox 3"/>
        <xdr:cNvSpPr txBox="1"/>
      </xdr:nvSpPr>
      <xdr:spPr>
        <a:xfrm>
          <a:off x="10690860" y="13014960"/>
          <a:ext cx="1455420" cy="1363979"/>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a:t>Organic waste </a:t>
          </a:r>
          <a:r>
            <a:rPr lang="en-CA" sz="1100" baseline="0"/>
            <a:t>in Green Bin stream,</a:t>
          </a:r>
          <a:endParaRPr lang="en-CA" sz="1100"/>
        </a:p>
        <a:p>
          <a:r>
            <a:rPr lang="en-CA" sz="1100" b="1" i="1"/>
            <a:t>10% </a:t>
          </a:r>
          <a:r>
            <a:rPr lang="en-CA" sz="1100" i="1"/>
            <a:t>deducted by FWG in Phase 3, 4;</a:t>
          </a:r>
          <a:r>
            <a:rPr lang="en-CA" sz="1100" i="1" baseline="0"/>
            <a:t> </a:t>
          </a:r>
        </a:p>
        <a:p>
          <a:r>
            <a:rPr lang="en-CA" sz="1100" i="1" baseline="0"/>
            <a:t>Compost quantity moved to "New AD Facility" for Phase 4</a:t>
          </a:r>
        </a:p>
        <a:p>
          <a:endParaRPr lang="en-CA" sz="1100" i="1"/>
        </a:p>
      </xdr:txBody>
    </xdr:sp>
    <xdr:clientData/>
  </xdr:oneCellAnchor>
  <xdr:twoCellAnchor>
    <xdr:from>
      <xdr:col>11</xdr:col>
      <xdr:colOff>502920</xdr:colOff>
      <xdr:row>158</xdr:row>
      <xdr:rowOff>76200</xdr:rowOff>
    </xdr:from>
    <xdr:to>
      <xdr:col>11</xdr:col>
      <xdr:colOff>815340</xdr:colOff>
      <xdr:row>165</xdr:row>
      <xdr:rowOff>99060</xdr:rowOff>
    </xdr:to>
    <xdr:sp macro="" textlink="">
      <xdr:nvSpPr>
        <xdr:cNvPr id="5" name="Left Brace 4"/>
        <xdr:cNvSpPr/>
      </xdr:nvSpPr>
      <xdr:spPr>
        <a:xfrm>
          <a:off x="11879580" y="13068300"/>
          <a:ext cx="312420" cy="1303020"/>
        </a:xfrm>
        <a:prstGeom prst="leftBrace">
          <a:avLst/>
        </a:prstGeom>
        <a:ln w="285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11</xdr:col>
      <xdr:colOff>510540</xdr:colOff>
      <xdr:row>152</xdr:row>
      <xdr:rowOff>38100</xdr:rowOff>
    </xdr:from>
    <xdr:to>
      <xdr:col>11</xdr:col>
      <xdr:colOff>822960</xdr:colOff>
      <xdr:row>157</xdr:row>
      <xdr:rowOff>121920</xdr:rowOff>
    </xdr:to>
    <xdr:sp macro="" textlink="">
      <xdr:nvSpPr>
        <xdr:cNvPr id="6" name="Left Brace 5"/>
        <xdr:cNvSpPr/>
      </xdr:nvSpPr>
      <xdr:spPr>
        <a:xfrm>
          <a:off x="11887200" y="11932920"/>
          <a:ext cx="312420" cy="998220"/>
        </a:xfrm>
        <a:prstGeom prst="leftBrace">
          <a:avLst/>
        </a:prstGeom>
        <a:ln w="285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oneCellAnchor>
    <xdr:from>
      <xdr:col>10</xdr:col>
      <xdr:colOff>22860</xdr:colOff>
      <xdr:row>150</xdr:row>
      <xdr:rowOff>15240</xdr:rowOff>
    </xdr:from>
    <xdr:ext cx="1577340" cy="365760"/>
    <xdr:sp macro="" textlink="">
      <xdr:nvSpPr>
        <xdr:cNvPr id="12" name="TextBox 11"/>
        <xdr:cNvSpPr txBox="1"/>
      </xdr:nvSpPr>
      <xdr:spPr>
        <a:xfrm>
          <a:off x="11971020" y="23987760"/>
          <a:ext cx="1577340" cy="36576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tIns="9144" bIns="9144" rtlCol="0" anchor="t">
          <a:noAutofit/>
        </a:bodyPr>
        <a:lstStyle/>
        <a:p>
          <a:r>
            <a:rPr lang="en-CA" sz="1000"/>
            <a:t>75% of total </a:t>
          </a:r>
          <a:r>
            <a:rPr lang="en-CA" sz="700"/>
            <a:t>(by pop.</a:t>
          </a:r>
          <a:r>
            <a:rPr lang="en-CA" sz="700" baseline="0"/>
            <a:t> proportion)</a:t>
          </a:r>
        </a:p>
        <a:p>
          <a:r>
            <a:rPr lang="en-CA" sz="1000"/>
            <a:t>25%</a:t>
          </a:r>
          <a:r>
            <a:rPr lang="en-CA" sz="1000">
              <a:solidFill>
                <a:schemeClr val="tx1"/>
              </a:solidFill>
              <a:effectLst/>
              <a:latin typeface="+mn-lt"/>
              <a:ea typeface="+mn-ea"/>
              <a:cs typeface="+mn-cs"/>
            </a:rPr>
            <a:t> of total </a:t>
          </a:r>
          <a:r>
            <a:rPr lang="en-CA" sz="700">
              <a:solidFill>
                <a:schemeClr val="tx1"/>
              </a:solidFill>
              <a:effectLst/>
              <a:latin typeface="+mn-lt"/>
              <a:ea typeface="+mn-ea"/>
              <a:cs typeface="+mn-cs"/>
            </a:rPr>
            <a:t>(by pop.</a:t>
          </a:r>
          <a:r>
            <a:rPr lang="en-CA" sz="700" baseline="0">
              <a:solidFill>
                <a:schemeClr val="tx1"/>
              </a:solidFill>
              <a:effectLst/>
              <a:latin typeface="+mn-lt"/>
              <a:ea typeface="+mn-ea"/>
              <a:cs typeface="+mn-cs"/>
            </a:rPr>
            <a:t> proportion)</a:t>
          </a:r>
          <a:endParaRPr lang="en-CA" sz="700"/>
        </a:p>
      </xdr:txBody>
    </xdr:sp>
    <xdr:clientData/>
  </xdr:oneCellAnchor>
  <xdr:oneCellAnchor>
    <xdr:from>
      <xdr:col>10</xdr:col>
      <xdr:colOff>106680</xdr:colOff>
      <xdr:row>152</xdr:row>
      <xdr:rowOff>30481</xdr:rowOff>
    </xdr:from>
    <xdr:ext cx="1455420" cy="1021080"/>
    <xdr:sp macro="" textlink="">
      <xdr:nvSpPr>
        <xdr:cNvPr id="13" name="TextBox 12"/>
        <xdr:cNvSpPr txBox="1"/>
      </xdr:nvSpPr>
      <xdr:spPr>
        <a:xfrm>
          <a:off x="12054840" y="24368761"/>
          <a:ext cx="1455420" cy="102108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a:t>Organic waste in Residual Streams, approx. 8.8%</a:t>
          </a:r>
        </a:p>
        <a:p>
          <a:r>
            <a:rPr lang="en-CA" sz="1100" b="1" i="1"/>
            <a:t>10% </a:t>
          </a:r>
          <a:r>
            <a:rPr lang="en-CA" sz="1100" i="1"/>
            <a:t>deducted by FWG in Phase 3,</a:t>
          </a:r>
          <a:r>
            <a:rPr lang="en-CA" sz="1100" i="1" baseline="0"/>
            <a:t> 4</a:t>
          </a:r>
        </a:p>
        <a:p>
          <a:endParaRPr lang="en-CA" sz="1100" i="1"/>
        </a:p>
      </xdr:txBody>
    </xdr:sp>
    <xdr:clientData/>
  </xdr:oneCellAnchor>
  <xdr:oneCellAnchor>
    <xdr:from>
      <xdr:col>10</xdr:col>
      <xdr:colOff>91440</xdr:colOff>
      <xdr:row>158</xdr:row>
      <xdr:rowOff>22860</xdr:rowOff>
    </xdr:from>
    <xdr:ext cx="1455420" cy="1363979"/>
    <xdr:sp macro="" textlink="">
      <xdr:nvSpPr>
        <xdr:cNvPr id="14" name="TextBox 13"/>
        <xdr:cNvSpPr txBox="1"/>
      </xdr:nvSpPr>
      <xdr:spPr>
        <a:xfrm>
          <a:off x="12039600" y="25458420"/>
          <a:ext cx="1455420" cy="1363979"/>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a:t>Organic waste </a:t>
          </a:r>
          <a:r>
            <a:rPr lang="en-CA" sz="1100" baseline="0"/>
            <a:t>in Green Bin stream,</a:t>
          </a:r>
          <a:endParaRPr lang="en-CA" sz="1100"/>
        </a:p>
        <a:p>
          <a:r>
            <a:rPr lang="en-CA" sz="1100" b="1" i="1"/>
            <a:t>10% </a:t>
          </a:r>
          <a:r>
            <a:rPr lang="en-CA" sz="1100" i="1"/>
            <a:t>deducted by FWG in Phase 3, 4;</a:t>
          </a:r>
          <a:r>
            <a:rPr lang="en-CA" sz="1100" i="1" baseline="0"/>
            <a:t> </a:t>
          </a:r>
        </a:p>
        <a:p>
          <a:r>
            <a:rPr lang="en-CA" sz="1100" i="1" baseline="0"/>
            <a:t>Compost quantity moved to "New AD Facility" for Phase 4</a:t>
          </a:r>
        </a:p>
        <a:p>
          <a:endParaRPr lang="en-CA" sz="1100" i="1"/>
        </a:p>
      </xdr:txBody>
    </xdr:sp>
    <xdr:clientData/>
  </xdr:oneCellAnchor>
  <xdr:twoCellAnchor>
    <xdr:from>
      <xdr:col>11</xdr:col>
      <xdr:colOff>502920</xdr:colOff>
      <xdr:row>158</xdr:row>
      <xdr:rowOff>76200</xdr:rowOff>
    </xdr:from>
    <xdr:to>
      <xdr:col>11</xdr:col>
      <xdr:colOff>815340</xdr:colOff>
      <xdr:row>165</xdr:row>
      <xdr:rowOff>99060</xdr:rowOff>
    </xdr:to>
    <xdr:sp macro="" textlink="">
      <xdr:nvSpPr>
        <xdr:cNvPr id="15" name="Left Brace 14"/>
        <xdr:cNvSpPr/>
      </xdr:nvSpPr>
      <xdr:spPr>
        <a:xfrm>
          <a:off x="13228320" y="25511760"/>
          <a:ext cx="312420" cy="1303020"/>
        </a:xfrm>
        <a:prstGeom prst="leftBrace">
          <a:avLst/>
        </a:prstGeom>
        <a:ln w="285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11</xdr:col>
      <xdr:colOff>510540</xdr:colOff>
      <xdr:row>152</xdr:row>
      <xdr:rowOff>38100</xdr:rowOff>
    </xdr:from>
    <xdr:to>
      <xdr:col>11</xdr:col>
      <xdr:colOff>822960</xdr:colOff>
      <xdr:row>157</xdr:row>
      <xdr:rowOff>121920</xdr:rowOff>
    </xdr:to>
    <xdr:sp macro="" textlink="">
      <xdr:nvSpPr>
        <xdr:cNvPr id="16" name="Left Brace 15"/>
        <xdr:cNvSpPr/>
      </xdr:nvSpPr>
      <xdr:spPr>
        <a:xfrm>
          <a:off x="13235940" y="24376380"/>
          <a:ext cx="312420" cy="998220"/>
        </a:xfrm>
        <a:prstGeom prst="leftBrace">
          <a:avLst/>
        </a:prstGeom>
        <a:ln w="285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olidWasteAssumption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H" refreshedDate="44318.922512962963" createdVersion="6" refreshedVersion="6" minRefreshableVersion="3" recordCount="9">
  <cacheSource type="worksheet">
    <worksheetSource ref="D1:E10" sheet="Ref_pop" r:id="rId2"/>
  </cacheSource>
  <cacheFields count="2">
    <cacheField name="Percent" numFmtId="9">
      <sharedItems containsSemiMixedTypes="0" containsString="0" containsNumber="1" minValue="2.161528557746626E-2" maxValue="0.29639006441068594"/>
    </cacheField>
    <cacheField name="TransferStation" numFmtId="0">
      <sharedItems count="2">
        <s v="YRWMC"/>
        <s v="ETWMF"/>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
  <r>
    <n v="4.9954545823126043E-2"/>
    <x v="0"/>
  </r>
  <r>
    <n v="2.161528557746626E-2"/>
    <x v="0"/>
  </r>
  <r>
    <n v="4.0920471858503712E-2"/>
    <x v="0"/>
  </r>
  <r>
    <n v="2.2084693429821726E-2"/>
    <x v="0"/>
  </r>
  <r>
    <n v="0.29639006441068594"/>
    <x v="1"/>
  </r>
  <r>
    <n v="7.588369857348666E-2"/>
    <x v="0"/>
  </r>
  <r>
    <n v="0.17570990054139574"/>
    <x v="1"/>
  </r>
  <r>
    <n v="0.27590820508708369"/>
    <x v="1"/>
  </r>
  <r>
    <n v="4.1297980284870202E-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B18" firstHeaderRow="1" firstDataRow="1" firstDataCol="1"/>
  <pivotFields count="2">
    <pivotField dataField="1" numFmtId="9" showAll="0"/>
    <pivotField axis="axisRow" showAll="0">
      <items count="3">
        <item x="1"/>
        <item x="0"/>
        <item t="default"/>
      </items>
    </pivotField>
  </pivotFields>
  <rowFields count="1">
    <field x="1"/>
  </rowFields>
  <rowItems count="3">
    <i>
      <x/>
    </i>
    <i>
      <x v="1"/>
    </i>
    <i t="grand">
      <x/>
    </i>
  </rowItems>
  <colItems count="1">
    <i/>
  </colItems>
  <dataFields count="1">
    <dataField name="Sum of Percent" fld="0" baseField="0" baseItem="0"/>
  </dataFields>
  <formats count="1">
    <format dxfId="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9:F36" totalsRowShown="0">
  <autoFilter ref="A19:F36"/>
  <tableColumns count="6">
    <tableColumn id="1" name="Scenario" dataDxfId="20"/>
    <tableColumn id="2" name="FWGdiversion" dataDxfId="19"/>
    <tableColumn id="3" name="EmissionsEstimate" dataDxfId="18"/>
    <tableColumn id="4" name="BEAMid" dataDxfId="17"/>
    <tableColumn id="5" name="Resp"/>
    <tableColumn id="6" name="AnalysisApproach"/>
  </tableColumns>
  <tableStyleInfo name="TableStyleLight20" showFirstColumn="0" showLastColumn="0" showRowStripes="1" showColumnStripes="0"/>
</table>
</file>

<file path=xl/tables/table2.xml><?xml version="1.0" encoding="utf-8"?>
<table xmlns="http://schemas.openxmlformats.org/spreadsheetml/2006/main" id="2" name="Table2" displayName="Table2" ref="A11:D14" totalsRowShown="0">
  <autoFilter ref="A11:D14"/>
  <tableColumns count="4">
    <tableColumn id="1" name="BEAM assumptions to verify for negli."/>
    <tableColumn id="2" name="Area"/>
    <tableColumn id="3" name="Assumption"/>
    <tableColumn id="4" name="Impacts"/>
  </tableColumns>
  <tableStyleInfo name="TableStyleLight5" showFirstColumn="0" showLastColumn="0" showRowStripes="1" showColumnStripes="0"/>
</table>
</file>

<file path=xl/tables/table3.xml><?xml version="1.0" encoding="utf-8"?>
<table xmlns="http://schemas.openxmlformats.org/spreadsheetml/2006/main" id="5" name="Table2510136" displayName="Table2510136" ref="A3:M128" totalsRowShown="0" headerRowDxfId="16" dataDxfId="15">
  <autoFilter ref="A3:M128"/>
  <tableColumns count="13">
    <tableColumn id="12" name="Scenario" dataDxfId="14"/>
    <tableColumn id="13" name="BEAMtab" dataDxfId="13"/>
    <tableColumn id="7" name="BEAMcell" dataDxfId="12"/>
    <tableColumn id="1" name="FWParameter" dataDxfId="11"/>
    <tableColumn id="3" name="InputValue" dataDxfId="10"/>
    <tableColumn id="9" name="IsBEAMdefault" dataDxfId="9"/>
    <tableColumn id="2" name="FWUnit" dataDxfId="8"/>
    <tableColumn id="8" name="Rationale" dataDxfId="7"/>
    <tableColumn id="4" name="FWSource_RefIndex" dataDxfId="6"/>
    <tableColumn id="5" name="BEAMParameter" dataDxfId="5"/>
    <tableColumn id="10" name="DefaultBiosolidValue" dataDxfId="4"/>
    <tableColumn id="6" name="BEAMUnit" dataDxfId="3"/>
    <tableColumn id="11" name="RefinePotential" dataDxfId="2"/>
  </tableColumns>
  <tableStyleInfo name="TableStyleLight5" showFirstColumn="0" showLastColumn="0" showRowStripes="1" showColumnStripes="0"/>
</table>
</file>

<file path=xl/tables/table4.xml><?xml version="1.0" encoding="utf-8"?>
<table xmlns="http://schemas.openxmlformats.org/spreadsheetml/2006/main" id="6" name="Table5111757" displayName="Table5111757" ref="A150:H279" totalsRowShown="0">
  <autoFilter ref="A150:H279"/>
  <tableColumns count="8">
    <tableColumn id="1" name="Parameter"/>
    <tableColumn id="2" name="Value"/>
    <tableColumn id="3" name="Unit"/>
    <tableColumn id="4" name="DataDetail"/>
    <tableColumn id="5" name="Reference List"/>
    <tableColumn id="6" name="RefLoc"/>
    <tableColumn id="7" name="RefIndex" dataDxfId="1"/>
    <tableColumn id="8" name="DataSourceQual"/>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2.bin"/><Relationship Id="rId7" Type="http://schemas.openxmlformats.org/officeDocument/2006/relationships/table" Target="../tables/table4.xml"/><Relationship Id="rId2" Type="http://schemas.openxmlformats.org/officeDocument/2006/relationships/hyperlink" Target="http://www.durhamenvironmentwatch.org/Incinerator%20Files%20II/OverviewOfIncinerationAndEFWKnox.pdf" TargetMode="External"/><Relationship Id="rId1" Type="http://schemas.openxmlformats.org/officeDocument/2006/relationships/hyperlink" Target="https://emeraldefw.com/process/" TargetMode="External"/><Relationship Id="rId6" Type="http://schemas.openxmlformats.org/officeDocument/2006/relationships/table" Target="../tables/table3.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H118"/>
  <sheetViews>
    <sheetView topLeftCell="A32" zoomScale="115" zoomScaleNormal="115" workbookViewId="0">
      <selection activeCell="A19" sqref="A19:B37"/>
    </sheetView>
  </sheetViews>
  <sheetFormatPr defaultRowHeight="14.4" x14ac:dyDescent="0.3"/>
  <cols>
    <col min="1" max="1" width="27.88671875" customWidth="1"/>
    <col min="2" max="2" width="14.5546875" customWidth="1"/>
    <col min="3" max="3" width="23.109375" customWidth="1"/>
    <col min="4" max="4" width="23.88671875" customWidth="1"/>
    <col min="5" max="5" width="10.6640625" customWidth="1"/>
    <col min="6" max="6" width="50.6640625" customWidth="1"/>
    <col min="7" max="7" width="10.109375" bestFit="1" customWidth="1"/>
  </cols>
  <sheetData>
    <row r="1" spans="1:4" x14ac:dyDescent="0.3">
      <c r="A1" t="s">
        <v>0</v>
      </c>
    </row>
    <row r="3" spans="1:4" x14ac:dyDescent="0.3">
      <c r="A3" t="s">
        <v>1</v>
      </c>
    </row>
    <row r="4" spans="1:4" x14ac:dyDescent="0.3">
      <c r="A4" t="s">
        <v>2</v>
      </c>
    </row>
    <row r="5" spans="1:4" x14ac:dyDescent="0.3">
      <c r="A5" t="s">
        <v>3</v>
      </c>
    </row>
    <row r="6" spans="1:4" x14ac:dyDescent="0.3">
      <c r="A6" t="s">
        <v>4</v>
      </c>
    </row>
    <row r="7" spans="1:4" x14ac:dyDescent="0.3">
      <c r="A7" t="s">
        <v>5</v>
      </c>
    </row>
    <row r="8" spans="1:4" x14ac:dyDescent="0.3">
      <c r="A8" t="s">
        <v>6</v>
      </c>
    </row>
    <row r="9" spans="1:4" x14ac:dyDescent="0.3">
      <c r="A9" t="s">
        <v>7</v>
      </c>
    </row>
    <row r="11" spans="1:4" x14ac:dyDescent="0.3">
      <c r="A11" t="s">
        <v>8</v>
      </c>
      <c r="B11" t="s">
        <v>9</v>
      </c>
      <c r="C11" t="s">
        <v>10</v>
      </c>
      <c r="D11" t="s">
        <v>11</v>
      </c>
    </row>
    <row r="12" spans="1:4" x14ac:dyDescent="0.3">
      <c r="A12" t="s">
        <v>12</v>
      </c>
      <c r="B12" t="s">
        <v>13</v>
      </c>
      <c r="C12" t="s">
        <v>14</v>
      </c>
      <c r="D12" t="s">
        <v>15</v>
      </c>
    </row>
    <row r="13" spans="1:4" x14ac:dyDescent="0.3">
      <c r="A13" t="s">
        <v>12</v>
      </c>
      <c r="B13" t="s">
        <v>13</v>
      </c>
      <c r="C13" t="s">
        <v>16</v>
      </c>
      <c r="D13" t="s">
        <v>17</v>
      </c>
    </row>
    <row r="14" spans="1:4" x14ac:dyDescent="0.3">
      <c r="A14" t="s">
        <v>12</v>
      </c>
      <c r="B14" t="s">
        <v>13</v>
      </c>
      <c r="C14" t="s">
        <v>18</v>
      </c>
      <c r="D14" t="s">
        <v>19</v>
      </c>
    </row>
    <row r="16" spans="1:4" x14ac:dyDescent="0.3">
      <c r="A16" t="s">
        <v>20</v>
      </c>
    </row>
    <row r="17" spans="1:6" x14ac:dyDescent="0.3">
      <c r="A17" t="s">
        <v>21</v>
      </c>
    </row>
    <row r="19" spans="1:6" x14ac:dyDescent="0.3">
      <c r="A19" s="1" t="s">
        <v>22</v>
      </c>
      <c r="B19" s="2" t="s">
        <v>23</v>
      </c>
      <c r="C19" s="2" t="s">
        <v>24</v>
      </c>
      <c r="D19" s="3" t="s">
        <v>25</v>
      </c>
      <c r="E19" t="s">
        <v>26</v>
      </c>
      <c r="F19" t="s">
        <v>27</v>
      </c>
    </row>
    <row r="20" spans="1:6" x14ac:dyDescent="0.3">
      <c r="A20" s="4" t="s">
        <v>28</v>
      </c>
      <c r="B20" s="5">
        <v>0</v>
      </c>
      <c r="C20" s="6" t="s">
        <v>29</v>
      </c>
      <c r="D20" s="7" t="s">
        <v>30</v>
      </c>
      <c r="E20" s="8" t="s">
        <v>31</v>
      </c>
      <c r="F20" s="8" t="s">
        <v>32</v>
      </c>
    </row>
    <row r="21" spans="1:6" x14ac:dyDescent="0.3">
      <c r="A21" s="4" t="s">
        <v>28</v>
      </c>
      <c r="B21" s="5">
        <v>0</v>
      </c>
      <c r="C21" s="6" t="s">
        <v>33</v>
      </c>
      <c r="D21" s="7" t="s">
        <v>34</v>
      </c>
      <c r="E21" s="8" t="s">
        <v>31</v>
      </c>
      <c r="F21" s="8" t="s">
        <v>35</v>
      </c>
    </row>
    <row r="22" spans="1:6" x14ac:dyDescent="0.3">
      <c r="A22" s="4" t="s">
        <v>28</v>
      </c>
      <c r="B22" s="5">
        <v>0</v>
      </c>
      <c r="C22" s="6" t="s">
        <v>36</v>
      </c>
      <c r="D22" s="6" t="s">
        <v>37</v>
      </c>
      <c r="E22" s="6" t="s">
        <v>31</v>
      </c>
      <c r="F22" s="4" t="s">
        <v>35</v>
      </c>
    </row>
    <row r="23" spans="1:6" x14ac:dyDescent="0.3">
      <c r="A23" s="9" t="s">
        <v>28</v>
      </c>
      <c r="B23" s="10">
        <v>0</v>
      </c>
      <c r="C23" s="11" t="s">
        <v>38</v>
      </c>
      <c r="D23" s="12" t="s">
        <v>39</v>
      </c>
      <c r="E23" s="11" t="s">
        <v>40</v>
      </c>
      <c r="F23" s="13" t="s">
        <v>41</v>
      </c>
    </row>
    <row r="24" spans="1:6" x14ac:dyDescent="0.3">
      <c r="A24" s="9" t="s">
        <v>28</v>
      </c>
      <c r="B24" s="10">
        <v>0</v>
      </c>
      <c r="C24" s="11" t="s">
        <v>42</v>
      </c>
      <c r="D24" s="12" t="s">
        <v>43</v>
      </c>
      <c r="E24" s="11" t="s">
        <v>40</v>
      </c>
      <c r="F24" s="13" t="s">
        <v>41</v>
      </c>
    </row>
    <row r="25" spans="1:6" x14ac:dyDescent="0.3">
      <c r="A25" s="14" t="s">
        <v>28</v>
      </c>
      <c r="B25" s="15">
        <v>0</v>
      </c>
      <c r="C25" s="16" t="s">
        <v>44</v>
      </c>
      <c r="D25" s="17" t="s">
        <v>45</v>
      </c>
      <c r="E25" s="18" t="s">
        <v>46</v>
      </c>
      <c r="F25" s="19" t="s">
        <v>47</v>
      </c>
    </row>
    <row r="26" spans="1:6" x14ac:dyDescent="0.3">
      <c r="A26" s="20" t="s">
        <v>48</v>
      </c>
      <c r="B26" s="21">
        <v>0.1</v>
      </c>
      <c r="C26" s="22" t="s">
        <v>29</v>
      </c>
      <c r="D26" s="23" t="s">
        <v>49</v>
      </c>
      <c r="E26" s="24" t="s">
        <v>31</v>
      </c>
      <c r="F26" s="24" t="s">
        <v>32</v>
      </c>
    </row>
    <row r="27" spans="1:6" x14ac:dyDescent="0.3">
      <c r="A27" s="20" t="s">
        <v>48</v>
      </c>
      <c r="B27" s="21">
        <v>0.1</v>
      </c>
      <c r="C27" s="22" t="s">
        <v>33</v>
      </c>
      <c r="D27" s="23" t="s">
        <v>50</v>
      </c>
      <c r="E27" s="24" t="s">
        <v>31</v>
      </c>
      <c r="F27" s="24" t="s">
        <v>35</v>
      </c>
    </row>
    <row r="28" spans="1:6" x14ac:dyDescent="0.3">
      <c r="A28" s="20" t="s">
        <v>48</v>
      </c>
      <c r="B28" s="21">
        <v>0.1</v>
      </c>
      <c r="C28" s="22" t="s">
        <v>36</v>
      </c>
      <c r="D28" s="23" t="s">
        <v>51</v>
      </c>
      <c r="E28" s="24" t="s">
        <v>31</v>
      </c>
      <c r="F28" s="24" t="s">
        <v>35</v>
      </c>
    </row>
    <row r="29" spans="1:6" x14ac:dyDescent="0.3">
      <c r="A29" s="25" t="s">
        <v>48</v>
      </c>
      <c r="B29" s="26">
        <v>0.1</v>
      </c>
      <c r="C29" s="27" t="s">
        <v>38</v>
      </c>
      <c r="D29" s="28" t="s">
        <v>52</v>
      </c>
      <c r="E29" s="27" t="s">
        <v>40</v>
      </c>
      <c r="F29" s="25" t="s">
        <v>41</v>
      </c>
    </row>
    <row r="30" spans="1:6" x14ac:dyDescent="0.3">
      <c r="A30" s="25" t="s">
        <v>48</v>
      </c>
      <c r="B30" s="26">
        <v>0.1</v>
      </c>
      <c r="C30" s="27" t="s">
        <v>42</v>
      </c>
      <c r="D30" s="28" t="s">
        <v>53</v>
      </c>
      <c r="E30" s="27" t="s">
        <v>40</v>
      </c>
      <c r="F30" s="25" t="s">
        <v>41</v>
      </c>
    </row>
    <row r="31" spans="1:6" x14ac:dyDescent="0.3">
      <c r="A31" s="29" t="s">
        <v>48</v>
      </c>
      <c r="B31" s="30">
        <v>0.1</v>
      </c>
      <c r="C31" s="31" t="s">
        <v>44</v>
      </c>
      <c r="D31" s="32" t="s">
        <v>54</v>
      </c>
      <c r="E31" s="33" t="s">
        <v>46</v>
      </c>
      <c r="F31" s="33" t="s">
        <v>47</v>
      </c>
    </row>
    <row r="32" spans="1:6" x14ac:dyDescent="0.3">
      <c r="A32" s="34" t="s">
        <v>55</v>
      </c>
      <c r="B32" s="35">
        <v>0.1</v>
      </c>
      <c r="C32" s="36" t="s">
        <v>33</v>
      </c>
      <c r="D32" s="37" t="s">
        <v>56</v>
      </c>
      <c r="E32" s="38" t="s">
        <v>31</v>
      </c>
      <c r="F32" s="38" t="s">
        <v>35</v>
      </c>
    </row>
    <row r="33" spans="1:8" x14ac:dyDescent="0.3">
      <c r="A33" s="34" t="s">
        <v>55</v>
      </c>
      <c r="B33" s="35">
        <v>0.1</v>
      </c>
      <c r="C33" s="36" t="s">
        <v>36</v>
      </c>
      <c r="D33" s="37" t="s">
        <v>57</v>
      </c>
      <c r="E33" s="38" t="s">
        <v>31</v>
      </c>
      <c r="F33" s="38" t="s">
        <v>35</v>
      </c>
    </row>
    <row r="34" spans="1:8" x14ac:dyDescent="0.3">
      <c r="A34" s="39" t="s">
        <v>55</v>
      </c>
      <c r="B34" s="40">
        <v>0.1</v>
      </c>
      <c r="C34" s="41" t="s">
        <v>38</v>
      </c>
      <c r="D34" s="42" t="s">
        <v>58</v>
      </c>
      <c r="E34" s="41" t="s">
        <v>40</v>
      </c>
      <c r="F34" s="39" t="s">
        <v>41</v>
      </c>
    </row>
    <row r="35" spans="1:8" x14ac:dyDescent="0.3">
      <c r="A35" s="39" t="s">
        <v>55</v>
      </c>
      <c r="B35" s="40">
        <v>0.1</v>
      </c>
      <c r="C35" s="41" t="s">
        <v>42</v>
      </c>
      <c r="D35" s="42" t="s">
        <v>59</v>
      </c>
      <c r="E35" s="41" t="s">
        <v>40</v>
      </c>
      <c r="F35" s="39" t="s">
        <v>41</v>
      </c>
    </row>
    <row r="36" spans="1:8" x14ac:dyDescent="0.3">
      <c r="A36" s="43" t="s">
        <v>55</v>
      </c>
      <c r="B36" s="44">
        <v>0.1</v>
      </c>
      <c r="C36" s="45" t="s">
        <v>44</v>
      </c>
      <c r="D36" s="46" t="s">
        <v>60</v>
      </c>
      <c r="E36" s="47" t="s">
        <v>46</v>
      </c>
      <c r="F36" s="47"/>
    </row>
    <row r="38" spans="1:8" x14ac:dyDescent="0.3">
      <c r="A38" s="48" t="s">
        <v>61</v>
      </c>
      <c r="B38" s="48"/>
    </row>
    <row r="39" spans="1:8" x14ac:dyDescent="0.3">
      <c r="A39" s="48" t="s">
        <v>62</v>
      </c>
      <c r="B39" s="48" t="s">
        <v>63</v>
      </c>
      <c r="C39" s="48" t="s">
        <v>64</v>
      </c>
      <c r="D39" s="48"/>
      <c r="E39" s="48" t="s">
        <v>65</v>
      </c>
      <c r="F39" s="48" t="s">
        <v>66</v>
      </c>
      <c r="G39" s="48" t="s">
        <v>67</v>
      </c>
      <c r="H39" s="48" t="s">
        <v>68</v>
      </c>
    </row>
    <row r="40" spans="1:8" x14ac:dyDescent="0.3">
      <c r="A40" s="49" t="s">
        <v>69</v>
      </c>
      <c r="B40" s="50" t="s">
        <v>70</v>
      </c>
      <c r="C40" s="51" t="s">
        <v>71</v>
      </c>
      <c r="D40" s="51"/>
      <c r="E40" s="52" t="s">
        <v>72</v>
      </c>
      <c r="F40" t="s">
        <v>73</v>
      </c>
    </row>
    <row r="41" spans="1:8" x14ac:dyDescent="0.3">
      <c r="A41" s="49"/>
      <c r="B41" s="50"/>
      <c r="C41" s="51"/>
      <c r="D41" s="51"/>
      <c r="E41" s="52" t="s">
        <v>72</v>
      </c>
      <c r="F41" t="s">
        <v>74</v>
      </c>
    </row>
    <row r="42" spans="1:8" x14ac:dyDescent="0.3">
      <c r="A42" s="49"/>
      <c r="B42" s="50"/>
      <c r="C42" s="51"/>
      <c r="D42" s="51"/>
      <c r="E42" s="52" t="s">
        <v>72</v>
      </c>
      <c r="F42" t="s">
        <v>75</v>
      </c>
    </row>
    <row r="43" spans="1:8" x14ac:dyDescent="0.3">
      <c r="A43" s="49"/>
      <c r="B43" s="50"/>
      <c r="C43" s="51"/>
      <c r="D43" s="51"/>
      <c r="E43" s="38" t="s">
        <v>76</v>
      </c>
      <c r="F43" s="53" t="s">
        <v>77</v>
      </c>
    </row>
    <row r="44" spans="1:8" x14ac:dyDescent="0.3">
      <c r="A44" s="49"/>
      <c r="B44" s="50"/>
      <c r="C44" s="51"/>
      <c r="D44" s="51"/>
      <c r="E44" s="38" t="s">
        <v>76</v>
      </c>
      <c r="F44" s="53" t="s">
        <v>78</v>
      </c>
    </row>
    <row r="45" spans="1:8" x14ac:dyDescent="0.3">
      <c r="A45" s="49"/>
      <c r="B45" s="50"/>
      <c r="C45" s="51"/>
      <c r="D45" s="51"/>
      <c r="E45" s="38" t="s">
        <v>76</v>
      </c>
      <c r="F45" s="53" t="s">
        <v>79</v>
      </c>
    </row>
    <row r="46" spans="1:8" x14ac:dyDescent="0.3">
      <c r="A46" s="49"/>
      <c r="B46" s="50"/>
      <c r="C46" s="54" t="s">
        <v>80</v>
      </c>
      <c r="D46" s="54"/>
      <c r="E46" s="53" t="s">
        <v>72</v>
      </c>
    </row>
    <row r="47" spans="1:8" x14ac:dyDescent="0.3">
      <c r="A47" s="49"/>
      <c r="B47" s="50"/>
      <c r="C47" s="55" t="s">
        <v>81</v>
      </c>
      <c r="D47" s="55"/>
      <c r="E47" s="53" t="s">
        <v>72</v>
      </c>
    </row>
    <row r="48" spans="1:8" x14ac:dyDescent="0.3">
      <c r="A48" s="49"/>
      <c r="B48" s="56" t="s">
        <v>82</v>
      </c>
      <c r="C48" s="51" t="s">
        <v>71</v>
      </c>
      <c r="D48" s="57" t="s">
        <v>83</v>
      </c>
      <c r="E48" s="53" t="s">
        <v>72</v>
      </c>
      <c r="F48" t="s">
        <v>73</v>
      </c>
      <c r="H48" t="s">
        <v>84</v>
      </c>
    </row>
    <row r="49" spans="1:8" x14ac:dyDescent="0.3">
      <c r="A49" s="49"/>
      <c r="B49" s="56"/>
      <c r="C49" s="51" t="s">
        <v>71</v>
      </c>
      <c r="D49" s="58" t="s">
        <v>85</v>
      </c>
      <c r="E49" s="38" t="s">
        <v>13</v>
      </c>
      <c r="F49" t="s">
        <v>86</v>
      </c>
    </row>
    <row r="50" spans="1:8" x14ac:dyDescent="0.3">
      <c r="A50" s="49"/>
      <c r="B50" s="56"/>
      <c r="C50" s="51"/>
      <c r="D50" s="58"/>
      <c r="E50" s="38" t="s">
        <v>13</v>
      </c>
      <c r="F50" t="s">
        <v>87</v>
      </c>
    </row>
    <row r="51" spans="1:8" x14ac:dyDescent="0.3">
      <c r="A51" s="49"/>
      <c r="B51" s="56"/>
      <c r="C51" s="51"/>
      <c r="D51" s="58"/>
      <c r="E51" s="38" t="s">
        <v>13</v>
      </c>
      <c r="F51" t="s">
        <v>88</v>
      </c>
    </row>
    <row r="52" spans="1:8" x14ac:dyDescent="0.3">
      <c r="A52" s="49"/>
      <c r="B52" s="56"/>
      <c r="C52" s="51"/>
      <c r="D52" s="58"/>
      <c r="E52" s="53" t="s">
        <v>89</v>
      </c>
      <c r="F52" t="s">
        <v>90</v>
      </c>
    </row>
    <row r="53" spans="1:8" x14ac:dyDescent="0.3">
      <c r="A53" s="49"/>
      <c r="B53" s="56"/>
      <c r="C53" s="51"/>
      <c r="D53" s="58"/>
      <c r="E53" s="53" t="s">
        <v>89</v>
      </c>
      <c r="F53" t="s">
        <v>91</v>
      </c>
    </row>
    <row r="54" spans="1:8" x14ac:dyDescent="0.3">
      <c r="A54" s="49"/>
      <c r="B54" s="56"/>
      <c r="C54" s="54" t="s">
        <v>80</v>
      </c>
      <c r="D54" s="54"/>
      <c r="E54" s="53" t="s">
        <v>89</v>
      </c>
      <c r="F54" t="s">
        <v>92</v>
      </c>
    </row>
    <row r="55" spans="1:8" x14ac:dyDescent="0.3">
      <c r="A55" s="49"/>
      <c r="B55" s="56"/>
      <c r="C55" s="55" t="s">
        <v>81</v>
      </c>
      <c r="D55" s="55"/>
      <c r="E55" s="38" t="s">
        <v>93</v>
      </c>
      <c r="F55" t="s">
        <v>94</v>
      </c>
    </row>
    <row r="56" spans="1:8" x14ac:dyDescent="0.3">
      <c r="E56" s="53"/>
    </row>
    <row r="57" spans="1:8" ht="15.6" customHeight="1" x14ac:dyDescent="0.3">
      <c r="A57" s="59" t="s">
        <v>95</v>
      </c>
      <c r="B57" s="60" t="s">
        <v>96</v>
      </c>
      <c r="C57" s="61" t="s">
        <v>97</v>
      </c>
      <c r="D57" s="61"/>
      <c r="E57" s="53" t="s">
        <v>98</v>
      </c>
      <c r="F57" t="s">
        <v>99</v>
      </c>
      <c r="G57" s="62">
        <v>0.9</v>
      </c>
      <c r="H57" s="63" t="s">
        <v>100</v>
      </c>
    </row>
    <row r="58" spans="1:8" x14ac:dyDescent="0.3">
      <c r="A58" s="59"/>
      <c r="B58" s="60"/>
      <c r="C58" s="61"/>
      <c r="D58" s="61"/>
      <c r="E58" s="53" t="s">
        <v>98</v>
      </c>
      <c r="F58" s="64" t="s">
        <v>101</v>
      </c>
    </row>
    <row r="59" spans="1:8" x14ac:dyDescent="0.3">
      <c r="E59" s="53"/>
    </row>
    <row r="60" spans="1:8" x14ac:dyDescent="0.3">
      <c r="B60" s="48"/>
      <c r="E60" s="53"/>
    </row>
    <row r="61" spans="1:8" x14ac:dyDescent="0.3">
      <c r="A61" s="65" t="s">
        <v>102</v>
      </c>
      <c r="B61" s="48" t="s">
        <v>63</v>
      </c>
      <c r="C61" s="48" t="s">
        <v>64</v>
      </c>
      <c r="D61" s="48"/>
      <c r="E61" s="66" t="s">
        <v>65</v>
      </c>
      <c r="F61" s="48" t="s">
        <v>66</v>
      </c>
      <c r="G61" s="48" t="s">
        <v>67</v>
      </c>
      <c r="H61" s="48" t="s">
        <v>68</v>
      </c>
    </row>
    <row r="62" spans="1:8" x14ac:dyDescent="0.3">
      <c r="A62" s="49" t="s">
        <v>69</v>
      </c>
      <c r="B62" s="50" t="s">
        <v>70</v>
      </c>
      <c r="C62" s="51" t="s">
        <v>103</v>
      </c>
      <c r="D62" s="51"/>
      <c r="E62" s="52" t="s">
        <v>72</v>
      </c>
      <c r="F62" t="s">
        <v>73</v>
      </c>
    </row>
    <row r="63" spans="1:8" x14ac:dyDescent="0.3">
      <c r="A63" s="49"/>
      <c r="B63" s="50"/>
      <c r="C63" s="51"/>
      <c r="D63" s="51"/>
      <c r="E63" s="52" t="s">
        <v>72</v>
      </c>
      <c r="F63" t="s">
        <v>74</v>
      </c>
    </row>
    <row r="64" spans="1:8" x14ac:dyDescent="0.3">
      <c r="A64" s="49"/>
      <c r="B64" s="50"/>
      <c r="C64" s="51"/>
      <c r="D64" s="51"/>
      <c r="E64" s="52" t="s">
        <v>72</v>
      </c>
      <c r="F64" t="s">
        <v>75</v>
      </c>
    </row>
    <row r="65" spans="1:6" x14ac:dyDescent="0.3">
      <c r="A65" s="49"/>
      <c r="B65" s="50"/>
      <c r="C65" s="51" t="s">
        <v>103</v>
      </c>
      <c r="D65" s="51"/>
      <c r="E65" s="38" t="s">
        <v>76</v>
      </c>
      <c r="F65" s="53" t="s">
        <v>77</v>
      </c>
    </row>
    <row r="66" spans="1:6" x14ac:dyDescent="0.3">
      <c r="A66" s="49"/>
      <c r="B66" s="50"/>
      <c r="C66" s="51"/>
      <c r="D66" s="51"/>
      <c r="E66" s="38" t="s">
        <v>76</v>
      </c>
      <c r="F66" s="53" t="s">
        <v>78</v>
      </c>
    </row>
    <row r="67" spans="1:6" x14ac:dyDescent="0.3">
      <c r="A67" s="49"/>
      <c r="B67" s="50"/>
      <c r="C67" s="51"/>
      <c r="D67" s="51"/>
      <c r="E67" s="38" t="s">
        <v>76</v>
      </c>
      <c r="F67" s="53" t="s">
        <v>79</v>
      </c>
    </row>
    <row r="68" spans="1:6" x14ac:dyDescent="0.3">
      <c r="A68" s="49"/>
      <c r="B68" s="50"/>
      <c r="C68" s="54" t="s">
        <v>104</v>
      </c>
      <c r="D68" s="54"/>
      <c r="E68" s="53" t="s">
        <v>72</v>
      </c>
    </row>
    <row r="69" spans="1:6" x14ac:dyDescent="0.3">
      <c r="A69" s="49"/>
      <c r="B69" s="50"/>
      <c r="C69" s="55" t="s">
        <v>105</v>
      </c>
      <c r="D69" s="55"/>
      <c r="E69" s="53" t="s">
        <v>72</v>
      </c>
    </row>
    <row r="70" spans="1:6" x14ac:dyDescent="0.3">
      <c r="A70" s="49"/>
      <c r="B70" s="56" t="s">
        <v>82</v>
      </c>
      <c r="C70" s="51" t="s">
        <v>71</v>
      </c>
      <c r="D70" s="57" t="s">
        <v>106</v>
      </c>
      <c r="E70" s="53" t="s">
        <v>72</v>
      </c>
      <c r="F70" t="s">
        <v>73</v>
      </c>
    </row>
    <row r="71" spans="1:6" x14ac:dyDescent="0.3">
      <c r="A71" s="49"/>
      <c r="B71" s="56"/>
      <c r="C71" s="51" t="s">
        <v>103</v>
      </c>
      <c r="D71" s="58" t="s">
        <v>107</v>
      </c>
      <c r="E71" s="38" t="s">
        <v>13</v>
      </c>
      <c r="F71" t="s">
        <v>86</v>
      </c>
    </row>
    <row r="72" spans="1:6" x14ac:dyDescent="0.3">
      <c r="A72" s="49"/>
      <c r="B72" s="56"/>
      <c r="C72" s="51"/>
      <c r="D72" s="58"/>
      <c r="E72" s="38" t="s">
        <v>13</v>
      </c>
      <c r="F72" t="s">
        <v>87</v>
      </c>
    </row>
    <row r="73" spans="1:6" x14ac:dyDescent="0.3">
      <c r="A73" s="49"/>
      <c r="B73" s="56"/>
      <c r="C73" s="51"/>
      <c r="D73" s="58"/>
      <c r="E73" s="38" t="s">
        <v>13</v>
      </c>
      <c r="F73" t="s">
        <v>88</v>
      </c>
    </row>
    <row r="74" spans="1:6" x14ac:dyDescent="0.3">
      <c r="A74" s="49"/>
      <c r="B74" s="56"/>
      <c r="C74" s="51"/>
      <c r="D74" s="58"/>
      <c r="E74" s="53" t="s">
        <v>89</v>
      </c>
      <c r="F74" t="s">
        <v>90</v>
      </c>
    </row>
    <row r="75" spans="1:6" x14ac:dyDescent="0.3">
      <c r="A75" s="49"/>
      <c r="B75" s="56"/>
      <c r="C75" s="51"/>
      <c r="D75" s="58"/>
      <c r="E75" s="53" t="s">
        <v>89</v>
      </c>
      <c r="F75" t="s">
        <v>91</v>
      </c>
    </row>
    <row r="76" spans="1:6" x14ac:dyDescent="0.3">
      <c r="A76" s="49"/>
      <c r="B76" s="56"/>
      <c r="C76" s="54" t="s">
        <v>104</v>
      </c>
      <c r="D76" s="54"/>
      <c r="E76" s="53" t="s">
        <v>89</v>
      </c>
      <c r="F76" t="s">
        <v>92</v>
      </c>
    </row>
    <row r="77" spans="1:6" x14ac:dyDescent="0.3">
      <c r="A77" s="49"/>
      <c r="B77" s="56"/>
      <c r="C77" s="55" t="s">
        <v>105</v>
      </c>
      <c r="D77" s="55"/>
      <c r="E77" s="53" t="s">
        <v>93</v>
      </c>
      <c r="F77" t="s">
        <v>94</v>
      </c>
    </row>
    <row r="78" spans="1:6" x14ac:dyDescent="0.3">
      <c r="E78" s="53"/>
    </row>
    <row r="79" spans="1:6" x14ac:dyDescent="0.3">
      <c r="A79" s="59" t="s">
        <v>108</v>
      </c>
      <c r="B79" s="60" t="s">
        <v>96</v>
      </c>
      <c r="C79" s="61" t="s">
        <v>97</v>
      </c>
      <c r="D79" s="61"/>
      <c r="E79" s="38" t="s">
        <v>98</v>
      </c>
      <c r="F79" t="s">
        <v>99</v>
      </c>
    </row>
    <row r="80" spans="1:6" x14ac:dyDescent="0.3">
      <c r="A80" s="59"/>
      <c r="B80" s="60"/>
      <c r="C80" s="61"/>
      <c r="D80" s="61"/>
      <c r="E80" s="38" t="s">
        <v>98</v>
      </c>
      <c r="F80" s="64" t="s">
        <v>101</v>
      </c>
    </row>
    <row r="81" spans="1:8" x14ac:dyDescent="0.3">
      <c r="A81" s="59"/>
      <c r="B81" s="67" t="s">
        <v>109</v>
      </c>
      <c r="C81" s="51" t="s">
        <v>71</v>
      </c>
      <c r="D81" s="57" t="s">
        <v>110</v>
      </c>
      <c r="E81" s="53" t="s">
        <v>94</v>
      </c>
    </row>
    <row r="82" spans="1:8" ht="14.4" customHeight="1" x14ac:dyDescent="0.3">
      <c r="A82" s="59"/>
      <c r="B82" s="67"/>
      <c r="C82" s="68" t="s">
        <v>71</v>
      </c>
      <c r="D82" s="69" t="s">
        <v>111</v>
      </c>
      <c r="E82" s="38" t="s">
        <v>98</v>
      </c>
      <c r="F82" t="s">
        <v>99</v>
      </c>
    </row>
    <row r="83" spans="1:8" x14ac:dyDescent="0.3">
      <c r="A83" s="59"/>
      <c r="B83" s="67"/>
      <c r="C83" s="68"/>
      <c r="D83" s="58"/>
      <c r="E83" s="38" t="s">
        <v>98</v>
      </c>
      <c r="F83" s="64" t="s">
        <v>101</v>
      </c>
    </row>
    <row r="84" spans="1:8" x14ac:dyDescent="0.3">
      <c r="A84" s="59"/>
      <c r="B84" s="67"/>
      <c r="C84" s="54" t="s">
        <v>112</v>
      </c>
      <c r="D84" s="54"/>
      <c r="E84" s="70" t="s">
        <v>98</v>
      </c>
      <c r="F84" t="s">
        <v>99</v>
      </c>
    </row>
    <row r="85" spans="1:8" x14ac:dyDescent="0.3">
      <c r="A85" s="59"/>
      <c r="B85" s="67"/>
      <c r="C85" s="54"/>
      <c r="D85" s="54"/>
      <c r="E85" s="70" t="s">
        <v>98</v>
      </c>
      <c r="F85" s="64" t="s">
        <v>101</v>
      </c>
    </row>
    <row r="86" spans="1:8" x14ac:dyDescent="0.3">
      <c r="A86" s="59"/>
      <c r="B86" s="67"/>
      <c r="C86" s="55" t="s">
        <v>113</v>
      </c>
      <c r="D86" s="55"/>
      <c r="E86" s="38" t="s">
        <v>98</v>
      </c>
      <c r="F86" t="s">
        <v>99</v>
      </c>
    </row>
    <row r="87" spans="1:8" x14ac:dyDescent="0.3">
      <c r="A87" s="59"/>
      <c r="B87" s="67"/>
      <c r="C87" s="55"/>
      <c r="D87" s="55"/>
      <c r="E87" s="38" t="s">
        <v>98</v>
      </c>
      <c r="F87" s="64" t="s">
        <v>101</v>
      </c>
    </row>
    <row r="88" spans="1:8" x14ac:dyDescent="0.3">
      <c r="A88" s="59"/>
      <c r="B88" s="67"/>
      <c r="C88" s="71" t="s">
        <v>114</v>
      </c>
      <c r="D88" s="71"/>
      <c r="E88" s="70" t="s">
        <v>98</v>
      </c>
      <c r="F88" t="s">
        <v>99</v>
      </c>
    </row>
    <row r="89" spans="1:8" x14ac:dyDescent="0.3">
      <c r="A89" s="59"/>
      <c r="B89" s="67"/>
      <c r="C89" s="71"/>
      <c r="D89" s="71"/>
      <c r="E89" s="70" t="s">
        <v>98</v>
      </c>
      <c r="F89" s="64" t="s">
        <v>101</v>
      </c>
    </row>
    <row r="90" spans="1:8" x14ac:dyDescent="0.3">
      <c r="E90" s="53"/>
    </row>
    <row r="91" spans="1:8" x14ac:dyDescent="0.3">
      <c r="E91" s="53"/>
    </row>
    <row r="92" spans="1:8" x14ac:dyDescent="0.3">
      <c r="A92" s="65" t="s">
        <v>115</v>
      </c>
      <c r="B92" s="48" t="s">
        <v>63</v>
      </c>
      <c r="C92" s="48" t="s">
        <v>64</v>
      </c>
      <c r="D92" s="48"/>
      <c r="E92" s="66" t="s">
        <v>65</v>
      </c>
      <c r="F92" s="48" t="s">
        <v>66</v>
      </c>
      <c r="G92" s="48" t="s">
        <v>67</v>
      </c>
      <c r="H92" s="48" t="s">
        <v>68</v>
      </c>
    </row>
    <row r="93" spans="1:8" x14ac:dyDescent="0.3">
      <c r="A93" s="49" t="s">
        <v>69</v>
      </c>
      <c r="B93" s="50" t="s">
        <v>70</v>
      </c>
      <c r="C93" s="51" t="s">
        <v>103</v>
      </c>
      <c r="D93" s="51"/>
      <c r="E93" s="52" t="s">
        <v>72</v>
      </c>
      <c r="F93" t="s">
        <v>73</v>
      </c>
    </row>
    <row r="94" spans="1:8" x14ac:dyDescent="0.3">
      <c r="A94" s="49"/>
      <c r="B94" s="50"/>
      <c r="C94" s="51"/>
      <c r="D94" s="51"/>
      <c r="E94" s="52" t="s">
        <v>72</v>
      </c>
      <c r="F94" t="s">
        <v>74</v>
      </c>
    </row>
    <row r="95" spans="1:8" x14ac:dyDescent="0.3">
      <c r="A95" s="49"/>
      <c r="B95" s="50"/>
      <c r="C95" s="51"/>
      <c r="D95" s="51"/>
      <c r="E95" s="52" t="s">
        <v>72</v>
      </c>
      <c r="F95" t="s">
        <v>75</v>
      </c>
    </row>
    <row r="96" spans="1:8" x14ac:dyDescent="0.3">
      <c r="A96" s="49"/>
      <c r="B96" s="50"/>
      <c r="C96" s="51" t="s">
        <v>103</v>
      </c>
      <c r="D96" s="51"/>
      <c r="E96" s="38" t="s">
        <v>76</v>
      </c>
      <c r="F96" s="53" t="s">
        <v>77</v>
      </c>
    </row>
    <row r="97" spans="1:8" x14ac:dyDescent="0.3">
      <c r="A97" s="49"/>
      <c r="B97" s="50"/>
      <c r="C97" s="51"/>
      <c r="D97" s="51"/>
      <c r="E97" s="38" t="s">
        <v>76</v>
      </c>
      <c r="F97" s="53" t="s">
        <v>78</v>
      </c>
    </row>
    <row r="98" spans="1:8" x14ac:dyDescent="0.3">
      <c r="A98" s="49"/>
      <c r="B98" s="50"/>
      <c r="C98" s="51"/>
      <c r="D98" s="51"/>
      <c r="E98" s="38" t="s">
        <v>76</v>
      </c>
      <c r="F98" s="53" t="s">
        <v>79</v>
      </c>
    </row>
    <row r="99" spans="1:8" x14ac:dyDescent="0.3">
      <c r="A99" s="49"/>
      <c r="B99" s="50"/>
      <c r="C99" s="54" t="s">
        <v>104</v>
      </c>
      <c r="D99" s="54"/>
      <c r="E99" s="53" t="s">
        <v>72</v>
      </c>
    </row>
    <row r="100" spans="1:8" x14ac:dyDescent="0.3">
      <c r="A100" s="49"/>
      <c r="B100" s="50"/>
      <c r="C100" s="55" t="s">
        <v>105</v>
      </c>
      <c r="D100" s="55"/>
      <c r="E100" s="53" t="s">
        <v>72</v>
      </c>
    </row>
    <row r="101" spans="1:8" x14ac:dyDescent="0.3">
      <c r="A101" s="49"/>
      <c r="B101" s="56" t="s">
        <v>82</v>
      </c>
      <c r="C101" s="51" t="s">
        <v>71</v>
      </c>
      <c r="D101" s="57" t="s">
        <v>106</v>
      </c>
      <c r="E101" s="53" t="s">
        <v>72</v>
      </c>
      <c r="F101" t="s">
        <v>73</v>
      </c>
    </row>
    <row r="102" spans="1:8" x14ac:dyDescent="0.3">
      <c r="A102" s="49"/>
      <c r="B102" s="56"/>
      <c r="C102" s="51" t="s">
        <v>103</v>
      </c>
      <c r="D102" s="58" t="s">
        <v>107</v>
      </c>
      <c r="E102" s="72" t="s">
        <v>89</v>
      </c>
      <c r="F102" s="48" t="s">
        <v>116</v>
      </c>
      <c r="H102" t="s">
        <v>117</v>
      </c>
    </row>
    <row r="103" spans="1:8" x14ac:dyDescent="0.3">
      <c r="A103" s="49"/>
      <c r="B103" s="56"/>
      <c r="C103" s="51"/>
      <c r="D103" s="58"/>
      <c r="E103" s="53" t="s">
        <v>89</v>
      </c>
      <c r="F103" t="s">
        <v>90</v>
      </c>
    </row>
    <row r="104" spans="1:8" x14ac:dyDescent="0.3">
      <c r="A104" s="49"/>
      <c r="B104" s="56"/>
      <c r="C104" s="51"/>
      <c r="D104" s="58"/>
      <c r="E104" s="53" t="s">
        <v>89</v>
      </c>
      <c r="F104" t="s">
        <v>91</v>
      </c>
    </row>
    <row r="105" spans="1:8" x14ac:dyDescent="0.3">
      <c r="A105" s="49"/>
      <c r="B105" s="56"/>
      <c r="C105" s="54" t="s">
        <v>104</v>
      </c>
      <c r="D105" s="54"/>
      <c r="E105" s="53" t="s">
        <v>89</v>
      </c>
      <c r="F105" t="s">
        <v>92</v>
      </c>
    </row>
    <row r="106" spans="1:8" x14ac:dyDescent="0.3">
      <c r="A106" s="49"/>
      <c r="B106" s="56"/>
      <c r="C106" s="55" t="s">
        <v>105</v>
      </c>
      <c r="D106" s="55"/>
      <c r="E106" s="53" t="s">
        <v>93</v>
      </c>
      <c r="F106" t="s">
        <v>94</v>
      </c>
    </row>
    <row r="107" spans="1:8" x14ac:dyDescent="0.3">
      <c r="E107" s="53"/>
    </row>
    <row r="108" spans="1:8" x14ac:dyDescent="0.3">
      <c r="A108" s="59" t="s">
        <v>108</v>
      </c>
      <c r="B108" s="60" t="s">
        <v>96</v>
      </c>
      <c r="C108" s="61" t="s">
        <v>97</v>
      </c>
      <c r="D108" s="61"/>
      <c r="E108" s="38" t="s">
        <v>98</v>
      </c>
      <c r="F108" t="s">
        <v>99</v>
      </c>
    </row>
    <row r="109" spans="1:8" x14ac:dyDescent="0.3">
      <c r="A109" s="59"/>
      <c r="B109" s="60"/>
      <c r="C109" s="61"/>
      <c r="D109" s="61"/>
      <c r="E109" s="38" t="s">
        <v>98</v>
      </c>
      <c r="F109" s="64" t="s">
        <v>101</v>
      </c>
    </row>
    <row r="110" spans="1:8" x14ac:dyDescent="0.3">
      <c r="A110" s="59"/>
      <c r="B110" s="67" t="s">
        <v>109</v>
      </c>
      <c r="C110" s="51" t="s">
        <v>71</v>
      </c>
      <c r="D110" s="57" t="s">
        <v>110</v>
      </c>
      <c r="E110" s="53" t="s">
        <v>94</v>
      </c>
    </row>
    <row r="111" spans="1:8" ht="13.2" customHeight="1" x14ac:dyDescent="0.3">
      <c r="A111" s="59"/>
      <c r="B111" s="67"/>
      <c r="C111" s="68" t="s">
        <v>71</v>
      </c>
      <c r="D111" s="69" t="s">
        <v>111</v>
      </c>
      <c r="E111" s="38" t="s">
        <v>98</v>
      </c>
      <c r="F111" t="s">
        <v>99</v>
      </c>
    </row>
    <row r="112" spans="1:8" x14ac:dyDescent="0.3">
      <c r="A112" s="59"/>
      <c r="B112" s="67"/>
      <c r="C112" s="68"/>
      <c r="D112" s="58"/>
      <c r="E112" s="38" t="s">
        <v>98</v>
      </c>
      <c r="F112" s="64" t="s">
        <v>101</v>
      </c>
    </row>
    <row r="113" spans="1:6" x14ac:dyDescent="0.3">
      <c r="A113" s="59"/>
      <c r="B113" s="67"/>
      <c r="C113" s="54" t="s">
        <v>112</v>
      </c>
      <c r="D113" s="54"/>
      <c r="E113" s="70" t="s">
        <v>98</v>
      </c>
      <c r="F113" t="s">
        <v>99</v>
      </c>
    </row>
    <row r="114" spans="1:6" x14ac:dyDescent="0.3">
      <c r="A114" s="59"/>
      <c r="B114" s="67"/>
      <c r="C114" s="54"/>
      <c r="D114" s="54"/>
      <c r="E114" s="70" t="s">
        <v>98</v>
      </c>
      <c r="F114" s="64" t="s">
        <v>101</v>
      </c>
    </row>
    <row r="115" spans="1:6" x14ac:dyDescent="0.3">
      <c r="A115" s="59"/>
      <c r="B115" s="67"/>
      <c r="C115" s="55" t="s">
        <v>113</v>
      </c>
      <c r="D115" s="55"/>
      <c r="E115" s="38" t="s">
        <v>98</v>
      </c>
      <c r="F115" t="s">
        <v>99</v>
      </c>
    </row>
    <row r="116" spans="1:6" x14ac:dyDescent="0.3">
      <c r="A116" s="59"/>
      <c r="B116" s="67"/>
      <c r="C116" s="55"/>
      <c r="D116" s="55"/>
      <c r="E116" s="38" t="s">
        <v>98</v>
      </c>
      <c r="F116" s="64" t="s">
        <v>101</v>
      </c>
    </row>
    <row r="117" spans="1:6" x14ac:dyDescent="0.3">
      <c r="A117" s="59"/>
      <c r="B117" s="67"/>
      <c r="C117" s="71" t="s">
        <v>114</v>
      </c>
      <c r="D117" s="71"/>
      <c r="E117" s="70" t="s">
        <v>98</v>
      </c>
      <c r="F117" t="s">
        <v>99</v>
      </c>
    </row>
    <row r="118" spans="1:6" x14ac:dyDescent="0.3">
      <c r="A118" s="59"/>
      <c r="B118" s="67"/>
      <c r="C118" s="71"/>
      <c r="D118" s="71"/>
      <c r="E118" s="70" t="s">
        <v>98</v>
      </c>
      <c r="F118" s="64" t="s">
        <v>101</v>
      </c>
    </row>
  </sheetData>
  <pageMargins left="0.7" right="0.7" top="0.75" bottom="0.75" header="0.3" footer="0.3"/>
  <pageSetup orientation="portrait" horizontalDpi="1200" verticalDpi="1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2:R279"/>
  <sheetViews>
    <sheetView tabSelected="1" topLeftCell="A129" zoomScale="70" zoomScaleNormal="70" workbookViewId="0">
      <selection activeCell="J16" sqref="J16"/>
    </sheetView>
  </sheetViews>
  <sheetFormatPr defaultRowHeight="14.4" x14ac:dyDescent="0.3"/>
  <cols>
    <col min="1" max="1" width="37.109375" customWidth="1"/>
    <col min="2" max="2" width="20.33203125" customWidth="1"/>
    <col min="3" max="3" width="9.5546875" customWidth="1"/>
    <col min="4" max="4" width="19.88671875" customWidth="1"/>
    <col min="5" max="5" width="14.6640625" customWidth="1"/>
    <col min="6" max="6" width="7.88671875" customWidth="1"/>
    <col min="7" max="7" width="15.33203125" customWidth="1"/>
    <col min="8" max="8" width="16" customWidth="1"/>
    <col min="9" max="9" width="9.6640625" customWidth="1"/>
    <col min="10" max="10" width="8.5546875" customWidth="1"/>
    <col min="11" max="11" width="11.33203125" customWidth="1"/>
    <col min="12" max="12" width="12.33203125" customWidth="1"/>
    <col min="13" max="13" width="18" customWidth="1"/>
    <col min="14" max="14" width="13" hidden="1" customWidth="1"/>
    <col min="15" max="15" width="22.109375" customWidth="1"/>
    <col min="16" max="16" width="23" customWidth="1"/>
    <col min="17" max="17" width="17" customWidth="1"/>
    <col min="18" max="18" width="18.77734375" customWidth="1"/>
  </cols>
  <sheetData>
    <row r="2" spans="1:13" x14ac:dyDescent="0.3">
      <c r="A2" s="48" t="s">
        <v>622</v>
      </c>
      <c r="B2" s="73" t="s">
        <v>118</v>
      </c>
    </row>
    <row r="3" spans="1:13" x14ac:dyDescent="0.3">
      <c r="A3" s="74" t="s">
        <v>22</v>
      </c>
      <c r="B3" s="74" t="s">
        <v>119</v>
      </c>
      <c r="C3" s="70" t="s">
        <v>120</v>
      </c>
      <c r="D3" s="70" t="s">
        <v>121</v>
      </c>
      <c r="E3" s="70" t="s">
        <v>122</v>
      </c>
      <c r="F3" s="70" t="s">
        <v>123</v>
      </c>
      <c r="G3" s="70" t="s">
        <v>124</v>
      </c>
      <c r="H3" s="70" t="s">
        <v>125</v>
      </c>
      <c r="I3" s="70" t="s">
        <v>126</v>
      </c>
      <c r="J3" s="70" t="s">
        <v>127</v>
      </c>
      <c r="K3" s="70" t="s">
        <v>128</v>
      </c>
      <c r="L3" s="70" t="s">
        <v>129</v>
      </c>
      <c r="M3" s="70" t="s">
        <v>130</v>
      </c>
    </row>
    <row r="4" spans="1:13" x14ac:dyDescent="0.3">
      <c r="A4" s="75" t="s">
        <v>131</v>
      </c>
      <c r="B4" s="75" t="s">
        <v>132</v>
      </c>
      <c r="C4" s="70" t="s">
        <v>133</v>
      </c>
      <c r="D4" s="70"/>
      <c r="E4" s="70" t="s">
        <v>134</v>
      </c>
      <c r="F4" s="70" t="s">
        <v>135</v>
      </c>
      <c r="G4" s="70"/>
      <c r="H4" s="70" t="s">
        <v>136</v>
      </c>
      <c r="I4" s="76" t="s">
        <v>94</v>
      </c>
      <c r="J4" s="70"/>
      <c r="K4" s="76"/>
      <c r="L4" s="70"/>
      <c r="M4" s="76"/>
    </row>
    <row r="5" spans="1:13" x14ac:dyDescent="0.3">
      <c r="A5" s="75" t="s">
        <v>131</v>
      </c>
      <c r="B5" s="75" t="s">
        <v>132</v>
      </c>
      <c r="C5" s="70" t="s">
        <v>137</v>
      </c>
      <c r="D5" s="70"/>
      <c r="E5" s="70" t="s">
        <v>134</v>
      </c>
      <c r="F5" s="70" t="s">
        <v>135</v>
      </c>
      <c r="G5" s="70"/>
      <c r="H5" s="70" t="s">
        <v>136</v>
      </c>
      <c r="I5" s="76" t="s">
        <v>94</v>
      </c>
      <c r="J5" s="70"/>
      <c r="K5" s="76"/>
      <c r="L5" s="70"/>
      <c r="M5" s="76"/>
    </row>
    <row r="6" spans="1:13" x14ac:dyDescent="0.3">
      <c r="A6" s="75" t="s">
        <v>131</v>
      </c>
      <c r="B6" s="75" t="s">
        <v>132</v>
      </c>
      <c r="C6" s="70" t="s">
        <v>138</v>
      </c>
      <c r="D6" s="70"/>
      <c r="E6" s="70" t="s">
        <v>134</v>
      </c>
      <c r="F6" s="70" t="s">
        <v>135</v>
      </c>
      <c r="G6" s="70"/>
      <c r="H6" s="70" t="s">
        <v>136</v>
      </c>
      <c r="I6" s="76" t="s">
        <v>94</v>
      </c>
      <c r="J6" s="70"/>
      <c r="K6" s="76"/>
      <c r="L6" s="70"/>
      <c r="M6" s="76"/>
    </row>
    <row r="7" spans="1:13" x14ac:dyDescent="0.3">
      <c r="A7" s="75" t="s">
        <v>131</v>
      </c>
      <c r="B7" s="75" t="s">
        <v>132</v>
      </c>
      <c r="C7" s="70" t="s">
        <v>139</v>
      </c>
      <c r="D7" s="70"/>
      <c r="E7" s="70" t="s">
        <v>140</v>
      </c>
      <c r="F7" s="70" t="s">
        <v>135</v>
      </c>
      <c r="G7" s="70"/>
      <c r="H7" s="70" t="s">
        <v>141</v>
      </c>
      <c r="I7" s="76" t="s">
        <v>94</v>
      </c>
      <c r="J7" s="70"/>
      <c r="K7" s="76"/>
      <c r="L7" s="70"/>
      <c r="M7" s="76"/>
    </row>
    <row r="8" spans="1:13" x14ac:dyDescent="0.3">
      <c r="A8" s="75" t="s">
        <v>131</v>
      </c>
      <c r="B8" s="75" t="s">
        <v>132</v>
      </c>
      <c r="C8" s="70" t="s">
        <v>142</v>
      </c>
      <c r="D8" s="77" t="s">
        <v>94</v>
      </c>
      <c r="E8" s="77" t="s">
        <v>94</v>
      </c>
      <c r="F8" s="70" t="s">
        <v>135</v>
      </c>
      <c r="G8" s="70" t="s">
        <v>143</v>
      </c>
      <c r="H8" s="77" t="s">
        <v>626</v>
      </c>
      <c r="I8" s="76" t="s">
        <v>94</v>
      </c>
      <c r="J8" s="70" t="s">
        <v>144</v>
      </c>
      <c r="K8" s="76"/>
      <c r="L8" s="70" t="s">
        <v>145</v>
      </c>
      <c r="M8" s="76"/>
    </row>
    <row r="9" spans="1:13" x14ac:dyDescent="0.3">
      <c r="A9" s="75" t="s">
        <v>131</v>
      </c>
      <c r="B9" s="75" t="s">
        <v>132</v>
      </c>
      <c r="C9" s="70" t="s">
        <v>146</v>
      </c>
      <c r="D9" s="77" t="s">
        <v>94</v>
      </c>
      <c r="E9" s="77" t="s">
        <v>94</v>
      </c>
      <c r="F9" s="70" t="s">
        <v>135</v>
      </c>
      <c r="G9" s="70"/>
      <c r="H9" s="77" t="s">
        <v>626</v>
      </c>
      <c r="I9" s="76" t="s">
        <v>94</v>
      </c>
      <c r="J9" s="70" t="s">
        <v>147</v>
      </c>
      <c r="K9" s="76"/>
      <c r="L9" s="70" t="s">
        <v>148</v>
      </c>
      <c r="M9" s="76"/>
    </row>
    <row r="10" spans="1:13" x14ac:dyDescent="0.3">
      <c r="A10" s="75" t="s">
        <v>131</v>
      </c>
      <c r="B10" s="75" t="s">
        <v>132</v>
      </c>
      <c r="C10" s="70" t="s">
        <v>149</v>
      </c>
      <c r="D10" s="77" t="s">
        <v>94</v>
      </c>
      <c r="E10" s="77" t="s">
        <v>94</v>
      </c>
      <c r="F10" s="70" t="s">
        <v>135</v>
      </c>
      <c r="G10" s="70"/>
      <c r="H10" s="77" t="s">
        <v>626</v>
      </c>
      <c r="I10" s="76" t="s">
        <v>94</v>
      </c>
      <c r="J10" s="70" t="s">
        <v>150</v>
      </c>
      <c r="K10" s="76"/>
      <c r="L10" s="70" t="s">
        <v>151</v>
      </c>
      <c r="M10" s="76"/>
    </row>
    <row r="11" spans="1:13" x14ac:dyDescent="0.3">
      <c r="A11" s="75" t="s">
        <v>131</v>
      </c>
      <c r="B11" s="75" t="s">
        <v>152</v>
      </c>
      <c r="C11" s="70" t="s">
        <v>153</v>
      </c>
      <c r="D11" s="70" t="s">
        <v>154</v>
      </c>
      <c r="E11" s="79">
        <v>0.27</v>
      </c>
      <c r="F11" s="70" t="s">
        <v>135</v>
      </c>
      <c r="G11" s="70" t="s">
        <v>155</v>
      </c>
      <c r="H11" s="76" t="s">
        <v>684</v>
      </c>
      <c r="I11" s="76" t="s">
        <v>678</v>
      </c>
      <c r="J11" s="70" t="s">
        <v>156</v>
      </c>
      <c r="K11" s="79">
        <v>0.25</v>
      </c>
      <c r="L11" s="70" t="s">
        <v>155</v>
      </c>
      <c r="M11" s="76"/>
    </row>
    <row r="12" spans="1:13" x14ac:dyDescent="0.3">
      <c r="A12" s="75" t="s">
        <v>131</v>
      </c>
      <c r="B12" s="75" t="s">
        <v>152</v>
      </c>
      <c r="C12" s="70" t="s">
        <v>157</v>
      </c>
      <c r="D12" s="70" t="s">
        <v>158</v>
      </c>
      <c r="E12" s="70">
        <v>650</v>
      </c>
      <c r="F12" s="70" t="s">
        <v>135</v>
      </c>
      <c r="G12" s="70" t="s">
        <v>159</v>
      </c>
      <c r="H12" s="76" t="s">
        <v>684</v>
      </c>
      <c r="I12" s="76" t="s">
        <v>679</v>
      </c>
      <c r="J12" s="70" t="s">
        <v>160</v>
      </c>
      <c r="K12" s="80">
        <v>950</v>
      </c>
      <c r="L12" s="70" t="s">
        <v>159</v>
      </c>
      <c r="M12" s="76"/>
    </row>
    <row r="13" spans="1:13" x14ac:dyDescent="0.3">
      <c r="A13" s="75" t="s">
        <v>131</v>
      </c>
      <c r="B13" s="75" t="s">
        <v>152</v>
      </c>
      <c r="C13" s="70" t="s">
        <v>161</v>
      </c>
      <c r="D13" s="70" t="s">
        <v>162</v>
      </c>
      <c r="E13" s="70" t="s">
        <v>163</v>
      </c>
      <c r="F13" s="70" t="s">
        <v>164</v>
      </c>
      <c r="G13" s="70" t="s">
        <v>165</v>
      </c>
      <c r="H13" s="76"/>
      <c r="I13" s="76" t="s">
        <v>627</v>
      </c>
      <c r="J13" s="81" t="s">
        <v>166</v>
      </c>
      <c r="K13" s="70" t="s">
        <v>163</v>
      </c>
      <c r="L13" s="70" t="s">
        <v>165</v>
      </c>
      <c r="M13" s="76"/>
    </row>
    <row r="14" spans="1:13" x14ac:dyDescent="0.3">
      <c r="A14" s="75" t="s">
        <v>131</v>
      </c>
      <c r="B14" s="75" t="s">
        <v>152</v>
      </c>
      <c r="C14" s="70" t="s">
        <v>167</v>
      </c>
      <c r="D14" s="70" t="s">
        <v>168</v>
      </c>
      <c r="E14" s="79">
        <v>0.04</v>
      </c>
      <c r="F14" s="70" t="s">
        <v>135</v>
      </c>
      <c r="G14" s="70" t="s">
        <v>169</v>
      </c>
      <c r="H14" s="76" t="s">
        <v>684</v>
      </c>
      <c r="I14" s="76" t="s">
        <v>680</v>
      </c>
      <c r="J14" s="70" t="s">
        <v>170</v>
      </c>
      <c r="K14" s="79">
        <v>0.04</v>
      </c>
      <c r="L14" s="70" t="s">
        <v>169</v>
      </c>
      <c r="M14" s="76"/>
    </row>
    <row r="15" spans="1:13" x14ac:dyDescent="0.3">
      <c r="A15" s="75" t="s">
        <v>131</v>
      </c>
      <c r="B15" s="75" t="s">
        <v>152</v>
      </c>
      <c r="C15" s="70" t="s">
        <v>171</v>
      </c>
      <c r="D15" s="70" t="s">
        <v>172</v>
      </c>
      <c r="E15" s="82">
        <v>7.0000000000000001E-3</v>
      </c>
      <c r="F15" s="70" t="s">
        <v>135</v>
      </c>
      <c r="G15" s="70" t="s">
        <v>169</v>
      </c>
      <c r="H15" s="76" t="s">
        <v>684</v>
      </c>
      <c r="I15" s="76" t="s">
        <v>681</v>
      </c>
      <c r="J15" s="70" t="s">
        <v>173</v>
      </c>
      <c r="K15" s="79">
        <v>1.55E-2</v>
      </c>
      <c r="L15" s="70" t="s">
        <v>169</v>
      </c>
      <c r="M15" s="76"/>
    </row>
    <row r="16" spans="1:13" x14ac:dyDescent="0.3">
      <c r="A16" s="75" t="s">
        <v>131</v>
      </c>
      <c r="B16" s="75" t="s">
        <v>152</v>
      </c>
      <c r="C16" s="70" t="s">
        <v>174</v>
      </c>
      <c r="D16" s="70" t="s">
        <v>175</v>
      </c>
      <c r="E16" s="79">
        <v>0.65</v>
      </c>
      <c r="F16" s="70" t="s">
        <v>135</v>
      </c>
      <c r="G16" s="70" t="s">
        <v>169</v>
      </c>
      <c r="H16" s="76" t="s">
        <v>684</v>
      </c>
      <c r="I16" s="76" t="s">
        <v>682</v>
      </c>
      <c r="J16" s="70" t="s">
        <v>176</v>
      </c>
      <c r="K16" s="79">
        <v>0.7</v>
      </c>
      <c r="L16" s="70" t="s">
        <v>169</v>
      </c>
      <c r="M16" s="76"/>
    </row>
    <row r="17" spans="1:13" x14ac:dyDescent="0.3">
      <c r="A17" s="75" t="s">
        <v>131</v>
      </c>
      <c r="B17" s="75" t="s">
        <v>152</v>
      </c>
      <c r="C17" s="70" t="s">
        <v>177</v>
      </c>
      <c r="D17" s="70" t="s">
        <v>178</v>
      </c>
      <c r="E17" s="79">
        <v>0.2</v>
      </c>
      <c r="F17" s="70" t="s">
        <v>135</v>
      </c>
      <c r="G17" s="70" t="s">
        <v>169</v>
      </c>
      <c r="H17" s="76" t="s">
        <v>684</v>
      </c>
      <c r="I17" s="76" t="s">
        <v>683</v>
      </c>
      <c r="J17" s="70" t="s">
        <v>179</v>
      </c>
      <c r="K17" s="79">
        <v>0.39</v>
      </c>
      <c r="L17" s="70" t="s">
        <v>169</v>
      </c>
      <c r="M17" s="76"/>
    </row>
    <row r="18" spans="1:13" x14ac:dyDescent="0.3">
      <c r="A18" s="75" t="s">
        <v>131</v>
      </c>
      <c r="B18" s="75" t="s">
        <v>152</v>
      </c>
      <c r="C18" s="70" t="s">
        <v>180</v>
      </c>
      <c r="D18" s="70" t="s">
        <v>181</v>
      </c>
      <c r="E18" s="70" t="s">
        <v>182</v>
      </c>
      <c r="F18" s="70" t="s">
        <v>164</v>
      </c>
      <c r="G18" s="70" t="s">
        <v>165</v>
      </c>
      <c r="H18" s="76" t="s">
        <v>183</v>
      </c>
      <c r="I18" s="76" t="s">
        <v>627</v>
      </c>
      <c r="J18" s="81" t="s">
        <v>184</v>
      </c>
      <c r="K18" s="70" t="s">
        <v>182</v>
      </c>
      <c r="L18" s="70" t="s">
        <v>165</v>
      </c>
      <c r="M18" s="76"/>
    </row>
    <row r="19" spans="1:13" x14ac:dyDescent="0.3">
      <c r="A19" s="75" t="s">
        <v>131</v>
      </c>
      <c r="B19" s="120" t="s">
        <v>152</v>
      </c>
      <c r="C19" s="78" t="s">
        <v>185</v>
      </c>
      <c r="D19" s="78" t="s">
        <v>186</v>
      </c>
      <c r="E19" s="78">
        <v>1.7</v>
      </c>
      <c r="F19" s="78" t="s">
        <v>164</v>
      </c>
      <c r="G19" s="78" t="s">
        <v>187</v>
      </c>
      <c r="H19" s="118" t="s">
        <v>712</v>
      </c>
      <c r="I19" s="76" t="s">
        <v>711</v>
      </c>
      <c r="J19" s="81" t="s">
        <v>188</v>
      </c>
      <c r="K19" s="70">
        <v>3</v>
      </c>
      <c r="L19" s="81" t="s">
        <v>189</v>
      </c>
      <c r="M19" s="76"/>
    </row>
    <row r="20" spans="1:13" x14ac:dyDescent="0.3">
      <c r="A20" s="75" t="s">
        <v>131</v>
      </c>
      <c r="B20" s="75" t="s">
        <v>152</v>
      </c>
      <c r="C20" s="70" t="s">
        <v>190</v>
      </c>
      <c r="D20" s="70" t="s">
        <v>191</v>
      </c>
      <c r="E20" s="70" t="s">
        <v>182</v>
      </c>
      <c r="F20" s="70" t="s">
        <v>164</v>
      </c>
      <c r="G20" s="70" t="s">
        <v>165</v>
      </c>
      <c r="H20" s="124" t="s">
        <v>192</v>
      </c>
      <c r="I20" s="76" t="s">
        <v>627</v>
      </c>
      <c r="J20" s="70" t="s">
        <v>193</v>
      </c>
      <c r="K20" s="70" t="s">
        <v>182</v>
      </c>
      <c r="L20" s="70" t="s">
        <v>165</v>
      </c>
      <c r="M20" s="76"/>
    </row>
    <row r="21" spans="1:13" ht="10.199999999999999" customHeight="1" x14ac:dyDescent="0.3">
      <c r="A21" s="75" t="s">
        <v>131</v>
      </c>
      <c r="B21" s="120" t="s">
        <v>152</v>
      </c>
      <c r="C21" s="78" t="s">
        <v>194</v>
      </c>
      <c r="D21" s="78" t="s">
        <v>195</v>
      </c>
      <c r="E21" s="77">
        <v>300</v>
      </c>
      <c r="F21" s="78" t="s">
        <v>164</v>
      </c>
      <c r="G21" s="78" t="s">
        <v>159</v>
      </c>
      <c r="H21" s="125" t="s">
        <v>713</v>
      </c>
      <c r="I21" s="76" t="s">
        <v>711</v>
      </c>
      <c r="J21" s="70" t="s">
        <v>196</v>
      </c>
      <c r="K21" s="70">
        <v>250</v>
      </c>
      <c r="L21" s="70" t="s">
        <v>159</v>
      </c>
      <c r="M21" s="76"/>
    </row>
    <row r="22" spans="1:13" x14ac:dyDescent="0.3">
      <c r="A22" s="75" t="s">
        <v>131</v>
      </c>
      <c r="B22" s="75" t="s">
        <v>152</v>
      </c>
      <c r="C22" s="70" t="s">
        <v>197</v>
      </c>
      <c r="D22" s="70" t="s">
        <v>198</v>
      </c>
      <c r="E22" s="70">
        <v>30</v>
      </c>
      <c r="F22" s="70" t="s">
        <v>164</v>
      </c>
      <c r="G22" s="70"/>
      <c r="H22" s="116" t="s">
        <v>688</v>
      </c>
      <c r="I22" s="76" t="s">
        <v>711</v>
      </c>
      <c r="J22" s="70" t="s">
        <v>198</v>
      </c>
      <c r="K22" s="70">
        <v>31</v>
      </c>
      <c r="L22" s="70"/>
      <c r="M22" s="76"/>
    </row>
    <row r="23" spans="1:13" x14ac:dyDescent="0.3">
      <c r="A23" s="75" t="s">
        <v>131</v>
      </c>
      <c r="B23" s="75" t="s">
        <v>152</v>
      </c>
      <c r="C23" s="70" t="s">
        <v>133</v>
      </c>
      <c r="D23" s="70" t="s">
        <v>199</v>
      </c>
      <c r="E23" s="79">
        <v>0.41</v>
      </c>
      <c r="F23" s="70" t="s">
        <v>164</v>
      </c>
      <c r="G23" s="70"/>
      <c r="H23" s="76" t="s">
        <v>192</v>
      </c>
      <c r="I23" s="76" t="s">
        <v>627</v>
      </c>
      <c r="J23" s="70" t="s">
        <v>199</v>
      </c>
      <c r="K23" s="79">
        <v>0.41</v>
      </c>
      <c r="L23" s="70" t="s">
        <v>155</v>
      </c>
      <c r="M23" s="76"/>
    </row>
    <row r="24" spans="1:13" x14ac:dyDescent="0.3">
      <c r="A24" s="75" t="s">
        <v>131</v>
      </c>
      <c r="B24" s="75" t="s">
        <v>152</v>
      </c>
      <c r="C24" s="70" t="s">
        <v>137</v>
      </c>
      <c r="D24" s="70" t="s">
        <v>200</v>
      </c>
      <c r="E24" s="78" t="s">
        <v>693</v>
      </c>
      <c r="F24" s="70" t="s">
        <v>164</v>
      </c>
      <c r="G24" s="70"/>
      <c r="H24" s="78" t="s">
        <v>694</v>
      </c>
      <c r="I24" s="76" t="s">
        <v>202</v>
      </c>
      <c r="J24" s="70" t="s">
        <v>200</v>
      </c>
      <c r="K24" s="70" t="s">
        <v>201</v>
      </c>
      <c r="L24" s="70" t="s">
        <v>203</v>
      </c>
      <c r="M24" s="76"/>
    </row>
    <row r="25" spans="1:13" x14ac:dyDescent="0.3">
      <c r="A25" s="75" t="s">
        <v>131</v>
      </c>
      <c r="B25" s="75" t="s">
        <v>152</v>
      </c>
      <c r="C25" s="70" t="s">
        <v>204</v>
      </c>
      <c r="D25" s="70" t="s">
        <v>205</v>
      </c>
      <c r="E25" s="70" t="s">
        <v>182</v>
      </c>
      <c r="F25" s="70" t="s">
        <v>164</v>
      </c>
      <c r="G25" s="70"/>
      <c r="H25" s="77" t="s">
        <v>628</v>
      </c>
      <c r="I25" s="76" t="s">
        <v>629</v>
      </c>
      <c r="J25" s="70" t="s">
        <v>205</v>
      </c>
      <c r="K25" s="70" t="s">
        <v>182</v>
      </c>
      <c r="L25" s="70" t="s">
        <v>165</v>
      </c>
      <c r="M25" s="76"/>
    </row>
    <row r="26" spans="1:13" x14ac:dyDescent="0.3">
      <c r="A26" s="75" t="s">
        <v>131</v>
      </c>
      <c r="B26" s="75" t="s">
        <v>152</v>
      </c>
      <c r="C26" s="70" t="s">
        <v>206</v>
      </c>
      <c r="D26" s="70" t="s">
        <v>207</v>
      </c>
      <c r="E26" s="70">
        <v>708</v>
      </c>
      <c r="F26" s="70" t="s">
        <v>164</v>
      </c>
      <c r="G26" s="70"/>
      <c r="H26" s="76" t="s">
        <v>208</v>
      </c>
      <c r="I26" s="76" t="s">
        <v>627</v>
      </c>
      <c r="J26" s="70" t="s">
        <v>207</v>
      </c>
      <c r="K26" s="70">
        <v>708</v>
      </c>
      <c r="L26" s="70" t="s">
        <v>209</v>
      </c>
      <c r="M26" s="76"/>
    </row>
    <row r="27" spans="1:13" x14ac:dyDescent="0.3">
      <c r="A27" s="75" t="s">
        <v>131</v>
      </c>
      <c r="B27" s="75" t="s">
        <v>152</v>
      </c>
      <c r="C27" s="70" t="s">
        <v>210</v>
      </c>
      <c r="D27" s="70" t="s">
        <v>211</v>
      </c>
      <c r="E27" s="70">
        <v>67</v>
      </c>
      <c r="F27" s="70" t="s">
        <v>164</v>
      </c>
      <c r="G27" s="70"/>
      <c r="H27" s="76" t="s">
        <v>208</v>
      </c>
      <c r="I27" s="76" t="s">
        <v>627</v>
      </c>
      <c r="J27" s="70" t="s">
        <v>211</v>
      </c>
      <c r="K27" s="70">
        <v>67</v>
      </c>
      <c r="L27" s="70" t="s">
        <v>209</v>
      </c>
      <c r="M27" s="76"/>
    </row>
    <row r="28" spans="1:13" x14ac:dyDescent="0.3">
      <c r="A28" s="75" t="s">
        <v>131</v>
      </c>
      <c r="B28" s="75" t="s">
        <v>152</v>
      </c>
      <c r="C28" s="70" t="s">
        <v>212</v>
      </c>
      <c r="D28" s="70" t="s">
        <v>213</v>
      </c>
      <c r="E28" s="70">
        <v>4500</v>
      </c>
      <c r="F28" s="70" t="s">
        <v>164</v>
      </c>
      <c r="G28" s="70"/>
      <c r="H28" s="76" t="s">
        <v>208</v>
      </c>
      <c r="I28" s="76" t="s">
        <v>627</v>
      </c>
      <c r="J28" s="70" t="s">
        <v>213</v>
      </c>
      <c r="K28" s="70">
        <v>4500</v>
      </c>
      <c r="L28" s="70"/>
      <c r="M28" s="76"/>
    </row>
    <row r="29" spans="1:13" x14ac:dyDescent="0.3">
      <c r="A29" s="75" t="s">
        <v>131</v>
      </c>
      <c r="B29" s="75" t="s">
        <v>214</v>
      </c>
      <c r="C29" s="70" t="s">
        <v>215</v>
      </c>
      <c r="D29" s="70" t="s">
        <v>158</v>
      </c>
      <c r="E29" s="70">
        <v>650</v>
      </c>
      <c r="F29" s="70" t="s">
        <v>135</v>
      </c>
      <c r="G29" s="70" t="s">
        <v>159</v>
      </c>
      <c r="H29" s="76" t="s">
        <v>668</v>
      </c>
      <c r="I29" s="76"/>
      <c r="J29" s="70" t="s">
        <v>216</v>
      </c>
      <c r="K29" s="80">
        <v>950</v>
      </c>
      <c r="L29" s="70" t="s">
        <v>159</v>
      </c>
      <c r="M29" s="76"/>
    </row>
    <row r="30" spans="1:13" x14ac:dyDescent="0.3">
      <c r="A30" s="75" t="s">
        <v>131</v>
      </c>
      <c r="B30" s="75" t="s">
        <v>214</v>
      </c>
      <c r="C30" s="70" t="s">
        <v>153</v>
      </c>
      <c r="D30" s="70" t="s">
        <v>154</v>
      </c>
      <c r="E30" s="79">
        <v>0.27</v>
      </c>
      <c r="F30" s="70" t="s">
        <v>135</v>
      </c>
      <c r="G30" s="70" t="s">
        <v>155</v>
      </c>
      <c r="H30" s="76" t="s">
        <v>668</v>
      </c>
      <c r="I30" s="76"/>
      <c r="J30" s="70" t="s">
        <v>217</v>
      </c>
      <c r="K30" s="79">
        <v>0.25</v>
      </c>
      <c r="L30" s="70" t="s">
        <v>155</v>
      </c>
      <c r="M30" s="76"/>
    </row>
    <row r="31" spans="1:13" x14ac:dyDescent="0.3">
      <c r="A31" s="75" t="s">
        <v>131</v>
      </c>
      <c r="B31" s="75" t="s">
        <v>214</v>
      </c>
      <c r="C31" s="70" t="s">
        <v>157</v>
      </c>
      <c r="D31" s="70" t="s">
        <v>162</v>
      </c>
      <c r="E31" s="70" t="s">
        <v>163</v>
      </c>
      <c r="F31" s="70" t="s">
        <v>164</v>
      </c>
      <c r="G31" s="70" t="s">
        <v>165</v>
      </c>
      <c r="H31" s="76"/>
      <c r="I31" s="76" t="s">
        <v>94</v>
      </c>
      <c r="J31" s="81" t="s">
        <v>166</v>
      </c>
      <c r="K31" s="70" t="s">
        <v>163</v>
      </c>
      <c r="L31" s="70" t="s">
        <v>165</v>
      </c>
      <c r="M31" s="76"/>
    </row>
    <row r="32" spans="1:13" x14ac:dyDescent="0.3">
      <c r="A32" s="75" t="s">
        <v>131</v>
      </c>
      <c r="B32" s="75" t="s">
        <v>214</v>
      </c>
      <c r="C32" s="70" t="s">
        <v>218</v>
      </c>
      <c r="D32" s="70" t="s">
        <v>168</v>
      </c>
      <c r="E32" s="79">
        <v>0.04</v>
      </c>
      <c r="F32" s="70" t="s">
        <v>135</v>
      </c>
      <c r="G32" s="70" t="s">
        <v>169</v>
      </c>
      <c r="H32" s="76" t="s">
        <v>668</v>
      </c>
      <c r="I32" s="76"/>
      <c r="J32" s="70" t="s">
        <v>170</v>
      </c>
      <c r="K32" s="79">
        <v>0.04</v>
      </c>
      <c r="L32" s="70" t="s">
        <v>169</v>
      </c>
      <c r="M32" s="76"/>
    </row>
    <row r="33" spans="1:13" x14ac:dyDescent="0.3">
      <c r="A33" s="75" t="s">
        <v>131</v>
      </c>
      <c r="B33" s="75" t="s">
        <v>214</v>
      </c>
      <c r="C33" s="70" t="s">
        <v>161</v>
      </c>
      <c r="D33" s="70" t="s">
        <v>175</v>
      </c>
      <c r="E33" s="79">
        <v>0.65</v>
      </c>
      <c r="F33" s="70" t="s">
        <v>135</v>
      </c>
      <c r="G33" s="70" t="s">
        <v>169</v>
      </c>
      <c r="H33" s="76" t="s">
        <v>668</v>
      </c>
      <c r="I33" s="76"/>
      <c r="J33" s="70" t="s">
        <v>176</v>
      </c>
      <c r="K33" s="79">
        <v>0.7</v>
      </c>
      <c r="L33" s="70" t="s">
        <v>169</v>
      </c>
      <c r="M33" s="76"/>
    </row>
    <row r="34" spans="1:13" x14ac:dyDescent="0.3">
      <c r="A34" s="75" t="s">
        <v>131</v>
      </c>
      <c r="B34" s="75" t="s">
        <v>214</v>
      </c>
      <c r="C34" s="70" t="s">
        <v>167</v>
      </c>
      <c r="D34" s="70" t="s">
        <v>178</v>
      </c>
      <c r="E34" s="79">
        <v>0.2</v>
      </c>
      <c r="F34" s="70" t="s">
        <v>135</v>
      </c>
      <c r="G34" s="70" t="s">
        <v>169</v>
      </c>
      <c r="H34" s="76" t="s">
        <v>668</v>
      </c>
      <c r="I34" s="76"/>
      <c r="J34" s="70" t="s">
        <v>179</v>
      </c>
      <c r="K34" s="79">
        <v>0.39</v>
      </c>
      <c r="L34" s="70" t="s">
        <v>169</v>
      </c>
      <c r="M34" s="76"/>
    </row>
    <row r="35" spans="1:13" x14ac:dyDescent="0.3">
      <c r="A35" s="75" t="s">
        <v>131</v>
      </c>
      <c r="B35" s="75" t="s">
        <v>214</v>
      </c>
      <c r="C35" s="70" t="s">
        <v>174</v>
      </c>
      <c r="D35" s="70" t="s">
        <v>219</v>
      </c>
      <c r="E35" s="70">
        <v>1</v>
      </c>
      <c r="F35" s="70" t="s">
        <v>164</v>
      </c>
      <c r="G35" s="70"/>
      <c r="H35" s="70" t="s">
        <v>220</v>
      </c>
      <c r="I35" s="76" t="s">
        <v>627</v>
      </c>
      <c r="J35" s="70" t="s">
        <v>219</v>
      </c>
      <c r="K35" s="70">
        <v>1</v>
      </c>
      <c r="L35" s="70"/>
      <c r="M35" s="76"/>
    </row>
    <row r="36" spans="1:13" x14ac:dyDescent="0.3">
      <c r="A36" s="75" t="s">
        <v>131</v>
      </c>
      <c r="B36" s="75" t="s">
        <v>214</v>
      </c>
      <c r="C36" s="70" t="s">
        <v>177</v>
      </c>
      <c r="D36" s="70" t="s">
        <v>221</v>
      </c>
      <c r="E36" s="70" t="s">
        <v>222</v>
      </c>
      <c r="F36" s="70" t="s">
        <v>164</v>
      </c>
      <c r="G36" s="70"/>
      <c r="H36" s="70" t="s">
        <v>220</v>
      </c>
      <c r="I36" s="76" t="s">
        <v>627</v>
      </c>
      <c r="J36" s="70" t="s">
        <v>221</v>
      </c>
      <c r="K36" s="70" t="s">
        <v>222</v>
      </c>
      <c r="L36" s="70"/>
      <c r="M36" s="76"/>
    </row>
    <row r="37" spans="1:13" x14ac:dyDescent="0.3">
      <c r="A37" s="75" t="s">
        <v>131</v>
      </c>
      <c r="B37" s="75" t="s">
        <v>214</v>
      </c>
      <c r="C37" s="70" t="s">
        <v>185</v>
      </c>
      <c r="D37" s="70" t="s">
        <v>223</v>
      </c>
      <c r="E37" s="79">
        <v>0.75</v>
      </c>
      <c r="F37" s="70" t="s">
        <v>164</v>
      </c>
      <c r="G37" s="70" t="s">
        <v>155</v>
      </c>
      <c r="H37" s="70" t="s">
        <v>695</v>
      </c>
      <c r="I37" s="76" t="s">
        <v>627</v>
      </c>
      <c r="J37" s="70" t="s">
        <v>223</v>
      </c>
      <c r="K37" s="79">
        <v>0.75</v>
      </c>
      <c r="L37" s="70" t="s">
        <v>155</v>
      </c>
      <c r="M37" s="76"/>
    </row>
    <row r="38" spans="1:13" x14ac:dyDescent="0.3">
      <c r="A38" s="75" t="s">
        <v>131</v>
      </c>
      <c r="B38" s="75" t="s">
        <v>214</v>
      </c>
      <c r="C38" s="70" t="s">
        <v>190</v>
      </c>
      <c r="D38" s="70" t="s">
        <v>224</v>
      </c>
      <c r="E38" s="79">
        <v>0</v>
      </c>
      <c r="F38" s="70" t="s">
        <v>164</v>
      </c>
      <c r="G38" s="70" t="s">
        <v>155</v>
      </c>
      <c r="H38" s="76" t="s">
        <v>225</v>
      </c>
      <c r="I38" s="76"/>
      <c r="J38" s="70" t="s">
        <v>224</v>
      </c>
      <c r="K38" s="79">
        <v>0</v>
      </c>
      <c r="L38" s="70" t="s">
        <v>155</v>
      </c>
      <c r="M38" s="76"/>
    </row>
    <row r="39" spans="1:13" x14ac:dyDescent="0.3">
      <c r="A39" s="75" t="s">
        <v>131</v>
      </c>
      <c r="B39" s="75" t="s">
        <v>214</v>
      </c>
      <c r="C39" s="70" t="s">
        <v>226</v>
      </c>
      <c r="D39" s="70" t="s">
        <v>227</v>
      </c>
      <c r="E39" s="79">
        <v>0.8</v>
      </c>
      <c r="F39" s="70" t="s">
        <v>164</v>
      </c>
      <c r="G39" s="70" t="s">
        <v>155</v>
      </c>
      <c r="H39" s="76" t="s">
        <v>228</v>
      </c>
      <c r="I39" s="76" t="s">
        <v>627</v>
      </c>
      <c r="J39" s="70" t="s">
        <v>227</v>
      </c>
      <c r="K39" s="79">
        <v>0.8</v>
      </c>
      <c r="L39" s="70" t="s">
        <v>155</v>
      </c>
      <c r="M39" s="76"/>
    </row>
    <row r="40" spans="1:13" x14ac:dyDescent="0.3">
      <c r="A40" s="75" t="s">
        <v>131</v>
      </c>
      <c r="B40" s="75" t="s">
        <v>214</v>
      </c>
      <c r="C40" s="70" t="s">
        <v>229</v>
      </c>
      <c r="D40" s="70" t="s">
        <v>230</v>
      </c>
      <c r="E40" s="82">
        <v>0.69899999999999995</v>
      </c>
      <c r="F40" s="70" t="s">
        <v>164</v>
      </c>
      <c r="G40" s="70" t="s">
        <v>155</v>
      </c>
      <c r="H40" s="76" t="s">
        <v>228</v>
      </c>
      <c r="I40" s="76" t="s">
        <v>627</v>
      </c>
      <c r="J40" s="70" t="s">
        <v>230</v>
      </c>
      <c r="K40" s="82">
        <v>0.69899999999999995</v>
      </c>
      <c r="L40" s="70" t="s">
        <v>155</v>
      </c>
      <c r="M40" s="76"/>
    </row>
    <row r="41" spans="1:13" x14ac:dyDescent="0.3">
      <c r="A41" s="75" t="s">
        <v>131</v>
      </c>
      <c r="B41" s="75" t="s">
        <v>231</v>
      </c>
      <c r="C41" s="70" t="s">
        <v>215</v>
      </c>
      <c r="D41" s="70" t="s">
        <v>154</v>
      </c>
      <c r="E41" s="79">
        <v>0.27</v>
      </c>
      <c r="F41" s="70" t="s">
        <v>135</v>
      </c>
      <c r="G41" s="70" t="s">
        <v>155</v>
      </c>
      <c r="H41" s="76" t="s">
        <v>668</v>
      </c>
      <c r="I41" s="76"/>
      <c r="J41" s="70" t="s">
        <v>217</v>
      </c>
      <c r="K41" s="79">
        <v>0.25</v>
      </c>
      <c r="L41" s="70" t="s">
        <v>155</v>
      </c>
      <c r="M41" s="76"/>
    </row>
    <row r="42" spans="1:13" x14ac:dyDescent="0.3">
      <c r="A42" s="75" t="s">
        <v>131</v>
      </c>
      <c r="B42" s="75" t="s">
        <v>231</v>
      </c>
      <c r="C42" s="70" t="s">
        <v>232</v>
      </c>
      <c r="D42" s="70" t="s">
        <v>162</v>
      </c>
      <c r="E42" s="70" t="s">
        <v>163</v>
      </c>
      <c r="F42" s="70" t="s">
        <v>164</v>
      </c>
      <c r="G42" s="70" t="s">
        <v>165</v>
      </c>
      <c r="H42" s="76"/>
      <c r="I42" s="76" t="s">
        <v>94</v>
      </c>
      <c r="J42" s="81" t="s">
        <v>166</v>
      </c>
      <c r="K42" s="70" t="s">
        <v>163</v>
      </c>
      <c r="L42" s="70" t="s">
        <v>165</v>
      </c>
      <c r="M42" s="76"/>
    </row>
    <row r="43" spans="1:13" x14ac:dyDescent="0.3">
      <c r="A43" s="75" t="s">
        <v>131</v>
      </c>
      <c r="B43" s="75" t="s">
        <v>231</v>
      </c>
      <c r="C43" s="70" t="s">
        <v>157</v>
      </c>
      <c r="D43" s="70" t="s">
        <v>168</v>
      </c>
      <c r="E43" s="79">
        <v>0.04</v>
      </c>
      <c r="F43" s="70" t="s">
        <v>135</v>
      </c>
      <c r="G43" s="70" t="s">
        <v>169</v>
      </c>
      <c r="H43" s="76" t="s">
        <v>668</v>
      </c>
      <c r="I43" s="76"/>
      <c r="J43" s="70" t="s">
        <v>170</v>
      </c>
      <c r="K43" s="79">
        <v>0.04</v>
      </c>
      <c r="L43" s="70" t="s">
        <v>169</v>
      </c>
      <c r="M43" s="76"/>
    </row>
    <row r="44" spans="1:13" x14ac:dyDescent="0.3">
      <c r="A44" s="75" t="s">
        <v>131</v>
      </c>
      <c r="B44" s="75" t="s">
        <v>231</v>
      </c>
      <c r="C44" s="70" t="s">
        <v>218</v>
      </c>
      <c r="D44" s="70" t="s">
        <v>172</v>
      </c>
      <c r="E44" s="82">
        <v>7.0000000000000001E-3</v>
      </c>
      <c r="F44" s="70" t="s">
        <v>135</v>
      </c>
      <c r="G44" s="70" t="s">
        <v>169</v>
      </c>
      <c r="H44" s="76" t="s">
        <v>668</v>
      </c>
      <c r="I44" s="76"/>
      <c r="J44" s="70" t="s">
        <v>173</v>
      </c>
      <c r="K44" s="79">
        <v>1.55E-2</v>
      </c>
      <c r="L44" s="70" t="s">
        <v>169</v>
      </c>
      <c r="M44" s="76"/>
    </row>
    <row r="45" spans="1:13" x14ac:dyDescent="0.3">
      <c r="A45" s="75" t="s">
        <v>131</v>
      </c>
      <c r="B45" s="75" t="s">
        <v>231</v>
      </c>
      <c r="C45" s="70" t="s">
        <v>161</v>
      </c>
      <c r="D45" s="70" t="s">
        <v>175</v>
      </c>
      <c r="E45" s="82">
        <v>0.65</v>
      </c>
      <c r="F45" s="70" t="s">
        <v>135</v>
      </c>
      <c r="G45" s="70" t="s">
        <v>169</v>
      </c>
      <c r="H45" s="76" t="s">
        <v>668</v>
      </c>
      <c r="I45" s="76"/>
      <c r="J45" s="70" t="s">
        <v>176</v>
      </c>
      <c r="K45" s="79">
        <v>0.7</v>
      </c>
      <c r="L45" s="70" t="s">
        <v>169</v>
      </c>
      <c r="M45" s="76"/>
    </row>
    <row r="46" spans="1:13" x14ac:dyDescent="0.3">
      <c r="A46" s="120" t="s">
        <v>131</v>
      </c>
      <c r="B46" s="120" t="s">
        <v>231</v>
      </c>
      <c r="C46" s="78" t="s">
        <v>167</v>
      </c>
      <c r="D46" s="78" t="s">
        <v>233</v>
      </c>
      <c r="E46" s="122" t="s">
        <v>696</v>
      </c>
      <c r="F46" s="78" t="s">
        <v>135</v>
      </c>
      <c r="G46" s="78"/>
      <c r="H46" s="78" t="s">
        <v>697</v>
      </c>
      <c r="I46" s="121" t="s">
        <v>709</v>
      </c>
      <c r="J46" s="78" t="s">
        <v>233</v>
      </c>
      <c r="K46" s="122" t="s">
        <v>235</v>
      </c>
      <c r="L46" s="70"/>
      <c r="M46" s="76"/>
    </row>
    <row r="47" spans="1:13" x14ac:dyDescent="0.3">
      <c r="A47" s="75" t="s">
        <v>131</v>
      </c>
      <c r="B47" s="75" t="s">
        <v>231</v>
      </c>
      <c r="C47" s="70" t="s">
        <v>171</v>
      </c>
      <c r="D47" s="70" t="s">
        <v>236</v>
      </c>
      <c r="E47" s="82"/>
      <c r="F47" s="70"/>
      <c r="G47" s="70" t="s">
        <v>155</v>
      </c>
      <c r="H47" s="70" t="s">
        <v>234</v>
      </c>
      <c r="I47" s="76"/>
      <c r="J47" s="70" t="s">
        <v>236</v>
      </c>
      <c r="K47" s="82">
        <v>0</v>
      </c>
      <c r="L47" s="70" t="s">
        <v>155</v>
      </c>
      <c r="M47" s="76"/>
    </row>
    <row r="48" spans="1:13" x14ac:dyDescent="0.3">
      <c r="A48" s="75" t="s">
        <v>131</v>
      </c>
      <c r="B48" s="75" t="s">
        <v>231</v>
      </c>
      <c r="C48" s="70" t="s">
        <v>174</v>
      </c>
      <c r="D48" s="70" t="s">
        <v>237</v>
      </c>
      <c r="E48" s="82"/>
      <c r="F48" s="70"/>
      <c r="G48" s="70" t="s">
        <v>155</v>
      </c>
      <c r="H48" s="70" t="s">
        <v>234</v>
      </c>
      <c r="I48" s="76"/>
      <c r="J48" s="70" t="s">
        <v>237</v>
      </c>
      <c r="K48" s="82">
        <v>0.75</v>
      </c>
      <c r="L48" s="70" t="s">
        <v>155</v>
      </c>
      <c r="M48" s="76"/>
    </row>
    <row r="49" spans="1:13" x14ac:dyDescent="0.3">
      <c r="A49" s="75" t="s">
        <v>131</v>
      </c>
      <c r="B49" s="75" t="s">
        <v>231</v>
      </c>
      <c r="C49" s="70" t="s">
        <v>177</v>
      </c>
      <c r="D49" s="117" t="s">
        <v>238</v>
      </c>
      <c r="E49" s="119" t="s">
        <v>240</v>
      </c>
      <c r="F49" s="117" t="s">
        <v>164</v>
      </c>
      <c r="G49" s="117" t="s">
        <v>698</v>
      </c>
      <c r="H49" s="70"/>
      <c r="I49" s="76" t="s">
        <v>710</v>
      </c>
      <c r="J49" s="70" t="s">
        <v>239</v>
      </c>
      <c r="K49" s="76" t="s">
        <v>240</v>
      </c>
      <c r="L49" s="70"/>
      <c r="M49" s="76"/>
    </row>
    <row r="50" spans="1:13" x14ac:dyDescent="0.3">
      <c r="A50" s="75" t="s">
        <v>131</v>
      </c>
      <c r="B50" s="75" t="s">
        <v>231</v>
      </c>
      <c r="C50" s="70" t="s">
        <v>180</v>
      </c>
      <c r="D50" s="70" t="s">
        <v>241</v>
      </c>
      <c r="E50" s="82"/>
      <c r="F50" s="70"/>
      <c r="G50" s="70"/>
      <c r="H50" s="70" t="s">
        <v>700</v>
      </c>
      <c r="I50" s="76" t="s">
        <v>710</v>
      </c>
      <c r="J50" s="70" t="s">
        <v>242</v>
      </c>
      <c r="K50" s="76" t="s">
        <v>163</v>
      </c>
      <c r="L50" s="70"/>
      <c r="M50" s="76"/>
    </row>
    <row r="51" spans="1:13" x14ac:dyDescent="0.3">
      <c r="A51" s="75" t="s">
        <v>131</v>
      </c>
      <c r="B51" s="75" t="s">
        <v>231</v>
      </c>
      <c r="C51" s="70" t="s">
        <v>185</v>
      </c>
      <c r="D51" s="70" t="s">
        <v>243</v>
      </c>
      <c r="E51" s="70">
        <v>1000</v>
      </c>
      <c r="F51" s="70" t="s">
        <v>135</v>
      </c>
      <c r="G51" s="70" t="s">
        <v>244</v>
      </c>
      <c r="H51" s="117" t="s">
        <v>701</v>
      </c>
      <c r="I51" s="118" t="s">
        <v>710</v>
      </c>
      <c r="J51" s="70" t="s">
        <v>243</v>
      </c>
      <c r="K51" s="80">
        <v>850</v>
      </c>
      <c r="L51" s="76" t="s">
        <v>244</v>
      </c>
      <c r="M51" s="76"/>
    </row>
    <row r="52" spans="1:13" x14ac:dyDescent="0.3">
      <c r="A52" s="75" t="s">
        <v>131</v>
      </c>
      <c r="B52" s="75" t="s">
        <v>231</v>
      </c>
      <c r="C52" s="70" t="s">
        <v>133</v>
      </c>
      <c r="D52" s="70" t="s">
        <v>245</v>
      </c>
      <c r="E52" s="70">
        <v>-196</v>
      </c>
      <c r="F52" s="70" t="s">
        <v>164</v>
      </c>
      <c r="G52" s="70" t="s">
        <v>246</v>
      </c>
      <c r="H52" s="70" t="s">
        <v>247</v>
      </c>
      <c r="I52" s="76" t="s">
        <v>627</v>
      </c>
      <c r="J52" s="70" t="s">
        <v>248</v>
      </c>
      <c r="K52" s="80">
        <v>-196</v>
      </c>
      <c r="L52" s="70" t="s">
        <v>246</v>
      </c>
      <c r="M52" s="76"/>
    </row>
    <row r="53" spans="1:13" x14ac:dyDescent="0.3">
      <c r="A53" s="75" t="s">
        <v>131</v>
      </c>
      <c r="B53" s="75" t="s">
        <v>231</v>
      </c>
      <c r="C53" s="70" t="s">
        <v>249</v>
      </c>
      <c r="D53" s="70" t="s">
        <v>250</v>
      </c>
      <c r="E53" s="70">
        <v>5000</v>
      </c>
      <c r="F53" s="70" t="s">
        <v>164</v>
      </c>
      <c r="G53" s="70" t="s">
        <v>251</v>
      </c>
      <c r="H53" s="70" t="s">
        <v>247</v>
      </c>
      <c r="I53" s="76" t="s">
        <v>627</v>
      </c>
      <c r="J53" s="70" t="s">
        <v>252</v>
      </c>
      <c r="K53" s="80">
        <v>5000</v>
      </c>
      <c r="L53" s="70" t="s">
        <v>251</v>
      </c>
      <c r="M53" s="76"/>
    </row>
    <row r="54" spans="1:13" x14ac:dyDescent="0.3">
      <c r="A54" s="75" t="s">
        <v>253</v>
      </c>
      <c r="B54" s="75" t="s">
        <v>152</v>
      </c>
      <c r="C54" s="70" t="s">
        <v>215</v>
      </c>
      <c r="D54" s="70" t="s">
        <v>254</v>
      </c>
      <c r="E54" s="83">
        <f>(AVERAGE(B197:B199)+AVERAGE(B200:B202)+AVERAGE(B204:B206))/365</f>
        <v>256.88858447488587</v>
      </c>
      <c r="F54" s="70" t="s">
        <v>135</v>
      </c>
      <c r="G54" s="70" t="s">
        <v>255</v>
      </c>
      <c r="H54" s="70" t="s">
        <v>256</v>
      </c>
      <c r="I54" s="76" t="s">
        <v>257</v>
      </c>
      <c r="J54" s="70" t="s">
        <v>258</v>
      </c>
      <c r="K54" s="70" t="s">
        <v>255</v>
      </c>
      <c r="L54" s="70" t="s">
        <v>255</v>
      </c>
      <c r="M54" s="76"/>
    </row>
    <row r="55" spans="1:13" x14ac:dyDescent="0.3">
      <c r="A55" s="75" t="s">
        <v>253</v>
      </c>
      <c r="B55" s="75" t="s">
        <v>214</v>
      </c>
      <c r="C55" s="70" t="s">
        <v>259</v>
      </c>
      <c r="D55" s="70" t="s">
        <v>260</v>
      </c>
      <c r="E55" s="83">
        <f>(AVERAGE(B234:B236)+AVERAGE(B237:B239)+AVERAGE(B240:B242))/365</f>
        <v>78.332420091324195</v>
      </c>
      <c r="F55" s="70" t="s">
        <v>135</v>
      </c>
      <c r="G55" s="70" t="s">
        <v>255</v>
      </c>
      <c r="H55" s="70" t="s">
        <v>261</v>
      </c>
      <c r="I55" s="76" t="s">
        <v>262</v>
      </c>
      <c r="J55" s="70" t="s">
        <v>263</v>
      </c>
      <c r="K55" s="70" t="s">
        <v>255</v>
      </c>
      <c r="L55" s="70" t="s">
        <v>255</v>
      </c>
      <c r="M55" s="76"/>
    </row>
    <row r="56" spans="1:13" x14ac:dyDescent="0.3">
      <c r="A56" s="75" t="s">
        <v>253</v>
      </c>
      <c r="B56" s="75" t="s">
        <v>231</v>
      </c>
      <c r="C56" s="70" t="s">
        <v>259</v>
      </c>
      <c r="D56" s="70" t="s">
        <v>264</v>
      </c>
      <c r="E56" s="83">
        <f>((B268/100)*(AVERAGE(B224:B226)+AVERAGE(B227:B229)+AVERAGE(B221:B223)+AVERAGE(B218:B220)))/365</f>
        <v>31.845545205479457</v>
      </c>
      <c r="F56" s="70" t="s">
        <v>135</v>
      </c>
      <c r="G56" s="70" t="s">
        <v>255</v>
      </c>
      <c r="H56" s="70" t="s">
        <v>265</v>
      </c>
      <c r="I56" s="76" t="s">
        <v>266</v>
      </c>
      <c r="J56" s="70" t="s">
        <v>267</v>
      </c>
      <c r="K56" s="70" t="s">
        <v>255</v>
      </c>
      <c r="L56" s="70" t="s">
        <v>255</v>
      </c>
      <c r="M56" s="76"/>
    </row>
    <row r="57" spans="1:13" x14ac:dyDescent="0.3">
      <c r="A57" s="75" t="s">
        <v>253</v>
      </c>
      <c r="B57" s="84" t="s">
        <v>268</v>
      </c>
      <c r="C57" s="70" t="s">
        <v>259</v>
      </c>
      <c r="D57" s="70" t="s">
        <v>269</v>
      </c>
      <c r="E57" s="70"/>
      <c r="F57" s="70" t="s">
        <v>135</v>
      </c>
      <c r="G57" s="70" t="s">
        <v>255</v>
      </c>
      <c r="H57" s="70"/>
      <c r="I57" s="76"/>
      <c r="J57" s="76" t="s">
        <v>270</v>
      </c>
      <c r="K57" s="70" t="s">
        <v>255</v>
      </c>
      <c r="L57" s="70" t="s">
        <v>255</v>
      </c>
      <c r="M57" s="76"/>
    </row>
    <row r="58" spans="1:13" x14ac:dyDescent="0.3">
      <c r="A58" s="75" t="s">
        <v>253</v>
      </c>
      <c r="B58" s="84" t="s">
        <v>268</v>
      </c>
      <c r="C58" s="70" t="s">
        <v>259</v>
      </c>
      <c r="D58" s="70" t="s">
        <v>271</v>
      </c>
      <c r="E58" s="83">
        <f>(AVERAGE(B215:B217))/365</f>
        <v>3.5004566210045662</v>
      </c>
      <c r="F58" s="70" t="s">
        <v>135</v>
      </c>
      <c r="G58" s="70" t="s">
        <v>255</v>
      </c>
      <c r="H58" s="70"/>
      <c r="I58" s="76" t="s">
        <v>272</v>
      </c>
      <c r="J58" s="76" t="s">
        <v>270</v>
      </c>
      <c r="K58" s="70" t="s">
        <v>255</v>
      </c>
      <c r="L58" s="70" t="s">
        <v>255</v>
      </c>
      <c r="M58" s="76"/>
    </row>
    <row r="59" spans="1:13" x14ac:dyDescent="0.3">
      <c r="A59" s="75" t="s">
        <v>273</v>
      </c>
      <c r="B59" s="75" t="s">
        <v>152</v>
      </c>
      <c r="C59" s="70" t="s">
        <v>215</v>
      </c>
      <c r="D59" s="70" t="s">
        <v>274</v>
      </c>
      <c r="E59" s="83">
        <f>(((100-B269)/100)*(AVERAGE(B197:B199)+AVERAGE(B200:B202)+AVERAGE(B204:B206)))/365</f>
        <v>231.19972602739728</v>
      </c>
      <c r="F59" s="70" t="s">
        <v>135</v>
      </c>
      <c r="G59" s="70" t="s">
        <v>255</v>
      </c>
      <c r="H59" s="70" t="s">
        <v>275</v>
      </c>
      <c r="I59" s="76" t="s">
        <v>276</v>
      </c>
      <c r="J59" s="70" t="s">
        <v>258</v>
      </c>
      <c r="K59" s="70" t="s">
        <v>255</v>
      </c>
      <c r="L59" s="70" t="s">
        <v>255</v>
      </c>
      <c r="M59" s="76"/>
    </row>
    <row r="60" spans="1:13" x14ac:dyDescent="0.3">
      <c r="A60" s="75" t="s">
        <v>273</v>
      </c>
      <c r="B60" s="75" t="s">
        <v>214</v>
      </c>
      <c r="C60" s="70" t="s">
        <v>259</v>
      </c>
      <c r="D60" s="70" t="s">
        <v>260</v>
      </c>
      <c r="E60" s="83">
        <f>(((100-B269)/100)*(AVERAGE(B234:B236)+AVERAGE(B237:B239)+AVERAGE(B240:B242)))/365</f>
        <v>70.499178082191776</v>
      </c>
      <c r="F60" s="70" t="s">
        <v>135</v>
      </c>
      <c r="G60" s="70" t="s">
        <v>255</v>
      </c>
      <c r="H60" s="70" t="s">
        <v>277</v>
      </c>
      <c r="I60" s="76" t="s">
        <v>278</v>
      </c>
      <c r="J60" s="70" t="s">
        <v>263</v>
      </c>
      <c r="K60" s="70" t="s">
        <v>255</v>
      </c>
      <c r="L60" s="70" t="s">
        <v>255</v>
      </c>
      <c r="M60" s="76"/>
    </row>
    <row r="61" spans="1:13" x14ac:dyDescent="0.3">
      <c r="A61" s="75" t="s">
        <v>273</v>
      </c>
      <c r="B61" s="75" t="s">
        <v>231</v>
      </c>
      <c r="C61" s="70" t="s">
        <v>259</v>
      </c>
      <c r="D61" s="70" t="s">
        <v>264</v>
      </c>
      <c r="E61" s="83">
        <f>(((100-B269)/100)*(B268/100)*(AVERAGE(B224:B226)+AVERAGE(B227:B229)+AVERAGE(B221:B223)+AVERAGE(B218:B220)))/365</f>
        <v>28.660990684931512</v>
      </c>
      <c r="F61" s="70" t="s">
        <v>135</v>
      </c>
      <c r="G61" s="70" t="s">
        <v>255</v>
      </c>
      <c r="H61" s="70" t="s">
        <v>279</v>
      </c>
      <c r="I61" s="76" t="s">
        <v>280</v>
      </c>
      <c r="J61" s="70" t="s">
        <v>267</v>
      </c>
      <c r="K61" s="70" t="s">
        <v>255</v>
      </c>
      <c r="L61" s="70" t="s">
        <v>255</v>
      </c>
      <c r="M61" s="76"/>
    </row>
    <row r="62" spans="1:13" x14ac:dyDescent="0.3">
      <c r="A62" s="75" t="s">
        <v>273</v>
      </c>
      <c r="B62" s="84" t="s">
        <v>268</v>
      </c>
      <c r="C62" s="70" t="s">
        <v>259</v>
      </c>
      <c r="D62" s="70" t="s">
        <v>269</v>
      </c>
      <c r="E62" s="70"/>
      <c r="F62" s="70" t="s">
        <v>135</v>
      </c>
      <c r="G62" s="70" t="s">
        <v>255</v>
      </c>
      <c r="H62" s="70"/>
      <c r="I62" s="76"/>
      <c r="J62" s="76" t="s">
        <v>270</v>
      </c>
      <c r="K62" s="70" t="s">
        <v>255</v>
      </c>
      <c r="L62" s="70" t="s">
        <v>255</v>
      </c>
      <c r="M62" s="76"/>
    </row>
    <row r="63" spans="1:13" x14ac:dyDescent="0.3">
      <c r="A63" s="75" t="s">
        <v>273</v>
      </c>
      <c r="B63" s="84" t="s">
        <v>268</v>
      </c>
      <c r="C63" s="70" t="s">
        <v>259</v>
      </c>
      <c r="D63" s="70" t="s">
        <v>271</v>
      </c>
      <c r="E63" s="83">
        <f>(((100-B269)/100)*AVERAGE(B215:B217))/365</f>
        <v>3.1504109589041098</v>
      </c>
      <c r="F63" s="70" t="s">
        <v>135</v>
      </c>
      <c r="G63" s="70" t="s">
        <v>255</v>
      </c>
      <c r="H63" s="70"/>
      <c r="I63" s="76" t="s">
        <v>281</v>
      </c>
      <c r="J63" s="76" t="s">
        <v>270</v>
      </c>
      <c r="K63" s="70" t="s">
        <v>255</v>
      </c>
      <c r="L63" s="70" t="s">
        <v>255</v>
      </c>
      <c r="M63" s="76"/>
    </row>
    <row r="64" spans="1:13" x14ac:dyDescent="0.3">
      <c r="A64" s="75" t="s">
        <v>282</v>
      </c>
      <c r="B64" s="75" t="s">
        <v>214</v>
      </c>
      <c r="C64" s="70" t="s">
        <v>259</v>
      </c>
      <c r="D64" s="70" t="s">
        <v>260</v>
      </c>
      <c r="E64" s="83">
        <f>(((100-B269)/100)*(AVERAGE(B234:B236)+AVERAGE(B237:B239)+AVERAGE(B240:B242)))/365</f>
        <v>70.499178082191776</v>
      </c>
      <c r="F64" s="70" t="s">
        <v>135</v>
      </c>
      <c r="G64" s="70" t="s">
        <v>255</v>
      </c>
      <c r="H64" s="70" t="s">
        <v>277</v>
      </c>
      <c r="I64" s="76" t="s">
        <v>283</v>
      </c>
      <c r="J64" s="70" t="s">
        <v>263</v>
      </c>
      <c r="K64" s="70" t="s">
        <v>255</v>
      </c>
      <c r="L64" s="70" t="s">
        <v>255</v>
      </c>
      <c r="M64" s="76"/>
    </row>
    <row r="65" spans="1:13" x14ac:dyDescent="0.3">
      <c r="A65" s="75" t="s">
        <v>282</v>
      </c>
      <c r="B65" s="75" t="s">
        <v>231</v>
      </c>
      <c r="C65" s="70" t="s">
        <v>259</v>
      </c>
      <c r="D65" s="70" t="s">
        <v>264</v>
      </c>
      <c r="E65" s="83">
        <f>(((100-B269)/100)*(B268/100)*(AVERAGE(B224:B226)+AVERAGE(B227:B229)+AVERAGE(B221:B223)+AVERAGE(B218:B220)))/365</f>
        <v>28.660990684931512</v>
      </c>
      <c r="F65" s="70" t="s">
        <v>135</v>
      </c>
      <c r="G65" s="70" t="s">
        <v>255</v>
      </c>
      <c r="H65" s="70" t="s">
        <v>279</v>
      </c>
      <c r="I65" s="76" t="s">
        <v>280</v>
      </c>
      <c r="J65" s="70" t="s">
        <v>267</v>
      </c>
      <c r="K65" s="70" t="s">
        <v>255</v>
      </c>
      <c r="L65" s="70" t="s">
        <v>255</v>
      </c>
      <c r="M65" s="76"/>
    </row>
    <row r="66" spans="1:13" x14ac:dyDescent="0.3">
      <c r="A66" s="75" t="s">
        <v>282</v>
      </c>
      <c r="B66" s="84" t="s">
        <v>268</v>
      </c>
      <c r="C66" s="70" t="s">
        <v>259</v>
      </c>
      <c r="D66" s="70" t="s">
        <v>269</v>
      </c>
      <c r="E66" s="70"/>
      <c r="F66" s="70" t="s">
        <v>135</v>
      </c>
      <c r="G66" s="70" t="s">
        <v>255</v>
      </c>
      <c r="H66" s="70"/>
      <c r="I66" s="76"/>
      <c r="J66" s="76" t="s">
        <v>270</v>
      </c>
      <c r="K66" s="70" t="s">
        <v>255</v>
      </c>
      <c r="L66" s="70" t="s">
        <v>255</v>
      </c>
      <c r="M66" s="76"/>
    </row>
    <row r="67" spans="1:13" x14ac:dyDescent="0.3">
      <c r="A67" s="75" t="s">
        <v>282</v>
      </c>
      <c r="B67" s="84" t="s">
        <v>268</v>
      </c>
      <c r="C67" s="70" t="s">
        <v>259</v>
      </c>
      <c r="D67" s="70" t="s">
        <v>271</v>
      </c>
      <c r="E67" s="70"/>
      <c r="F67" s="70" t="s">
        <v>135</v>
      </c>
      <c r="G67" s="70" t="s">
        <v>255</v>
      </c>
      <c r="H67" s="70"/>
      <c r="I67" s="76" t="s">
        <v>281</v>
      </c>
      <c r="J67" s="76" t="s">
        <v>270</v>
      </c>
      <c r="K67" s="70" t="s">
        <v>255</v>
      </c>
      <c r="L67" s="70" t="s">
        <v>255</v>
      </c>
      <c r="M67" s="76"/>
    </row>
    <row r="68" spans="1:13" x14ac:dyDescent="0.3">
      <c r="A68" s="75" t="s">
        <v>253</v>
      </c>
      <c r="B68" s="75" t="s">
        <v>284</v>
      </c>
      <c r="C68" s="70" t="s">
        <v>285</v>
      </c>
      <c r="D68" s="70" t="s">
        <v>630</v>
      </c>
      <c r="E68" s="83">
        <f>P154</f>
        <v>48.248000000000005</v>
      </c>
      <c r="F68" s="70" t="s">
        <v>135</v>
      </c>
      <c r="G68" s="70" t="s">
        <v>287</v>
      </c>
      <c r="H68" s="99"/>
      <c r="I68" s="76" t="s">
        <v>631</v>
      </c>
      <c r="J68" s="76" t="s">
        <v>288</v>
      </c>
      <c r="K68" s="76"/>
      <c r="L68" s="70" t="s">
        <v>287</v>
      </c>
      <c r="M68" s="76"/>
    </row>
    <row r="69" spans="1:13" x14ac:dyDescent="0.3">
      <c r="A69" s="75" t="s">
        <v>253</v>
      </c>
      <c r="B69" s="75" t="s">
        <v>284</v>
      </c>
      <c r="C69" s="70" t="s">
        <v>289</v>
      </c>
      <c r="D69" s="70" t="s">
        <v>632</v>
      </c>
      <c r="E69" s="83">
        <f>P155</f>
        <v>1982.2824000000001</v>
      </c>
      <c r="F69" s="70" t="s">
        <v>135</v>
      </c>
      <c r="G69" s="70" t="s">
        <v>287</v>
      </c>
      <c r="H69" s="99"/>
      <c r="I69" s="76" t="s">
        <v>631</v>
      </c>
      <c r="J69" s="76" t="s">
        <v>288</v>
      </c>
      <c r="K69" s="76"/>
      <c r="L69" s="70" t="s">
        <v>287</v>
      </c>
      <c r="M69" s="76"/>
    </row>
    <row r="70" spans="1:13" x14ac:dyDescent="0.3">
      <c r="A70" s="75" t="s">
        <v>253</v>
      </c>
      <c r="B70" s="75" t="s">
        <v>284</v>
      </c>
      <c r="C70" s="70" t="s">
        <v>290</v>
      </c>
      <c r="D70" s="70" t="s">
        <v>633</v>
      </c>
      <c r="E70" s="83">
        <f>P156</f>
        <v>7949.4944000000014</v>
      </c>
      <c r="F70" s="70" t="s">
        <v>135</v>
      </c>
      <c r="G70" s="70" t="s">
        <v>287</v>
      </c>
      <c r="H70" s="99"/>
      <c r="I70" s="76" t="s">
        <v>631</v>
      </c>
      <c r="J70" s="76" t="s">
        <v>288</v>
      </c>
      <c r="K70" s="76"/>
      <c r="L70" s="70" t="s">
        <v>287</v>
      </c>
      <c r="M70" s="76"/>
    </row>
    <row r="71" spans="1:13" x14ac:dyDescent="0.3">
      <c r="A71" s="75" t="s">
        <v>253</v>
      </c>
      <c r="B71" s="75" t="s">
        <v>284</v>
      </c>
      <c r="C71" s="70" t="s">
        <v>291</v>
      </c>
      <c r="D71" s="70" t="s">
        <v>634</v>
      </c>
      <c r="E71" s="83">
        <f>P157</f>
        <v>2219.7040000000002</v>
      </c>
      <c r="F71" s="70" t="s">
        <v>135</v>
      </c>
      <c r="G71" s="70" t="s">
        <v>287</v>
      </c>
      <c r="H71" s="99"/>
      <c r="I71" s="76" t="s">
        <v>631</v>
      </c>
      <c r="J71" s="76" t="s">
        <v>288</v>
      </c>
      <c r="K71" s="76"/>
      <c r="L71" s="70" t="s">
        <v>287</v>
      </c>
      <c r="M71" s="76"/>
    </row>
    <row r="72" spans="1:13" x14ac:dyDescent="0.3">
      <c r="A72" s="75" t="s">
        <v>253</v>
      </c>
      <c r="B72" s="75" t="s">
        <v>284</v>
      </c>
      <c r="C72" s="70" t="s">
        <v>292</v>
      </c>
      <c r="D72" s="70" t="s">
        <v>635</v>
      </c>
      <c r="E72" s="83">
        <f>P158</f>
        <v>1454.4256</v>
      </c>
      <c r="F72" s="70" t="s">
        <v>135</v>
      </c>
      <c r="G72" s="70" t="s">
        <v>287</v>
      </c>
      <c r="H72" s="99"/>
      <c r="I72" s="76" t="s">
        <v>631</v>
      </c>
      <c r="J72" s="76" t="s">
        <v>288</v>
      </c>
      <c r="K72" s="76"/>
      <c r="L72" s="70" t="s">
        <v>287</v>
      </c>
      <c r="M72" s="76"/>
    </row>
    <row r="73" spans="1:13" x14ac:dyDescent="0.3">
      <c r="A73" s="75" t="s">
        <v>253</v>
      </c>
      <c r="B73" s="75" t="s">
        <v>284</v>
      </c>
      <c r="C73" s="70" t="s">
        <v>293</v>
      </c>
      <c r="D73" s="70" t="s">
        <v>636</v>
      </c>
      <c r="E73" s="83">
        <f>P160</f>
        <v>38253</v>
      </c>
      <c r="F73" s="70" t="s">
        <v>135</v>
      </c>
      <c r="G73" s="70" t="s">
        <v>287</v>
      </c>
      <c r="H73" s="99"/>
      <c r="I73" s="76" t="s">
        <v>631</v>
      </c>
      <c r="J73" s="76" t="s">
        <v>288</v>
      </c>
      <c r="K73" s="76"/>
      <c r="L73" s="70" t="s">
        <v>287</v>
      </c>
      <c r="M73" s="76"/>
    </row>
    <row r="74" spans="1:13" x14ac:dyDescent="0.3">
      <c r="A74" s="75" t="s">
        <v>253</v>
      </c>
      <c r="B74" s="75" t="s">
        <v>284</v>
      </c>
      <c r="C74" s="70" t="s">
        <v>294</v>
      </c>
      <c r="D74" s="70" t="s">
        <v>637</v>
      </c>
      <c r="E74" s="83">
        <f>P161</f>
        <v>2200.3333333333335</v>
      </c>
      <c r="F74" s="70" t="s">
        <v>135</v>
      </c>
      <c r="G74" s="70" t="s">
        <v>287</v>
      </c>
      <c r="H74" s="99"/>
      <c r="I74" s="76" t="s">
        <v>631</v>
      </c>
      <c r="J74" s="76" t="s">
        <v>288</v>
      </c>
      <c r="K74" s="76"/>
      <c r="L74" s="70" t="s">
        <v>287</v>
      </c>
      <c r="M74" s="76"/>
    </row>
    <row r="75" spans="1:13" x14ac:dyDescent="0.3">
      <c r="A75" s="75" t="s">
        <v>253</v>
      </c>
      <c r="B75" s="75" t="s">
        <v>284</v>
      </c>
      <c r="C75" s="70" t="s">
        <v>295</v>
      </c>
      <c r="D75" s="70" t="s">
        <v>638</v>
      </c>
      <c r="E75" s="83">
        <f>P162</f>
        <v>53311</v>
      </c>
      <c r="F75" s="70" t="s">
        <v>135</v>
      </c>
      <c r="G75" s="70" t="s">
        <v>287</v>
      </c>
      <c r="H75" s="99"/>
      <c r="I75" s="76" t="s">
        <v>631</v>
      </c>
      <c r="J75" s="76" t="s">
        <v>288</v>
      </c>
      <c r="K75" s="76"/>
      <c r="L75" s="70" t="s">
        <v>287</v>
      </c>
      <c r="M75" s="76"/>
    </row>
    <row r="76" spans="1:13" x14ac:dyDescent="0.3">
      <c r="A76" s="75" t="s">
        <v>253</v>
      </c>
      <c r="B76" s="75" t="s">
        <v>284</v>
      </c>
      <c r="C76" s="70" t="s">
        <v>296</v>
      </c>
      <c r="D76" s="70" t="s">
        <v>286</v>
      </c>
      <c r="E76" s="70" t="s">
        <v>639</v>
      </c>
      <c r="F76" s="70" t="s">
        <v>135</v>
      </c>
      <c r="G76" s="70" t="s">
        <v>287</v>
      </c>
      <c r="H76" s="99"/>
      <c r="I76" s="76" t="s">
        <v>94</v>
      </c>
      <c r="J76" s="76" t="s">
        <v>288</v>
      </c>
      <c r="K76" s="76"/>
      <c r="L76" s="70" t="s">
        <v>287</v>
      </c>
      <c r="M76" s="76"/>
    </row>
    <row r="77" spans="1:13" x14ac:dyDescent="0.3">
      <c r="A77" s="75" t="s">
        <v>253</v>
      </c>
      <c r="B77" s="75" t="s">
        <v>284</v>
      </c>
      <c r="C77" s="70" t="s">
        <v>297</v>
      </c>
      <c r="D77" s="70" t="s">
        <v>286</v>
      </c>
      <c r="E77" s="70" t="s">
        <v>639</v>
      </c>
      <c r="F77" s="70" t="s">
        <v>135</v>
      </c>
      <c r="G77" s="70" t="s">
        <v>287</v>
      </c>
      <c r="H77" s="99"/>
      <c r="I77" s="76" t="s">
        <v>94</v>
      </c>
      <c r="J77" s="76" t="s">
        <v>288</v>
      </c>
      <c r="K77" s="76"/>
      <c r="L77" s="70" t="s">
        <v>287</v>
      </c>
      <c r="M77" s="76"/>
    </row>
    <row r="78" spans="1:13" x14ac:dyDescent="0.3">
      <c r="A78" s="75" t="s">
        <v>273</v>
      </c>
      <c r="B78" s="75" t="s">
        <v>284</v>
      </c>
      <c r="C78" s="70" t="s">
        <v>285</v>
      </c>
      <c r="D78" s="70" t="s">
        <v>630</v>
      </c>
      <c r="E78" s="83">
        <f>Q154</f>
        <v>43.423200000000008</v>
      </c>
      <c r="F78" s="70" t="s">
        <v>135</v>
      </c>
      <c r="G78" s="70" t="s">
        <v>287</v>
      </c>
      <c r="H78" s="99"/>
      <c r="I78" s="76" t="s">
        <v>631</v>
      </c>
      <c r="J78" s="76" t="s">
        <v>288</v>
      </c>
      <c r="K78" s="76"/>
      <c r="L78" s="70" t="s">
        <v>287</v>
      </c>
      <c r="M78" s="76"/>
    </row>
    <row r="79" spans="1:13" x14ac:dyDescent="0.3">
      <c r="A79" s="75" t="s">
        <v>273</v>
      </c>
      <c r="B79" s="75" t="s">
        <v>284</v>
      </c>
      <c r="C79" s="70" t="s">
        <v>289</v>
      </c>
      <c r="D79" s="70" t="s">
        <v>632</v>
      </c>
      <c r="E79" s="83">
        <f>Q155</f>
        <v>1784.0541600000001</v>
      </c>
      <c r="F79" s="70" t="s">
        <v>135</v>
      </c>
      <c r="G79" s="70" t="s">
        <v>287</v>
      </c>
      <c r="H79" s="99"/>
      <c r="I79" s="76" t="s">
        <v>631</v>
      </c>
      <c r="J79" s="76" t="s">
        <v>288</v>
      </c>
      <c r="K79" s="76"/>
      <c r="L79" s="70" t="s">
        <v>287</v>
      </c>
      <c r="M79" s="76"/>
    </row>
    <row r="80" spans="1:13" x14ac:dyDescent="0.3">
      <c r="A80" s="75" t="s">
        <v>273</v>
      </c>
      <c r="B80" s="75" t="s">
        <v>284</v>
      </c>
      <c r="C80" s="70" t="s">
        <v>290</v>
      </c>
      <c r="D80" s="70" t="s">
        <v>633</v>
      </c>
      <c r="E80" s="83">
        <f>Q156</f>
        <v>7154.5449600000011</v>
      </c>
      <c r="F80" s="70" t="s">
        <v>135</v>
      </c>
      <c r="G80" s="70" t="s">
        <v>287</v>
      </c>
      <c r="H80" s="99"/>
      <c r="I80" s="76" t="s">
        <v>631</v>
      </c>
      <c r="J80" s="76" t="s">
        <v>288</v>
      </c>
      <c r="K80" s="76"/>
      <c r="L80" s="70" t="s">
        <v>287</v>
      </c>
      <c r="M80" s="76"/>
    </row>
    <row r="81" spans="1:13" x14ac:dyDescent="0.3">
      <c r="A81" s="75" t="s">
        <v>273</v>
      </c>
      <c r="B81" s="75" t="s">
        <v>284</v>
      </c>
      <c r="C81" s="70" t="s">
        <v>291</v>
      </c>
      <c r="D81" s="70" t="s">
        <v>634</v>
      </c>
      <c r="E81" s="83">
        <f>Q157</f>
        <v>1997.7336000000003</v>
      </c>
      <c r="F81" s="70" t="s">
        <v>135</v>
      </c>
      <c r="G81" s="70" t="s">
        <v>287</v>
      </c>
      <c r="H81" s="99"/>
      <c r="I81" s="76" t="s">
        <v>631</v>
      </c>
      <c r="J81" s="76" t="s">
        <v>288</v>
      </c>
      <c r="K81" s="76"/>
      <c r="L81" s="70" t="s">
        <v>287</v>
      </c>
      <c r="M81" s="76"/>
    </row>
    <row r="82" spans="1:13" x14ac:dyDescent="0.3">
      <c r="A82" s="75" t="s">
        <v>273</v>
      </c>
      <c r="B82" s="75" t="s">
        <v>284</v>
      </c>
      <c r="C82" s="70" t="s">
        <v>292</v>
      </c>
      <c r="D82" s="70" t="s">
        <v>635</v>
      </c>
      <c r="E82" s="83">
        <f>Q158</f>
        <v>1308.9830400000001</v>
      </c>
      <c r="F82" s="70" t="s">
        <v>135</v>
      </c>
      <c r="G82" s="70" t="s">
        <v>287</v>
      </c>
      <c r="H82" s="99"/>
      <c r="I82" s="76" t="s">
        <v>631</v>
      </c>
      <c r="J82" s="76" t="s">
        <v>288</v>
      </c>
      <c r="K82" s="76"/>
      <c r="L82" s="70" t="s">
        <v>287</v>
      </c>
      <c r="M82" s="76"/>
    </row>
    <row r="83" spans="1:13" x14ac:dyDescent="0.3">
      <c r="A83" s="75" t="s">
        <v>273</v>
      </c>
      <c r="B83" s="75" t="s">
        <v>284</v>
      </c>
      <c r="C83" s="70" t="s">
        <v>293</v>
      </c>
      <c r="D83" s="70" t="s">
        <v>636</v>
      </c>
      <c r="E83" s="83">
        <f>Q160</f>
        <v>34427.700000000004</v>
      </c>
      <c r="F83" s="70" t="s">
        <v>135</v>
      </c>
      <c r="G83" s="70" t="s">
        <v>287</v>
      </c>
      <c r="H83" s="99"/>
      <c r="I83" s="76" t="s">
        <v>631</v>
      </c>
      <c r="J83" s="76" t="s">
        <v>288</v>
      </c>
      <c r="K83" s="76"/>
      <c r="L83" s="70" t="s">
        <v>287</v>
      </c>
      <c r="M83" s="76"/>
    </row>
    <row r="84" spans="1:13" x14ac:dyDescent="0.3">
      <c r="A84" s="75" t="s">
        <v>273</v>
      </c>
      <c r="B84" s="75" t="s">
        <v>284</v>
      </c>
      <c r="C84" s="70" t="s">
        <v>294</v>
      </c>
      <c r="D84" s="70" t="s">
        <v>637</v>
      </c>
      <c r="E84" s="83">
        <f>Q161</f>
        <v>1980.3000000000002</v>
      </c>
      <c r="F84" s="70" t="s">
        <v>135</v>
      </c>
      <c r="G84" s="70" t="s">
        <v>287</v>
      </c>
      <c r="H84" s="99"/>
      <c r="I84" s="76" t="s">
        <v>631</v>
      </c>
      <c r="J84" s="76" t="s">
        <v>288</v>
      </c>
      <c r="K84" s="76"/>
      <c r="L84" s="70" t="s">
        <v>287</v>
      </c>
      <c r="M84" s="76"/>
    </row>
    <row r="85" spans="1:13" x14ac:dyDescent="0.3">
      <c r="A85" s="75" t="s">
        <v>273</v>
      </c>
      <c r="B85" s="75" t="s">
        <v>284</v>
      </c>
      <c r="C85" s="70" t="s">
        <v>295</v>
      </c>
      <c r="D85" s="70" t="s">
        <v>638</v>
      </c>
      <c r="E85" s="83">
        <f>Q162</f>
        <v>47979.9</v>
      </c>
      <c r="F85" s="70" t="s">
        <v>135</v>
      </c>
      <c r="G85" s="70" t="s">
        <v>287</v>
      </c>
      <c r="H85" s="99"/>
      <c r="I85" s="76" t="s">
        <v>631</v>
      </c>
      <c r="J85" s="76" t="s">
        <v>288</v>
      </c>
      <c r="K85" s="76"/>
      <c r="L85" s="70" t="s">
        <v>287</v>
      </c>
      <c r="M85" s="76"/>
    </row>
    <row r="86" spans="1:13" x14ac:dyDescent="0.3">
      <c r="A86" s="75" t="s">
        <v>273</v>
      </c>
      <c r="B86" s="75" t="s">
        <v>284</v>
      </c>
      <c r="C86" s="70" t="s">
        <v>296</v>
      </c>
      <c r="D86" s="70" t="s">
        <v>286</v>
      </c>
      <c r="E86" s="70" t="s">
        <v>94</v>
      </c>
      <c r="F86" s="70" t="s">
        <v>135</v>
      </c>
      <c r="G86" s="70" t="s">
        <v>287</v>
      </c>
      <c r="H86" s="70" t="s">
        <v>639</v>
      </c>
      <c r="I86" s="76" t="s">
        <v>94</v>
      </c>
      <c r="J86" s="76" t="s">
        <v>288</v>
      </c>
      <c r="K86" s="76"/>
      <c r="L86" s="70" t="s">
        <v>287</v>
      </c>
      <c r="M86" s="76"/>
    </row>
    <row r="87" spans="1:13" x14ac:dyDescent="0.3">
      <c r="A87" s="75" t="s">
        <v>273</v>
      </c>
      <c r="B87" s="75" t="s">
        <v>284</v>
      </c>
      <c r="C87" s="70" t="s">
        <v>297</v>
      </c>
      <c r="D87" s="70" t="s">
        <v>286</v>
      </c>
      <c r="E87" s="70" t="s">
        <v>94</v>
      </c>
      <c r="F87" s="70" t="s">
        <v>135</v>
      </c>
      <c r="G87" s="70" t="s">
        <v>287</v>
      </c>
      <c r="H87" s="70" t="s">
        <v>639</v>
      </c>
      <c r="I87" s="76" t="s">
        <v>94</v>
      </c>
      <c r="J87" s="76" t="s">
        <v>288</v>
      </c>
      <c r="K87" s="76"/>
      <c r="L87" s="70" t="s">
        <v>287</v>
      </c>
      <c r="M87" s="76"/>
    </row>
    <row r="88" spans="1:13" x14ac:dyDescent="0.3">
      <c r="A88" s="75" t="s">
        <v>282</v>
      </c>
      <c r="B88" s="75" t="s">
        <v>284</v>
      </c>
      <c r="C88" s="70" t="s">
        <v>285</v>
      </c>
      <c r="D88" s="70" t="s">
        <v>630</v>
      </c>
      <c r="E88" s="83">
        <f>R154</f>
        <v>43.423200000000008</v>
      </c>
      <c r="F88" s="70" t="s">
        <v>135</v>
      </c>
      <c r="G88" s="70" t="s">
        <v>287</v>
      </c>
      <c r="H88" s="70"/>
      <c r="I88" s="76" t="s">
        <v>631</v>
      </c>
      <c r="J88" s="76" t="s">
        <v>288</v>
      </c>
      <c r="K88" s="76"/>
      <c r="L88" s="70" t="s">
        <v>287</v>
      </c>
      <c r="M88" s="76"/>
    </row>
    <row r="89" spans="1:13" x14ac:dyDescent="0.3">
      <c r="A89" s="75" t="s">
        <v>282</v>
      </c>
      <c r="B89" s="75" t="s">
        <v>284</v>
      </c>
      <c r="C89" s="70" t="s">
        <v>289</v>
      </c>
      <c r="D89" s="70" t="s">
        <v>632</v>
      </c>
      <c r="E89" s="83">
        <f>R155</f>
        <v>1784.0541600000001</v>
      </c>
      <c r="F89" s="70" t="s">
        <v>135</v>
      </c>
      <c r="G89" s="70" t="s">
        <v>287</v>
      </c>
      <c r="H89" s="70"/>
      <c r="I89" s="76" t="s">
        <v>631</v>
      </c>
      <c r="J89" s="76" t="s">
        <v>288</v>
      </c>
      <c r="K89" s="76"/>
      <c r="L89" s="70" t="s">
        <v>287</v>
      </c>
      <c r="M89" s="76"/>
    </row>
    <row r="90" spans="1:13" x14ac:dyDescent="0.3">
      <c r="A90" s="75" t="s">
        <v>282</v>
      </c>
      <c r="B90" s="75" t="s">
        <v>284</v>
      </c>
      <c r="C90" s="70" t="s">
        <v>290</v>
      </c>
      <c r="D90" s="70" t="s">
        <v>633</v>
      </c>
      <c r="E90" s="83">
        <f>R156</f>
        <v>7154.5449600000011</v>
      </c>
      <c r="F90" s="70" t="s">
        <v>135</v>
      </c>
      <c r="G90" s="70" t="s">
        <v>287</v>
      </c>
      <c r="H90" s="70"/>
      <c r="I90" s="76" t="s">
        <v>631</v>
      </c>
      <c r="J90" s="76" t="s">
        <v>288</v>
      </c>
      <c r="K90" s="76"/>
      <c r="L90" s="70" t="s">
        <v>287</v>
      </c>
      <c r="M90" s="76"/>
    </row>
    <row r="91" spans="1:13" x14ac:dyDescent="0.3">
      <c r="A91" s="75" t="s">
        <v>282</v>
      </c>
      <c r="B91" s="75" t="s">
        <v>284</v>
      </c>
      <c r="C91" s="70" t="s">
        <v>291</v>
      </c>
      <c r="D91" s="70" t="s">
        <v>634</v>
      </c>
      <c r="E91" s="83">
        <f t="shared" ref="E91:E92" si="0">R157</f>
        <v>1997.7336000000003</v>
      </c>
      <c r="F91" s="70" t="s">
        <v>135</v>
      </c>
      <c r="G91" s="70" t="s">
        <v>287</v>
      </c>
      <c r="H91" s="70"/>
      <c r="I91" s="76" t="s">
        <v>631</v>
      </c>
      <c r="J91" s="76" t="s">
        <v>288</v>
      </c>
      <c r="K91" s="76"/>
      <c r="L91" s="70" t="s">
        <v>287</v>
      </c>
      <c r="M91" s="76"/>
    </row>
    <row r="92" spans="1:13" x14ac:dyDescent="0.3">
      <c r="A92" s="75" t="s">
        <v>282</v>
      </c>
      <c r="B92" s="75" t="s">
        <v>284</v>
      </c>
      <c r="C92" s="70" t="s">
        <v>292</v>
      </c>
      <c r="D92" s="70" t="s">
        <v>635</v>
      </c>
      <c r="E92" s="83">
        <f t="shared" si="0"/>
        <v>1308.9830400000001</v>
      </c>
      <c r="F92" s="70" t="s">
        <v>135</v>
      </c>
      <c r="G92" s="70" t="s">
        <v>287</v>
      </c>
      <c r="H92" s="70"/>
      <c r="I92" s="76" t="s">
        <v>631</v>
      </c>
      <c r="J92" s="76" t="s">
        <v>288</v>
      </c>
      <c r="K92" s="76"/>
      <c r="L92" s="70" t="s">
        <v>287</v>
      </c>
      <c r="M92" s="76"/>
    </row>
    <row r="93" spans="1:13" x14ac:dyDescent="0.3">
      <c r="A93" s="75" t="s">
        <v>282</v>
      </c>
      <c r="B93" s="75" t="s">
        <v>284</v>
      </c>
      <c r="C93" s="70" t="s">
        <v>293</v>
      </c>
      <c r="D93" s="70" t="s">
        <v>286</v>
      </c>
      <c r="E93" s="70" t="s">
        <v>94</v>
      </c>
      <c r="F93" s="70" t="s">
        <v>135</v>
      </c>
      <c r="G93" s="70" t="s">
        <v>287</v>
      </c>
      <c r="H93" s="70" t="s">
        <v>640</v>
      </c>
      <c r="I93" s="76" t="s">
        <v>631</v>
      </c>
      <c r="J93" s="76" t="s">
        <v>288</v>
      </c>
      <c r="K93" s="76"/>
      <c r="L93" s="70" t="s">
        <v>287</v>
      </c>
      <c r="M93" s="76"/>
    </row>
    <row r="94" spans="1:13" x14ac:dyDescent="0.3">
      <c r="A94" s="75" t="s">
        <v>282</v>
      </c>
      <c r="B94" s="75" t="s">
        <v>284</v>
      </c>
      <c r="C94" s="70" t="s">
        <v>294</v>
      </c>
      <c r="D94" s="70" t="s">
        <v>286</v>
      </c>
      <c r="E94" s="70" t="s">
        <v>94</v>
      </c>
      <c r="F94" s="70" t="s">
        <v>135</v>
      </c>
      <c r="G94" s="70" t="s">
        <v>287</v>
      </c>
      <c r="H94" s="70" t="s">
        <v>640</v>
      </c>
      <c r="I94" s="76" t="s">
        <v>631</v>
      </c>
      <c r="J94" s="76" t="s">
        <v>288</v>
      </c>
      <c r="K94" s="76"/>
      <c r="L94" s="70" t="s">
        <v>287</v>
      </c>
      <c r="M94" s="76"/>
    </row>
    <row r="95" spans="1:13" x14ac:dyDescent="0.3">
      <c r="A95" s="75" t="s">
        <v>282</v>
      </c>
      <c r="B95" s="75" t="s">
        <v>284</v>
      </c>
      <c r="C95" s="70" t="s">
        <v>295</v>
      </c>
      <c r="D95" s="70" t="s">
        <v>286</v>
      </c>
      <c r="E95" s="70" t="s">
        <v>94</v>
      </c>
      <c r="F95" s="70" t="s">
        <v>135</v>
      </c>
      <c r="G95" s="70" t="s">
        <v>287</v>
      </c>
      <c r="H95" s="70" t="s">
        <v>640</v>
      </c>
      <c r="I95" s="76" t="s">
        <v>631</v>
      </c>
      <c r="J95" s="76" t="s">
        <v>288</v>
      </c>
      <c r="K95" s="76"/>
      <c r="L95" s="70" t="s">
        <v>287</v>
      </c>
      <c r="M95" s="76"/>
    </row>
    <row r="96" spans="1:13" x14ac:dyDescent="0.3">
      <c r="A96" s="75" t="s">
        <v>282</v>
      </c>
      <c r="B96" s="75" t="s">
        <v>284</v>
      </c>
      <c r="C96" s="70" t="s">
        <v>296</v>
      </c>
      <c r="D96" s="70" t="s">
        <v>286</v>
      </c>
      <c r="E96" s="70"/>
      <c r="F96" s="70" t="s">
        <v>135</v>
      </c>
      <c r="G96" s="70" t="s">
        <v>287</v>
      </c>
      <c r="H96" s="70"/>
      <c r="I96" s="76" t="s">
        <v>631</v>
      </c>
      <c r="J96" s="76" t="s">
        <v>288</v>
      </c>
      <c r="K96" s="76"/>
      <c r="L96" s="70" t="s">
        <v>287</v>
      </c>
      <c r="M96" s="76"/>
    </row>
    <row r="97" spans="1:13" x14ac:dyDescent="0.3">
      <c r="A97" s="75" t="s">
        <v>282</v>
      </c>
      <c r="B97" s="75" t="s">
        <v>284</v>
      </c>
      <c r="C97" s="70" t="s">
        <v>297</v>
      </c>
      <c r="D97" s="70" t="s">
        <v>286</v>
      </c>
      <c r="E97" s="70"/>
      <c r="F97" s="70" t="s">
        <v>135</v>
      </c>
      <c r="G97" s="70" t="s">
        <v>287</v>
      </c>
      <c r="H97" s="70"/>
      <c r="I97" s="76" t="s">
        <v>631</v>
      </c>
      <c r="J97" s="76" t="s">
        <v>288</v>
      </c>
      <c r="K97" s="76"/>
      <c r="L97" s="70" t="s">
        <v>287</v>
      </c>
      <c r="M97" s="76"/>
    </row>
    <row r="98" spans="1:13" x14ac:dyDescent="0.3">
      <c r="A98" s="75" t="s">
        <v>131</v>
      </c>
      <c r="B98" s="75" t="s">
        <v>284</v>
      </c>
      <c r="C98" s="70" t="s">
        <v>298</v>
      </c>
      <c r="D98" s="70" t="s">
        <v>299</v>
      </c>
      <c r="E98" s="70">
        <v>37</v>
      </c>
      <c r="F98" s="70" t="s">
        <v>164</v>
      </c>
      <c r="G98" s="70" t="s">
        <v>300</v>
      </c>
      <c r="H98" s="70"/>
      <c r="I98" s="70">
        <v>116</v>
      </c>
      <c r="J98" s="76" t="s">
        <v>301</v>
      </c>
      <c r="K98" s="76"/>
      <c r="L98" s="70" t="s">
        <v>300</v>
      </c>
      <c r="M98" s="76"/>
    </row>
    <row r="99" spans="1:13" x14ac:dyDescent="0.3">
      <c r="A99" s="75" t="s">
        <v>131</v>
      </c>
      <c r="B99" s="75" t="s">
        <v>284</v>
      </c>
      <c r="C99" s="70" t="s">
        <v>302</v>
      </c>
      <c r="D99" s="70" t="s">
        <v>299</v>
      </c>
      <c r="E99" s="70">
        <v>37</v>
      </c>
      <c r="F99" s="70" t="s">
        <v>164</v>
      </c>
      <c r="G99" s="70" t="s">
        <v>300</v>
      </c>
      <c r="H99" s="70"/>
      <c r="I99" s="70">
        <v>116</v>
      </c>
      <c r="J99" s="76" t="s">
        <v>301</v>
      </c>
      <c r="K99" s="76"/>
      <c r="L99" s="70" t="s">
        <v>300</v>
      </c>
      <c r="M99" s="76"/>
    </row>
    <row r="100" spans="1:13" x14ac:dyDescent="0.3">
      <c r="A100" s="75" t="s">
        <v>131</v>
      </c>
      <c r="B100" s="75" t="s">
        <v>284</v>
      </c>
      <c r="C100" s="70" t="s">
        <v>303</v>
      </c>
      <c r="D100" s="70" t="s">
        <v>299</v>
      </c>
      <c r="E100" s="70">
        <v>37</v>
      </c>
      <c r="F100" s="70" t="s">
        <v>164</v>
      </c>
      <c r="G100" s="70" t="s">
        <v>300</v>
      </c>
      <c r="H100" s="70"/>
      <c r="I100" s="70">
        <v>116</v>
      </c>
      <c r="J100" s="76" t="s">
        <v>301</v>
      </c>
      <c r="K100" s="76"/>
      <c r="L100" s="70" t="s">
        <v>300</v>
      </c>
      <c r="M100" s="76"/>
    </row>
    <row r="101" spans="1:13" x14ac:dyDescent="0.3">
      <c r="A101" s="75" t="s">
        <v>131</v>
      </c>
      <c r="B101" s="75" t="s">
        <v>284</v>
      </c>
      <c r="C101" s="70" t="s">
        <v>304</v>
      </c>
      <c r="D101" s="70" t="s">
        <v>299</v>
      </c>
      <c r="E101" s="70">
        <v>37</v>
      </c>
      <c r="F101" s="70" t="s">
        <v>164</v>
      </c>
      <c r="G101" s="70" t="s">
        <v>300</v>
      </c>
      <c r="H101" s="70"/>
      <c r="I101" s="70">
        <v>116</v>
      </c>
      <c r="J101" s="76" t="s">
        <v>301</v>
      </c>
      <c r="K101" s="76"/>
      <c r="L101" s="70" t="s">
        <v>300</v>
      </c>
      <c r="M101" s="76"/>
    </row>
    <row r="102" spans="1:13" x14ac:dyDescent="0.3">
      <c r="A102" s="75" t="s">
        <v>131</v>
      </c>
      <c r="B102" s="75" t="s">
        <v>284</v>
      </c>
      <c r="C102" s="70" t="s">
        <v>305</v>
      </c>
      <c r="D102" s="70" t="s">
        <v>299</v>
      </c>
      <c r="E102" s="70">
        <v>37</v>
      </c>
      <c r="F102" s="70" t="s">
        <v>164</v>
      </c>
      <c r="G102" s="70" t="s">
        <v>300</v>
      </c>
      <c r="H102" s="70"/>
      <c r="I102" s="70">
        <v>116</v>
      </c>
      <c r="J102" s="76" t="s">
        <v>301</v>
      </c>
      <c r="K102" s="76"/>
      <c r="L102" s="70" t="s">
        <v>300</v>
      </c>
      <c r="M102" s="76"/>
    </row>
    <row r="103" spans="1:13" x14ac:dyDescent="0.3">
      <c r="A103" s="75" t="s">
        <v>131</v>
      </c>
      <c r="B103" s="75" t="s">
        <v>284</v>
      </c>
      <c r="C103" s="70" t="s">
        <v>306</v>
      </c>
      <c r="D103" s="70" t="s">
        <v>299</v>
      </c>
      <c r="E103" s="70">
        <v>37</v>
      </c>
      <c r="F103" s="70" t="s">
        <v>164</v>
      </c>
      <c r="G103" s="70" t="s">
        <v>300</v>
      </c>
      <c r="H103" s="70"/>
      <c r="I103" s="70">
        <v>116</v>
      </c>
      <c r="J103" s="76" t="s">
        <v>301</v>
      </c>
      <c r="K103" s="76"/>
      <c r="L103" s="70" t="s">
        <v>300</v>
      </c>
      <c r="M103" s="76"/>
    </row>
    <row r="104" spans="1:13" x14ac:dyDescent="0.3">
      <c r="A104" s="75" t="s">
        <v>131</v>
      </c>
      <c r="B104" s="75" t="s">
        <v>284</v>
      </c>
      <c r="C104" s="70" t="s">
        <v>307</v>
      </c>
      <c r="D104" s="70" t="s">
        <v>299</v>
      </c>
      <c r="E104" s="70">
        <v>37</v>
      </c>
      <c r="F104" s="70" t="s">
        <v>164</v>
      </c>
      <c r="G104" s="70" t="s">
        <v>300</v>
      </c>
      <c r="H104" s="70"/>
      <c r="I104" s="70">
        <v>116</v>
      </c>
      <c r="J104" s="76" t="s">
        <v>301</v>
      </c>
      <c r="K104" s="76"/>
      <c r="L104" s="70" t="s">
        <v>300</v>
      </c>
      <c r="M104" s="76"/>
    </row>
    <row r="105" spans="1:13" x14ac:dyDescent="0.3">
      <c r="A105" s="75" t="s">
        <v>131</v>
      </c>
      <c r="B105" s="75" t="s">
        <v>284</v>
      </c>
      <c r="C105" s="70" t="s">
        <v>308</v>
      </c>
      <c r="D105" s="70" t="s">
        <v>299</v>
      </c>
      <c r="E105" s="70">
        <v>37</v>
      </c>
      <c r="F105" s="70" t="s">
        <v>164</v>
      </c>
      <c r="G105" s="70" t="s">
        <v>300</v>
      </c>
      <c r="H105" s="70"/>
      <c r="I105" s="70">
        <v>116</v>
      </c>
      <c r="J105" s="76" t="s">
        <v>301</v>
      </c>
      <c r="K105" s="76"/>
      <c r="L105" s="70" t="s">
        <v>300</v>
      </c>
      <c r="M105" s="76"/>
    </row>
    <row r="106" spans="1:13" x14ac:dyDescent="0.3">
      <c r="A106" s="75" t="s">
        <v>131</v>
      </c>
      <c r="B106" s="75" t="s">
        <v>284</v>
      </c>
      <c r="C106" s="70" t="s">
        <v>309</v>
      </c>
      <c r="D106" s="70" t="s">
        <v>299</v>
      </c>
      <c r="E106" s="70">
        <v>37</v>
      </c>
      <c r="F106" s="70" t="s">
        <v>164</v>
      </c>
      <c r="G106" s="70" t="s">
        <v>300</v>
      </c>
      <c r="H106" s="70"/>
      <c r="I106" s="70">
        <v>116</v>
      </c>
      <c r="J106" s="76" t="s">
        <v>301</v>
      </c>
      <c r="K106" s="76"/>
      <c r="L106" s="70" t="s">
        <v>300</v>
      </c>
      <c r="M106" s="76"/>
    </row>
    <row r="107" spans="1:13" x14ac:dyDescent="0.3">
      <c r="A107" s="75" t="s">
        <v>131</v>
      </c>
      <c r="B107" s="75" t="s">
        <v>284</v>
      </c>
      <c r="C107" s="70" t="s">
        <v>310</v>
      </c>
      <c r="D107" s="70" t="s">
        <v>299</v>
      </c>
      <c r="E107" s="70">
        <v>37</v>
      </c>
      <c r="F107" s="70" t="s">
        <v>164</v>
      </c>
      <c r="G107" s="70" t="s">
        <v>300</v>
      </c>
      <c r="H107" s="70"/>
      <c r="I107" s="70">
        <v>116</v>
      </c>
      <c r="J107" s="76" t="s">
        <v>301</v>
      </c>
      <c r="K107" s="76"/>
      <c r="L107" s="70" t="s">
        <v>300</v>
      </c>
      <c r="M107" s="76"/>
    </row>
    <row r="108" spans="1:13" x14ac:dyDescent="0.3">
      <c r="A108" s="75" t="s">
        <v>131</v>
      </c>
      <c r="B108" s="75" t="s">
        <v>284</v>
      </c>
      <c r="C108" s="70" t="s">
        <v>311</v>
      </c>
      <c r="D108" s="70" t="s">
        <v>641</v>
      </c>
      <c r="E108" s="83">
        <f>2*B244</f>
        <v>532.5</v>
      </c>
      <c r="F108" s="70" t="s">
        <v>135</v>
      </c>
      <c r="G108" s="70" t="s">
        <v>313</v>
      </c>
      <c r="H108" s="70" t="s">
        <v>314</v>
      </c>
      <c r="I108" s="76" t="s">
        <v>642</v>
      </c>
      <c r="J108" s="70" t="s">
        <v>312</v>
      </c>
      <c r="K108" s="76"/>
      <c r="L108" s="70" t="s">
        <v>313</v>
      </c>
      <c r="M108" s="76"/>
    </row>
    <row r="109" spans="1:13" x14ac:dyDescent="0.3">
      <c r="A109" s="75" t="s">
        <v>131</v>
      </c>
      <c r="B109" s="75" t="s">
        <v>284</v>
      </c>
      <c r="C109" s="70" t="s">
        <v>315</v>
      </c>
      <c r="D109" s="70" t="s">
        <v>643</v>
      </c>
      <c r="E109" s="70">
        <f>2*B243</f>
        <v>306</v>
      </c>
      <c r="F109" s="70" t="s">
        <v>135</v>
      </c>
      <c r="G109" s="70" t="s">
        <v>313</v>
      </c>
      <c r="H109" s="70" t="s">
        <v>314</v>
      </c>
      <c r="I109" s="76" t="s">
        <v>644</v>
      </c>
      <c r="J109" s="70" t="s">
        <v>316</v>
      </c>
      <c r="K109" s="76"/>
      <c r="L109" s="70" t="s">
        <v>313</v>
      </c>
      <c r="M109" s="76"/>
    </row>
    <row r="110" spans="1:13" x14ac:dyDescent="0.3">
      <c r="A110" s="75" t="s">
        <v>131</v>
      </c>
      <c r="B110" s="75" t="s">
        <v>284</v>
      </c>
      <c r="C110" s="70" t="s">
        <v>317</v>
      </c>
      <c r="D110" s="70" t="s">
        <v>645</v>
      </c>
      <c r="E110" s="83">
        <f>2*(52*(16378/(16378+24996))+30*(24996/(16378+24996)))</f>
        <v>77.417508580267793</v>
      </c>
      <c r="F110" s="70" t="s">
        <v>135</v>
      </c>
      <c r="G110" s="70" t="s">
        <v>313</v>
      </c>
      <c r="H110" s="70" t="s">
        <v>314</v>
      </c>
      <c r="I110" s="76" t="s">
        <v>646</v>
      </c>
      <c r="J110" s="70" t="s">
        <v>318</v>
      </c>
      <c r="K110" s="76"/>
      <c r="L110" s="70" t="s">
        <v>313</v>
      </c>
      <c r="M110" s="76"/>
    </row>
    <row r="111" spans="1:13" x14ac:dyDescent="0.3">
      <c r="A111" s="75" t="s">
        <v>131</v>
      </c>
      <c r="B111" s="75" t="s">
        <v>284</v>
      </c>
      <c r="C111" s="70" t="s">
        <v>319</v>
      </c>
      <c r="D111" s="70" t="s">
        <v>647</v>
      </c>
      <c r="E111" s="70">
        <f>2*B231</f>
        <v>138</v>
      </c>
      <c r="F111" s="70" t="s">
        <v>135</v>
      </c>
      <c r="G111" s="70" t="s">
        <v>313</v>
      </c>
      <c r="H111" s="70" t="s">
        <v>314</v>
      </c>
      <c r="I111" s="76" t="s">
        <v>648</v>
      </c>
      <c r="J111" s="70" t="s">
        <v>320</v>
      </c>
      <c r="K111" s="76"/>
      <c r="L111" s="70" t="s">
        <v>313</v>
      </c>
      <c r="M111" s="76"/>
    </row>
    <row r="112" spans="1:13" x14ac:dyDescent="0.3">
      <c r="A112" s="75" t="s">
        <v>131</v>
      </c>
      <c r="B112" s="75" t="s">
        <v>284</v>
      </c>
      <c r="C112" s="70" t="s">
        <v>321</v>
      </c>
      <c r="D112" s="70" t="s">
        <v>649</v>
      </c>
      <c r="E112" s="83">
        <f>2*B230</f>
        <v>352.5</v>
      </c>
      <c r="F112" s="70" t="s">
        <v>135</v>
      </c>
      <c r="G112" s="70" t="s">
        <v>313</v>
      </c>
      <c r="H112" s="70" t="s">
        <v>314</v>
      </c>
      <c r="I112" s="76" t="s">
        <v>650</v>
      </c>
      <c r="J112" s="70" t="s">
        <v>322</v>
      </c>
      <c r="K112" s="76"/>
      <c r="L112" s="70" t="s">
        <v>313</v>
      </c>
      <c r="M112" s="76"/>
    </row>
    <row r="113" spans="1:13" x14ac:dyDescent="0.3">
      <c r="A113" s="75" t="s">
        <v>131</v>
      </c>
      <c r="B113" s="75" t="s">
        <v>284</v>
      </c>
      <c r="C113" s="70" t="s">
        <v>323</v>
      </c>
      <c r="D113" s="70" t="s">
        <v>651</v>
      </c>
      <c r="E113" s="70">
        <f>2*B170</f>
        <v>930</v>
      </c>
      <c r="F113" s="70" t="s">
        <v>135</v>
      </c>
      <c r="G113" s="70" t="s">
        <v>313</v>
      </c>
      <c r="H113" s="70" t="s">
        <v>314</v>
      </c>
      <c r="I113" s="76" t="s">
        <v>652</v>
      </c>
      <c r="J113" s="70" t="s">
        <v>324</v>
      </c>
      <c r="K113" s="76"/>
      <c r="L113" s="70" t="s">
        <v>313</v>
      </c>
      <c r="M113" s="76"/>
    </row>
    <row r="114" spans="1:13" x14ac:dyDescent="0.3">
      <c r="A114" s="75" t="s">
        <v>131</v>
      </c>
      <c r="B114" s="75" t="s">
        <v>284</v>
      </c>
      <c r="C114" s="70" t="s">
        <v>325</v>
      </c>
      <c r="D114" s="70" t="s">
        <v>653</v>
      </c>
      <c r="E114" s="70">
        <f>2*B203</f>
        <v>500</v>
      </c>
      <c r="F114" s="70" t="s">
        <v>135</v>
      </c>
      <c r="G114" s="70" t="s">
        <v>313</v>
      </c>
      <c r="H114" s="70" t="s">
        <v>314</v>
      </c>
      <c r="I114" s="76" t="s">
        <v>654</v>
      </c>
      <c r="J114" s="70" t="s">
        <v>326</v>
      </c>
      <c r="K114" s="76"/>
      <c r="L114" s="70" t="s">
        <v>313</v>
      </c>
      <c r="M114" s="76"/>
    </row>
    <row r="115" spans="1:13" x14ac:dyDescent="0.3">
      <c r="A115" s="75" t="s">
        <v>131</v>
      </c>
      <c r="B115" s="75" t="s">
        <v>284</v>
      </c>
      <c r="C115" s="70" t="s">
        <v>327</v>
      </c>
      <c r="D115" s="70" t="s">
        <v>655</v>
      </c>
      <c r="E115" s="70">
        <f>2*B169</f>
        <v>422</v>
      </c>
      <c r="F115" s="70" t="s">
        <v>135</v>
      </c>
      <c r="G115" s="70" t="s">
        <v>313</v>
      </c>
      <c r="H115" s="70" t="s">
        <v>314</v>
      </c>
      <c r="I115" s="76" t="s">
        <v>656</v>
      </c>
      <c r="J115" s="70" t="s">
        <v>328</v>
      </c>
      <c r="K115" s="76"/>
      <c r="L115" s="70" t="s">
        <v>313</v>
      </c>
      <c r="M115" s="76"/>
    </row>
    <row r="116" spans="1:13" x14ac:dyDescent="0.3">
      <c r="A116" s="75" t="s">
        <v>131</v>
      </c>
      <c r="B116" s="75" t="s">
        <v>284</v>
      </c>
      <c r="C116" s="70" t="s">
        <v>329</v>
      </c>
      <c r="D116" s="70" t="s">
        <v>330</v>
      </c>
      <c r="E116" s="70" t="s">
        <v>94</v>
      </c>
      <c r="F116" s="70" t="s">
        <v>135</v>
      </c>
      <c r="G116" s="70" t="s">
        <v>313</v>
      </c>
      <c r="H116" s="70" t="s">
        <v>639</v>
      </c>
      <c r="I116" s="76" t="s">
        <v>94</v>
      </c>
      <c r="J116" s="70" t="s">
        <v>330</v>
      </c>
      <c r="K116" s="76"/>
      <c r="L116" s="70" t="s">
        <v>313</v>
      </c>
      <c r="M116" s="76"/>
    </row>
    <row r="117" spans="1:13" x14ac:dyDescent="0.3">
      <c r="A117" s="75" t="s">
        <v>131</v>
      </c>
      <c r="B117" s="75" t="s">
        <v>284</v>
      </c>
      <c r="C117" s="70" t="s">
        <v>331</v>
      </c>
      <c r="D117" s="70" t="s">
        <v>332</v>
      </c>
      <c r="E117" s="70" t="s">
        <v>94</v>
      </c>
      <c r="F117" s="70" t="s">
        <v>135</v>
      </c>
      <c r="G117" s="70" t="s">
        <v>313</v>
      </c>
      <c r="H117" s="70" t="s">
        <v>639</v>
      </c>
      <c r="I117" s="76" t="s">
        <v>94</v>
      </c>
      <c r="J117" s="70" t="s">
        <v>332</v>
      </c>
      <c r="K117" s="76"/>
      <c r="L117" s="70" t="s">
        <v>313</v>
      </c>
      <c r="M117" s="76"/>
    </row>
    <row r="118" spans="1:13" x14ac:dyDescent="0.3">
      <c r="A118" s="75" t="s">
        <v>131</v>
      </c>
      <c r="B118" s="75" t="s">
        <v>284</v>
      </c>
      <c r="C118" s="70" t="s">
        <v>333</v>
      </c>
      <c r="D118" s="70" t="s">
        <v>334</v>
      </c>
      <c r="E118" s="70">
        <v>2.1</v>
      </c>
      <c r="F118" s="70" t="s">
        <v>164</v>
      </c>
      <c r="G118" s="70" t="s">
        <v>335</v>
      </c>
      <c r="H118" s="70"/>
      <c r="I118" s="76" t="s">
        <v>627</v>
      </c>
      <c r="J118" s="70" t="s">
        <v>334</v>
      </c>
      <c r="K118" s="70">
        <v>2.1</v>
      </c>
      <c r="L118" s="70" t="s">
        <v>164</v>
      </c>
      <c r="M118" s="76" t="s">
        <v>335</v>
      </c>
    </row>
    <row r="119" spans="1:13" x14ac:dyDescent="0.3">
      <c r="A119" s="75" t="s">
        <v>131</v>
      </c>
      <c r="B119" s="75" t="s">
        <v>284</v>
      </c>
      <c r="C119" s="70" t="s">
        <v>142</v>
      </c>
      <c r="D119" s="70" t="s">
        <v>336</v>
      </c>
      <c r="E119" s="70">
        <v>0</v>
      </c>
      <c r="F119" s="70" t="s">
        <v>164</v>
      </c>
      <c r="G119" s="70" t="s">
        <v>155</v>
      </c>
      <c r="H119" s="70"/>
      <c r="I119" s="76" t="s">
        <v>627</v>
      </c>
      <c r="J119" s="70" t="s">
        <v>336</v>
      </c>
      <c r="K119" s="70">
        <v>0</v>
      </c>
      <c r="L119" s="70" t="s">
        <v>164</v>
      </c>
      <c r="M119" s="70" t="s">
        <v>155</v>
      </c>
    </row>
    <row r="120" spans="1:13" x14ac:dyDescent="0.3">
      <c r="A120" s="75" t="s">
        <v>131</v>
      </c>
      <c r="B120" s="75" t="s">
        <v>284</v>
      </c>
      <c r="C120" s="70" t="s">
        <v>337</v>
      </c>
      <c r="D120" s="70" t="s">
        <v>336</v>
      </c>
      <c r="E120" s="70">
        <v>0</v>
      </c>
      <c r="F120" s="70" t="s">
        <v>164</v>
      </c>
      <c r="G120" s="70" t="s">
        <v>155</v>
      </c>
      <c r="H120" s="70"/>
      <c r="I120" s="76" t="s">
        <v>627</v>
      </c>
      <c r="J120" s="70" t="s">
        <v>336</v>
      </c>
      <c r="K120" s="70">
        <v>0</v>
      </c>
      <c r="L120" s="70" t="s">
        <v>164</v>
      </c>
      <c r="M120" s="70" t="s">
        <v>155</v>
      </c>
    </row>
    <row r="121" spans="1:13" x14ac:dyDescent="0.3">
      <c r="A121" s="75" t="s">
        <v>131</v>
      </c>
      <c r="B121" s="75" t="s">
        <v>284</v>
      </c>
      <c r="C121" s="70" t="s">
        <v>338</v>
      </c>
      <c r="D121" s="70" t="s">
        <v>336</v>
      </c>
      <c r="E121" s="70">
        <v>0</v>
      </c>
      <c r="F121" s="70" t="s">
        <v>164</v>
      </c>
      <c r="G121" s="70" t="s">
        <v>155</v>
      </c>
      <c r="H121" s="70"/>
      <c r="I121" s="76" t="s">
        <v>627</v>
      </c>
      <c r="J121" s="70" t="s">
        <v>336</v>
      </c>
      <c r="K121" s="70">
        <v>0</v>
      </c>
      <c r="L121" s="70" t="s">
        <v>164</v>
      </c>
      <c r="M121" s="70" t="s">
        <v>155</v>
      </c>
    </row>
    <row r="122" spans="1:13" x14ac:dyDescent="0.3">
      <c r="A122" s="75" t="s">
        <v>131</v>
      </c>
      <c r="B122" s="75" t="s">
        <v>284</v>
      </c>
      <c r="C122" s="70" t="s">
        <v>339</v>
      </c>
      <c r="D122" s="70" t="s">
        <v>336</v>
      </c>
      <c r="E122" s="70">
        <v>0</v>
      </c>
      <c r="F122" s="70" t="s">
        <v>164</v>
      </c>
      <c r="G122" s="70" t="s">
        <v>155</v>
      </c>
      <c r="H122" s="70"/>
      <c r="I122" s="76" t="s">
        <v>627</v>
      </c>
      <c r="J122" s="70" t="s">
        <v>336</v>
      </c>
      <c r="K122" s="70">
        <v>0</v>
      </c>
      <c r="L122" s="70" t="s">
        <v>164</v>
      </c>
      <c r="M122" s="70" t="s">
        <v>155</v>
      </c>
    </row>
    <row r="123" spans="1:13" x14ac:dyDescent="0.3">
      <c r="A123" s="75" t="s">
        <v>131</v>
      </c>
      <c r="B123" s="75" t="s">
        <v>284</v>
      </c>
      <c r="C123" s="70" t="s">
        <v>340</v>
      </c>
      <c r="D123" s="70" t="s">
        <v>336</v>
      </c>
      <c r="E123" s="70">
        <v>0</v>
      </c>
      <c r="F123" s="70" t="s">
        <v>164</v>
      </c>
      <c r="G123" s="70" t="s">
        <v>155</v>
      </c>
      <c r="H123" s="70"/>
      <c r="I123" s="76" t="s">
        <v>627</v>
      </c>
      <c r="J123" s="70" t="s">
        <v>336</v>
      </c>
      <c r="K123" s="70">
        <v>0</v>
      </c>
      <c r="L123" s="70" t="s">
        <v>164</v>
      </c>
      <c r="M123" s="70" t="s">
        <v>155</v>
      </c>
    </row>
    <row r="124" spans="1:13" x14ac:dyDescent="0.3">
      <c r="A124" s="75" t="s">
        <v>131</v>
      </c>
      <c r="B124" s="75" t="s">
        <v>284</v>
      </c>
      <c r="C124" s="70" t="s">
        <v>341</v>
      </c>
      <c r="D124" s="70" t="s">
        <v>336</v>
      </c>
      <c r="E124" s="70">
        <v>0</v>
      </c>
      <c r="F124" s="70" t="s">
        <v>164</v>
      </c>
      <c r="G124" s="70" t="s">
        <v>155</v>
      </c>
      <c r="H124" s="70"/>
      <c r="I124" s="76" t="s">
        <v>627</v>
      </c>
      <c r="J124" s="70" t="s">
        <v>336</v>
      </c>
      <c r="K124" s="70">
        <v>0</v>
      </c>
      <c r="L124" s="70" t="s">
        <v>164</v>
      </c>
      <c r="M124" s="70" t="s">
        <v>155</v>
      </c>
    </row>
    <row r="125" spans="1:13" x14ac:dyDescent="0.3">
      <c r="A125" s="75" t="s">
        <v>131</v>
      </c>
      <c r="B125" s="75" t="s">
        <v>284</v>
      </c>
      <c r="C125" s="70" t="s">
        <v>342</v>
      </c>
      <c r="D125" s="70" t="s">
        <v>336</v>
      </c>
      <c r="E125" s="70">
        <v>0</v>
      </c>
      <c r="F125" s="70" t="s">
        <v>164</v>
      </c>
      <c r="G125" s="70" t="s">
        <v>155</v>
      </c>
      <c r="H125" s="70"/>
      <c r="I125" s="76" t="s">
        <v>627</v>
      </c>
      <c r="J125" s="70" t="s">
        <v>336</v>
      </c>
      <c r="K125" s="70">
        <v>0</v>
      </c>
      <c r="L125" s="70" t="s">
        <v>164</v>
      </c>
      <c r="M125" s="70" t="s">
        <v>155</v>
      </c>
    </row>
    <row r="126" spans="1:13" x14ac:dyDescent="0.3">
      <c r="A126" s="75" t="s">
        <v>131</v>
      </c>
      <c r="B126" s="75" t="s">
        <v>284</v>
      </c>
      <c r="C126" s="70" t="s">
        <v>343</v>
      </c>
      <c r="D126" s="70" t="s">
        <v>336</v>
      </c>
      <c r="E126" s="70">
        <v>0</v>
      </c>
      <c r="F126" s="70" t="s">
        <v>164</v>
      </c>
      <c r="G126" s="70" t="s">
        <v>155</v>
      </c>
      <c r="H126" s="70"/>
      <c r="I126" s="76" t="s">
        <v>627</v>
      </c>
      <c r="J126" s="70" t="s">
        <v>336</v>
      </c>
      <c r="K126" s="70">
        <v>0</v>
      </c>
      <c r="L126" s="70" t="s">
        <v>164</v>
      </c>
      <c r="M126" s="70" t="s">
        <v>155</v>
      </c>
    </row>
    <row r="127" spans="1:13" x14ac:dyDescent="0.3">
      <c r="A127" s="75" t="s">
        <v>131</v>
      </c>
      <c r="B127" s="75" t="s">
        <v>284</v>
      </c>
      <c r="C127" s="70" t="s">
        <v>344</v>
      </c>
      <c r="D127" s="70" t="s">
        <v>336</v>
      </c>
      <c r="E127" s="70">
        <v>0</v>
      </c>
      <c r="F127" s="70" t="s">
        <v>164</v>
      </c>
      <c r="G127" s="70" t="s">
        <v>155</v>
      </c>
      <c r="H127" s="70"/>
      <c r="I127" s="76" t="s">
        <v>627</v>
      </c>
      <c r="J127" s="70" t="s">
        <v>336</v>
      </c>
      <c r="K127" s="70">
        <v>0</v>
      </c>
      <c r="L127" s="70" t="s">
        <v>164</v>
      </c>
      <c r="M127" s="70" t="s">
        <v>155</v>
      </c>
    </row>
    <row r="128" spans="1:13" x14ac:dyDescent="0.3">
      <c r="A128" s="75" t="s">
        <v>131</v>
      </c>
      <c r="B128" s="75" t="s">
        <v>284</v>
      </c>
      <c r="C128" s="70" t="s">
        <v>345</v>
      </c>
      <c r="D128" s="70" t="s">
        <v>336</v>
      </c>
      <c r="E128" s="70">
        <v>0</v>
      </c>
      <c r="F128" s="70" t="s">
        <v>164</v>
      </c>
      <c r="G128" s="70" t="s">
        <v>155</v>
      </c>
      <c r="H128" s="70"/>
      <c r="I128" s="76" t="s">
        <v>627</v>
      </c>
      <c r="J128" s="70" t="s">
        <v>336</v>
      </c>
      <c r="K128" s="70">
        <v>0</v>
      </c>
      <c r="L128" s="70" t="s">
        <v>164</v>
      </c>
      <c r="M128" s="70" t="s">
        <v>155</v>
      </c>
    </row>
    <row r="129" spans="4:17" x14ac:dyDescent="0.3">
      <c r="O129" s="67" t="s">
        <v>346</v>
      </c>
      <c r="P129" s="67"/>
      <c r="Q129" s="67"/>
    </row>
    <row r="130" spans="4:17" hidden="1" x14ac:dyDescent="0.3">
      <c r="O130" s="67"/>
      <c r="P130" s="67"/>
      <c r="Q130" s="67"/>
    </row>
    <row r="131" spans="4:17" hidden="1" x14ac:dyDescent="0.3">
      <c r="K131" s="85" t="s">
        <v>347</v>
      </c>
      <c r="O131" s="67"/>
      <c r="P131" s="67"/>
      <c r="Q131" s="67"/>
    </row>
    <row r="132" spans="4:17" hidden="1" x14ac:dyDescent="0.3">
      <c r="K132" s="86" t="s">
        <v>348</v>
      </c>
      <c r="O132" s="67"/>
      <c r="P132" s="67"/>
      <c r="Q132" s="67"/>
    </row>
    <row r="133" spans="4:17" hidden="1" x14ac:dyDescent="0.3">
      <c r="K133" s="87" t="s">
        <v>349</v>
      </c>
      <c r="O133" s="67"/>
      <c r="P133" s="67"/>
      <c r="Q133" s="67"/>
    </row>
    <row r="134" spans="4:17" hidden="1" x14ac:dyDescent="0.3">
      <c r="K134" s="86" t="s">
        <v>350</v>
      </c>
      <c r="O134" s="67"/>
      <c r="P134" s="67"/>
      <c r="Q134" s="67"/>
    </row>
    <row r="135" spans="4:17" hidden="1" x14ac:dyDescent="0.3">
      <c r="K135" s="85" t="s">
        <v>351</v>
      </c>
      <c r="O135" s="67"/>
      <c r="P135" s="67"/>
      <c r="Q135" s="67"/>
    </row>
    <row r="136" spans="4:17" hidden="1" x14ac:dyDescent="0.3">
      <c r="K136" s="86" t="s">
        <v>352</v>
      </c>
      <c r="O136" s="67"/>
      <c r="P136" s="67"/>
      <c r="Q136" s="67"/>
    </row>
    <row r="137" spans="4:17" hidden="1" x14ac:dyDescent="0.3">
      <c r="K137" s="85" t="s">
        <v>353</v>
      </c>
      <c r="O137" s="67"/>
      <c r="P137" s="67"/>
      <c r="Q137" s="67"/>
    </row>
    <row r="138" spans="4:17" hidden="1" x14ac:dyDescent="0.3">
      <c r="K138" s="86" t="s">
        <v>354</v>
      </c>
      <c r="O138" s="67"/>
      <c r="P138" s="67"/>
      <c r="Q138" s="67"/>
    </row>
    <row r="139" spans="4:17" hidden="1" x14ac:dyDescent="0.3">
      <c r="D139" s="1"/>
      <c r="E139" s="2"/>
      <c r="F139" s="2"/>
      <c r="G139" s="3"/>
      <c r="H139" s="53"/>
      <c r="K139" s="85" t="s">
        <v>355</v>
      </c>
      <c r="O139" s="67"/>
      <c r="P139" s="67"/>
      <c r="Q139" s="67"/>
    </row>
    <row r="140" spans="4:17" hidden="1" x14ac:dyDescent="0.3">
      <c r="D140" s="1"/>
      <c r="E140" s="88"/>
      <c r="F140" s="89"/>
      <c r="G140" s="3"/>
      <c r="H140" s="53"/>
      <c r="K140" s="86" t="s">
        <v>356</v>
      </c>
      <c r="O140" s="67"/>
      <c r="P140" s="67"/>
      <c r="Q140" s="67"/>
    </row>
    <row r="141" spans="4:17" hidden="1" x14ac:dyDescent="0.3">
      <c r="D141" s="1"/>
      <c r="E141" s="88"/>
      <c r="F141" s="89"/>
      <c r="G141" s="3"/>
      <c r="H141" s="53"/>
      <c r="K141" s="85" t="s">
        <v>357</v>
      </c>
      <c r="O141" s="67"/>
      <c r="P141" s="67"/>
      <c r="Q141" s="67"/>
    </row>
    <row r="142" spans="4:17" hidden="1" x14ac:dyDescent="0.3">
      <c r="D142" s="1"/>
      <c r="E142" s="88"/>
      <c r="F142" s="89"/>
      <c r="G142" s="3"/>
      <c r="H142" s="53"/>
      <c r="K142" s="86" t="s">
        <v>358</v>
      </c>
      <c r="O142" s="67"/>
      <c r="P142" s="67"/>
      <c r="Q142" s="67"/>
    </row>
    <row r="143" spans="4:17" hidden="1" x14ac:dyDescent="0.3">
      <c r="D143" s="1"/>
      <c r="E143" s="88"/>
      <c r="F143" s="89"/>
      <c r="G143" s="3"/>
      <c r="H143" s="53"/>
      <c r="K143" s="85" t="s">
        <v>359</v>
      </c>
      <c r="O143" s="67"/>
      <c r="P143" s="67"/>
      <c r="Q143" s="67"/>
    </row>
    <row r="144" spans="4:17" hidden="1" x14ac:dyDescent="0.3">
      <c r="D144" s="1"/>
      <c r="E144" s="88"/>
      <c r="F144" s="89"/>
      <c r="G144" s="3"/>
      <c r="H144" s="53"/>
      <c r="K144" s="90" t="s">
        <v>360</v>
      </c>
      <c r="O144" s="67"/>
      <c r="P144" s="67"/>
      <c r="Q144" s="67"/>
    </row>
    <row r="145" spans="1:18" hidden="1" x14ac:dyDescent="0.3">
      <c r="D145" s="1"/>
      <c r="E145" s="88"/>
      <c r="F145" s="89"/>
      <c r="G145" s="3"/>
      <c r="H145" s="53"/>
      <c r="O145" s="67"/>
      <c r="P145" s="67"/>
      <c r="Q145" s="67"/>
    </row>
    <row r="146" spans="1:18" hidden="1" x14ac:dyDescent="0.3">
      <c r="D146" s="1"/>
      <c r="E146" s="88"/>
      <c r="F146" s="89"/>
      <c r="G146" s="3"/>
      <c r="H146" s="53"/>
      <c r="O146" s="67"/>
      <c r="P146" s="67"/>
      <c r="Q146" s="67"/>
    </row>
    <row r="147" spans="1:18" hidden="1" x14ac:dyDescent="0.3">
      <c r="D147" s="1"/>
      <c r="E147" s="88"/>
      <c r="F147" s="89"/>
      <c r="G147" s="3"/>
      <c r="H147" s="53"/>
      <c r="O147" s="67"/>
      <c r="P147" s="67"/>
      <c r="Q147" s="67"/>
    </row>
    <row r="148" spans="1:18" hidden="1" x14ac:dyDescent="0.3">
      <c r="D148" s="91"/>
      <c r="E148" s="88"/>
      <c r="F148" s="89"/>
      <c r="G148" s="3"/>
      <c r="H148" s="53"/>
      <c r="O148" s="67"/>
      <c r="P148" s="67"/>
      <c r="Q148" s="67"/>
    </row>
    <row r="149" spans="1:18" x14ac:dyDescent="0.3">
      <c r="A149" s="48" t="s">
        <v>667</v>
      </c>
      <c r="D149" s="91"/>
      <c r="E149" s="88"/>
      <c r="F149" s="89"/>
      <c r="G149" s="3"/>
      <c r="H149" s="53"/>
      <c r="J149" s="48" t="s">
        <v>672</v>
      </c>
      <c r="P149" s="67" t="s">
        <v>361</v>
      </c>
      <c r="Q149" s="67" t="s">
        <v>362</v>
      </c>
      <c r="R149" s="67" t="s">
        <v>363</v>
      </c>
    </row>
    <row r="150" spans="1:18" ht="15" thickBot="1" x14ac:dyDescent="0.35">
      <c r="A150" t="s">
        <v>364</v>
      </c>
      <c r="B150" t="s">
        <v>365</v>
      </c>
      <c r="C150" t="s">
        <v>366</v>
      </c>
      <c r="D150" t="s">
        <v>367</v>
      </c>
      <c r="E150" t="s">
        <v>368</v>
      </c>
      <c r="F150" t="s">
        <v>369</v>
      </c>
      <c r="G150" t="s">
        <v>370</v>
      </c>
      <c r="H150" t="s">
        <v>371</v>
      </c>
      <c r="J150" s="92" t="s">
        <v>372</v>
      </c>
      <c r="K150" s="113" t="s">
        <v>671</v>
      </c>
      <c r="L150" s="92"/>
      <c r="M150" s="92" t="s">
        <v>373</v>
      </c>
      <c r="N150" s="92" t="s">
        <v>374</v>
      </c>
      <c r="O150" s="92" t="s">
        <v>375</v>
      </c>
      <c r="P150" s="93" t="s">
        <v>376</v>
      </c>
      <c r="Q150" s="94" t="s">
        <v>377</v>
      </c>
      <c r="R150" s="94" t="s">
        <v>378</v>
      </c>
    </row>
    <row r="151" spans="1:18" x14ac:dyDescent="0.3">
      <c r="A151" t="s">
        <v>379</v>
      </c>
      <c r="B151">
        <v>110252</v>
      </c>
      <c r="C151" t="s">
        <v>380</v>
      </c>
      <c r="D151" t="s">
        <v>381</v>
      </c>
      <c r="E151" t="s">
        <v>382</v>
      </c>
      <c r="F151" t="s">
        <v>383</v>
      </c>
      <c r="G151" s="95">
        <v>1</v>
      </c>
      <c r="H151" t="s">
        <v>384</v>
      </c>
      <c r="J151" s="96">
        <v>1</v>
      </c>
      <c r="K151" s="96"/>
      <c r="L151" s="96"/>
      <c r="M151" s="96" t="s">
        <v>385</v>
      </c>
      <c r="N151" s="96" t="s">
        <v>386</v>
      </c>
      <c r="O151" s="96" t="s">
        <v>387</v>
      </c>
      <c r="P151" s="97">
        <f>P168*0.75</f>
        <v>87697.1158</v>
      </c>
      <c r="Q151" s="97">
        <f t="shared" ref="Q151:R151" si="1">Q168*0.75</f>
        <v>78927.404219999997</v>
      </c>
      <c r="R151" s="97">
        <f t="shared" si="1"/>
        <v>78927.404219999997</v>
      </c>
    </row>
    <row r="152" spans="1:18" x14ac:dyDescent="0.3">
      <c r="A152" t="s">
        <v>388</v>
      </c>
      <c r="B152">
        <v>99102</v>
      </c>
      <c r="C152" t="s">
        <v>380</v>
      </c>
      <c r="D152" t="s">
        <v>381</v>
      </c>
      <c r="E152" t="s">
        <v>382</v>
      </c>
      <c r="F152" t="s">
        <v>383</v>
      </c>
      <c r="G152" s="95">
        <v>2</v>
      </c>
      <c r="H152" t="s">
        <v>384</v>
      </c>
      <c r="J152" s="96">
        <v>2</v>
      </c>
      <c r="K152" s="96"/>
      <c r="L152" s="96"/>
      <c r="M152" s="96" t="s">
        <v>389</v>
      </c>
      <c r="N152" s="96" t="s">
        <v>390</v>
      </c>
      <c r="O152" s="96" t="s">
        <v>387</v>
      </c>
      <c r="P152" s="97">
        <f>P168*0.25</f>
        <v>29232.371933333336</v>
      </c>
      <c r="Q152" s="97">
        <f t="shared" ref="Q152:R152" si="2">Q168*0.25</f>
        <v>26309.134740000001</v>
      </c>
      <c r="R152" s="97">
        <f t="shared" si="2"/>
        <v>26309.134740000001</v>
      </c>
    </row>
    <row r="153" spans="1:18" x14ac:dyDescent="0.3">
      <c r="A153" t="s">
        <v>391</v>
      </c>
      <c r="B153">
        <v>96639</v>
      </c>
      <c r="C153" t="s">
        <v>380</v>
      </c>
      <c r="D153" t="s">
        <v>392</v>
      </c>
      <c r="E153" t="s">
        <v>382</v>
      </c>
      <c r="F153" t="s">
        <v>393</v>
      </c>
      <c r="G153" s="95">
        <v>3</v>
      </c>
      <c r="H153" t="s">
        <v>384</v>
      </c>
      <c r="J153">
        <v>3</v>
      </c>
      <c r="M153" t="s">
        <v>394</v>
      </c>
      <c r="O153" t="s">
        <v>72</v>
      </c>
      <c r="P153">
        <v>0</v>
      </c>
      <c r="Q153">
        <v>0</v>
      </c>
      <c r="R153">
        <v>0</v>
      </c>
    </row>
    <row r="154" spans="1:18" x14ac:dyDescent="0.3">
      <c r="A154" t="s">
        <v>395</v>
      </c>
      <c r="B154">
        <v>97979</v>
      </c>
      <c r="C154" t="s">
        <v>380</v>
      </c>
      <c r="D154" t="s">
        <v>396</v>
      </c>
      <c r="E154" t="s">
        <v>397</v>
      </c>
      <c r="F154" t="s">
        <v>398</v>
      </c>
      <c r="G154" s="95">
        <v>4</v>
      </c>
      <c r="H154" t="s">
        <v>399</v>
      </c>
      <c r="J154">
        <v>4</v>
      </c>
      <c r="M154" t="s">
        <v>400</v>
      </c>
      <c r="O154" t="s">
        <v>72</v>
      </c>
      <c r="P154" s="98">
        <f>(B268/100)*AVERAGE(B237:B239)</f>
        <v>48.248000000000005</v>
      </c>
      <c r="Q154" s="98">
        <f>((100-B269)/100)*(B268/100)*AVERAGE(B237:B239)</f>
        <v>43.423200000000008</v>
      </c>
      <c r="R154" s="98">
        <f>((100-B269)/100)*(B268/100)*AVERAGE(B237:B239)</f>
        <v>43.423200000000008</v>
      </c>
    </row>
    <row r="155" spans="1:18" x14ac:dyDescent="0.3">
      <c r="A155" t="s">
        <v>401</v>
      </c>
      <c r="B155">
        <v>96755</v>
      </c>
      <c r="C155" t="s">
        <v>380</v>
      </c>
      <c r="D155" t="s">
        <v>396</v>
      </c>
      <c r="E155" t="s">
        <v>397</v>
      </c>
      <c r="F155" t="s">
        <v>398</v>
      </c>
      <c r="G155" s="95">
        <v>5</v>
      </c>
      <c r="H155" t="s">
        <v>399</v>
      </c>
      <c r="J155">
        <v>5</v>
      </c>
      <c r="M155" t="s">
        <v>402</v>
      </c>
      <c r="O155" t="s">
        <v>72</v>
      </c>
      <c r="P155" s="98">
        <f>(B268/100)*AVERAGE(B234:B236)</f>
        <v>1982.2824000000001</v>
      </c>
      <c r="Q155" s="98">
        <f>((100-B269)/100)*(B268/100)*(AVERAGE(B234:B236))</f>
        <v>1784.0541600000001</v>
      </c>
      <c r="R155" s="98">
        <f>((100-B269)/100)*(B268/100)*(AVERAGE(B234:B236))</f>
        <v>1784.0541600000001</v>
      </c>
    </row>
    <row r="156" spans="1:18" x14ac:dyDescent="0.3">
      <c r="A156" t="s">
        <v>403</v>
      </c>
      <c r="B156">
        <v>96108</v>
      </c>
      <c r="C156" t="s">
        <v>380</v>
      </c>
      <c r="D156" t="s">
        <v>396</v>
      </c>
      <c r="E156" t="s">
        <v>397</v>
      </c>
      <c r="F156" t="s">
        <v>398</v>
      </c>
      <c r="G156" s="95">
        <v>6</v>
      </c>
      <c r="H156" t="s">
        <v>399</v>
      </c>
      <c r="J156" s="96">
        <v>6</v>
      </c>
      <c r="K156" s="96"/>
      <c r="L156" s="96"/>
      <c r="M156" s="96" t="s">
        <v>404</v>
      </c>
      <c r="N156" s="96"/>
      <c r="O156" s="96" t="s">
        <v>405</v>
      </c>
      <c r="P156" s="97">
        <f>(B268/100)*(AVERAGE(B221:B223)+AVERAGE(B218:B220))</f>
        <v>7949.4944000000014</v>
      </c>
      <c r="Q156" s="97">
        <f>((100-B269)/100)*(B268/100)*(AVERAGE(B221:B223)+AVERAGE(B218:B220))</f>
        <v>7154.5449600000011</v>
      </c>
      <c r="R156" s="97">
        <f>((100-B269)/100)*(B268/100)*(AVERAGE(B221:B223)+AVERAGE(B218:B220))</f>
        <v>7154.5449600000011</v>
      </c>
    </row>
    <row r="157" spans="1:18" x14ac:dyDescent="0.3">
      <c r="A157" t="s">
        <v>657</v>
      </c>
      <c r="B157" s="112" t="s">
        <v>164</v>
      </c>
      <c r="C157" t="s">
        <v>94</v>
      </c>
      <c r="D157" t="s">
        <v>658</v>
      </c>
      <c r="E157" t="s">
        <v>382</v>
      </c>
      <c r="F157" t="s">
        <v>659</v>
      </c>
      <c r="G157" s="95">
        <v>7</v>
      </c>
      <c r="H157" t="s">
        <v>384</v>
      </c>
      <c r="J157" s="96">
        <v>7</v>
      </c>
      <c r="K157" s="96"/>
      <c r="L157" s="96"/>
      <c r="M157" s="96" t="s">
        <v>406</v>
      </c>
      <c r="N157" s="96"/>
      <c r="O157" s="96" t="s">
        <v>405</v>
      </c>
      <c r="P157" s="97">
        <f>(B268/100)*AVERAGE(B227:B229)</f>
        <v>2219.7040000000002</v>
      </c>
      <c r="Q157" s="97">
        <f>((100-B269)/100)*(B268/100)*AVERAGE(B227:B229)</f>
        <v>1997.7336000000003</v>
      </c>
      <c r="R157" s="97">
        <f>((100-B269)/100)*(B268/100)*AVERAGE(B227:B229)</f>
        <v>1997.7336000000003</v>
      </c>
    </row>
    <row r="158" spans="1:18" x14ac:dyDescent="0.3">
      <c r="A158" t="s">
        <v>407</v>
      </c>
      <c r="B158">
        <v>99065</v>
      </c>
      <c r="C158" t="s">
        <v>380</v>
      </c>
      <c r="E158" t="s">
        <v>397</v>
      </c>
      <c r="F158" t="s">
        <v>398</v>
      </c>
      <c r="G158" s="95">
        <v>8</v>
      </c>
      <c r="H158" t="s">
        <v>399</v>
      </c>
      <c r="J158" s="96">
        <v>8</v>
      </c>
      <c r="K158" s="96"/>
      <c r="L158" s="96"/>
      <c r="M158" s="96" t="s">
        <v>408</v>
      </c>
      <c r="N158" s="96"/>
      <c r="O158" s="96" t="s">
        <v>405</v>
      </c>
      <c r="P158" s="97">
        <f>(B268/100)*(AVERAGE(B224:B226))</f>
        <v>1454.4256</v>
      </c>
      <c r="Q158" s="97">
        <f>((100-B269)/100)*(B268/100)*(AVERAGE(B224:B226))</f>
        <v>1308.9830400000001</v>
      </c>
      <c r="R158" s="97">
        <f>((100-B269)/100)*(B268/100)*(AVERAGE(B224:B226))</f>
        <v>1308.9830400000001</v>
      </c>
    </row>
    <row r="159" spans="1:18" x14ac:dyDescent="0.3">
      <c r="A159" t="s">
        <v>409</v>
      </c>
      <c r="B159">
        <v>1086</v>
      </c>
      <c r="E159" t="s">
        <v>397</v>
      </c>
      <c r="F159" t="s">
        <v>398</v>
      </c>
      <c r="G159" s="95">
        <v>9</v>
      </c>
      <c r="H159" t="s">
        <v>399</v>
      </c>
      <c r="J159">
        <v>9</v>
      </c>
      <c r="M159" s="48" t="s">
        <v>410</v>
      </c>
      <c r="O159" t="s">
        <v>411</v>
      </c>
      <c r="P159" s="98">
        <f>AVERAGE(B215:B217)</f>
        <v>1277.6666666666667</v>
      </c>
      <c r="Q159" s="98">
        <f>((100-B269)/100)*AVERAGE(B215:B217)</f>
        <v>1149.9000000000001</v>
      </c>
      <c r="R159">
        <v>0</v>
      </c>
    </row>
    <row r="160" spans="1:18" x14ac:dyDescent="0.3">
      <c r="A160" t="s">
        <v>412</v>
      </c>
      <c r="B160">
        <f>51537/97979</f>
        <v>0.52600046948835977</v>
      </c>
      <c r="C160" t="s">
        <v>413</v>
      </c>
      <c r="D160" t="s">
        <v>414</v>
      </c>
      <c r="E160" t="s">
        <v>397</v>
      </c>
      <c r="F160" t="s">
        <v>415</v>
      </c>
      <c r="G160" s="95">
        <v>10</v>
      </c>
      <c r="H160" t="s">
        <v>399</v>
      </c>
      <c r="J160" s="96">
        <v>10</v>
      </c>
      <c r="K160" s="96"/>
      <c r="L160" s="96"/>
      <c r="M160" s="96" t="s">
        <v>416</v>
      </c>
      <c r="N160" s="96"/>
      <c r="O160" s="96" t="s">
        <v>13</v>
      </c>
      <c r="P160" s="97">
        <f>+AVERAGE(B204:B206)</f>
        <v>38253</v>
      </c>
      <c r="Q160" s="97">
        <f>((100-B269)/100)*AVERAGE(B204:B206)</f>
        <v>34427.700000000004</v>
      </c>
      <c r="R160" s="96">
        <v>0</v>
      </c>
    </row>
    <row r="161" spans="1:18" x14ac:dyDescent="0.3">
      <c r="A161" t="s">
        <v>417</v>
      </c>
      <c r="B161">
        <f>40052/97979</f>
        <v>0.40878147358107347</v>
      </c>
      <c r="C161" t="s">
        <v>413</v>
      </c>
      <c r="D161" t="s">
        <v>418</v>
      </c>
      <c r="E161" t="s">
        <v>397</v>
      </c>
      <c r="F161" t="s">
        <v>415</v>
      </c>
      <c r="G161" s="95">
        <v>11</v>
      </c>
      <c r="H161" t="s">
        <v>399</v>
      </c>
      <c r="J161" s="96">
        <v>11</v>
      </c>
      <c r="K161" s="96"/>
      <c r="L161" s="96"/>
      <c r="M161" s="96" t="s">
        <v>419</v>
      </c>
      <c r="N161" s="96"/>
      <c r="O161" s="96" t="s">
        <v>13</v>
      </c>
      <c r="P161" s="97">
        <f>+AVERAGE(B200:B202)</f>
        <v>2200.3333333333335</v>
      </c>
      <c r="Q161" s="97">
        <f>((100-B269)/100)*AVERAGE(B200:B202)</f>
        <v>1980.3000000000002</v>
      </c>
      <c r="R161" s="96">
        <v>0</v>
      </c>
    </row>
    <row r="162" spans="1:18" x14ac:dyDescent="0.3">
      <c r="A162" t="s">
        <v>420</v>
      </c>
      <c r="B162" s="112">
        <f>5050/97979</f>
        <v>5.1541656885659169E-2</v>
      </c>
      <c r="C162" t="s">
        <v>413</v>
      </c>
      <c r="D162" s="48" t="s">
        <v>421</v>
      </c>
      <c r="E162" t="s">
        <v>397</v>
      </c>
      <c r="F162" t="s">
        <v>415</v>
      </c>
      <c r="G162" s="95">
        <v>12</v>
      </c>
      <c r="H162" t="s">
        <v>399</v>
      </c>
      <c r="J162" s="96">
        <v>12</v>
      </c>
      <c r="K162" s="96"/>
      <c r="L162" s="96"/>
      <c r="M162" s="96" t="s">
        <v>422</v>
      </c>
      <c r="N162" s="96"/>
      <c r="O162" s="96" t="s">
        <v>13</v>
      </c>
      <c r="P162" s="97">
        <f>AVERAGE(B197:B199)</f>
        <v>53311</v>
      </c>
      <c r="Q162" s="97">
        <f>((100-B269)/100)*AVERAGE(B197:B199)</f>
        <v>47979.9</v>
      </c>
      <c r="R162" s="96">
        <v>0</v>
      </c>
    </row>
    <row r="163" spans="1:18" x14ac:dyDescent="0.3">
      <c r="A163" t="s">
        <v>423</v>
      </c>
      <c r="B163" t="s">
        <v>686</v>
      </c>
      <c r="C163" t="s">
        <v>94</v>
      </c>
      <c r="D163" t="s">
        <v>685</v>
      </c>
      <c r="E163" t="s">
        <v>424</v>
      </c>
      <c r="F163" t="s">
        <v>425</v>
      </c>
      <c r="G163" s="95">
        <v>13</v>
      </c>
      <c r="H163" t="s">
        <v>426</v>
      </c>
      <c r="J163" s="99">
        <v>13</v>
      </c>
      <c r="K163" s="99"/>
      <c r="L163" s="99"/>
      <c r="M163" s="65" t="s">
        <v>427</v>
      </c>
      <c r="N163" s="99" t="s">
        <v>428</v>
      </c>
      <c r="O163" s="99" t="s">
        <v>429</v>
      </c>
      <c r="P163" s="98">
        <f>AVERAGE(B212:B214)</f>
        <v>235.66666666666666</v>
      </c>
      <c r="Q163" s="98">
        <f>((100-B269)/100)*AVERAGE(B212:B214)</f>
        <v>212.1</v>
      </c>
      <c r="R163" s="98">
        <f>((100-B269)/100)*AVERAGE(B212:B214)</f>
        <v>212.1</v>
      </c>
    </row>
    <row r="164" spans="1:18" x14ac:dyDescent="0.3">
      <c r="A164" t="s">
        <v>430</v>
      </c>
      <c r="B164" t="s">
        <v>201</v>
      </c>
      <c r="C164" t="s">
        <v>94</v>
      </c>
      <c r="D164" t="s">
        <v>431</v>
      </c>
      <c r="E164" t="s">
        <v>424</v>
      </c>
      <c r="F164" t="s">
        <v>425</v>
      </c>
      <c r="G164" s="95">
        <v>14</v>
      </c>
      <c r="H164" t="s">
        <v>426</v>
      </c>
      <c r="J164" s="99">
        <v>14</v>
      </c>
      <c r="K164" s="99"/>
      <c r="L164" s="99"/>
      <c r="M164" s="65" t="s">
        <v>432</v>
      </c>
      <c r="N164" s="99" t="s">
        <v>433</v>
      </c>
      <c r="O164" s="99" t="s">
        <v>429</v>
      </c>
      <c r="P164" s="98">
        <f>AVERAGE(B207:B209)</f>
        <v>7997.666666666667</v>
      </c>
      <c r="Q164" s="98">
        <f>((100-B269)/100)*AVERAGE(B207:B209)</f>
        <v>7197.9000000000005</v>
      </c>
      <c r="R164" s="98">
        <f>((100-B269)/100)*AVERAGE(B207:B209)</f>
        <v>7197.9000000000005</v>
      </c>
    </row>
    <row r="165" spans="1:18" x14ac:dyDescent="0.3">
      <c r="A165" t="s">
        <v>434</v>
      </c>
      <c r="B165" t="s">
        <v>89</v>
      </c>
      <c r="D165" t="s">
        <v>435</v>
      </c>
      <c r="E165" t="s">
        <v>436</v>
      </c>
      <c r="F165" t="s">
        <v>437</v>
      </c>
      <c r="G165" s="95">
        <v>15</v>
      </c>
      <c r="H165" t="s">
        <v>399</v>
      </c>
      <c r="J165" s="99">
        <v>15</v>
      </c>
      <c r="K165" s="99"/>
      <c r="L165" s="99"/>
      <c r="M165" s="65" t="s">
        <v>438</v>
      </c>
      <c r="N165" s="99"/>
      <c r="O165" s="99" t="s">
        <v>429</v>
      </c>
      <c r="P165">
        <v>0</v>
      </c>
      <c r="Q165">
        <v>0</v>
      </c>
      <c r="R165" s="98">
        <f>SUM(Q160:Q162)</f>
        <v>84387.900000000009</v>
      </c>
    </row>
    <row r="166" spans="1:18" x14ac:dyDescent="0.3">
      <c r="A166" t="s">
        <v>439</v>
      </c>
      <c r="B166" t="s">
        <v>440</v>
      </c>
      <c r="E166" t="s">
        <v>424</v>
      </c>
      <c r="G166" s="95">
        <v>16</v>
      </c>
      <c r="H166" t="s">
        <v>426</v>
      </c>
      <c r="J166" s="96">
        <v>16</v>
      </c>
      <c r="K166" s="96"/>
      <c r="L166" s="96"/>
      <c r="M166" s="100" t="s">
        <v>438</v>
      </c>
      <c r="N166" s="96"/>
      <c r="O166" s="96" t="s">
        <v>411</v>
      </c>
      <c r="P166" s="96">
        <v>0</v>
      </c>
      <c r="Q166" s="96">
        <v>0</v>
      </c>
      <c r="R166" s="97">
        <f>Q159</f>
        <v>1149.9000000000001</v>
      </c>
    </row>
    <row r="167" spans="1:18" x14ac:dyDescent="0.3">
      <c r="A167" t="s">
        <v>441</v>
      </c>
      <c r="B167" t="s">
        <v>442</v>
      </c>
      <c r="E167" t="s">
        <v>424</v>
      </c>
      <c r="G167" s="95">
        <v>17</v>
      </c>
      <c r="H167" t="s">
        <v>426</v>
      </c>
    </row>
    <row r="168" spans="1:18" x14ac:dyDescent="0.3">
      <c r="A168" t="s">
        <v>443</v>
      </c>
      <c r="E168" s="73" t="s">
        <v>444</v>
      </c>
      <c r="G168" s="95">
        <v>18</v>
      </c>
      <c r="O168" s="48" t="s">
        <v>445</v>
      </c>
      <c r="P168" s="101">
        <f>SUM(P153:P166)</f>
        <v>116929.48773333334</v>
      </c>
      <c r="Q168" s="101">
        <f>SUM(Q153:Q166)</f>
        <v>105236.53896000001</v>
      </c>
      <c r="R168" s="101">
        <f>SUM(R153:R166)</f>
        <v>105236.53896000001</v>
      </c>
    </row>
    <row r="169" spans="1:18" x14ac:dyDescent="0.3">
      <c r="A169" t="s">
        <v>347</v>
      </c>
      <c r="B169">
        <v>211</v>
      </c>
      <c r="C169" t="s">
        <v>313</v>
      </c>
      <c r="D169" t="s">
        <v>446</v>
      </c>
      <c r="E169" t="s">
        <v>436</v>
      </c>
      <c r="F169" t="s">
        <v>447</v>
      </c>
      <c r="G169" s="95">
        <v>19</v>
      </c>
      <c r="H169" t="s">
        <v>399</v>
      </c>
    </row>
    <row r="170" spans="1:18" x14ac:dyDescent="0.3">
      <c r="A170" t="s">
        <v>348</v>
      </c>
      <c r="B170">
        <v>465</v>
      </c>
      <c r="C170" t="s">
        <v>313</v>
      </c>
      <c r="D170" t="s">
        <v>448</v>
      </c>
      <c r="E170" t="s">
        <v>436</v>
      </c>
      <c r="F170" t="s">
        <v>447</v>
      </c>
      <c r="G170" s="95">
        <v>20</v>
      </c>
      <c r="H170" t="s">
        <v>399</v>
      </c>
    </row>
    <row r="171" spans="1:18" x14ac:dyDescent="0.3">
      <c r="A171" s="99" t="s">
        <v>625</v>
      </c>
      <c r="B171">
        <v>50</v>
      </c>
      <c r="C171" t="s">
        <v>313</v>
      </c>
      <c r="D171" t="s">
        <v>670</v>
      </c>
      <c r="E171" t="s">
        <v>669</v>
      </c>
      <c r="G171" s="95">
        <v>21</v>
      </c>
      <c r="H171" t="s">
        <v>426</v>
      </c>
    </row>
    <row r="172" spans="1:18" x14ac:dyDescent="0.3">
      <c r="A172" t="s">
        <v>449</v>
      </c>
      <c r="B172">
        <v>31</v>
      </c>
      <c r="C172" t="s">
        <v>155</v>
      </c>
      <c r="D172" t="s">
        <v>450</v>
      </c>
      <c r="E172" t="s">
        <v>424</v>
      </c>
      <c r="F172" t="s">
        <v>451</v>
      </c>
      <c r="G172" s="95">
        <v>22</v>
      </c>
      <c r="H172" t="s">
        <v>399</v>
      </c>
    </row>
    <row r="173" spans="1:18" x14ac:dyDescent="0.3">
      <c r="A173" t="s">
        <v>452</v>
      </c>
      <c r="B173">
        <v>47</v>
      </c>
      <c r="C173" t="s">
        <v>155</v>
      </c>
      <c r="D173" t="s">
        <v>453</v>
      </c>
      <c r="E173" t="s">
        <v>424</v>
      </c>
      <c r="F173" t="s">
        <v>451</v>
      </c>
      <c r="G173" s="95">
        <v>23</v>
      </c>
      <c r="H173" t="s">
        <v>399</v>
      </c>
    </row>
    <row r="174" spans="1:18" x14ac:dyDescent="0.3">
      <c r="A174" t="s">
        <v>454</v>
      </c>
      <c r="B174">
        <v>22</v>
      </c>
      <c r="C174" t="s">
        <v>155</v>
      </c>
      <c r="D174" t="s">
        <v>455</v>
      </c>
      <c r="E174" t="s">
        <v>424</v>
      </c>
      <c r="F174" t="s">
        <v>451</v>
      </c>
      <c r="G174" s="95">
        <v>24</v>
      </c>
      <c r="H174" t="s">
        <v>399</v>
      </c>
    </row>
    <row r="175" spans="1:18" x14ac:dyDescent="0.3">
      <c r="A175" t="s">
        <v>456</v>
      </c>
      <c r="B175">
        <v>76</v>
      </c>
      <c r="C175" t="s">
        <v>155</v>
      </c>
      <c r="D175" t="s">
        <v>457</v>
      </c>
      <c r="E175" t="s">
        <v>436</v>
      </c>
      <c r="F175" t="s">
        <v>458</v>
      </c>
      <c r="G175" s="95">
        <v>25</v>
      </c>
      <c r="H175" t="s">
        <v>399</v>
      </c>
    </row>
    <row r="176" spans="1:18" x14ac:dyDescent="0.3">
      <c r="A176" t="s">
        <v>459</v>
      </c>
      <c r="B176">
        <v>24</v>
      </c>
      <c r="C176" t="s">
        <v>155</v>
      </c>
      <c r="D176" t="s">
        <v>460</v>
      </c>
      <c r="E176" t="s">
        <v>436</v>
      </c>
      <c r="F176" t="s">
        <v>458</v>
      </c>
      <c r="G176" s="95">
        <v>26</v>
      </c>
      <c r="H176" t="s">
        <v>399</v>
      </c>
    </row>
    <row r="177" spans="1:8" x14ac:dyDescent="0.3">
      <c r="A177" t="s">
        <v>461</v>
      </c>
      <c r="B177" t="s">
        <v>462</v>
      </c>
      <c r="D177" t="s">
        <v>463</v>
      </c>
      <c r="E177" t="s">
        <v>424</v>
      </c>
      <c r="F177" t="s">
        <v>464</v>
      </c>
      <c r="G177" s="95">
        <v>27</v>
      </c>
      <c r="H177" t="s">
        <v>399</v>
      </c>
    </row>
    <row r="178" spans="1:8" x14ac:dyDescent="0.3">
      <c r="A178" t="s">
        <v>465</v>
      </c>
      <c r="B178" t="s">
        <v>466</v>
      </c>
      <c r="D178" t="s">
        <v>467</v>
      </c>
      <c r="E178" t="s">
        <v>424</v>
      </c>
      <c r="F178" t="s">
        <v>464</v>
      </c>
      <c r="G178" s="95">
        <v>28</v>
      </c>
      <c r="H178" t="s">
        <v>399</v>
      </c>
    </row>
    <row r="179" spans="1:8" x14ac:dyDescent="0.3">
      <c r="A179" t="s">
        <v>468</v>
      </c>
      <c r="B179">
        <v>1263</v>
      </c>
      <c r="C179" t="s">
        <v>380</v>
      </c>
      <c r="D179" t="s">
        <v>469</v>
      </c>
      <c r="E179" t="s">
        <v>424</v>
      </c>
      <c r="F179" t="s">
        <v>470</v>
      </c>
      <c r="G179" s="95">
        <v>29</v>
      </c>
      <c r="H179" t="s">
        <v>399</v>
      </c>
    </row>
    <row r="180" spans="1:8" x14ac:dyDescent="0.3">
      <c r="A180" t="s">
        <v>468</v>
      </c>
      <c r="B180">
        <v>1202</v>
      </c>
      <c r="C180" t="s">
        <v>380</v>
      </c>
      <c r="D180" t="s">
        <v>469</v>
      </c>
      <c r="E180" t="s">
        <v>471</v>
      </c>
      <c r="F180" t="s">
        <v>472</v>
      </c>
      <c r="G180" s="95">
        <v>30</v>
      </c>
      <c r="H180" t="s">
        <v>399</v>
      </c>
    </row>
    <row r="181" spans="1:8" x14ac:dyDescent="0.3">
      <c r="A181" t="s">
        <v>468</v>
      </c>
      <c r="B181">
        <v>1340</v>
      </c>
      <c r="C181" t="s">
        <v>380</v>
      </c>
      <c r="D181" t="s">
        <v>469</v>
      </c>
      <c r="E181" t="s">
        <v>397</v>
      </c>
      <c r="F181" t="s">
        <v>472</v>
      </c>
      <c r="G181" s="95">
        <v>31</v>
      </c>
      <c r="H181" t="s">
        <v>399</v>
      </c>
    </row>
    <row r="182" spans="1:8" x14ac:dyDescent="0.3">
      <c r="A182" s="99" t="s">
        <v>473</v>
      </c>
      <c r="B182" s="99"/>
      <c r="C182" s="99" t="s">
        <v>155</v>
      </c>
      <c r="D182" s="99" t="s">
        <v>474</v>
      </c>
      <c r="E182" s="114" t="s">
        <v>475</v>
      </c>
      <c r="F182" s="99"/>
      <c r="G182" s="115">
        <v>32</v>
      </c>
      <c r="H182" s="99"/>
    </row>
    <row r="183" spans="1:8" x14ac:dyDescent="0.3">
      <c r="A183" s="99" t="s">
        <v>476</v>
      </c>
      <c r="B183" s="99"/>
      <c r="C183" s="99" t="s">
        <v>155</v>
      </c>
      <c r="D183" s="99" t="s">
        <v>474</v>
      </c>
      <c r="E183" s="114" t="s">
        <v>475</v>
      </c>
      <c r="F183" s="99"/>
      <c r="G183" s="115">
        <v>33</v>
      </c>
      <c r="H183" s="99"/>
    </row>
    <row r="184" spans="1:8" x14ac:dyDescent="0.3">
      <c r="A184" t="s">
        <v>477</v>
      </c>
      <c r="B184" s="98">
        <f>GETPIVOTDATA("Percent",Ref_pop!$A$15,"TransferStation","ETWMF")*100</f>
        <v>74.800817003916535</v>
      </c>
      <c r="C184" t="s">
        <v>155</v>
      </c>
      <c r="D184" t="s">
        <v>478</v>
      </c>
      <c r="E184" t="s">
        <v>479</v>
      </c>
      <c r="G184" s="95">
        <v>34</v>
      </c>
      <c r="H184" t="s">
        <v>426</v>
      </c>
    </row>
    <row r="185" spans="1:8" x14ac:dyDescent="0.3">
      <c r="A185" t="s">
        <v>480</v>
      </c>
      <c r="B185" s="98">
        <f>GETPIVOTDATA("Percent",Ref_pop!$A$15,"TransferStation","YRWMC")*100</f>
        <v>25.175667554727461</v>
      </c>
      <c r="C185" t="s">
        <v>155</v>
      </c>
      <c r="D185" t="s">
        <v>478</v>
      </c>
      <c r="E185" t="s">
        <v>479</v>
      </c>
      <c r="G185" s="95">
        <v>35</v>
      </c>
      <c r="H185" t="s">
        <v>426</v>
      </c>
    </row>
    <row r="186" spans="1:8" x14ac:dyDescent="0.3">
      <c r="A186" t="s">
        <v>481</v>
      </c>
      <c r="B186">
        <v>99065</v>
      </c>
      <c r="C186" t="s">
        <v>380</v>
      </c>
      <c r="D186" t="s">
        <v>482</v>
      </c>
      <c r="E186" t="s">
        <v>397</v>
      </c>
      <c r="F186" t="s">
        <v>398</v>
      </c>
      <c r="G186" s="95">
        <v>36</v>
      </c>
      <c r="H186" t="s">
        <v>399</v>
      </c>
    </row>
    <row r="187" spans="1:8" x14ac:dyDescent="0.3">
      <c r="A187" t="s">
        <v>483</v>
      </c>
      <c r="B187">
        <v>97877</v>
      </c>
      <c r="C187" t="s">
        <v>380</v>
      </c>
      <c r="D187" t="s">
        <v>482</v>
      </c>
      <c r="E187" t="s">
        <v>397</v>
      </c>
      <c r="F187" t="s">
        <v>398</v>
      </c>
      <c r="G187" s="95">
        <v>37</v>
      </c>
      <c r="H187" t="s">
        <v>399</v>
      </c>
    </row>
    <row r="188" spans="1:8" x14ac:dyDescent="0.3">
      <c r="A188" t="s">
        <v>484</v>
      </c>
      <c r="B188">
        <v>97044</v>
      </c>
      <c r="C188" t="s">
        <v>380</v>
      </c>
      <c r="D188" t="s">
        <v>482</v>
      </c>
      <c r="E188" t="s">
        <v>397</v>
      </c>
      <c r="F188" t="s">
        <v>398</v>
      </c>
      <c r="G188" s="95">
        <v>38</v>
      </c>
      <c r="H188" t="s">
        <v>399</v>
      </c>
    </row>
    <row r="189" spans="1:8" x14ac:dyDescent="0.3">
      <c r="A189" t="s">
        <v>485</v>
      </c>
      <c r="B189">
        <v>100874</v>
      </c>
      <c r="C189" t="s">
        <v>380</v>
      </c>
      <c r="D189" t="s">
        <v>486</v>
      </c>
      <c r="E189" t="s">
        <v>436</v>
      </c>
      <c r="F189" t="s">
        <v>458</v>
      </c>
      <c r="G189" s="95">
        <v>39</v>
      </c>
      <c r="H189" t="s">
        <v>399</v>
      </c>
    </row>
    <row r="190" spans="1:8" x14ac:dyDescent="0.3">
      <c r="A190" t="s">
        <v>350</v>
      </c>
      <c r="B190">
        <v>168</v>
      </c>
      <c r="C190" t="s">
        <v>313</v>
      </c>
      <c r="D190" t="s">
        <v>487</v>
      </c>
      <c r="E190" t="s">
        <v>436</v>
      </c>
      <c r="F190" t="s">
        <v>458</v>
      </c>
      <c r="G190" s="95">
        <v>40</v>
      </c>
      <c r="H190" t="s">
        <v>399</v>
      </c>
    </row>
    <row r="191" spans="1:8" x14ac:dyDescent="0.3">
      <c r="A191" t="s">
        <v>488</v>
      </c>
      <c r="B191">
        <v>1.3</v>
      </c>
      <c r="C191" t="s">
        <v>489</v>
      </c>
      <c r="D191" t="s">
        <v>490</v>
      </c>
      <c r="E191" t="s">
        <v>436</v>
      </c>
      <c r="F191" t="s">
        <v>458</v>
      </c>
      <c r="G191" s="95">
        <v>41</v>
      </c>
      <c r="H191" t="s">
        <v>399</v>
      </c>
    </row>
    <row r="192" spans="1:8" x14ac:dyDescent="0.3">
      <c r="A192" t="s">
        <v>491</v>
      </c>
      <c r="B192">
        <v>2492</v>
      </c>
      <c r="C192" t="s">
        <v>492</v>
      </c>
      <c r="D192" t="s">
        <v>493</v>
      </c>
      <c r="E192" t="s">
        <v>436</v>
      </c>
      <c r="F192" t="s">
        <v>494</v>
      </c>
      <c r="G192" s="95">
        <v>42</v>
      </c>
      <c r="H192" t="s">
        <v>399</v>
      </c>
    </row>
    <row r="193" spans="1:8" x14ac:dyDescent="0.3">
      <c r="A193" t="s">
        <v>495</v>
      </c>
      <c r="B193">
        <v>866</v>
      </c>
      <c r="C193" t="s">
        <v>492</v>
      </c>
      <c r="D193" t="s">
        <v>496</v>
      </c>
      <c r="E193" t="s">
        <v>436</v>
      </c>
      <c r="F193" t="s">
        <v>494</v>
      </c>
      <c r="G193" s="95">
        <v>43</v>
      </c>
      <c r="H193" t="s">
        <v>399</v>
      </c>
    </row>
    <row r="194" spans="1:8" x14ac:dyDescent="0.3">
      <c r="A194" t="s">
        <v>497</v>
      </c>
      <c r="B194">
        <v>123229</v>
      </c>
      <c r="C194" t="s">
        <v>380</v>
      </c>
      <c r="D194" t="s">
        <v>498</v>
      </c>
      <c r="E194" t="s">
        <v>397</v>
      </c>
      <c r="F194" t="s">
        <v>499</v>
      </c>
      <c r="G194" s="95">
        <v>44</v>
      </c>
      <c r="H194" t="s">
        <v>399</v>
      </c>
    </row>
    <row r="195" spans="1:8" x14ac:dyDescent="0.3">
      <c r="A195" t="s">
        <v>500</v>
      </c>
      <c r="B195">
        <v>20183</v>
      </c>
      <c r="C195" t="s">
        <v>380</v>
      </c>
      <c r="D195" t="s">
        <v>501</v>
      </c>
      <c r="E195" t="s">
        <v>397</v>
      </c>
      <c r="F195" t="s">
        <v>499</v>
      </c>
      <c r="G195" s="95">
        <v>45</v>
      </c>
      <c r="H195" t="s">
        <v>399</v>
      </c>
    </row>
    <row r="196" spans="1:8" x14ac:dyDescent="0.3">
      <c r="A196" t="s">
        <v>502</v>
      </c>
      <c r="B196" t="s">
        <v>503</v>
      </c>
      <c r="E196" t="s">
        <v>397</v>
      </c>
      <c r="F196" t="s">
        <v>499</v>
      </c>
      <c r="G196" s="95">
        <v>46</v>
      </c>
      <c r="H196" t="s">
        <v>399</v>
      </c>
    </row>
    <row r="197" spans="1:8" x14ac:dyDescent="0.3">
      <c r="A197" t="s">
        <v>504</v>
      </c>
      <c r="B197">
        <v>51537</v>
      </c>
      <c r="C197" t="s">
        <v>380</v>
      </c>
      <c r="D197" t="s">
        <v>505</v>
      </c>
      <c r="E197" t="s">
        <v>382</v>
      </c>
      <c r="G197" s="95">
        <v>47</v>
      </c>
      <c r="H197" t="s">
        <v>384</v>
      </c>
    </row>
    <row r="198" spans="1:8" x14ac:dyDescent="0.3">
      <c r="A198" t="s">
        <v>506</v>
      </c>
      <c r="B198">
        <v>51162</v>
      </c>
      <c r="C198" t="s">
        <v>380</v>
      </c>
      <c r="D198" t="s">
        <v>505</v>
      </c>
      <c r="E198" t="s">
        <v>382</v>
      </c>
      <c r="G198" s="95">
        <v>48</v>
      </c>
      <c r="H198" t="s">
        <v>384</v>
      </c>
    </row>
    <row r="199" spans="1:8" x14ac:dyDescent="0.3">
      <c r="A199" t="s">
        <v>507</v>
      </c>
      <c r="B199">
        <v>57234</v>
      </c>
      <c r="C199" t="s">
        <v>380</v>
      </c>
      <c r="D199" t="s">
        <v>505</v>
      </c>
      <c r="E199" t="s">
        <v>382</v>
      </c>
      <c r="G199" s="95">
        <v>49</v>
      </c>
      <c r="H199" t="s">
        <v>384</v>
      </c>
    </row>
    <row r="200" spans="1:8" x14ac:dyDescent="0.3">
      <c r="A200" t="s">
        <v>508</v>
      </c>
      <c r="B200">
        <v>0</v>
      </c>
      <c r="C200" t="s">
        <v>380</v>
      </c>
      <c r="D200" t="s">
        <v>509</v>
      </c>
      <c r="E200" t="s">
        <v>382</v>
      </c>
      <c r="G200" s="95">
        <v>50</v>
      </c>
      <c r="H200" t="s">
        <v>384</v>
      </c>
    </row>
    <row r="201" spans="1:8" x14ac:dyDescent="0.3">
      <c r="A201" t="s">
        <v>510</v>
      </c>
      <c r="B201">
        <v>0</v>
      </c>
      <c r="C201" t="s">
        <v>380</v>
      </c>
      <c r="D201" t="s">
        <v>509</v>
      </c>
      <c r="E201" t="s">
        <v>382</v>
      </c>
      <c r="G201" s="95">
        <v>51</v>
      </c>
      <c r="H201" t="s">
        <v>384</v>
      </c>
    </row>
    <row r="202" spans="1:8" x14ac:dyDescent="0.3">
      <c r="A202" t="s">
        <v>511</v>
      </c>
      <c r="B202">
        <v>6601</v>
      </c>
      <c r="C202" t="s">
        <v>380</v>
      </c>
      <c r="D202" t="s">
        <v>509</v>
      </c>
      <c r="E202" t="s">
        <v>382</v>
      </c>
      <c r="G202" s="95">
        <v>52</v>
      </c>
      <c r="H202" t="s">
        <v>384</v>
      </c>
    </row>
    <row r="203" spans="1:8" x14ac:dyDescent="0.3">
      <c r="A203" t="s">
        <v>351</v>
      </c>
      <c r="B203">
        <v>250</v>
      </c>
      <c r="C203" t="s">
        <v>313</v>
      </c>
      <c r="D203" t="s">
        <v>512</v>
      </c>
      <c r="E203" t="s">
        <v>513</v>
      </c>
      <c r="G203" s="95">
        <v>53</v>
      </c>
      <c r="H203" t="s">
        <v>426</v>
      </c>
    </row>
    <row r="204" spans="1:8" x14ac:dyDescent="0.3">
      <c r="A204" t="s">
        <v>514</v>
      </c>
      <c r="B204">
        <v>40052</v>
      </c>
      <c r="C204" t="s">
        <v>380</v>
      </c>
      <c r="D204" t="s">
        <v>515</v>
      </c>
      <c r="E204" t="s">
        <v>382</v>
      </c>
      <c r="G204" s="95">
        <v>54</v>
      </c>
      <c r="H204" t="s">
        <v>384</v>
      </c>
    </row>
    <row r="205" spans="1:8" x14ac:dyDescent="0.3">
      <c r="A205" t="s">
        <v>516</v>
      </c>
      <c r="B205">
        <v>39291</v>
      </c>
      <c r="C205" t="s">
        <v>380</v>
      </c>
      <c r="D205" t="s">
        <v>515</v>
      </c>
      <c r="E205" t="s">
        <v>382</v>
      </c>
      <c r="G205" s="95">
        <v>55</v>
      </c>
      <c r="H205" t="s">
        <v>384</v>
      </c>
    </row>
    <row r="206" spans="1:8" x14ac:dyDescent="0.3">
      <c r="A206" t="s">
        <v>517</v>
      </c>
      <c r="B206">
        <v>35416</v>
      </c>
      <c r="C206" t="s">
        <v>380</v>
      </c>
      <c r="D206" t="s">
        <v>515</v>
      </c>
      <c r="E206" t="s">
        <v>382</v>
      </c>
      <c r="G206" s="95">
        <v>56</v>
      </c>
      <c r="H206" t="s">
        <v>384</v>
      </c>
    </row>
    <row r="207" spans="1:8" x14ac:dyDescent="0.3">
      <c r="A207" t="s">
        <v>518</v>
      </c>
      <c r="B207">
        <v>5050</v>
      </c>
      <c r="C207" t="s">
        <v>380</v>
      </c>
      <c r="D207" t="s">
        <v>519</v>
      </c>
      <c r="E207" t="s">
        <v>382</v>
      </c>
      <c r="G207" s="95">
        <v>57</v>
      </c>
      <c r="H207" t="s">
        <v>384</v>
      </c>
    </row>
    <row r="208" spans="1:8" x14ac:dyDescent="0.3">
      <c r="A208" t="s">
        <v>520</v>
      </c>
      <c r="B208">
        <v>8547</v>
      </c>
      <c r="C208" t="s">
        <v>380</v>
      </c>
      <c r="D208" t="s">
        <v>519</v>
      </c>
      <c r="E208" t="s">
        <v>382</v>
      </c>
      <c r="G208" s="95">
        <v>58</v>
      </c>
      <c r="H208" t="s">
        <v>384</v>
      </c>
    </row>
    <row r="209" spans="1:8" x14ac:dyDescent="0.3">
      <c r="A209" t="s">
        <v>521</v>
      </c>
      <c r="B209">
        <v>10396</v>
      </c>
      <c r="C209" t="s">
        <v>380</v>
      </c>
      <c r="D209" t="s">
        <v>519</v>
      </c>
      <c r="E209" t="s">
        <v>382</v>
      </c>
      <c r="G209" s="95">
        <v>59</v>
      </c>
      <c r="H209" t="s">
        <v>384</v>
      </c>
    </row>
    <row r="210" spans="1:8" x14ac:dyDescent="0.3">
      <c r="A210" t="s">
        <v>352</v>
      </c>
      <c r="B210">
        <v>145</v>
      </c>
      <c r="C210" t="s">
        <v>313</v>
      </c>
      <c r="D210" t="s">
        <v>522</v>
      </c>
      <c r="E210" t="s">
        <v>513</v>
      </c>
      <c r="G210" s="95">
        <v>60</v>
      </c>
      <c r="H210" t="s">
        <v>426</v>
      </c>
    </row>
    <row r="211" spans="1:8" x14ac:dyDescent="0.3">
      <c r="A211" t="s">
        <v>523</v>
      </c>
      <c r="B211">
        <v>367</v>
      </c>
      <c r="C211" t="s">
        <v>313</v>
      </c>
      <c r="D211" t="s">
        <v>524</v>
      </c>
      <c r="E211" t="s">
        <v>513</v>
      </c>
      <c r="G211" s="95">
        <v>61</v>
      </c>
      <c r="H211" t="s">
        <v>426</v>
      </c>
    </row>
    <row r="212" spans="1:8" x14ac:dyDescent="0.3">
      <c r="A212" t="s">
        <v>525</v>
      </c>
      <c r="B212">
        <v>0</v>
      </c>
      <c r="C212" t="s">
        <v>380</v>
      </c>
      <c r="D212" t="s">
        <v>526</v>
      </c>
      <c r="E212" t="s">
        <v>382</v>
      </c>
      <c r="G212" s="95">
        <v>62</v>
      </c>
      <c r="H212" t="s">
        <v>384</v>
      </c>
    </row>
    <row r="213" spans="1:8" x14ac:dyDescent="0.3">
      <c r="A213" t="s">
        <v>527</v>
      </c>
      <c r="B213">
        <v>102</v>
      </c>
      <c r="C213" t="s">
        <v>380</v>
      </c>
      <c r="D213" t="s">
        <v>526</v>
      </c>
      <c r="E213" t="s">
        <v>382</v>
      </c>
      <c r="G213" s="95">
        <v>63</v>
      </c>
      <c r="H213" t="s">
        <v>384</v>
      </c>
    </row>
    <row r="214" spans="1:8" x14ac:dyDescent="0.3">
      <c r="A214" t="s">
        <v>528</v>
      </c>
      <c r="B214">
        <v>605</v>
      </c>
      <c r="C214" t="s">
        <v>380</v>
      </c>
      <c r="D214" t="s">
        <v>526</v>
      </c>
      <c r="E214" t="s">
        <v>382</v>
      </c>
      <c r="G214" s="95">
        <v>64</v>
      </c>
      <c r="H214" t="s">
        <v>384</v>
      </c>
    </row>
    <row r="215" spans="1:8" x14ac:dyDescent="0.3">
      <c r="A215" t="s">
        <v>529</v>
      </c>
      <c r="B215">
        <v>1340</v>
      </c>
      <c r="C215" t="s">
        <v>380</v>
      </c>
      <c r="D215" t="s">
        <v>530</v>
      </c>
      <c r="E215" t="s">
        <v>382</v>
      </c>
      <c r="G215" s="95">
        <v>65</v>
      </c>
      <c r="H215" t="s">
        <v>384</v>
      </c>
    </row>
    <row r="216" spans="1:8" x14ac:dyDescent="0.3">
      <c r="A216" t="s">
        <v>531</v>
      </c>
      <c r="B216">
        <v>1213</v>
      </c>
      <c r="C216" t="s">
        <v>380</v>
      </c>
      <c r="D216" t="s">
        <v>530</v>
      </c>
      <c r="E216" t="s">
        <v>382</v>
      </c>
      <c r="G216" s="95">
        <v>66</v>
      </c>
      <c r="H216" t="s">
        <v>384</v>
      </c>
    </row>
    <row r="217" spans="1:8" x14ac:dyDescent="0.3">
      <c r="A217" t="s">
        <v>532</v>
      </c>
      <c r="B217">
        <v>1280</v>
      </c>
      <c r="C217" t="s">
        <v>380</v>
      </c>
      <c r="D217" t="s">
        <v>530</v>
      </c>
      <c r="E217" t="s">
        <v>382</v>
      </c>
      <c r="G217" s="95">
        <v>67</v>
      </c>
      <c r="H217" t="s">
        <v>384</v>
      </c>
    </row>
    <row r="218" spans="1:8" x14ac:dyDescent="0.3">
      <c r="A218" t="s">
        <v>533</v>
      </c>
      <c r="B218">
        <v>56673</v>
      </c>
      <c r="C218" t="s">
        <v>380</v>
      </c>
      <c r="D218" t="s">
        <v>534</v>
      </c>
      <c r="E218" t="s">
        <v>382</v>
      </c>
      <c r="G218" s="95">
        <v>68</v>
      </c>
      <c r="H218" t="s">
        <v>384</v>
      </c>
    </row>
    <row r="219" spans="1:8" x14ac:dyDescent="0.3">
      <c r="A219" t="s">
        <v>535</v>
      </c>
      <c r="B219">
        <v>58069</v>
      </c>
      <c r="C219" t="s">
        <v>380</v>
      </c>
      <c r="D219" t="s">
        <v>534</v>
      </c>
      <c r="E219" t="s">
        <v>382</v>
      </c>
      <c r="G219" s="95">
        <v>69</v>
      </c>
      <c r="H219" t="s">
        <v>384</v>
      </c>
    </row>
    <row r="220" spans="1:8" x14ac:dyDescent="0.3">
      <c r="A220" t="s">
        <v>536</v>
      </c>
      <c r="B220">
        <v>59922</v>
      </c>
      <c r="C220" t="s">
        <v>380</v>
      </c>
      <c r="D220" t="s">
        <v>534</v>
      </c>
      <c r="E220" t="s">
        <v>382</v>
      </c>
      <c r="G220" s="95">
        <v>70</v>
      </c>
      <c r="H220" t="s">
        <v>384</v>
      </c>
    </row>
    <row r="221" spans="1:8" x14ac:dyDescent="0.3">
      <c r="A221" t="s">
        <v>537</v>
      </c>
      <c r="B221">
        <v>29862</v>
      </c>
      <c r="C221" t="s">
        <v>380</v>
      </c>
      <c r="D221" t="s">
        <v>538</v>
      </c>
      <c r="E221" t="s">
        <v>382</v>
      </c>
      <c r="G221" s="95">
        <v>71</v>
      </c>
      <c r="H221" t="s">
        <v>384</v>
      </c>
    </row>
    <row r="222" spans="1:8" x14ac:dyDescent="0.3">
      <c r="A222" t="s">
        <v>539</v>
      </c>
      <c r="B222">
        <v>31765</v>
      </c>
      <c r="C222" t="s">
        <v>380</v>
      </c>
      <c r="D222" t="s">
        <v>538</v>
      </c>
      <c r="E222" t="s">
        <v>382</v>
      </c>
      <c r="G222" s="95">
        <v>72</v>
      </c>
      <c r="H222" t="s">
        <v>384</v>
      </c>
    </row>
    <row r="223" spans="1:8" x14ac:dyDescent="0.3">
      <c r="A223" t="s">
        <v>540</v>
      </c>
      <c r="B223">
        <v>32273</v>
      </c>
      <c r="C223" t="s">
        <v>380</v>
      </c>
      <c r="D223" t="s">
        <v>538</v>
      </c>
      <c r="E223" t="s">
        <v>382</v>
      </c>
      <c r="G223" s="95">
        <v>73</v>
      </c>
      <c r="H223" t="s">
        <v>384</v>
      </c>
    </row>
    <row r="224" spans="1:8" x14ac:dyDescent="0.3">
      <c r="A224" t="s">
        <v>541</v>
      </c>
      <c r="B224">
        <v>14818</v>
      </c>
      <c r="C224" t="s">
        <v>380</v>
      </c>
      <c r="D224" t="s">
        <v>542</v>
      </c>
      <c r="E224" t="s">
        <v>382</v>
      </c>
      <c r="G224" s="95">
        <v>74</v>
      </c>
      <c r="H224" t="s">
        <v>384</v>
      </c>
    </row>
    <row r="225" spans="1:8" x14ac:dyDescent="0.3">
      <c r="A225" t="s">
        <v>543</v>
      </c>
      <c r="B225">
        <v>13045</v>
      </c>
      <c r="C225" t="s">
        <v>380</v>
      </c>
      <c r="D225" t="s">
        <v>542</v>
      </c>
      <c r="E225" t="s">
        <v>382</v>
      </c>
      <c r="G225" s="95">
        <v>75</v>
      </c>
      <c r="H225" t="s">
        <v>384</v>
      </c>
    </row>
    <row r="226" spans="1:8" x14ac:dyDescent="0.3">
      <c r="A226" t="s">
        <v>544</v>
      </c>
      <c r="B226">
        <v>21273</v>
      </c>
      <c r="C226" t="s">
        <v>380</v>
      </c>
      <c r="D226" t="s">
        <v>542</v>
      </c>
      <c r="E226" t="s">
        <v>382</v>
      </c>
      <c r="G226" s="95">
        <v>76</v>
      </c>
      <c r="H226" t="s">
        <v>384</v>
      </c>
    </row>
    <row r="227" spans="1:8" x14ac:dyDescent="0.3">
      <c r="A227" t="s">
        <v>545</v>
      </c>
      <c r="B227">
        <v>21876</v>
      </c>
      <c r="C227" t="s">
        <v>380</v>
      </c>
      <c r="D227" t="s">
        <v>546</v>
      </c>
      <c r="E227" t="s">
        <v>382</v>
      </c>
      <c r="G227" s="95">
        <v>77</v>
      </c>
      <c r="H227" t="s">
        <v>384</v>
      </c>
    </row>
    <row r="228" spans="1:8" x14ac:dyDescent="0.3">
      <c r="A228" t="s">
        <v>547</v>
      </c>
      <c r="B228">
        <v>24978</v>
      </c>
      <c r="C228" t="s">
        <v>380</v>
      </c>
      <c r="D228" t="s">
        <v>546</v>
      </c>
      <c r="E228" t="s">
        <v>382</v>
      </c>
      <c r="G228" s="95">
        <v>78</v>
      </c>
      <c r="H228" t="s">
        <v>384</v>
      </c>
    </row>
    <row r="229" spans="1:8" x14ac:dyDescent="0.3">
      <c r="A229" t="s">
        <v>548</v>
      </c>
      <c r="B229">
        <v>28136</v>
      </c>
      <c r="C229" t="s">
        <v>380</v>
      </c>
      <c r="D229" t="s">
        <v>546</v>
      </c>
      <c r="E229" t="s">
        <v>382</v>
      </c>
      <c r="G229" s="95">
        <v>79</v>
      </c>
      <c r="H229" t="s">
        <v>384</v>
      </c>
    </row>
    <row r="230" spans="1:8" x14ac:dyDescent="0.3">
      <c r="A230" t="s">
        <v>354</v>
      </c>
      <c r="B230" s="98">
        <f>0.75*170+0.25*195</f>
        <v>176.25</v>
      </c>
      <c r="C230" t="s">
        <v>313</v>
      </c>
      <c r="D230" t="s">
        <v>660</v>
      </c>
      <c r="E230" t="s">
        <v>513</v>
      </c>
      <c r="G230" s="95">
        <v>80</v>
      </c>
      <c r="H230" t="s">
        <v>426</v>
      </c>
    </row>
    <row r="231" spans="1:8" x14ac:dyDescent="0.3">
      <c r="A231" t="s">
        <v>355</v>
      </c>
      <c r="B231">
        <f>0.75*62+0.25*90</f>
        <v>69</v>
      </c>
      <c r="C231" t="s">
        <v>313</v>
      </c>
      <c r="D231" t="s">
        <v>661</v>
      </c>
      <c r="G231" s="95">
        <v>81</v>
      </c>
      <c r="H231" t="s">
        <v>426</v>
      </c>
    </row>
    <row r="232" spans="1:8" x14ac:dyDescent="0.3">
      <c r="A232" t="s">
        <v>356</v>
      </c>
      <c r="B232" s="98">
        <f>0.75*47+0.25*65</f>
        <v>51.5</v>
      </c>
      <c r="C232" t="s">
        <v>313</v>
      </c>
      <c r="D232" t="str">
        <f>CONCATENATE("ExVaughn annual t",ROUNDDOWN((SUM(B224:B226)/3),0),"- sources 75% from ET 47km, 25% from YRMWC 65km")</f>
        <v>ExVaughn annual t16378- sources 75% from ET 47km, 25% from YRMWC 65km</v>
      </c>
      <c r="E232" t="s">
        <v>662</v>
      </c>
      <c r="G232" s="95">
        <v>82</v>
      </c>
      <c r="H232" t="s">
        <v>426</v>
      </c>
    </row>
    <row r="233" spans="1:8" x14ac:dyDescent="0.3">
      <c r="A233" t="s">
        <v>357</v>
      </c>
      <c r="B233">
        <v>30</v>
      </c>
      <c r="C233" t="s">
        <v>313</v>
      </c>
      <c r="D233" t="str">
        <f>CONCATENATE("Vaughn annual t ",ROUNDDOWN((SUM(B227:B229)/3),0))</f>
        <v>Vaughn annual t 24996</v>
      </c>
      <c r="E233" t="s">
        <v>663</v>
      </c>
      <c r="G233" s="95">
        <v>83</v>
      </c>
      <c r="H233" t="s">
        <v>426</v>
      </c>
    </row>
    <row r="234" spans="1:8" x14ac:dyDescent="0.3">
      <c r="A234" t="s">
        <v>549</v>
      </c>
      <c r="B234">
        <v>20183</v>
      </c>
      <c r="C234" t="s">
        <v>380</v>
      </c>
      <c r="D234" s="102" t="s">
        <v>550</v>
      </c>
      <c r="E234" t="s">
        <v>382</v>
      </c>
      <c r="G234" s="95">
        <v>84</v>
      </c>
      <c r="H234" t="s">
        <v>384</v>
      </c>
    </row>
    <row r="235" spans="1:8" x14ac:dyDescent="0.3">
      <c r="A235" t="s">
        <v>551</v>
      </c>
      <c r="B235">
        <v>21295</v>
      </c>
      <c r="C235" t="s">
        <v>380</v>
      </c>
      <c r="D235" s="102" t="s">
        <v>550</v>
      </c>
      <c r="E235" t="s">
        <v>382</v>
      </c>
      <c r="G235" s="95">
        <v>85</v>
      </c>
      <c r="H235" t="s">
        <v>384</v>
      </c>
    </row>
    <row r="236" spans="1:8" x14ac:dyDescent="0.3">
      <c r="A236" t="s">
        <v>552</v>
      </c>
      <c r="B236">
        <v>25491</v>
      </c>
      <c r="C236" t="s">
        <v>380</v>
      </c>
      <c r="D236" s="102" t="s">
        <v>550</v>
      </c>
      <c r="E236" t="s">
        <v>382</v>
      </c>
      <c r="G236" s="95">
        <v>86</v>
      </c>
      <c r="H236" t="s">
        <v>384</v>
      </c>
    </row>
    <row r="237" spans="1:8" x14ac:dyDescent="0.3">
      <c r="A237" t="s">
        <v>553</v>
      </c>
      <c r="B237">
        <v>0</v>
      </c>
      <c r="C237" t="s">
        <v>380</v>
      </c>
      <c r="D237" s="102" t="s">
        <v>554</v>
      </c>
      <c r="E237" t="s">
        <v>382</v>
      </c>
      <c r="G237" s="95">
        <v>87</v>
      </c>
      <c r="H237" t="s">
        <v>384</v>
      </c>
    </row>
    <row r="238" spans="1:8" x14ac:dyDescent="0.3">
      <c r="A238" t="s">
        <v>555</v>
      </c>
      <c r="B238">
        <v>1605</v>
      </c>
      <c r="C238" t="s">
        <v>380</v>
      </c>
      <c r="D238" s="102" t="s">
        <v>554</v>
      </c>
      <c r="E238" t="s">
        <v>382</v>
      </c>
      <c r="G238" s="95">
        <v>88</v>
      </c>
      <c r="H238" t="s">
        <v>384</v>
      </c>
    </row>
    <row r="239" spans="1:8" x14ac:dyDescent="0.3">
      <c r="A239" t="s">
        <v>556</v>
      </c>
      <c r="B239">
        <v>25</v>
      </c>
      <c r="C239" t="s">
        <v>380</v>
      </c>
      <c r="D239" s="102" t="s">
        <v>554</v>
      </c>
      <c r="E239" t="s">
        <v>382</v>
      </c>
      <c r="G239" s="95">
        <v>89</v>
      </c>
      <c r="H239" t="s">
        <v>384</v>
      </c>
    </row>
    <row r="240" spans="1:8" x14ac:dyDescent="0.3">
      <c r="A240" t="s">
        <v>557</v>
      </c>
      <c r="B240">
        <v>4609</v>
      </c>
      <c r="C240" t="s">
        <v>380</v>
      </c>
      <c r="D240" s="102" t="s">
        <v>558</v>
      </c>
      <c r="E240" t="s">
        <v>382</v>
      </c>
      <c r="G240" s="95">
        <v>90</v>
      </c>
      <c r="H240" t="s">
        <v>384</v>
      </c>
    </row>
    <row r="241" spans="1:8" x14ac:dyDescent="0.3">
      <c r="A241" t="s">
        <v>559</v>
      </c>
      <c r="B241">
        <v>6400</v>
      </c>
      <c r="C241" t="s">
        <v>380</v>
      </c>
      <c r="D241" s="102" t="s">
        <v>558</v>
      </c>
      <c r="E241" t="s">
        <v>382</v>
      </c>
      <c r="G241" s="95">
        <v>91</v>
      </c>
      <c r="H241" t="s">
        <v>384</v>
      </c>
    </row>
    <row r="242" spans="1:8" x14ac:dyDescent="0.3">
      <c r="A242" t="s">
        <v>560</v>
      </c>
      <c r="B242">
        <v>6166</v>
      </c>
      <c r="C242" t="s">
        <v>380</v>
      </c>
      <c r="D242" s="102" t="s">
        <v>558</v>
      </c>
      <c r="E242" t="s">
        <v>382</v>
      </c>
      <c r="G242" s="95">
        <v>92</v>
      </c>
      <c r="H242" t="s">
        <v>384</v>
      </c>
    </row>
    <row r="243" spans="1:8" ht="43.2" x14ac:dyDescent="0.3">
      <c r="A243" t="s">
        <v>358</v>
      </c>
      <c r="B243">
        <f>0.75*147+0.25*171</f>
        <v>153</v>
      </c>
      <c r="C243" t="s">
        <v>313</v>
      </c>
      <c r="D243" s="103" t="s">
        <v>664</v>
      </c>
      <c r="E243" t="s">
        <v>513</v>
      </c>
      <c r="G243" s="95">
        <v>93</v>
      </c>
      <c r="H243" t="s">
        <v>426</v>
      </c>
    </row>
    <row r="244" spans="1:8" ht="43.2" x14ac:dyDescent="0.3">
      <c r="A244" t="s">
        <v>359</v>
      </c>
      <c r="B244">
        <f>0.75*259+0.25*288</f>
        <v>266.25</v>
      </c>
      <c r="C244" t="s">
        <v>313</v>
      </c>
      <c r="D244" s="103" t="s">
        <v>665</v>
      </c>
      <c r="E244" t="s">
        <v>513</v>
      </c>
      <c r="G244" s="95">
        <v>94</v>
      </c>
      <c r="H244" t="s">
        <v>426</v>
      </c>
    </row>
    <row r="245" spans="1:8" x14ac:dyDescent="0.3">
      <c r="A245" t="s">
        <v>360</v>
      </c>
      <c r="C245" t="s">
        <v>313</v>
      </c>
      <c r="D245" s="102" t="s">
        <v>666</v>
      </c>
      <c r="E245" t="s">
        <v>382</v>
      </c>
      <c r="G245" s="95">
        <v>95</v>
      </c>
      <c r="H245" t="s">
        <v>384</v>
      </c>
    </row>
    <row r="246" spans="1:8" ht="15" customHeight="1" x14ac:dyDescent="0.3">
      <c r="A246" t="s">
        <v>561</v>
      </c>
      <c r="B246">
        <v>81</v>
      </c>
      <c r="C246" t="s">
        <v>562</v>
      </c>
      <c r="D246" s="103" t="s">
        <v>563</v>
      </c>
      <c r="E246" t="s">
        <v>564</v>
      </c>
      <c r="F246" t="s">
        <v>565</v>
      </c>
      <c r="G246" s="95">
        <v>96</v>
      </c>
      <c r="H246" t="s">
        <v>399</v>
      </c>
    </row>
    <row r="247" spans="1:8" ht="15" customHeight="1" x14ac:dyDescent="0.3">
      <c r="A247" t="s">
        <v>566</v>
      </c>
      <c r="B247">
        <v>85</v>
      </c>
      <c r="C247" t="s">
        <v>562</v>
      </c>
      <c r="D247" s="103" t="s">
        <v>567</v>
      </c>
      <c r="E247" t="s">
        <v>564</v>
      </c>
      <c r="F247" t="s">
        <v>565</v>
      </c>
      <c r="G247" s="95">
        <v>97</v>
      </c>
      <c r="H247" t="s">
        <v>399</v>
      </c>
    </row>
    <row r="248" spans="1:8" x14ac:dyDescent="0.3">
      <c r="A248" t="s">
        <v>568</v>
      </c>
      <c r="B248">
        <v>55445</v>
      </c>
      <c r="C248" t="s">
        <v>569</v>
      </c>
      <c r="D248" s="104">
        <v>4.9966295618069874E-2</v>
      </c>
      <c r="E248" t="s">
        <v>570</v>
      </c>
      <c r="G248" s="95">
        <v>98</v>
      </c>
      <c r="H248" t="s">
        <v>571</v>
      </c>
    </row>
    <row r="249" spans="1:8" x14ac:dyDescent="0.3">
      <c r="A249" t="s">
        <v>572</v>
      </c>
      <c r="B249">
        <v>23991</v>
      </c>
      <c r="C249" t="s">
        <v>569</v>
      </c>
      <c r="D249" s="104">
        <v>2.1620369702824681E-2</v>
      </c>
      <c r="E249" t="s">
        <v>570</v>
      </c>
      <c r="G249" s="95">
        <v>99</v>
      </c>
      <c r="H249" t="s">
        <v>571</v>
      </c>
    </row>
    <row r="250" spans="1:8" x14ac:dyDescent="0.3">
      <c r="A250" t="s">
        <v>573</v>
      </c>
      <c r="B250">
        <v>45418</v>
      </c>
      <c r="C250" t="s">
        <v>569</v>
      </c>
      <c r="D250" s="104">
        <v>4.0930096751402245E-2</v>
      </c>
      <c r="E250" t="s">
        <v>570</v>
      </c>
      <c r="G250" s="95">
        <v>100</v>
      </c>
      <c r="H250" t="s">
        <v>571</v>
      </c>
    </row>
    <row r="251" spans="1:8" x14ac:dyDescent="0.3">
      <c r="A251" t="s">
        <v>574</v>
      </c>
      <c r="B251">
        <v>24512</v>
      </c>
      <c r="C251" t="s">
        <v>569</v>
      </c>
      <c r="D251" s="104">
        <v>2.2089887964471616E-2</v>
      </c>
      <c r="E251" t="s">
        <v>570</v>
      </c>
      <c r="G251" s="95">
        <v>101</v>
      </c>
      <c r="H251" t="s">
        <v>571</v>
      </c>
    </row>
    <row r="252" spans="1:8" x14ac:dyDescent="0.3">
      <c r="A252" t="s">
        <v>575</v>
      </c>
      <c r="B252">
        <v>328966</v>
      </c>
      <c r="C252" t="s">
        <v>569</v>
      </c>
      <c r="D252" s="104">
        <v>0.29645977823598113</v>
      </c>
      <c r="E252" t="s">
        <v>570</v>
      </c>
      <c r="G252" s="95">
        <v>102</v>
      </c>
      <c r="H252" t="s">
        <v>571</v>
      </c>
    </row>
    <row r="253" spans="1:8" x14ac:dyDescent="0.3">
      <c r="A253" t="s">
        <v>576</v>
      </c>
      <c r="B253">
        <v>84224</v>
      </c>
      <c r="C253" t="s">
        <v>569</v>
      </c>
      <c r="D253" s="104">
        <v>7.5901547157296731E-2</v>
      </c>
      <c r="E253" t="s">
        <v>570</v>
      </c>
      <c r="G253" s="95">
        <v>103</v>
      </c>
      <c r="H253" t="s">
        <v>571</v>
      </c>
    </row>
    <row r="254" spans="1:8" x14ac:dyDescent="0.3">
      <c r="A254" t="s">
        <v>577</v>
      </c>
      <c r="B254">
        <v>195022</v>
      </c>
      <c r="C254" t="s">
        <v>569</v>
      </c>
      <c r="D254" s="104">
        <v>0.17575122921863509</v>
      </c>
      <c r="E254" t="s">
        <v>570</v>
      </c>
      <c r="G254" s="95">
        <v>104</v>
      </c>
      <c r="H254" t="s">
        <v>571</v>
      </c>
    </row>
    <row r="255" spans="1:8" x14ac:dyDescent="0.3">
      <c r="A255" t="s">
        <v>578</v>
      </c>
      <c r="B255">
        <v>306233</v>
      </c>
      <c r="C255" t="s">
        <v>569</v>
      </c>
      <c r="D255" s="104">
        <v>0.27597310137989706</v>
      </c>
      <c r="E255" t="s">
        <v>570</v>
      </c>
      <c r="G255" s="95">
        <v>105</v>
      </c>
      <c r="H255" t="s">
        <v>571</v>
      </c>
    </row>
    <row r="256" spans="1:8" x14ac:dyDescent="0.3">
      <c r="A256" t="s">
        <v>579</v>
      </c>
      <c r="B256">
        <v>45837</v>
      </c>
      <c r="C256" t="s">
        <v>569</v>
      </c>
      <c r="D256" s="104">
        <v>4.1307693971421568E-2</v>
      </c>
      <c r="E256" t="s">
        <v>570</v>
      </c>
      <c r="G256" s="95">
        <v>106</v>
      </c>
      <c r="H256" t="s">
        <v>571</v>
      </c>
    </row>
    <row r="257" spans="1:8" x14ac:dyDescent="0.3">
      <c r="A257" t="s">
        <v>580</v>
      </c>
      <c r="B257" t="s">
        <v>581</v>
      </c>
      <c r="D257" s="105" t="s">
        <v>582</v>
      </c>
      <c r="E257" t="s">
        <v>382</v>
      </c>
      <c r="G257" s="95">
        <v>107</v>
      </c>
      <c r="H257" t="s">
        <v>384</v>
      </c>
    </row>
    <row r="258" spans="1:8" x14ac:dyDescent="0.3">
      <c r="A258" t="s">
        <v>583</v>
      </c>
      <c r="B258" t="s">
        <v>581</v>
      </c>
      <c r="D258" s="105" t="s">
        <v>582</v>
      </c>
      <c r="E258" t="s">
        <v>382</v>
      </c>
      <c r="G258" s="95">
        <v>108</v>
      </c>
      <c r="H258" t="s">
        <v>384</v>
      </c>
    </row>
    <row r="259" spans="1:8" x14ac:dyDescent="0.3">
      <c r="A259" t="s">
        <v>584</v>
      </c>
      <c r="B259" t="s">
        <v>581</v>
      </c>
      <c r="D259" s="105" t="s">
        <v>582</v>
      </c>
      <c r="E259" t="s">
        <v>382</v>
      </c>
      <c r="G259" s="95">
        <v>109</v>
      </c>
      <c r="H259" t="s">
        <v>384</v>
      </c>
    </row>
    <row r="260" spans="1:8" x14ac:dyDescent="0.3">
      <c r="A260" t="s">
        <v>585</v>
      </c>
      <c r="B260" t="s">
        <v>581</v>
      </c>
      <c r="D260" s="105" t="s">
        <v>582</v>
      </c>
      <c r="E260" t="s">
        <v>382</v>
      </c>
      <c r="G260" s="95">
        <v>110</v>
      </c>
      <c r="H260" t="s">
        <v>384</v>
      </c>
    </row>
    <row r="261" spans="1:8" ht="15" customHeight="1" x14ac:dyDescent="0.3">
      <c r="A261" t="s">
        <v>586</v>
      </c>
      <c r="B261" t="s">
        <v>587</v>
      </c>
      <c r="D261" s="104" t="s">
        <v>588</v>
      </c>
      <c r="E261" t="s">
        <v>382</v>
      </c>
      <c r="G261" s="95">
        <v>111</v>
      </c>
      <c r="H261" t="s">
        <v>384</v>
      </c>
    </row>
    <row r="262" spans="1:8" ht="15" customHeight="1" x14ac:dyDescent="0.3">
      <c r="A262" t="s">
        <v>589</v>
      </c>
      <c r="B262" t="s">
        <v>581</v>
      </c>
      <c r="D262" s="105" t="s">
        <v>582</v>
      </c>
      <c r="E262" t="s">
        <v>382</v>
      </c>
      <c r="G262" s="95">
        <v>112</v>
      </c>
      <c r="H262" t="s">
        <v>384</v>
      </c>
    </row>
    <row r="263" spans="1:8" ht="15" customHeight="1" x14ac:dyDescent="0.3">
      <c r="A263" t="s">
        <v>590</v>
      </c>
      <c r="B263" t="s">
        <v>587</v>
      </c>
      <c r="D263" s="104" t="s">
        <v>588</v>
      </c>
      <c r="E263" t="s">
        <v>382</v>
      </c>
      <c r="G263" s="95">
        <v>113</v>
      </c>
      <c r="H263" t="s">
        <v>384</v>
      </c>
    </row>
    <row r="264" spans="1:8" ht="15" customHeight="1" x14ac:dyDescent="0.3">
      <c r="A264" t="s">
        <v>591</v>
      </c>
      <c r="B264" t="s">
        <v>587</v>
      </c>
      <c r="D264" s="104" t="s">
        <v>588</v>
      </c>
      <c r="E264" t="s">
        <v>382</v>
      </c>
      <c r="G264" s="95">
        <v>114</v>
      </c>
      <c r="H264" t="s">
        <v>384</v>
      </c>
    </row>
    <row r="265" spans="1:8" ht="15" customHeight="1" x14ac:dyDescent="0.3">
      <c r="A265" t="s">
        <v>592</v>
      </c>
      <c r="B265" t="s">
        <v>581</v>
      </c>
      <c r="D265" s="105" t="s">
        <v>582</v>
      </c>
      <c r="E265" t="s">
        <v>382</v>
      </c>
      <c r="G265" s="95">
        <v>115</v>
      </c>
      <c r="H265" t="s">
        <v>384</v>
      </c>
    </row>
    <row r="266" spans="1:8" ht="15" customHeight="1" x14ac:dyDescent="0.3">
      <c r="A266" t="s">
        <v>624</v>
      </c>
      <c r="B266">
        <v>37</v>
      </c>
      <c r="C266" t="s">
        <v>380</v>
      </c>
      <c r="D266" t="s">
        <v>623</v>
      </c>
      <c r="E266" t="s">
        <v>382</v>
      </c>
      <c r="G266" s="95">
        <v>116</v>
      </c>
      <c r="H266" t="s">
        <v>384</v>
      </c>
    </row>
    <row r="267" spans="1:8" ht="15" customHeight="1" x14ac:dyDescent="0.3">
      <c r="A267" t="s">
        <v>593</v>
      </c>
      <c r="B267">
        <v>15</v>
      </c>
      <c r="C267" t="s">
        <v>380</v>
      </c>
      <c r="D267" s="104" t="s">
        <v>594</v>
      </c>
      <c r="E267" t="s">
        <v>382</v>
      </c>
      <c r="G267" s="95">
        <v>117</v>
      </c>
      <c r="H267" t="s">
        <v>384</v>
      </c>
    </row>
    <row r="268" spans="1:8" x14ac:dyDescent="0.3">
      <c r="A268" t="s">
        <v>595</v>
      </c>
      <c r="B268" s="48">
        <v>8.8800000000000008</v>
      </c>
      <c r="C268" t="s">
        <v>155</v>
      </c>
      <c r="D268" t="s">
        <v>596</v>
      </c>
      <c r="E268" t="s">
        <v>597</v>
      </c>
      <c r="F268" t="s">
        <v>598</v>
      </c>
      <c r="G268" s="95">
        <v>118</v>
      </c>
      <c r="H268" t="s">
        <v>384</v>
      </c>
    </row>
    <row r="269" spans="1:8" x14ac:dyDescent="0.3">
      <c r="A269" t="s">
        <v>599</v>
      </c>
      <c r="B269" s="48">
        <v>10</v>
      </c>
      <c r="C269" t="s">
        <v>155</v>
      </c>
      <c r="D269" t="s">
        <v>600</v>
      </c>
      <c r="E269" t="s">
        <v>94</v>
      </c>
      <c r="G269" s="95">
        <v>119</v>
      </c>
      <c r="H269" t="s">
        <v>571</v>
      </c>
    </row>
    <row r="270" spans="1:8" x14ac:dyDescent="0.3">
      <c r="A270" s="70" t="s">
        <v>154</v>
      </c>
      <c r="B270" s="79">
        <v>0.27</v>
      </c>
      <c r="C270" s="70" t="s">
        <v>155</v>
      </c>
      <c r="D270" t="s">
        <v>687</v>
      </c>
      <c r="E270" t="s">
        <v>669</v>
      </c>
      <c r="G270" s="95">
        <v>120</v>
      </c>
      <c r="H270" t="s">
        <v>426</v>
      </c>
    </row>
    <row r="271" spans="1:8" x14ac:dyDescent="0.3">
      <c r="A271" s="70" t="s">
        <v>158</v>
      </c>
      <c r="B271" s="70">
        <v>650</v>
      </c>
      <c r="C271" s="70" t="s">
        <v>159</v>
      </c>
      <c r="D271" t="s">
        <v>687</v>
      </c>
      <c r="E271" t="s">
        <v>673</v>
      </c>
      <c r="G271" s="95">
        <v>121</v>
      </c>
      <c r="H271" t="s">
        <v>426</v>
      </c>
    </row>
    <row r="272" spans="1:8" x14ac:dyDescent="0.3">
      <c r="A272" s="70" t="s">
        <v>168</v>
      </c>
      <c r="B272" s="79">
        <v>0.04</v>
      </c>
      <c r="C272" s="70" t="s">
        <v>169</v>
      </c>
      <c r="D272" t="s">
        <v>687</v>
      </c>
      <c r="E272" t="s">
        <v>674</v>
      </c>
      <c r="G272" s="95">
        <v>122</v>
      </c>
      <c r="H272" t="s">
        <v>426</v>
      </c>
    </row>
    <row r="273" spans="1:8" x14ac:dyDescent="0.3">
      <c r="A273" s="70" t="s">
        <v>172</v>
      </c>
      <c r="B273" s="82">
        <v>7.0000000000000001E-3</v>
      </c>
      <c r="C273" s="70" t="s">
        <v>169</v>
      </c>
      <c r="D273" t="s">
        <v>687</v>
      </c>
      <c r="E273" t="s">
        <v>675</v>
      </c>
      <c r="G273" s="95">
        <v>123</v>
      </c>
      <c r="H273" t="s">
        <v>426</v>
      </c>
    </row>
    <row r="274" spans="1:8" x14ac:dyDescent="0.3">
      <c r="A274" s="70" t="s">
        <v>175</v>
      </c>
      <c r="B274" s="79">
        <v>0.65</v>
      </c>
      <c r="C274" s="70" t="s">
        <v>169</v>
      </c>
      <c r="D274" t="s">
        <v>687</v>
      </c>
      <c r="E274" t="s">
        <v>676</v>
      </c>
      <c r="G274" s="95">
        <v>124</v>
      </c>
      <c r="H274" t="s">
        <v>426</v>
      </c>
    </row>
    <row r="275" spans="1:8" x14ac:dyDescent="0.3">
      <c r="A275" s="70" t="s">
        <v>178</v>
      </c>
      <c r="B275" s="79">
        <v>0.2</v>
      </c>
      <c r="C275" s="70" t="s">
        <v>169</v>
      </c>
      <c r="D275" t="s">
        <v>687</v>
      </c>
      <c r="E275" t="s">
        <v>677</v>
      </c>
      <c r="G275" s="95">
        <v>125</v>
      </c>
      <c r="H275" t="s">
        <v>426</v>
      </c>
    </row>
    <row r="276" spans="1:8" x14ac:dyDescent="0.3">
      <c r="A276" s="70" t="s">
        <v>198</v>
      </c>
      <c r="B276" s="70">
        <v>30</v>
      </c>
      <c r="C276" s="70"/>
      <c r="D276" t="s">
        <v>690</v>
      </c>
      <c r="E276" t="s">
        <v>677</v>
      </c>
      <c r="G276" s="95">
        <v>126</v>
      </c>
      <c r="H276" t="s">
        <v>426</v>
      </c>
    </row>
    <row r="277" spans="1:8" ht="16.8" customHeight="1" x14ac:dyDescent="0.3">
      <c r="A277" s="102" t="s">
        <v>692</v>
      </c>
      <c r="B277">
        <v>0.57499999999999996</v>
      </c>
      <c r="C277" t="s">
        <v>691</v>
      </c>
      <c r="D277" s="103" t="s">
        <v>689</v>
      </c>
      <c r="E277" t="s">
        <v>677</v>
      </c>
      <c r="G277" s="95">
        <v>127</v>
      </c>
      <c r="H277" t="s">
        <v>426</v>
      </c>
    </row>
    <row r="278" spans="1:8" x14ac:dyDescent="0.3">
      <c r="A278" t="s">
        <v>703</v>
      </c>
      <c r="B278">
        <v>1000</v>
      </c>
      <c r="C278" t="s">
        <v>244</v>
      </c>
      <c r="D278" t="s">
        <v>704</v>
      </c>
      <c r="E278" s="123" t="s">
        <v>699</v>
      </c>
      <c r="G278" s="95">
        <v>128</v>
      </c>
      <c r="H278" t="s">
        <v>702</v>
      </c>
    </row>
    <row r="279" spans="1:8" x14ac:dyDescent="0.3">
      <c r="A279" t="s">
        <v>705</v>
      </c>
      <c r="B279" t="s">
        <v>708</v>
      </c>
      <c r="D279" t="s">
        <v>706</v>
      </c>
      <c r="E279" s="123" t="s">
        <v>707</v>
      </c>
      <c r="G279" s="95">
        <v>129</v>
      </c>
      <c r="H279" t="s">
        <v>702</v>
      </c>
    </row>
  </sheetData>
  <hyperlinks>
    <hyperlink ref="E278" r:id="rId1"/>
    <hyperlink ref="E279" r:id="rId2"/>
  </hyperlinks>
  <pageMargins left="0.7" right="0.7" top="0.75" bottom="0.75" header="0.3" footer="0.3"/>
  <pageSetup orientation="portrait" horizontalDpi="1200" verticalDpi="1200" r:id="rId3"/>
  <drawing r:id="rId4"/>
  <legacyDrawing r:id="rId5"/>
  <tableParts count="2">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2" sqref="C2"/>
    </sheetView>
  </sheetViews>
  <sheetFormatPr defaultRowHeight="14.4" x14ac:dyDescent="0.3"/>
  <cols>
    <col min="1" max="1" width="12.5546875" customWidth="1"/>
    <col min="2" max="2" width="14" customWidth="1"/>
    <col min="3" max="3" width="21.44140625" customWidth="1"/>
    <col min="7" max="7" width="26" customWidth="1"/>
  </cols>
  <sheetData>
    <row r="1" spans="1:8" ht="15" thickBot="1" x14ac:dyDescent="0.35">
      <c r="A1" s="106" t="s">
        <v>601</v>
      </c>
      <c r="B1" s="106" t="s">
        <v>602</v>
      </c>
      <c r="C1" t="s">
        <v>621</v>
      </c>
      <c r="D1" t="s">
        <v>603</v>
      </c>
      <c r="E1" t="s">
        <v>387</v>
      </c>
    </row>
    <row r="2" spans="1:8" ht="15" thickBot="1" x14ac:dyDescent="0.35">
      <c r="A2" s="107" t="s">
        <v>604</v>
      </c>
      <c r="B2" s="107" t="s">
        <v>605</v>
      </c>
      <c r="C2" s="108">
        <v>55445</v>
      </c>
      <c r="D2" s="109">
        <f>C2/$C$11</f>
        <v>4.9954545823126043E-2</v>
      </c>
      <c r="E2" s="85" t="s">
        <v>581</v>
      </c>
      <c r="G2" s="85"/>
      <c r="H2" s="85"/>
    </row>
    <row r="3" spans="1:8" ht="15" thickBot="1" x14ac:dyDescent="0.35">
      <c r="A3" s="107" t="s">
        <v>606</v>
      </c>
      <c r="B3" s="107" t="s">
        <v>605</v>
      </c>
      <c r="C3" s="108">
        <v>23991</v>
      </c>
      <c r="D3" s="109">
        <f t="shared" ref="D3:D10" si="0">C3/$C$11</f>
        <v>2.161528557746626E-2</v>
      </c>
      <c r="E3" s="86" t="s">
        <v>581</v>
      </c>
      <c r="G3" s="86"/>
      <c r="H3" s="86"/>
    </row>
    <row r="4" spans="1:8" ht="15" thickBot="1" x14ac:dyDescent="0.35">
      <c r="A4" s="107" t="s">
        <v>607</v>
      </c>
      <c r="B4" s="107" t="s">
        <v>605</v>
      </c>
      <c r="C4" s="108">
        <v>45418</v>
      </c>
      <c r="D4" s="109">
        <f t="shared" si="0"/>
        <v>4.0920471858503712E-2</v>
      </c>
      <c r="E4" s="85" t="s">
        <v>581</v>
      </c>
      <c r="G4" s="85"/>
      <c r="H4" s="85"/>
    </row>
    <row r="5" spans="1:8" ht="15" thickBot="1" x14ac:dyDescent="0.35">
      <c r="A5" s="107" t="s">
        <v>608</v>
      </c>
      <c r="B5" s="107" t="s">
        <v>609</v>
      </c>
      <c r="C5" s="108">
        <v>24512</v>
      </c>
      <c r="D5" s="109">
        <f t="shared" si="0"/>
        <v>2.2084693429821726E-2</v>
      </c>
      <c r="E5" s="86" t="s">
        <v>581</v>
      </c>
      <c r="G5" s="86"/>
      <c r="H5" s="86"/>
    </row>
    <row r="6" spans="1:8" ht="15" thickBot="1" x14ac:dyDescent="0.35">
      <c r="A6" s="107" t="s">
        <v>610</v>
      </c>
      <c r="B6" s="107" t="s">
        <v>611</v>
      </c>
      <c r="C6" s="108">
        <v>328966</v>
      </c>
      <c r="D6" s="109">
        <f t="shared" si="0"/>
        <v>0.29639006441068594</v>
      </c>
      <c r="E6" s="85" t="s">
        <v>587</v>
      </c>
      <c r="G6" s="85"/>
      <c r="H6" s="85"/>
    </row>
    <row r="7" spans="1:8" ht="15" thickBot="1" x14ac:dyDescent="0.35">
      <c r="A7" s="107" t="s">
        <v>612</v>
      </c>
      <c r="B7" s="107" t="s">
        <v>605</v>
      </c>
      <c r="C7" s="108">
        <v>84224</v>
      </c>
      <c r="D7" s="109">
        <f t="shared" si="0"/>
        <v>7.588369857348666E-2</v>
      </c>
      <c r="E7" s="86" t="s">
        <v>581</v>
      </c>
      <c r="G7" s="86"/>
      <c r="H7" s="86"/>
    </row>
    <row r="8" spans="1:8" ht="15" thickBot="1" x14ac:dyDescent="0.35">
      <c r="A8" s="107" t="s">
        <v>613</v>
      </c>
      <c r="B8" s="107" t="s">
        <v>611</v>
      </c>
      <c r="C8" s="108">
        <v>195022</v>
      </c>
      <c r="D8" s="109">
        <f t="shared" si="0"/>
        <v>0.17570990054139574</v>
      </c>
      <c r="E8" s="85" t="s">
        <v>587</v>
      </c>
      <c r="G8" s="85"/>
      <c r="H8" s="85"/>
    </row>
    <row r="9" spans="1:8" ht="15" thickBot="1" x14ac:dyDescent="0.35">
      <c r="A9" s="107" t="s">
        <v>614</v>
      </c>
      <c r="B9" s="107" t="s">
        <v>611</v>
      </c>
      <c r="C9" s="108">
        <v>306233</v>
      </c>
      <c r="D9" s="109">
        <f t="shared" si="0"/>
        <v>0.27590820508708369</v>
      </c>
      <c r="E9" s="86" t="s">
        <v>587</v>
      </c>
      <c r="G9" s="86"/>
      <c r="H9" s="86"/>
    </row>
    <row r="10" spans="1:8" ht="21" thickBot="1" x14ac:dyDescent="0.35">
      <c r="A10" s="107" t="s">
        <v>615</v>
      </c>
      <c r="B10" s="107" t="s">
        <v>605</v>
      </c>
      <c r="C10" s="108">
        <v>45837</v>
      </c>
      <c r="D10" s="109">
        <f t="shared" si="0"/>
        <v>4.1297980284870202E-2</v>
      </c>
      <c r="E10" s="85" t="s">
        <v>581</v>
      </c>
      <c r="G10" s="85"/>
      <c r="H10" s="85"/>
    </row>
    <row r="11" spans="1:8" ht="21" thickBot="1" x14ac:dyDescent="0.35">
      <c r="A11" s="107" t="s">
        <v>616</v>
      </c>
      <c r="B11" s="107" t="s">
        <v>617</v>
      </c>
      <c r="C11" s="108">
        <v>1109909</v>
      </c>
    </row>
    <row r="15" spans="1:8" x14ac:dyDescent="0.3">
      <c r="A15" t="s">
        <v>618</v>
      </c>
      <c r="B15" t="s">
        <v>619</v>
      </c>
    </row>
    <row r="16" spans="1:8" x14ac:dyDescent="0.3">
      <c r="A16" s="95" t="s">
        <v>587</v>
      </c>
      <c r="B16" s="110">
        <v>0.74800817003916542</v>
      </c>
    </row>
    <row r="17" spans="1:2" x14ac:dyDescent="0.3">
      <c r="A17" s="95" t="s">
        <v>581</v>
      </c>
      <c r="B17" s="110">
        <v>0.2517566755472746</v>
      </c>
    </row>
    <row r="18" spans="1:2" x14ac:dyDescent="0.3">
      <c r="A18" s="95" t="s">
        <v>620</v>
      </c>
      <c r="B18" s="111">
        <v>0.99976484558644008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Scenario</vt:lpstr>
      <vt:lpstr>BEAM_general</vt:lpstr>
      <vt:lpstr>Ref_pop</vt:lpstr>
    </vt:vector>
  </TitlesOfParts>
  <Company>Ontario Clean Water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dc:creator>
  <cp:lastModifiedBy>Jane Ho</cp:lastModifiedBy>
  <cp:lastPrinted>2021-06-11T16:19:02Z</cp:lastPrinted>
  <dcterms:created xsi:type="dcterms:W3CDTF">2021-05-04T17:47:55Z</dcterms:created>
  <dcterms:modified xsi:type="dcterms:W3CDTF">2021-06-11T17:40:38Z</dcterms:modified>
</cp:coreProperties>
</file>